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hrukhAfridi/Desktop/Haseeb/Schulich/PROP4950/"/>
    </mc:Choice>
  </mc:AlternateContent>
  <xr:revisionPtr revIDLastSave="0" documentId="13_ncr:1_{CE90240E-BBCD-8048-9247-FEB8348960B4}" xr6:coauthVersionLast="36" xr6:coauthVersionMax="43" xr10:uidLastSave="{00000000-0000-0000-0000-000000000000}"/>
  <bookViews>
    <workbookView xWindow="0" yWindow="0" windowWidth="25600" windowHeight="16000" tabRatio="500" activeTab="1" xr2:uid="{00000000-000D-0000-FFFF-FFFF00000000}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Q6" sheetId="7" r:id="rId6"/>
    <sheet name="Q7" sheetId="8" r:id="rId7"/>
    <sheet name="Q8" sheetId="9" r:id="rId8"/>
    <sheet name="Q9" sheetId="10" r:id="rId9"/>
    <sheet name="Q10" sheetId="11" r:id="rId10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3" l="1"/>
  <c r="E22" i="3"/>
  <c r="C10" i="3"/>
  <c r="C9" i="3"/>
  <c r="C32" i="4"/>
  <c r="C31" i="4"/>
  <c r="C22" i="4"/>
  <c r="C15" i="4"/>
  <c r="C21" i="4"/>
  <c r="T68" i="4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/>
  <c r="T83" i="4" s="1"/>
  <c r="T84" i="4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67" i="4"/>
  <c r="T6" i="4"/>
  <c r="T7" i="4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5" i="4"/>
  <c r="Q4" i="4"/>
  <c r="O4" i="4"/>
  <c r="C14" i="4"/>
  <c r="C16" i="4"/>
  <c r="R4" i="4" s="1"/>
  <c r="K43" i="4"/>
  <c r="I43" i="4"/>
  <c r="K23" i="4"/>
  <c r="I23" i="4" s="1"/>
  <c r="C20" i="4" l="1"/>
  <c r="C23" i="4" s="1"/>
  <c r="C27" i="4"/>
  <c r="R5" i="4"/>
  <c r="R6" i="4" s="1"/>
  <c r="R7" i="4"/>
  <c r="P4" i="4"/>
  <c r="S4" i="4" s="1"/>
  <c r="O5" i="4" s="1"/>
  <c r="H14" i="7"/>
  <c r="C17" i="5"/>
  <c r="Q5" i="4" l="1"/>
  <c r="P5" i="4" s="1"/>
  <c r="S5" i="4" s="1"/>
  <c r="O6" i="4" s="1"/>
  <c r="Q6" i="4" s="1"/>
  <c r="P6" i="4" s="1"/>
  <c r="S6" i="4" s="1"/>
  <c r="O7" i="4" s="1"/>
  <c r="Q7" i="4" s="1"/>
  <c r="P7" i="4" s="1"/>
  <c r="S7" i="4" s="1"/>
  <c r="O8" i="4" s="1"/>
  <c r="R66" i="4"/>
  <c r="C28" i="4"/>
  <c r="C29" i="4" s="1"/>
  <c r="C34" i="4" s="1"/>
  <c r="R8" i="4"/>
  <c r="F9" i="5"/>
  <c r="C16" i="5"/>
  <c r="C14" i="5"/>
  <c r="C8" i="5"/>
  <c r="K25" i="4"/>
  <c r="K4" i="4"/>
  <c r="C24" i="3"/>
  <c r="E23" i="3" s="1"/>
  <c r="C22" i="3"/>
  <c r="D16" i="2"/>
  <c r="D14" i="2"/>
  <c r="J4" i="4"/>
  <c r="C25" i="3" l="1"/>
  <c r="E24" i="3" s="1"/>
  <c r="E25" i="3" s="1"/>
  <c r="C29" i="3" s="1"/>
  <c r="R67" i="4"/>
  <c r="R68" i="4" s="1"/>
  <c r="Q8" i="4"/>
  <c r="P8" i="4" s="1"/>
  <c r="S8" i="4" s="1"/>
  <c r="O9" i="4" s="1"/>
  <c r="R9" i="4"/>
  <c r="Q18" i="10"/>
  <c r="Q17" i="10"/>
  <c r="Q24" i="10"/>
  <c r="Q23" i="10"/>
  <c r="Q19" i="10"/>
  <c r="Q22" i="10" s="1"/>
  <c r="E10" i="8"/>
  <c r="E14" i="8"/>
  <c r="K5" i="4"/>
  <c r="K6" i="4" s="1"/>
  <c r="K7" i="4" s="1"/>
  <c r="K8" i="4" s="1"/>
  <c r="K9" i="4" s="1"/>
  <c r="K10" i="4" s="1"/>
  <c r="K11" i="4" s="1"/>
  <c r="K12" i="4" s="1"/>
  <c r="K13" i="4" s="1"/>
  <c r="F5" i="2"/>
  <c r="R69" i="4" l="1"/>
  <c r="R70" i="4" s="1"/>
  <c r="Q9" i="4"/>
  <c r="P9" i="4"/>
  <c r="S9" i="4" s="1"/>
  <c r="O10" i="4" s="1"/>
  <c r="R10" i="4"/>
  <c r="Q21" i="10"/>
  <c r="Q25" i="10" s="1"/>
  <c r="K13" i="11"/>
  <c r="K14" i="11" s="1"/>
  <c r="K15" i="11" s="1"/>
  <c r="K16" i="11" s="1"/>
  <c r="K17" i="11" s="1"/>
  <c r="K18" i="11" s="1"/>
  <c r="K19" i="11" s="1"/>
  <c r="K20" i="11" s="1"/>
  <c r="S16" i="11"/>
  <c r="T15" i="11"/>
  <c r="T16" i="11" s="1"/>
  <c r="T12" i="11"/>
  <c r="T13" i="11" s="1"/>
  <c r="S12" i="11"/>
  <c r="S13" i="11" s="1"/>
  <c r="S7" i="11"/>
  <c r="S8" i="11" s="1"/>
  <c r="S9" i="11" s="1"/>
  <c r="T7" i="11" s="1"/>
  <c r="T8" i="11" s="1"/>
  <c r="T9" i="11" s="1"/>
  <c r="U7" i="11" s="1"/>
  <c r="U8" i="11" s="1"/>
  <c r="U9" i="11" s="1"/>
  <c r="V7" i="11" s="1"/>
  <c r="J16" i="11"/>
  <c r="L11" i="11"/>
  <c r="J10" i="11"/>
  <c r="C17" i="11"/>
  <c r="L4" i="11"/>
  <c r="C5" i="11"/>
  <c r="I4" i="11" s="1"/>
  <c r="K4" i="11" s="1"/>
  <c r="M30" i="10"/>
  <c r="M27" i="10"/>
  <c r="C28" i="10"/>
  <c r="C26" i="10"/>
  <c r="C29" i="10" s="1"/>
  <c r="M25" i="10" s="1"/>
  <c r="M18" i="10"/>
  <c r="M6" i="10"/>
  <c r="M14" i="10"/>
  <c r="M16" i="10"/>
  <c r="M10" i="10"/>
  <c r="C21" i="10"/>
  <c r="M19" i="10" s="1"/>
  <c r="C7" i="10"/>
  <c r="I26" i="9"/>
  <c r="I27" i="9" s="1"/>
  <c r="J24" i="9"/>
  <c r="K24" i="9" s="1"/>
  <c r="L24" i="9" s="1"/>
  <c r="M24" i="9" s="1"/>
  <c r="N24" i="9" s="1"/>
  <c r="O24" i="9" s="1"/>
  <c r="P24" i="9" s="1"/>
  <c r="O25" i="9" s="1"/>
  <c r="I11" i="9"/>
  <c r="I13" i="9" s="1"/>
  <c r="I4" i="9"/>
  <c r="I6" i="9" s="1"/>
  <c r="C14" i="8"/>
  <c r="E6" i="8"/>
  <c r="L19" i="7"/>
  <c r="J19" i="7"/>
  <c r="L17" i="7"/>
  <c r="J17" i="7"/>
  <c r="J20" i="7"/>
  <c r="J18" i="7"/>
  <c r="L18" i="7" s="1"/>
  <c r="H11" i="7"/>
  <c r="D12" i="6"/>
  <c r="E10" i="6"/>
  <c r="F10" i="6"/>
  <c r="G10" i="6"/>
  <c r="H10" i="6"/>
  <c r="D10" i="6"/>
  <c r="E6" i="6"/>
  <c r="F6" i="6"/>
  <c r="G6" i="6"/>
  <c r="H6" i="6"/>
  <c r="D6" i="6"/>
  <c r="H5" i="6"/>
  <c r="C13" i="5"/>
  <c r="C6" i="5"/>
  <c r="M26" i="4"/>
  <c r="K26" i="4"/>
  <c r="K27" i="4" s="1"/>
  <c r="K28" i="4" s="1"/>
  <c r="I25" i="4"/>
  <c r="L25" i="4" s="1"/>
  <c r="H26" i="4" s="1"/>
  <c r="J25" i="4"/>
  <c r="M17" i="4"/>
  <c r="M18" i="4"/>
  <c r="M19" i="4"/>
  <c r="M20" i="4" s="1"/>
  <c r="M21" i="4" s="1"/>
  <c r="M22" i="4" s="1"/>
  <c r="M16" i="4"/>
  <c r="M6" i="4"/>
  <c r="M7" i="4"/>
  <c r="M8" i="4"/>
  <c r="M9" i="4"/>
  <c r="M10" i="4" s="1"/>
  <c r="M11" i="4" s="1"/>
  <c r="M12" i="4" s="1"/>
  <c r="M13" i="4" s="1"/>
  <c r="M5" i="4"/>
  <c r="I4" i="4"/>
  <c r="L4" i="4" s="1"/>
  <c r="H5" i="4" s="1"/>
  <c r="H4" i="4"/>
  <c r="C7" i="4"/>
  <c r="C6" i="4"/>
  <c r="C16" i="11" l="1"/>
  <c r="C20" i="11"/>
  <c r="N11" i="11"/>
  <c r="T21" i="11"/>
  <c r="T22" i="11" s="1"/>
  <c r="T23" i="11" s="1"/>
  <c r="R71" i="4"/>
  <c r="Q10" i="4"/>
  <c r="P10" i="4"/>
  <c r="S10" i="4" s="1"/>
  <c r="O11" i="4" s="1"/>
  <c r="R11" i="4"/>
  <c r="S24" i="11"/>
  <c r="S21" i="11"/>
  <c r="S22" i="11" s="1"/>
  <c r="S23" i="11" s="1"/>
  <c r="V23" i="11" s="1"/>
  <c r="S26" i="11" s="1"/>
  <c r="J4" i="9"/>
  <c r="J6" i="9" s="1"/>
  <c r="I18" i="9"/>
  <c r="I20" i="9" s="1"/>
  <c r="C7" i="5"/>
  <c r="C9" i="5" s="1"/>
  <c r="C15" i="5" s="1"/>
  <c r="Q26" i="10"/>
  <c r="Q27" i="10" s="1"/>
  <c r="J26" i="4"/>
  <c r="J5" i="4"/>
  <c r="M4" i="11"/>
  <c r="C22" i="10"/>
  <c r="N26" i="9"/>
  <c r="N27" i="9" s="1"/>
  <c r="J26" i="9"/>
  <c r="J27" i="9" s="1"/>
  <c r="M26" i="9"/>
  <c r="M27" i="9" s="1"/>
  <c r="J11" i="9"/>
  <c r="J13" i="9" s="1"/>
  <c r="P26" i="9"/>
  <c r="L26" i="9"/>
  <c r="L27" i="9" s="1"/>
  <c r="O26" i="9"/>
  <c r="O27" i="9" s="1"/>
  <c r="K26" i="9"/>
  <c r="K27" i="9" s="1"/>
  <c r="K4" i="9"/>
  <c r="K29" i="4"/>
  <c r="C17" i="3"/>
  <c r="C19" i="3" s="1"/>
  <c r="C15" i="3"/>
  <c r="K5" i="2"/>
  <c r="M5" i="2"/>
  <c r="K6" i="2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M4" i="2"/>
  <c r="K4" i="2"/>
  <c r="K3" i="2"/>
  <c r="I3" i="2" s="1"/>
  <c r="L3" i="2" s="1"/>
  <c r="H4" i="2" s="1"/>
  <c r="J3" i="2"/>
  <c r="F3" i="2"/>
  <c r="F4" i="2" s="1"/>
  <c r="R72" i="4" l="1"/>
  <c r="Q11" i="4"/>
  <c r="P11" i="4" s="1"/>
  <c r="S11" i="4" s="1"/>
  <c r="O12" i="4" s="1"/>
  <c r="R12" i="4"/>
  <c r="O11" i="11"/>
  <c r="H29" i="9"/>
  <c r="J18" i="9"/>
  <c r="J20" i="9" s="1"/>
  <c r="F19" i="5"/>
  <c r="I26" i="4"/>
  <c r="L26" i="4" s="1"/>
  <c r="H27" i="4" s="1"/>
  <c r="J27" i="4" s="1"/>
  <c r="I27" i="4" s="1"/>
  <c r="L27" i="4" s="1"/>
  <c r="H28" i="4" s="1"/>
  <c r="J28" i="4" s="1"/>
  <c r="I28" i="4" s="1"/>
  <c r="I5" i="4"/>
  <c r="L5" i="4" s="1"/>
  <c r="H6" i="4" s="1"/>
  <c r="J6" i="4" s="1"/>
  <c r="I6" i="4" s="1"/>
  <c r="L6" i="4" s="1"/>
  <c r="H7" i="4" s="1"/>
  <c r="J7" i="4" s="1"/>
  <c r="I7" i="4" s="1"/>
  <c r="L7" i="4" s="1"/>
  <c r="H8" i="4" s="1"/>
  <c r="V8" i="11"/>
  <c r="V9" i="11" s="1"/>
  <c r="W7" i="11" s="1"/>
  <c r="W8" i="11" s="1"/>
  <c r="W9" i="11" s="1"/>
  <c r="T18" i="11" s="1"/>
  <c r="T19" i="11" s="1"/>
  <c r="T20" i="11" s="1"/>
  <c r="S25" i="11" s="1"/>
  <c r="J17" i="11"/>
  <c r="N4" i="11"/>
  <c r="I5" i="11" s="1"/>
  <c r="K5" i="11" s="1"/>
  <c r="M5" i="11" s="1"/>
  <c r="M11" i="10"/>
  <c r="M7" i="10"/>
  <c r="M21" i="10" s="1"/>
  <c r="M15" i="10"/>
  <c r="K11" i="9"/>
  <c r="K13" i="9" s="1"/>
  <c r="L4" i="9"/>
  <c r="K6" i="9"/>
  <c r="K30" i="4"/>
  <c r="C18" i="3"/>
  <c r="J4" i="2"/>
  <c r="I4" i="2" s="1"/>
  <c r="K18" i="9" l="1"/>
  <c r="R73" i="4"/>
  <c r="Q12" i="4"/>
  <c r="P12" i="4"/>
  <c r="S12" i="4" s="1"/>
  <c r="O13" i="4" s="1"/>
  <c r="R13" i="4"/>
  <c r="M11" i="11"/>
  <c r="P11" i="11" s="1"/>
  <c r="L12" i="11" s="1"/>
  <c r="O12" i="11"/>
  <c r="O13" i="11" s="1"/>
  <c r="L11" i="9"/>
  <c r="L13" i="9" s="1"/>
  <c r="L4" i="2"/>
  <c r="H5" i="2" s="1"/>
  <c r="J5" i="2" s="1"/>
  <c r="I5" i="2" s="1"/>
  <c r="L5" i="2" s="1"/>
  <c r="H6" i="2" s="1"/>
  <c r="L28" i="4"/>
  <c r="H29" i="4" s="1"/>
  <c r="J29" i="4" s="1"/>
  <c r="I29" i="4" s="1"/>
  <c r="L29" i="4" s="1"/>
  <c r="H30" i="4" s="1"/>
  <c r="N5" i="11"/>
  <c r="I6" i="11" s="1"/>
  <c r="K6" i="11" s="1"/>
  <c r="M6" i="11" s="1"/>
  <c r="N6" i="11" s="1"/>
  <c r="I7" i="11" s="1"/>
  <c r="K7" i="11" s="1"/>
  <c r="M7" i="11" s="1"/>
  <c r="N7" i="11" s="1"/>
  <c r="I8" i="11" s="1"/>
  <c r="K8" i="11" s="1"/>
  <c r="L18" i="9"/>
  <c r="K20" i="9"/>
  <c r="L6" i="9"/>
  <c r="M4" i="9"/>
  <c r="M11" i="9"/>
  <c r="M13" i="9" s="1"/>
  <c r="K31" i="4"/>
  <c r="J8" i="4"/>
  <c r="I8" i="4" s="1"/>
  <c r="L8" i="4" s="1"/>
  <c r="H9" i="4" s="1"/>
  <c r="O14" i="11" l="1"/>
  <c r="N12" i="11"/>
  <c r="J11" i="11" s="1"/>
  <c r="R74" i="4"/>
  <c r="Q13" i="4"/>
  <c r="P13" i="4"/>
  <c r="S13" i="4" s="1"/>
  <c r="O14" i="4" s="1"/>
  <c r="R14" i="4"/>
  <c r="M12" i="11"/>
  <c r="M8" i="11"/>
  <c r="N8" i="11" s="1"/>
  <c r="M18" i="9"/>
  <c r="L20" i="9"/>
  <c r="N4" i="9"/>
  <c r="M6" i="9"/>
  <c r="N11" i="9"/>
  <c r="N13" i="9" s="1"/>
  <c r="J30" i="4"/>
  <c r="I30" i="4" s="1"/>
  <c r="L30" i="4" s="1"/>
  <c r="H31" i="4" s="1"/>
  <c r="K32" i="4"/>
  <c r="J9" i="4"/>
  <c r="I9" i="4" s="1"/>
  <c r="L9" i="4" s="1"/>
  <c r="H10" i="4" s="1"/>
  <c r="J6" i="2"/>
  <c r="I6" i="2" s="1"/>
  <c r="L6" i="2" s="1"/>
  <c r="H7" i="2" s="1"/>
  <c r="O15" i="11" l="1"/>
  <c r="R75" i="4"/>
  <c r="Q14" i="4"/>
  <c r="P14" i="4"/>
  <c r="S14" i="4" s="1"/>
  <c r="O15" i="4" s="1"/>
  <c r="R15" i="4"/>
  <c r="P12" i="11"/>
  <c r="L13" i="11" s="1"/>
  <c r="N13" i="11" s="1"/>
  <c r="M13" i="11" s="1"/>
  <c r="P13" i="11" s="1"/>
  <c r="L14" i="11" s="1"/>
  <c r="N14" i="11" s="1"/>
  <c r="M14" i="11" s="1"/>
  <c r="P14" i="11" s="1"/>
  <c r="L15" i="11" s="1"/>
  <c r="N15" i="11" s="1"/>
  <c r="J12" i="11"/>
  <c r="N18" i="9"/>
  <c r="M20" i="9"/>
  <c r="O4" i="9"/>
  <c r="N6" i="9"/>
  <c r="O11" i="9"/>
  <c r="J31" i="4"/>
  <c r="I31" i="4" s="1"/>
  <c r="L31" i="4" s="1"/>
  <c r="H32" i="4" s="1"/>
  <c r="K33" i="4"/>
  <c r="J10" i="4"/>
  <c r="I10" i="4" s="1"/>
  <c r="L10" i="4" s="1"/>
  <c r="H11" i="4" s="1"/>
  <c r="J7" i="2"/>
  <c r="I7" i="2" s="1"/>
  <c r="L7" i="2" s="1"/>
  <c r="H8" i="2" s="1"/>
  <c r="O16" i="11" l="1"/>
  <c r="M15" i="11"/>
  <c r="P15" i="11" s="1"/>
  <c r="L16" i="11" s="1"/>
  <c r="R76" i="4"/>
  <c r="Q15" i="4"/>
  <c r="P15" i="4"/>
  <c r="S15" i="4" s="1"/>
  <c r="O16" i="4" s="1"/>
  <c r="R16" i="4"/>
  <c r="J15" i="11"/>
  <c r="J14" i="11"/>
  <c r="J18" i="11" s="1"/>
  <c r="J19" i="11" s="1"/>
  <c r="J20" i="11" s="1"/>
  <c r="O18" i="9"/>
  <c r="N20" i="9"/>
  <c r="P4" i="9"/>
  <c r="O5" i="9" s="1"/>
  <c r="O6" i="9" s="1"/>
  <c r="H8" i="9" s="1"/>
  <c r="H10" i="9" s="1"/>
  <c r="P11" i="9"/>
  <c r="J32" i="4"/>
  <c r="I32" i="4" s="1"/>
  <c r="L32" i="4" s="1"/>
  <c r="H33" i="4" s="1"/>
  <c r="K34" i="4"/>
  <c r="J11" i="4"/>
  <c r="I11" i="4" s="1"/>
  <c r="L11" i="4" s="1"/>
  <c r="H12" i="4" s="1"/>
  <c r="J8" i="2"/>
  <c r="I8" i="2" s="1"/>
  <c r="L8" i="2" s="1"/>
  <c r="H9" i="2" s="1"/>
  <c r="N16" i="11" l="1"/>
  <c r="O17" i="11"/>
  <c r="M16" i="11"/>
  <c r="P16" i="11" s="1"/>
  <c r="L17" i="11" s="1"/>
  <c r="N17" i="11" s="1"/>
  <c r="R77" i="4"/>
  <c r="Q16" i="4"/>
  <c r="P16" i="4"/>
  <c r="S16" i="4" s="1"/>
  <c r="O17" i="4" s="1"/>
  <c r="R17" i="4"/>
  <c r="P18" i="9"/>
  <c r="O19" i="9" s="1"/>
  <c r="O20" i="9" s="1"/>
  <c r="H17" i="9"/>
  <c r="H20" i="9" s="1"/>
  <c r="H13" i="9"/>
  <c r="H15" i="9" s="1"/>
  <c r="O12" i="9"/>
  <c r="O13" i="9" s="1"/>
  <c r="K35" i="4"/>
  <c r="J33" i="4"/>
  <c r="I33" i="4" s="1"/>
  <c r="L33" i="4"/>
  <c r="H34" i="4" s="1"/>
  <c r="J12" i="4"/>
  <c r="I12" i="4" s="1"/>
  <c r="L12" i="4" s="1"/>
  <c r="H13" i="4" s="1"/>
  <c r="J9" i="2"/>
  <c r="I9" i="2" s="1"/>
  <c r="L9" i="2" s="1"/>
  <c r="H10" i="2" s="1"/>
  <c r="H22" i="9" l="1"/>
  <c r="O18" i="11"/>
  <c r="M17" i="11"/>
  <c r="P17" i="11" s="1"/>
  <c r="L18" i="11" s="1"/>
  <c r="N18" i="11" s="1"/>
  <c r="R78" i="4"/>
  <c r="Q17" i="4"/>
  <c r="P17" i="4"/>
  <c r="S17" i="4" s="1"/>
  <c r="O18" i="4" s="1"/>
  <c r="R18" i="4"/>
  <c r="J34" i="4"/>
  <c r="I34" i="4" s="1"/>
  <c r="L34" i="4" s="1"/>
  <c r="H35" i="4" s="1"/>
  <c r="K36" i="4"/>
  <c r="J13" i="4"/>
  <c r="I13" i="4" s="1"/>
  <c r="L13" i="4"/>
  <c r="H15" i="4" s="1"/>
  <c r="K15" i="4" s="1"/>
  <c r="J10" i="2"/>
  <c r="I10" i="2" s="1"/>
  <c r="L10" i="2" s="1"/>
  <c r="H11" i="2" s="1"/>
  <c r="O19" i="11" l="1"/>
  <c r="M18" i="11"/>
  <c r="P18" i="11" s="1"/>
  <c r="L19" i="11" s="1"/>
  <c r="R79" i="4"/>
  <c r="Q18" i="4"/>
  <c r="P18" i="4" s="1"/>
  <c r="S18" i="4" s="1"/>
  <c r="O19" i="4" s="1"/>
  <c r="R19" i="4"/>
  <c r="J15" i="4"/>
  <c r="J35" i="4"/>
  <c r="I35" i="4" s="1"/>
  <c r="L35" i="4" s="1"/>
  <c r="H36" i="4" s="1"/>
  <c r="K37" i="4"/>
  <c r="J11" i="2"/>
  <c r="I11" i="2" s="1"/>
  <c r="L11" i="2" s="1"/>
  <c r="H12" i="2" s="1"/>
  <c r="N19" i="11" l="1"/>
  <c r="O20" i="11"/>
  <c r="M19" i="11"/>
  <c r="P19" i="11" s="1"/>
  <c r="L20" i="11" s="1"/>
  <c r="R80" i="4"/>
  <c r="Q19" i="4"/>
  <c r="P19" i="4"/>
  <c r="S19" i="4" s="1"/>
  <c r="O20" i="4" s="1"/>
  <c r="R20" i="4"/>
  <c r="I15" i="4"/>
  <c r="L15" i="4" s="1"/>
  <c r="H16" i="4" s="1"/>
  <c r="K16" i="4"/>
  <c r="J36" i="4"/>
  <c r="I36" i="4" s="1"/>
  <c r="L36" i="4" s="1"/>
  <c r="H37" i="4" s="1"/>
  <c r="K38" i="4"/>
  <c r="J12" i="2"/>
  <c r="I12" i="2" s="1"/>
  <c r="L12" i="2" s="1"/>
  <c r="H13" i="2" s="1"/>
  <c r="N20" i="11" l="1"/>
  <c r="M20" i="11"/>
  <c r="P20" i="11" s="1"/>
  <c r="S27" i="11" s="1"/>
  <c r="S28" i="11" s="1"/>
  <c r="R81" i="4"/>
  <c r="Q20" i="4"/>
  <c r="P20" i="4"/>
  <c r="S20" i="4" s="1"/>
  <c r="O21" i="4" s="1"/>
  <c r="R21" i="4"/>
  <c r="K17" i="4"/>
  <c r="J16" i="4"/>
  <c r="I16" i="4" s="1"/>
  <c r="L16" i="4" s="1"/>
  <c r="H17" i="4" s="1"/>
  <c r="J17" i="4" s="1"/>
  <c r="K39" i="4"/>
  <c r="J37" i="4"/>
  <c r="I37" i="4" s="1"/>
  <c r="L37" i="4" s="1"/>
  <c r="H38" i="4" s="1"/>
  <c r="J13" i="2"/>
  <c r="I13" i="2" s="1"/>
  <c r="L13" i="2" s="1"/>
  <c r="H14" i="2" s="1"/>
  <c r="R82" i="4" l="1"/>
  <c r="Q21" i="4"/>
  <c r="P21" i="4"/>
  <c r="S21" i="4" s="1"/>
  <c r="O22" i="4" s="1"/>
  <c r="R22" i="4"/>
  <c r="K18" i="4"/>
  <c r="I17" i="4"/>
  <c r="L17" i="4" s="1"/>
  <c r="H18" i="4" s="1"/>
  <c r="J18" i="4" s="1"/>
  <c r="J38" i="4"/>
  <c r="I38" i="4" s="1"/>
  <c r="L38" i="4" s="1"/>
  <c r="H39" i="4" s="1"/>
  <c r="K40" i="4"/>
  <c r="J14" i="2"/>
  <c r="I14" i="2" s="1"/>
  <c r="L14" i="2" s="1"/>
  <c r="H15" i="2" s="1"/>
  <c r="R83" i="4" l="1"/>
  <c r="Q22" i="4"/>
  <c r="P22" i="4"/>
  <c r="S22" i="4" s="1"/>
  <c r="O23" i="4" s="1"/>
  <c r="R23" i="4"/>
  <c r="K19" i="4"/>
  <c r="K20" i="4" s="1"/>
  <c r="K21" i="4" s="1"/>
  <c r="I18" i="4"/>
  <c r="L18" i="4" s="1"/>
  <c r="H19" i="4" s="1"/>
  <c r="J19" i="4" s="1"/>
  <c r="I19" i="4" s="1"/>
  <c r="L19" i="4" s="1"/>
  <c r="H20" i="4" s="1"/>
  <c r="J20" i="4" s="1"/>
  <c r="I20" i="4" s="1"/>
  <c r="L20" i="4" s="1"/>
  <c r="H21" i="4" s="1"/>
  <c r="J21" i="4" s="1"/>
  <c r="J39" i="4"/>
  <c r="I39" i="4" s="1"/>
  <c r="L39" i="4" s="1"/>
  <c r="H40" i="4" s="1"/>
  <c r="K41" i="4"/>
  <c r="J15" i="2"/>
  <c r="I15" i="2" s="1"/>
  <c r="L15" i="2" s="1"/>
  <c r="H16" i="2" s="1"/>
  <c r="R84" i="4" l="1"/>
  <c r="Q23" i="4"/>
  <c r="P23" i="4" s="1"/>
  <c r="S23" i="4" s="1"/>
  <c r="O24" i="4" s="1"/>
  <c r="R24" i="4"/>
  <c r="K22" i="4"/>
  <c r="I21" i="4"/>
  <c r="L21" i="4" s="1"/>
  <c r="H22" i="4" s="1"/>
  <c r="J40" i="4"/>
  <c r="I40" i="4" s="1"/>
  <c r="L40" i="4"/>
  <c r="H41" i="4" s="1"/>
  <c r="K42" i="4"/>
  <c r="J16" i="2"/>
  <c r="I16" i="2" s="1"/>
  <c r="L16" i="2" s="1"/>
  <c r="H17" i="2" s="1"/>
  <c r="R85" i="4" l="1"/>
  <c r="Q24" i="4"/>
  <c r="P24" i="4"/>
  <c r="S24" i="4" s="1"/>
  <c r="O25" i="4" s="1"/>
  <c r="R25" i="4"/>
  <c r="J22" i="4"/>
  <c r="J41" i="4"/>
  <c r="I41" i="4" s="1"/>
  <c r="L41" i="4"/>
  <c r="H42" i="4" s="1"/>
  <c r="J17" i="2"/>
  <c r="I17" i="2" s="1"/>
  <c r="L17" i="2" s="1"/>
  <c r="H18" i="2" s="1"/>
  <c r="R86" i="4" l="1"/>
  <c r="Q25" i="4"/>
  <c r="P25" i="4"/>
  <c r="S25" i="4" s="1"/>
  <c r="O26" i="4" s="1"/>
  <c r="R26" i="4"/>
  <c r="I22" i="4"/>
  <c r="L22" i="4" s="1"/>
  <c r="J23" i="4"/>
  <c r="J42" i="4"/>
  <c r="J18" i="2"/>
  <c r="I18" i="2" s="1"/>
  <c r="L18" i="2" s="1"/>
  <c r="H19" i="2" s="1"/>
  <c r="R87" i="4" l="1"/>
  <c r="Q26" i="4"/>
  <c r="P26" i="4"/>
  <c r="S26" i="4" s="1"/>
  <c r="O27" i="4" s="1"/>
  <c r="R27" i="4"/>
  <c r="I42" i="4"/>
  <c r="L42" i="4" s="1"/>
  <c r="J43" i="4"/>
  <c r="J19" i="2"/>
  <c r="I19" i="2" s="1"/>
  <c r="L19" i="2" s="1"/>
  <c r="H20" i="2" s="1"/>
  <c r="R88" i="4" l="1"/>
  <c r="Q27" i="4"/>
  <c r="P27" i="4" s="1"/>
  <c r="S27" i="4" s="1"/>
  <c r="O28" i="4" s="1"/>
  <c r="R28" i="4"/>
  <c r="J20" i="2"/>
  <c r="I20" i="2" s="1"/>
  <c r="L20" i="2" s="1"/>
  <c r="H21" i="2" s="1"/>
  <c r="R89" i="4" l="1"/>
  <c r="Q28" i="4"/>
  <c r="P28" i="4"/>
  <c r="S28" i="4" s="1"/>
  <c r="O29" i="4" s="1"/>
  <c r="R29" i="4"/>
  <c r="J21" i="2"/>
  <c r="I21" i="2" s="1"/>
  <c r="L21" i="2" s="1"/>
  <c r="H22" i="2" s="1"/>
  <c r="R90" i="4" l="1"/>
  <c r="Q29" i="4"/>
  <c r="P29" i="4"/>
  <c r="S29" i="4" s="1"/>
  <c r="O30" i="4" s="1"/>
  <c r="R30" i="4"/>
  <c r="J22" i="2"/>
  <c r="I22" i="2" s="1"/>
  <c r="L22" i="2" s="1"/>
  <c r="H23" i="2" s="1"/>
  <c r="R91" i="4" l="1"/>
  <c r="Q30" i="4"/>
  <c r="P30" i="4"/>
  <c r="S30" i="4" s="1"/>
  <c r="O31" i="4" s="1"/>
  <c r="R31" i="4"/>
  <c r="J23" i="2"/>
  <c r="I23" i="2" s="1"/>
  <c r="L23" i="2" s="1"/>
  <c r="H24" i="2" s="1"/>
  <c r="R92" i="4" l="1"/>
  <c r="Q31" i="4"/>
  <c r="P31" i="4" s="1"/>
  <c r="S31" i="4" s="1"/>
  <c r="O32" i="4" s="1"/>
  <c r="R32" i="4"/>
  <c r="J24" i="2"/>
  <c r="I24" i="2" s="1"/>
  <c r="L24" i="2" s="1"/>
  <c r="H25" i="2" s="1"/>
  <c r="R93" i="4" l="1"/>
  <c r="Q32" i="4"/>
  <c r="P32" i="4"/>
  <c r="S32" i="4" s="1"/>
  <c r="O33" i="4" s="1"/>
  <c r="R33" i="4"/>
  <c r="J25" i="2"/>
  <c r="I25" i="2" s="1"/>
  <c r="L25" i="2" s="1"/>
  <c r="H26" i="2" s="1"/>
  <c r="R94" i="4" l="1"/>
  <c r="Q33" i="4"/>
  <c r="P33" i="4"/>
  <c r="S33" i="4" s="1"/>
  <c r="O34" i="4" s="1"/>
  <c r="R34" i="4"/>
  <c r="J26" i="2"/>
  <c r="I26" i="2" s="1"/>
  <c r="L26" i="2" s="1"/>
  <c r="R95" i="4" l="1"/>
  <c r="Q34" i="4"/>
  <c r="P34" i="4"/>
  <c r="S34" i="4" s="1"/>
  <c r="O35" i="4" s="1"/>
  <c r="R35" i="4"/>
  <c r="R96" i="4" l="1"/>
  <c r="Q35" i="4"/>
  <c r="P35" i="4" s="1"/>
  <c r="S35" i="4" s="1"/>
  <c r="O36" i="4" s="1"/>
  <c r="R36" i="4"/>
  <c r="R97" i="4" l="1"/>
  <c r="Q36" i="4"/>
  <c r="P36" i="4"/>
  <c r="S36" i="4" s="1"/>
  <c r="O37" i="4" s="1"/>
  <c r="R37" i="4"/>
  <c r="R98" i="4" l="1"/>
  <c r="Q37" i="4"/>
  <c r="P37" i="4"/>
  <c r="S37" i="4" s="1"/>
  <c r="O38" i="4" s="1"/>
  <c r="R38" i="4"/>
  <c r="R99" i="4" l="1"/>
  <c r="Q38" i="4"/>
  <c r="P38" i="4"/>
  <c r="S38" i="4" s="1"/>
  <c r="O39" i="4" s="1"/>
  <c r="R39" i="4"/>
  <c r="R100" i="4" l="1"/>
  <c r="R101" i="4" s="1"/>
  <c r="Q39" i="4"/>
  <c r="P39" i="4" s="1"/>
  <c r="S39" i="4" s="1"/>
  <c r="O40" i="4" s="1"/>
  <c r="R40" i="4"/>
  <c r="R102" i="4" l="1"/>
  <c r="Q40" i="4"/>
  <c r="P40" i="4"/>
  <c r="S40" i="4" s="1"/>
  <c r="O41" i="4" s="1"/>
  <c r="R41" i="4"/>
  <c r="R103" i="4" l="1"/>
  <c r="Q41" i="4"/>
  <c r="P41" i="4"/>
  <c r="S41" i="4" s="1"/>
  <c r="O42" i="4" s="1"/>
  <c r="R42" i="4"/>
  <c r="R104" i="4" l="1"/>
  <c r="Q42" i="4"/>
  <c r="P42" i="4"/>
  <c r="S42" i="4" s="1"/>
  <c r="O43" i="4" s="1"/>
  <c r="R43" i="4"/>
  <c r="R105" i="4" l="1"/>
  <c r="Q43" i="4"/>
  <c r="P43" i="4" s="1"/>
  <c r="S43" i="4" s="1"/>
  <c r="O44" i="4" s="1"/>
  <c r="R44" i="4"/>
  <c r="R106" i="4" l="1"/>
  <c r="Q44" i="4"/>
  <c r="P44" i="4"/>
  <c r="S44" i="4" s="1"/>
  <c r="O45" i="4" s="1"/>
  <c r="R45" i="4"/>
  <c r="R107" i="4" l="1"/>
  <c r="Q45" i="4"/>
  <c r="P45" i="4"/>
  <c r="S45" i="4" s="1"/>
  <c r="O46" i="4" s="1"/>
  <c r="R46" i="4"/>
  <c r="R108" i="4" l="1"/>
  <c r="Q46" i="4"/>
  <c r="P46" i="4"/>
  <c r="S46" i="4" s="1"/>
  <c r="O47" i="4" s="1"/>
  <c r="R47" i="4"/>
  <c r="R109" i="4" l="1"/>
  <c r="Q47" i="4"/>
  <c r="P47" i="4" s="1"/>
  <c r="S47" i="4" s="1"/>
  <c r="O48" i="4" s="1"/>
  <c r="R48" i="4"/>
  <c r="R110" i="4" l="1"/>
  <c r="Q48" i="4"/>
  <c r="P48" i="4"/>
  <c r="S48" i="4" s="1"/>
  <c r="O49" i="4" s="1"/>
  <c r="R49" i="4"/>
  <c r="R111" i="4" l="1"/>
  <c r="Q49" i="4"/>
  <c r="P49" i="4" s="1"/>
  <c r="S49" i="4" s="1"/>
  <c r="O50" i="4" s="1"/>
  <c r="R50" i="4"/>
  <c r="R112" i="4" l="1"/>
  <c r="Q50" i="4"/>
  <c r="P50" i="4"/>
  <c r="S50" i="4" s="1"/>
  <c r="O51" i="4" s="1"/>
  <c r="R51" i="4"/>
  <c r="R113" i="4" l="1"/>
  <c r="Q51" i="4"/>
  <c r="P51" i="4" s="1"/>
  <c r="S51" i="4" s="1"/>
  <c r="O52" i="4" s="1"/>
  <c r="R52" i="4"/>
  <c r="Q52" i="4" l="1"/>
  <c r="P52" i="4"/>
  <c r="S52" i="4" s="1"/>
  <c r="O53" i="4" s="1"/>
  <c r="R53" i="4"/>
  <c r="Q53" i="4" l="1"/>
  <c r="P53" i="4" s="1"/>
  <c r="S53" i="4" s="1"/>
  <c r="O54" i="4" s="1"/>
  <c r="R54" i="4"/>
  <c r="Q54" i="4" l="1"/>
  <c r="R55" i="4"/>
  <c r="P54" i="4"/>
  <c r="S54" i="4" s="1"/>
  <c r="O55" i="4" s="1"/>
  <c r="Q55" i="4" l="1"/>
  <c r="P55" i="4" s="1"/>
  <c r="S55" i="4" s="1"/>
  <c r="O56" i="4" s="1"/>
  <c r="R56" i="4"/>
  <c r="Q56" i="4" l="1"/>
  <c r="R57" i="4"/>
  <c r="P56" i="4"/>
  <c r="S56" i="4" s="1"/>
  <c r="O57" i="4" s="1"/>
  <c r="Q57" i="4" l="1"/>
  <c r="R58" i="4"/>
  <c r="P57" i="4"/>
  <c r="S57" i="4" s="1"/>
  <c r="O58" i="4" s="1"/>
  <c r="Q58" i="4" l="1"/>
  <c r="P58" i="4"/>
  <c r="S58" i="4" s="1"/>
  <c r="O59" i="4" s="1"/>
  <c r="R59" i="4"/>
  <c r="Q59" i="4" l="1"/>
  <c r="P59" i="4"/>
  <c r="S59" i="4" s="1"/>
  <c r="O60" i="4" s="1"/>
  <c r="R60" i="4"/>
  <c r="Q60" i="4" l="1"/>
  <c r="P60" i="4" s="1"/>
  <c r="S60" i="4" s="1"/>
  <c r="O61" i="4" s="1"/>
  <c r="R61" i="4"/>
  <c r="Q61" i="4" l="1"/>
  <c r="R62" i="4"/>
  <c r="P61" i="4"/>
  <c r="S61" i="4" s="1"/>
  <c r="O62" i="4" s="1"/>
  <c r="Q62" i="4" l="1"/>
  <c r="P62" i="4" s="1"/>
  <c r="S62" i="4" s="1"/>
  <c r="O63" i="4" s="1"/>
  <c r="R63" i="4"/>
  <c r="R64" i="4" s="1"/>
  <c r="Q63" i="4" l="1"/>
  <c r="P63" i="4"/>
  <c r="S63" i="4" s="1"/>
  <c r="O66" i="4" s="1"/>
  <c r="Q66" i="4" s="1"/>
  <c r="P66" i="4" s="1"/>
  <c r="S66" i="4" s="1"/>
  <c r="O67" i="4" s="1"/>
  <c r="Q67" i="4" s="1"/>
  <c r="P67" i="4" s="1"/>
  <c r="S67" i="4" s="1"/>
  <c r="O68" i="4" s="1"/>
  <c r="Q68" i="4" s="1"/>
  <c r="P68" i="4" s="1"/>
  <c r="S68" i="4" s="1"/>
  <c r="O69" i="4" s="1"/>
  <c r="Q69" i="4" s="1"/>
  <c r="P69" i="4" s="1"/>
  <c r="S69" i="4" s="1"/>
  <c r="O70" i="4" s="1"/>
  <c r="Q70" i="4" s="1"/>
  <c r="P70" i="4" s="1"/>
  <c r="S70" i="4" s="1"/>
  <c r="O71" i="4" s="1"/>
  <c r="Q71" i="4" s="1"/>
  <c r="P71" i="4" s="1"/>
  <c r="S71" i="4" s="1"/>
  <c r="O72" i="4" s="1"/>
  <c r="Q72" i="4" s="1"/>
  <c r="P72" i="4" s="1"/>
  <c r="S72" i="4" s="1"/>
  <c r="O73" i="4" s="1"/>
  <c r="Q73" i="4" s="1"/>
  <c r="P73" i="4" s="1"/>
  <c r="S73" i="4" s="1"/>
  <c r="O74" i="4" s="1"/>
  <c r="Q74" i="4" s="1"/>
  <c r="P74" i="4" s="1"/>
  <c r="S74" i="4" s="1"/>
  <c r="O75" i="4" s="1"/>
  <c r="Q75" i="4" s="1"/>
  <c r="P75" i="4" s="1"/>
  <c r="S75" i="4" s="1"/>
  <c r="O76" i="4" s="1"/>
  <c r="Q76" i="4" s="1"/>
  <c r="P76" i="4" s="1"/>
  <c r="S76" i="4" s="1"/>
  <c r="O77" i="4" s="1"/>
  <c r="Q77" i="4" s="1"/>
  <c r="P77" i="4" s="1"/>
  <c r="S77" i="4" s="1"/>
  <c r="O78" i="4" s="1"/>
  <c r="Q78" i="4" s="1"/>
  <c r="P78" i="4" s="1"/>
  <c r="S78" i="4" s="1"/>
  <c r="O79" i="4" s="1"/>
  <c r="Q79" i="4" s="1"/>
  <c r="P79" i="4" s="1"/>
  <c r="S79" i="4" s="1"/>
  <c r="O80" i="4" s="1"/>
  <c r="Q80" i="4" s="1"/>
  <c r="P80" i="4" s="1"/>
  <c r="S80" i="4" s="1"/>
  <c r="O81" i="4" s="1"/>
  <c r="Q81" i="4" s="1"/>
  <c r="P81" i="4" s="1"/>
  <c r="S81" i="4" s="1"/>
  <c r="O82" i="4" s="1"/>
  <c r="Q82" i="4" s="1"/>
  <c r="P82" i="4" s="1"/>
  <c r="S82" i="4" s="1"/>
  <c r="O83" i="4" s="1"/>
  <c r="Q83" i="4" s="1"/>
  <c r="P83" i="4" s="1"/>
  <c r="S83" i="4" s="1"/>
  <c r="O84" i="4" s="1"/>
  <c r="Q84" i="4" s="1"/>
  <c r="P84" i="4" s="1"/>
  <c r="S84" i="4" s="1"/>
  <c r="O85" i="4" s="1"/>
  <c r="Q85" i="4" s="1"/>
  <c r="P85" i="4" s="1"/>
  <c r="S85" i="4" s="1"/>
  <c r="O86" i="4" s="1"/>
  <c r="Q86" i="4" s="1"/>
  <c r="P86" i="4" s="1"/>
  <c r="S86" i="4" s="1"/>
  <c r="O87" i="4" s="1"/>
  <c r="Q87" i="4" s="1"/>
  <c r="P87" i="4" s="1"/>
  <c r="S87" i="4" s="1"/>
  <c r="O88" i="4" s="1"/>
  <c r="Q88" i="4" s="1"/>
  <c r="P88" i="4" s="1"/>
  <c r="S88" i="4" s="1"/>
  <c r="O89" i="4" s="1"/>
  <c r="Q89" i="4" s="1"/>
  <c r="P89" i="4" s="1"/>
  <c r="S89" i="4" s="1"/>
  <c r="O90" i="4" s="1"/>
  <c r="Q90" i="4" s="1"/>
  <c r="P90" i="4" s="1"/>
  <c r="S90" i="4" s="1"/>
  <c r="O91" i="4" s="1"/>
  <c r="Q91" i="4" s="1"/>
  <c r="P91" i="4" s="1"/>
  <c r="S91" i="4" s="1"/>
  <c r="O92" i="4" s="1"/>
  <c r="Q92" i="4" s="1"/>
  <c r="P92" i="4" s="1"/>
  <c r="S92" i="4" s="1"/>
  <c r="O93" i="4" s="1"/>
  <c r="Q93" i="4" s="1"/>
  <c r="P93" i="4" s="1"/>
  <c r="S93" i="4" s="1"/>
  <c r="O94" i="4" s="1"/>
  <c r="Q94" i="4" s="1"/>
  <c r="P94" i="4" s="1"/>
  <c r="S94" i="4" s="1"/>
  <c r="O95" i="4" s="1"/>
  <c r="Q95" i="4" s="1"/>
  <c r="P95" i="4" s="1"/>
  <c r="S95" i="4" s="1"/>
  <c r="O96" i="4" s="1"/>
  <c r="Q96" i="4" s="1"/>
  <c r="P96" i="4" s="1"/>
  <c r="S96" i="4" s="1"/>
  <c r="O97" i="4" s="1"/>
  <c r="Q97" i="4" s="1"/>
  <c r="P97" i="4" s="1"/>
  <c r="S97" i="4" s="1"/>
  <c r="O98" i="4" s="1"/>
  <c r="Q98" i="4" s="1"/>
  <c r="P98" i="4" s="1"/>
  <c r="S98" i="4" s="1"/>
  <c r="O99" i="4" s="1"/>
  <c r="Q99" i="4" s="1"/>
  <c r="P99" i="4" s="1"/>
  <c r="S99" i="4" s="1"/>
  <c r="O100" i="4" s="1"/>
  <c r="Q100" i="4" s="1"/>
  <c r="P100" i="4" s="1"/>
  <c r="S100" i="4" s="1"/>
  <c r="O101" i="4" s="1"/>
  <c r="Q101" i="4" s="1"/>
  <c r="P101" i="4" s="1"/>
  <c r="S101" i="4" s="1"/>
  <c r="O102" i="4" s="1"/>
  <c r="Q102" i="4" s="1"/>
  <c r="P102" i="4" s="1"/>
  <c r="S102" i="4" s="1"/>
  <c r="O103" i="4" s="1"/>
  <c r="Q103" i="4" s="1"/>
  <c r="P103" i="4" s="1"/>
  <c r="S103" i="4" s="1"/>
  <c r="O104" i="4" s="1"/>
  <c r="Q104" i="4" s="1"/>
  <c r="P104" i="4" s="1"/>
  <c r="S104" i="4" s="1"/>
  <c r="O105" i="4" s="1"/>
  <c r="Q105" i="4" s="1"/>
  <c r="P105" i="4" s="1"/>
  <c r="S105" i="4" s="1"/>
  <c r="O106" i="4" s="1"/>
  <c r="Q106" i="4" s="1"/>
  <c r="P106" i="4" s="1"/>
  <c r="S106" i="4" s="1"/>
  <c r="O107" i="4" s="1"/>
  <c r="Q107" i="4" s="1"/>
  <c r="P107" i="4" s="1"/>
  <c r="S107" i="4" s="1"/>
  <c r="O108" i="4" s="1"/>
  <c r="Q108" i="4" s="1"/>
  <c r="P108" i="4" s="1"/>
  <c r="S108" i="4" s="1"/>
  <c r="O109" i="4" s="1"/>
  <c r="Q109" i="4" s="1"/>
  <c r="P109" i="4" s="1"/>
  <c r="S109" i="4" s="1"/>
  <c r="O110" i="4" s="1"/>
  <c r="Q110" i="4" s="1"/>
  <c r="P110" i="4" s="1"/>
  <c r="S110" i="4" s="1"/>
  <c r="O111" i="4" s="1"/>
  <c r="Q111" i="4" s="1"/>
  <c r="P111" i="4" s="1"/>
  <c r="S111" i="4" s="1"/>
  <c r="O112" i="4" s="1"/>
  <c r="Q112" i="4" s="1"/>
  <c r="P112" i="4" s="1"/>
  <c r="S112" i="4" s="1"/>
  <c r="O113" i="4" s="1"/>
  <c r="Q113" i="4" s="1"/>
  <c r="P113" i="4" s="1"/>
  <c r="S113" i="4" s="1"/>
</calcChain>
</file>

<file path=xl/sharedStrings.xml><?xml version="1.0" encoding="utf-8"?>
<sst xmlns="http://schemas.openxmlformats.org/spreadsheetml/2006/main" count="307" uniqueCount="199">
  <si>
    <t>IRR</t>
  </si>
  <si>
    <t>EAR</t>
  </si>
  <si>
    <t>PV</t>
  </si>
  <si>
    <t>Principal</t>
  </si>
  <si>
    <t>Interest</t>
  </si>
  <si>
    <t>Payment</t>
  </si>
  <si>
    <t>Outstanding Balance</t>
  </si>
  <si>
    <t>Today</t>
  </si>
  <si>
    <t>sqft</t>
  </si>
  <si>
    <t>cap rate</t>
  </si>
  <si>
    <t>newly negotiated mortgage</t>
  </si>
  <si>
    <t>compounds monthly</t>
  </si>
  <si>
    <t>Given</t>
  </si>
  <si>
    <t>APR</t>
  </si>
  <si>
    <t>EPR</t>
  </si>
  <si>
    <t>N</t>
  </si>
  <si>
    <t>Calculated</t>
  </si>
  <si>
    <t>Principal Payment</t>
  </si>
  <si>
    <t>a)</t>
  </si>
  <si>
    <t>Month</t>
  </si>
  <si>
    <t>we need to find the difference between the two mortgages</t>
  </si>
  <si>
    <t>Loan A</t>
  </si>
  <si>
    <t>APR, compounded monthly</t>
  </si>
  <si>
    <t>EAR after compounding</t>
  </si>
  <si>
    <t>Loan B</t>
  </si>
  <si>
    <t>Years</t>
  </si>
  <si>
    <t>PMT</t>
  </si>
  <si>
    <t>APR compounded monthly</t>
  </si>
  <si>
    <t>Answer</t>
  </si>
  <si>
    <t>APR compounded semiannually</t>
  </si>
  <si>
    <t>5 year term</t>
  </si>
  <si>
    <t xml:space="preserve">a) </t>
  </si>
  <si>
    <t>Interest Payment</t>
  </si>
  <si>
    <t>7 Years Ago</t>
  </si>
  <si>
    <t>APR semiannual</t>
  </si>
  <si>
    <t xml:space="preserve">APR/EAR? </t>
  </si>
  <si>
    <t>Year</t>
  </si>
  <si>
    <t>NOI</t>
  </si>
  <si>
    <t>Proceeds from sale</t>
  </si>
  <si>
    <t>Total CFs per year</t>
  </si>
  <si>
    <t>PV of CFs</t>
  </si>
  <si>
    <t>discount rate</t>
  </si>
  <si>
    <t>sum of PVs</t>
  </si>
  <si>
    <t>replacement cost</t>
  </si>
  <si>
    <t>per sqft</t>
  </si>
  <si>
    <t>Class A buildings</t>
  </si>
  <si>
    <t>Vacancy</t>
  </si>
  <si>
    <t>Central Business District</t>
  </si>
  <si>
    <t>Market</t>
  </si>
  <si>
    <t>Total SQFT</t>
  </si>
  <si>
    <t>WCC</t>
  </si>
  <si>
    <t>Building amongst market (CBD)</t>
  </si>
  <si>
    <t>net absorption</t>
  </si>
  <si>
    <t>sqft per year</t>
  </si>
  <si>
    <t>b)</t>
  </si>
  <si>
    <t>= vacancy / actual sqft</t>
  </si>
  <si>
    <t>Vacancy Equilibrium</t>
  </si>
  <si>
    <t>=replacement cost * prevailing cap rate</t>
  </si>
  <si>
    <t>c)</t>
  </si>
  <si>
    <t xml:space="preserve">Vacancy = </t>
  </si>
  <si>
    <t xml:space="preserve">absorption per year = </t>
  </si>
  <si>
    <t>after 24 months (2 years)</t>
  </si>
  <si>
    <t>= original vacancy - (absorption per year * N)</t>
  </si>
  <si>
    <t xml:space="preserve">Total SQft = </t>
  </si>
  <si>
    <t>(assumption that this doesn’t change, based on the Q)</t>
  </si>
  <si>
    <t xml:space="preserve">Vacancy Rate = </t>
  </si>
  <si>
    <t xml:space="preserve">d) </t>
  </si>
  <si>
    <t xml:space="preserve">IDK LOL </t>
  </si>
  <si>
    <t>Subject Building</t>
  </si>
  <si>
    <t>Comp</t>
  </si>
  <si>
    <t>selling price</t>
  </si>
  <si>
    <t>$ per sqft</t>
  </si>
  <si>
    <t>INFERIOR QUALITY</t>
  </si>
  <si>
    <t>(-)</t>
  </si>
  <si>
    <t>Adjusted value per sqft after -8%</t>
  </si>
  <si>
    <t>superior quality</t>
  </si>
  <si>
    <t>Adjusted value of adjusted value after +5%</t>
  </si>
  <si>
    <t>Market EV</t>
  </si>
  <si>
    <t>Retirement Home</t>
  </si>
  <si>
    <t>units</t>
  </si>
  <si>
    <t>forecasted NOI in Y1</t>
  </si>
  <si>
    <t>g(NOI)</t>
  </si>
  <si>
    <t>CapRate @ Y8</t>
  </si>
  <si>
    <t>Discount Rate</t>
  </si>
  <si>
    <t>PV of Property</t>
  </si>
  <si>
    <t>sum of CFs</t>
  </si>
  <si>
    <t>d)</t>
  </si>
  <si>
    <t>NPV @ 10%</t>
  </si>
  <si>
    <t>Value @ year 7 end w/ 7.75% cap rate</t>
  </si>
  <si>
    <t>Value @ year 7 end w/ 8.5% cap rate</t>
  </si>
  <si>
    <t>e)</t>
  </si>
  <si>
    <t>Tenant A</t>
  </si>
  <si>
    <t>per sqft per year</t>
  </si>
  <si>
    <t>ends in september, vacant for 3 months</t>
  </si>
  <si>
    <t>foregone rent for the 3 months</t>
  </si>
  <si>
    <t>Tenant B</t>
  </si>
  <si>
    <t>Current Vacancy</t>
  </si>
  <si>
    <t>will be leased in april 1</t>
  </si>
  <si>
    <t>leasing costs</t>
  </si>
  <si>
    <t>New Tenant</t>
  </si>
  <si>
    <t>CF from Operations</t>
  </si>
  <si>
    <t>Revenues</t>
  </si>
  <si>
    <t>Operating Expenses Reimbursement</t>
  </si>
  <si>
    <t>Total sqft</t>
  </si>
  <si>
    <t>expense per sqft</t>
  </si>
  <si>
    <t>Operational Expense</t>
  </si>
  <si>
    <t>Leasing Costs</t>
  </si>
  <si>
    <t>Operational Expenses</t>
  </si>
  <si>
    <t>CapEx</t>
  </si>
  <si>
    <t>Non-Refundable Capital Expenditures Reserve</t>
  </si>
  <si>
    <t>Total CF from Operations</t>
  </si>
  <si>
    <t>CF from Financing</t>
  </si>
  <si>
    <t>Mortgage Payment</t>
  </si>
  <si>
    <t>Total CF from Financing</t>
  </si>
  <si>
    <t>Net CF</t>
  </si>
  <si>
    <t xml:space="preserve">which one is it? </t>
  </si>
  <si>
    <t>Total Cost of Property</t>
  </si>
  <si>
    <t>Cost of Land</t>
  </si>
  <si>
    <t>Cost of Building, Subject to CCA</t>
  </si>
  <si>
    <t>Starting Balance</t>
  </si>
  <si>
    <t>CCA Rate</t>
  </si>
  <si>
    <t>CCA Applied</t>
  </si>
  <si>
    <t xml:space="preserve">Year </t>
  </si>
  <si>
    <t>Ending Balance</t>
  </si>
  <si>
    <t>Mortgage</t>
  </si>
  <si>
    <t>tax</t>
  </si>
  <si>
    <t>PMT per half year</t>
  </si>
  <si>
    <t>Less: Interest</t>
  </si>
  <si>
    <t>Total Payment</t>
  </si>
  <si>
    <t>Less: Principal</t>
  </si>
  <si>
    <t>Less: Cap Ex</t>
  </si>
  <si>
    <t>Equity Before Tax CF</t>
  </si>
  <si>
    <t>Add: Principal</t>
  </si>
  <si>
    <t>Add: Cap Ex</t>
  </si>
  <si>
    <t>Less: CCA</t>
  </si>
  <si>
    <t>Taxable Income</t>
  </si>
  <si>
    <t>Income Tax @ 44%</t>
  </si>
  <si>
    <t>Equity CF from Ops After Tax</t>
  </si>
  <si>
    <t>Purchase Price</t>
  </si>
  <si>
    <t>Land</t>
  </si>
  <si>
    <t>Cap Ex</t>
  </si>
  <si>
    <t>Depreciable Base</t>
  </si>
  <si>
    <t xml:space="preserve">   Less: CCA</t>
  </si>
  <si>
    <t>UCC</t>
  </si>
  <si>
    <t>Reversionary Taxes</t>
  </si>
  <si>
    <t>Building</t>
  </si>
  <si>
    <t>Net Sales Proceeds</t>
  </si>
  <si>
    <t>Sales Proceeds</t>
  </si>
  <si>
    <t>Acquisition Cost</t>
  </si>
  <si>
    <t>Cap Ex Additions</t>
  </si>
  <si>
    <t>Adjusted Cost Base</t>
  </si>
  <si>
    <t>Lower of two</t>
  </si>
  <si>
    <t>Land (1)</t>
  </si>
  <si>
    <t>Recaptured CCA</t>
  </si>
  <si>
    <t>Tax on Recapture @ 44%</t>
  </si>
  <si>
    <t>Capital Gains</t>
  </si>
  <si>
    <t>Commissions</t>
  </si>
  <si>
    <t>Taxable Gain (1/2)</t>
  </si>
  <si>
    <t>Capital Gains Tax @ 44%</t>
  </si>
  <si>
    <t>Net Sale Price</t>
  </si>
  <si>
    <t xml:space="preserve">   Less: Tax on Recapture</t>
  </si>
  <si>
    <t xml:space="preserve">   Less: Capital Gains Tax</t>
  </si>
  <si>
    <t xml:space="preserve">   Less: Mortgage Balance</t>
  </si>
  <si>
    <t>After-Tax Sales Proceeds</t>
  </si>
  <si>
    <t>monthly</t>
  </si>
  <si>
    <t>CPT PMT</t>
  </si>
  <si>
    <t>CPT PV</t>
  </si>
  <si>
    <t>Origination Fee</t>
  </si>
  <si>
    <t>or</t>
  </si>
  <si>
    <t>semiannual</t>
  </si>
  <si>
    <t>PMT per month</t>
  </si>
  <si>
    <t>% semiannual</t>
  </si>
  <si>
    <t>% monthly</t>
  </si>
  <si>
    <t>PV @ 6.5%</t>
  </si>
  <si>
    <t>PV @ 6%</t>
  </si>
  <si>
    <t>= (Market PV - Original PV) / Original PV</t>
  </si>
  <si>
    <t>I/Y</t>
  </si>
  <si>
    <t>= FV(a)@5 years (10 periods)</t>
  </si>
  <si>
    <t xml:space="preserve">c) </t>
  </si>
  <si>
    <t>Total Payments (a)</t>
  </si>
  <si>
    <t>=sum</t>
  </si>
  <si>
    <t>sum =</t>
  </si>
  <si>
    <t>= (1+(6% / 2))^(1/6)-1</t>
  </si>
  <si>
    <t>= (4 * 2)*6</t>
  </si>
  <si>
    <t>=(15 * 2)*6</t>
  </si>
  <si>
    <t>= (1+(5% / 2))^(1/6)-1</t>
  </si>
  <si>
    <t>= PMT(a) * 60</t>
  </si>
  <si>
    <t>= PMT(b) * 48</t>
  </si>
  <si>
    <t>= PMT * (9*12)</t>
  </si>
  <si>
    <t>Semi Annual Rate</t>
  </si>
  <si>
    <t>Period</t>
  </si>
  <si>
    <t>PV of Property (sum)</t>
  </si>
  <si>
    <t>PV of CFs ( CF / (1.1^N) )</t>
  </si>
  <si>
    <t>Initial Investment (b)</t>
  </si>
  <si>
    <t>NOI ( g = 3.5% )</t>
  </si>
  <si>
    <t>CPT PMT(((1+(5.5%/2)^(1/6)) - 1 , 9*12, 600000)</t>
  </si>
  <si>
    <t>= delta (a), 9-year @ 5.5%</t>
  </si>
  <si>
    <t>Monthly Rate</t>
  </si>
  <si>
    <t>= Original PV - Market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</si>
</sst>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%"/>
    <numFmt numFmtId="165" formatCode="_-* #,##0_-;\-* #,##0_-;_-* &quot;-&quot;??_-;_-@_-"/>
    <numFmt numFmtId="166" formatCode="0.0%"/>
    <numFmt numFmtId="167" formatCode="_-&quot;$&quot;* #,##0_-;\-&quot;$&quot;* #,##0_-;_-&quot;$&quot;* &quot;-&quot;??_-;_-@_-"/>
    <numFmt numFmtId="168" formatCode="&quot;$&quot;#,##0"/>
    <numFmt numFmtId="169" formatCode="&quot;$&quot;#,##0.0;[Red]\-&quot;$&quot;#,##0.0"/>
    <numFmt numFmtId="170" formatCode="_-&quot;$&quot;* #,##0_-;\-&quot;$&quot;* #,##0_-;_-&quot;$&quot;* &quot;-&quot;?_-;_-@_-"/>
    <numFmt numFmtId="173" formatCode="0.0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8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44" fontId="0" fillId="0" borderId="0" xfId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165" fontId="0" fillId="0" borderId="0" xfId="41" applyNumberFormat="1" applyFont="1"/>
    <xf numFmtId="10" fontId="0" fillId="0" borderId="0" xfId="0" applyNumberFormat="1"/>
    <xf numFmtId="164" fontId="0" fillId="0" borderId="0" xfId="0" applyNumberFormat="1"/>
    <xf numFmtId="166" fontId="0" fillId="0" borderId="0" xfId="2" applyNumberFormat="1" applyFont="1"/>
    <xf numFmtId="0" fontId="0" fillId="0" borderId="0" xfId="0" quotePrefix="1"/>
    <xf numFmtId="167" fontId="0" fillId="0" borderId="0" xfId="1" applyNumberFormat="1" applyFont="1"/>
    <xf numFmtId="0" fontId="0" fillId="0" borderId="1" xfId="0" applyBorder="1"/>
    <xf numFmtId="0" fontId="0" fillId="2" borderId="0" xfId="0" applyFill="1"/>
    <xf numFmtId="9" fontId="0" fillId="0" borderId="0" xfId="2" applyFont="1"/>
    <xf numFmtId="168" fontId="0" fillId="0" borderId="0" xfId="0" applyNumberFormat="1"/>
    <xf numFmtId="6" fontId="0" fillId="0" borderId="0" xfId="0" applyNumberFormat="1"/>
    <xf numFmtId="169" fontId="0" fillId="0" borderId="0" xfId="0" applyNumberFormat="1"/>
    <xf numFmtId="0" fontId="0" fillId="0" borderId="0" xfId="2" applyNumberFormat="1" applyFont="1"/>
    <xf numFmtId="3" fontId="0" fillId="0" borderId="0" xfId="0" applyNumberFormat="1"/>
    <xf numFmtId="43" fontId="0" fillId="0" borderId="0" xfId="41" applyFont="1"/>
    <xf numFmtId="10" fontId="0" fillId="2" borderId="0" xfId="2" applyNumberFormat="1" applyFont="1" applyFill="1"/>
    <xf numFmtId="6" fontId="0" fillId="2" borderId="0" xfId="0" applyNumberFormat="1" applyFill="1"/>
    <xf numFmtId="0" fontId="0" fillId="0" borderId="0" xfId="0" applyAlignment="1">
      <alignment horizontal="right"/>
    </xf>
    <xf numFmtId="42" fontId="0" fillId="0" borderId="0" xfId="0" applyNumberFormat="1"/>
    <xf numFmtId="167" fontId="0" fillId="0" borderId="0" xfId="0" applyNumberFormat="1"/>
    <xf numFmtId="0" fontId="0" fillId="0" borderId="11" xfId="0" applyBorder="1"/>
    <xf numFmtId="0" fontId="0" fillId="0" borderId="0" xfId="0" applyFill="1"/>
    <xf numFmtId="8" fontId="0" fillId="0" borderId="0" xfId="0" applyNumberForma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167" fontId="0" fillId="2" borderId="0" xfId="1" applyNumberFormat="1" applyFont="1" applyFill="1"/>
    <xf numFmtId="0" fontId="0" fillId="0" borderId="15" xfId="0" applyBorder="1"/>
    <xf numFmtId="6" fontId="0" fillId="0" borderId="15" xfId="0" applyNumberFormat="1" applyBorder="1"/>
    <xf numFmtId="0" fontId="0" fillId="0" borderId="0" xfId="0" applyFill="1" applyBorder="1"/>
    <xf numFmtId="0" fontId="0" fillId="0" borderId="15" xfId="0" applyFill="1" applyBorder="1"/>
    <xf numFmtId="6" fontId="0" fillId="0" borderId="0" xfId="0" applyNumberFormat="1" applyBorder="1"/>
    <xf numFmtId="167" fontId="0" fillId="0" borderId="15" xfId="0" applyNumberFormat="1" applyBorder="1"/>
    <xf numFmtId="167" fontId="0" fillId="0" borderId="11" xfId="1" applyNumberFormat="1" applyFont="1" applyBorder="1"/>
    <xf numFmtId="0" fontId="0" fillId="0" borderId="0" xfId="0" applyNumberFormat="1"/>
    <xf numFmtId="167" fontId="0" fillId="0" borderId="4" xfId="0" applyNumberFormat="1" applyBorder="1"/>
    <xf numFmtId="167" fontId="0" fillId="0" borderId="6" xfId="0" applyNumberFormat="1" applyBorder="1"/>
    <xf numFmtId="6" fontId="0" fillId="0" borderId="6" xfId="0" applyNumberFormat="1" applyBorder="1"/>
    <xf numFmtId="167" fontId="0" fillId="0" borderId="10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7" fontId="0" fillId="0" borderId="0" xfId="1" applyNumberFormat="1" applyFont="1" applyBorder="1"/>
    <xf numFmtId="167" fontId="0" fillId="0" borderId="6" xfId="1" applyNumberFormat="1" applyFont="1" applyBorder="1"/>
    <xf numFmtId="167" fontId="0" fillId="0" borderId="0" xfId="0" applyNumberFormat="1" applyBorder="1"/>
    <xf numFmtId="0" fontId="0" fillId="0" borderId="19" xfId="0" applyBorder="1"/>
    <xf numFmtId="167" fontId="0" fillId="0" borderId="20" xfId="0" applyNumberFormat="1" applyBorder="1"/>
    <xf numFmtId="0" fontId="0" fillId="0" borderId="21" xfId="0" applyBorder="1"/>
    <xf numFmtId="167" fontId="0" fillId="0" borderId="22" xfId="1" applyNumberFormat="1" applyFont="1" applyBorder="1"/>
    <xf numFmtId="0" fontId="0" fillId="0" borderId="7" xfId="0" applyBorder="1"/>
    <xf numFmtId="167" fontId="0" fillId="0" borderId="23" xfId="0" applyNumberFormat="1" applyBorder="1"/>
    <xf numFmtId="0" fontId="0" fillId="0" borderId="5" xfId="0" applyFill="1" applyBorder="1"/>
    <xf numFmtId="0" fontId="0" fillId="0" borderId="19" xfId="0" applyFill="1" applyBorder="1"/>
    <xf numFmtId="170" fontId="0" fillId="0" borderId="0" xfId="0" applyNumberFormat="1" applyBorder="1"/>
    <xf numFmtId="170" fontId="0" fillId="0" borderId="6" xfId="0" applyNumberFormat="1" applyBorder="1"/>
    <xf numFmtId="0" fontId="0" fillId="0" borderId="24" xfId="0" applyFill="1" applyBorder="1"/>
    <xf numFmtId="167" fontId="0" fillId="0" borderId="25" xfId="0" applyNumberFormat="1" applyBorder="1"/>
    <xf numFmtId="167" fontId="0" fillId="0" borderId="26" xfId="0" applyNumberFormat="1" applyBorder="1"/>
    <xf numFmtId="167" fontId="0" fillId="0" borderId="9" xfId="0" applyNumberFormat="1" applyBorder="1"/>
    <xf numFmtId="9" fontId="0" fillId="0" borderId="0" xfId="2" applyFont="1" applyBorder="1"/>
    <xf numFmtId="6" fontId="0" fillId="0" borderId="9" xfId="0" applyNumberFormat="1" applyBorder="1"/>
    <xf numFmtId="9" fontId="0" fillId="0" borderId="9" xfId="2" applyFont="1" applyBorder="1"/>
    <xf numFmtId="6" fontId="0" fillId="0" borderId="10" xfId="0" applyNumberFormat="1" applyBorder="1"/>
    <xf numFmtId="6" fontId="0" fillId="0" borderId="4" xfId="0" applyNumberFormat="1" applyBorder="1"/>
    <xf numFmtId="0" fontId="0" fillId="0" borderId="8" xfId="0" applyFill="1" applyBorder="1"/>
    <xf numFmtId="0" fontId="0" fillId="0" borderId="9" xfId="0" applyFill="1" applyBorder="1"/>
    <xf numFmtId="6" fontId="0" fillId="0" borderId="0" xfId="2" applyNumberFormat="1" applyFont="1" applyBorder="1"/>
    <xf numFmtId="0" fontId="0" fillId="0" borderId="5" xfId="2" applyNumberFormat="1" applyFont="1" applyBorder="1"/>
    <xf numFmtId="0" fontId="0" fillId="0" borderId="8" xfId="2" applyNumberFormat="1" applyFont="1" applyBorder="1"/>
    <xf numFmtId="6" fontId="0" fillId="0" borderId="9" xfId="2" applyNumberFormat="1" applyFont="1" applyBorder="1"/>
    <xf numFmtId="9" fontId="0" fillId="0" borderId="17" xfId="2" applyFont="1" applyBorder="1"/>
    <xf numFmtId="0" fontId="0" fillId="0" borderId="17" xfId="2" applyNumberFormat="1" applyFont="1" applyBorder="1"/>
    <xf numFmtId="167" fontId="0" fillId="0" borderId="0" xfId="1" applyNumberFormat="1" applyFont="1" applyFill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0" fillId="0" borderId="0" xfId="2" applyNumberFormat="1" applyFont="1"/>
    <xf numFmtId="173" fontId="0" fillId="0" borderId="0" xfId="2" applyNumberFormat="1" applyFont="1"/>
    <xf numFmtId="8" fontId="6" fillId="0" borderId="0" xfId="0" applyNumberFormat="1" applyFont="1"/>
    <xf numFmtId="0" fontId="6" fillId="0" borderId="0" xfId="0" applyFont="1"/>
    <xf numFmtId="0" fontId="0" fillId="0" borderId="0" xfId="0" quotePrefix="1" applyAlignment="1">
      <alignment horizontal="center"/>
    </xf>
    <xf numFmtId="8" fontId="0" fillId="0" borderId="0" xfId="0" quotePrefix="1" applyNumberFormat="1"/>
    <xf numFmtId="0" fontId="0" fillId="0" borderId="0" xfId="0" applyAlignment="1">
      <alignment horizontal="center"/>
    </xf>
    <xf numFmtId="0" fontId="0" fillId="0" borderId="16" xfId="0" applyBorder="1" applyAlignment="1">
      <alignment horizontal="left"/>
    </xf>
    <xf numFmtId="0" fontId="0" fillId="0" borderId="24" xfId="0" applyBorder="1"/>
    <xf numFmtId="0" fontId="0" fillId="0" borderId="0" xfId="0" quotePrefix="1" applyAlignment="1">
      <alignment horizontal="right"/>
    </xf>
    <xf numFmtId="8" fontId="0" fillId="0" borderId="0" xfId="0" applyNumberFormat="1" applyAlignment="1"/>
    <xf numFmtId="0" fontId="7" fillId="0" borderId="0" xfId="0" applyFont="1"/>
  </cellXfs>
  <cellStyles count="64">
    <cellStyle name="Comma" xfId="41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B1D5-67B0-9846-981F-23F06D054D98}">
  <dimension ref="C2:M26"/>
  <sheetViews>
    <sheetView workbookViewId="0">
      <selection activeCell="K3" sqref="K3"/>
    </sheetView>
  </sheetViews>
  <sheetFormatPr baseColWidth="10" defaultRowHeight="16" x14ac:dyDescent="0.2"/>
  <cols>
    <col min="4" max="4" width="13.33203125" bestFit="1" customWidth="1"/>
    <col min="8" max="8" width="10.1640625" bestFit="1" customWidth="1"/>
    <col min="9" max="9" width="15.83203125" bestFit="1" customWidth="1"/>
    <col min="10" max="11" width="8.33203125" bestFit="1" customWidth="1"/>
    <col min="12" max="12" width="18.33203125" bestFit="1" customWidth="1"/>
  </cols>
  <sheetData>
    <row r="2" spans="3:13" x14ac:dyDescent="0.2">
      <c r="C2" t="s">
        <v>12</v>
      </c>
      <c r="F2" t="s">
        <v>16</v>
      </c>
      <c r="H2" t="s">
        <v>2</v>
      </c>
      <c r="I2" t="s">
        <v>17</v>
      </c>
      <c r="J2" t="s">
        <v>4</v>
      </c>
      <c r="K2" t="s">
        <v>5</v>
      </c>
      <c r="L2" t="s">
        <v>6</v>
      </c>
      <c r="M2" t="s">
        <v>19</v>
      </c>
    </row>
    <row r="3" spans="3:13" x14ac:dyDescent="0.2">
      <c r="C3">
        <v>65000</v>
      </c>
      <c r="D3" t="s">
        <v>8</v>
      </c>
      <c r="F3" s="3">
        <f>C6/12</f>
        <v>3.1249999999999997E-3</v>
      </c>
      <c r="G3" t="s">
        <v>14</v>
      </c>
      <c r="H3" s="19">
        <v>3500000</v>
      </c>
      <c r="I3" s="19">
        <f>K3-J3</f>
        <v>-7057.0919860824379</v>
      </c>
      <c r="J3" s="19">
        <f>-1*H3*$F$3</f>
        <v>-10937.499999999998</v>
      </c>
      <c r="K3" s="19">
        <f>$D$14</f>
        <v>-17994.591986082436</v>
      </c>
      <c r="L3" s="19">
        <f>H3+I3</f>
        <v>3492942.9080139175</v>
      </c>
      <c r="M3">
        <v>1</v>
      </c>
    </row>
    <row r="4" spans="3:13" x14ac:dyDescent="0.2">
      <c r="C4" s="2">
        <v>0.05</v>
      </c>
      <c r="D4" t="s">
        <v>9</v>
      </c>
      <c r="F4" s="87">
        <f>((F3+1)^12)-1</f>
        <v>3.8151292560963945E-2</v>
      </c>
      <c r="G4" t="s">
        <v>1</v>
      </c>
      <c r="H4" s="19">
        <f>L3</f>
        <v>3492942.9080139175</v>
      </c>
      <c r="I4" s="19">
        <f>K4-J4</f>
        <v>-7079.1453985389453</v>
      </c>
      <c r="J4" s="19">
        <f>-1*H4*$F$3</f>
        <v>-10915.446587543491</v>
      </c>
      <c r="K4" s="19">
        <f>$D$14</f>
        <v>-17994.591986082436</v>
      </c>
      <c r="L4" s="19">
        <f t="shared" ref="L4:L26" si="0">H4+I4</f>
        <v>3485863.7626153785</v>
      </c>
      <c r="M4">
        <f>M3+1</f>
        <v>2</v>
      </c>
    </row>
    <row r="5" spans="3:13" x14ac:dyDescent="0.2">
      <c r="C5">
        <v>3500000</v>
      </c>
      <c r="D5" t="s">
        <v>10</v>
      </c>
      <c r="F5">
        <f>F4/12</f>
        <v>3.1792743800803289E-3</v>
      </c>
      <c r="H5" s="19">
        <f t="shared" ref="H5:H26" si="1">L4</f>
        <v>3485863.7626153785</v>
      </c>
      <c r="I5" s="19">
        <f t="shared" ref="I5:I26" si="2">K5-J5</f>
        <v>-7101.2677279093787</v>
      </c>
      <c r="J5" s="19">
        <f t="shared" ref="J5:J26" si="3">-1*H5*$F$3</f>
        <v>-10893.324258173057</v>
      </c>
      <c r="K5" s="19">
        <f t="shared" ref="K5:K26" si="4">$D$14</f>
        <v>-17994.591986082436</v>
      </c>
      <c r="L5" s="19">
        <f t="shared" si="0"/>
        <v>3478762.4948874689</v>
      </c>
      <c r="M5">
        <f t="shared" ref="M5:M26" si="5">M4+1</f>
        <v>3</v>
      </c>
    </row>
    <row r="6" spans="3:13" x14ac:dyDescent="0.2">
      <c r="C6" s="11">
        <v>3.7499999999999999E-2</v>
      </c>
      <c r="D6" t="s">
        <v>13</v>
      </c>
      <c r="H6" s="19">
        <f t="shared" si="1"/>
        <v>3478762.4948874689</v>
      </c>
      <c r="I6" s="19">
        <f t="shared" si="2"/>
        <v>-7123.4591895590966</v>
      </c>
      <c r="J6" s="19">
        <f t="shared" si="3"/>
        <v>-10871.132796523339</v>
      </c>
      <c r="K6" s="19">
        <f t="shared" si="4"/>
        <v>-17994.591986082436</v>
      </c>
      <c r="L6" s="19">
        <f t="shared" si="0"/>
        <v>3471639.03569791</v>
      </c>
      <c r="M6">
        <f t="shared" si="5"/>
        <v>4</v>
      </c>
    </row>
    <row r="7" spans="3:13" x14ac:dyDescent="0.2">
      <c r="D7" t="s">
        <v>11</v>
      </c>
      <c r="H7" s="19">
        <f t="shared" si="1"/>
        <v>3471639.03569791</v>
      </c>
      <c r="I7" s="19">
        <f t="shared" si="2"/>
        <v>-7145.7199995264673</v>
      </c>
      <c r="J7" s="19">
        <f t="shared" si="3"/>
        <v>-10848.871986555969</v>
      </c>
      <c r="K7" s="19">
        <f t="shared" si="4"/>
        <v>-17994.591986082436</v>
      </c>
      <c r="L7" s="19">
        <f t="shared" si="0"/>
        <v>3464493.3156983834</v>
      </c>
      <c r="M7">
        <f t="shared" si="5"/>
        <v>5</v>
      </c>
    </row>
    <row r="8" spans="3:13" x14ac:dyDescent="0.2">
      <c r="C8">
        <v>25</v>
      </c>
      <c r="D8" t="s">
        <v>15</v>
      </c>
      <c r="H8" s="19">
        <f t="shared" si="1"/>
        <v>3464493.3156983834</v>
      </c>
      <c r="I8" s="19">
        <f t="shared" si="2"/>
        <v>-7168.050374524988</v>
      </c>
      <c r="J8" s="19">
        <f t="shared" si="3"/>
        <v>-10826.541611557448</v>
      </c>
      <c r="K8" s="19">
        <f t="shared" si="4"/>
        <v>-17994.591986082436</v>
      </c>
      <c r="L8" s="19">
        <f t="shared" si="0"/>
        <v>3457325.2653238582</v>
      </c>
      <c r="M8">
        <f t="shared" si="5"/>
        <v>6</v>
      </c>
    </row>
    <row r="9" spans="3:13" x14ac:dyDescent="0.2">
      <c r="H9" s="19">
        <f t="shared" si="1"/>
        <v>3457325.2653238582</v>
      </c>
      <c r="I9" s="19">
        <f t="shared" si="2"/>
        <v>-7190.4505319453801</v>
      </c>
      <c r="J9" s="19">
        <f t="shared" si="3"/>
        <v>-10804.141454137056</v>
      </c>
      <c r="K9" s="19">
        <f t="shared" si="4"/>
        <v>-17994.591986082436</v>
      </c>
      <c r="L9" s="19">
        <f t="shared" si="0"/>
        <v>3450134.8147919127</v>
      </c>
      <c r="M9">
        <f t="shared" si="5"/>
        <v>7</v>
      </c>
    </row>
    <row r="10" spans="3:13" x14ac:dyDescent="0.2">
      <c r="H10" s="19">
        <f t="shared" si="1"/>
        <v>3450134.8147919127</v>
      </c>
      <c r="I10" s="19">
        <f t="shared" si="2"/>
        <v>-7212.9206898577104</v>
      </c>
      <c r="J10" s="19">
        <f t="shared" si="3"/>
        <v>-10781.671296224726</v>
      </c>
      <c r="K10" s="19">
        <f t="shared" si="4"/>
        <v>-17994.591986082436</v>
      </c>
      <c r="L10" s="19">
        <f t="shared" si="0"/>
        <v>3442921.8941020551</v>
      </c>
      <c r="M10">
        <f t="shared" si="5"/>
        <v>8</v>
      </c>
    </row>
    <row r="11" spans="3:13" x14ac:dyDescent="0.2">
      <c r="H11" s="19">
        <f t="shared" si="1"/>
        <v>3442921.8941020551</v>
      </c>
      <c r="I11" s="19">
        <f t="shared" si="2"/>
        <v>-7235.4610670135153</v>
      </c>
      <c r="J11" s="19">
        <f t="shared" si="3"/>
        <v>-10759.130919068921</v>
      </c>
      <c r="K11" s="19">
        <f t="shared" si="4"/>
        <v>-17994.591986082436</v>
      </c>
      <c r="L11" s="19">
        <f t="shared" si="0"/>
        <v>3435686.4330350417</v>
      </c>
      <c r="M11">
        <f t="shared" si="5"/>
        <v>9</v>
      </c>
    </row>
    <row r="12" spans="3:13" x14ac:dyDescent="0.2">
      <c r="H12" s="19">
        <f t="shared" si="1"/>
        <v>3435686.4330350417</v>
      </c>
      <c r="I12" s="19">
        <f t="shared" si="2"/>
        <v>-7258.0718828479312</v>
      </c>
      <c r="J12" s="19">
        <f t="shared" si="3"/>
        <v>-10736.520103234505</v>
      </c>
      <c r="K12" s="19">
        <f t="shared" si="4"/>
        <v>-17994.591986082436</v>
      </c>
      <c r="L12" s="19">
        <f t="shared" si="0"/>
        <v>3428428.3611521935</v>
      </c>
      <c r="M12">
        <f t="shared" si="5"/>
        <v>10</v>
      </c>
    </row>
    <row r="13" spans="3:13" x14ac:dyDescent="0.2">
      <c r="H13" s="19">
        <f t="shared" si="1"/>
        <v>3428428.3611521935</v>
      </c>
      <c r="I13" s="19">
        <f t="shared" si="2"/>
        <v>-7280.7533574818317</v>
      </c>
      <c r="J13" s="19">
        <f t="shared" si="3"/>
        <v>-10713.838628600604</v>
      </c>
      <c r="K13" s="19">
        <f t="shared" si="4"/>
        <v>-17994.591986082436</v>
      </c>
      <c r="L13" s="19">
        <f t="shared" si="0"/>
        <v>3421147.6077947118</v>
      </c>
      <c r="M13">
        <f t="shared" si="5"/>
        <v>11</v>
      </c>
    </row>
    <row r="14" spans="3:13" x14ac:dyDescent="0.2">
      <c r="C14" t="s">
        <v>18</v>
      </c>
      <c r="D14" s="1">
        <f>PMT(F3, 300, 3500000, 0)</f>
        <v>-17994.591986082436</v>
      </c>
      <c r="H14" s="19">
        <f t="shared" si="1"/>
        <v>3421147.6077947118</v>
      </c>
      <c r="I14" s="19">
        <f t="shared" si="2"/>
        <v>-7303.505711723963</v>
      </c>
      <c r="J14" s="19">
        <f t="shared" si="3"/>
        <v>-10691.086274358473</v>
      </c>
      <c r="K14" s="19">
        <f t="shared" si="4"/>
        <v>-17994.591986082436</v>
      </c>
      <c r="L14" s="19">
        <f t="shared" si="0"/>
        <v>3413844.1020829878</v>
      </c>
      <c r="M14">
        <f t="shared" si="5"/>
        <v>12</v>
      </c>
    </row>
    <row r="15" spans="3:13" x14ac:dyDescent="0.2">
      <c r="H15" s="19">
        <f t="shared" si="1"/>
        <v>3413844.1020829878</v>
      </c>
      <c r="I15" s="19">
        <f t="shared" si="2"/>
        <v>-7326.3291670730996</v>
      </c>
      <c r="J15" s="19">
        <f t="shared" si="3"/>
        <v>-10668.262819009336</v>
      </c>
      <c r="K15" s="19">
        <f t="shared" si="4"/>
        <v>-17994.591986082436</v>
      </c>
      <c r="L15" s="19">
        <f t="shared" si="0"/>
        <v>3406517.7729159147</v>
      </c>
      <c r="M15">
        <f t="shared" si="5"/>
        <v>13</v>
      </c>
    </row>
    <row r="16" spans="3:13" x14ac:dyDescent="0.2">
      <c r="D16" s="88">
        <f>FV(F3,24,D14,C5)</f>
        <v>-3324401.2452986892</v>
      </c>
      <c r="E16" s="89" t="s">
        <v>164</v>
      </c>
      <c r="H16" s="19">
        <f t="shared" si="1"/>
        <v>3406517.7729159147</v>
      </c>
      <c r="I16" s="19">
        <f t="shared" si="2"/>
        <v>-7349.2239457202031</v>
      </c>
      <c r="J16" s="19">
        <f t="shared" si="3"/>
        <v>-10645.368040362233</v>
      </c>
      <c r="K16" s="19">
        <f t="shared" si="4"/>
        <v>-17994.591986082436</v>
      </c>
      <c r="L16" s="19">
        <f t="shared" si="0"/>
        <v>3399168.5489701945</v>
      </c>
      <c r="M16">
        <f t="shared" si="5"/>
        <v>14</v>
      </c>
    </row>
    <row r="17" spans="4:13" x14ac:dyDescent="0.2">
      <c r="D17" s="1"/>
      <c r="H17" s="19">
        <f t="shared" si="1"/>
        <v>3399168.5489701945</v>
      </c>
      <c r="I17" s="19">
        <f t="shared" si="2"/>
        <v>-7372.1902705505781</v>
      </c>
      <c r="J17" s="19">
        <f t="shared" si="3"/>
        <v>-10622.401715531858</v>
      </c>
      <c r="K17" s="19">
        <f t="shared" si="4"/>
        <v>-17994.591986082436</v>
      </c>
      <c r="L17" s="19">
        <f t="shared" si="0"/>
        <v>3391796.358699644</v>
      </c>
      <c r="M17">
        <f t="shared" si="5"/>
        <v>15</v>
      </c>
    </row>
    <row r="18" spans="4:13" x14ac:dyDescent="0.2">
      <c r="H18" s="19">
        <f t="shared" si="1"/>
        <v>3391796.358699644</v>
      </c>
      <c r="I18" s="19">
        <f t="shared" si="2"/>
        <v>-7395.2283651460493</v>
      </c>
      <c r="J18" s="19">
        <f t="shared" si="3"/>
        <v>-10599.363620936387</v>
      </c>
      <c r="K18" s="19">
        <f t="shared" si="4"/>
        <v>-17994.591986082436</v>
      </c>
      <c r="L18" s="19">
        <f t="shared" si="0"/>
        <v>3384401.1303344979</v>
      </c>
      <c r="M18">
        <f t="shared" si="5"/>
        <v>16</v>
      </c>
    </row>
    <row r="19" spans="4:13" x14ac:dyDescent="0.2">
      <c r="H19" s="19">
        <f t="shared" si="1"/>
        <v>3384401.1303344979</v>
      </c>
      <c r="I19" s="19">
        <f t="shared" si="2"/>
        <v>-7418.3384537871316</v>
      </c>
      <c r="J19" s="19">
        <f t="shared" si="3"/>
        <v>-10576.253532295304</v>
      </c>
      <c r="K19" s="19">
        <f t="shared" si="4"/>
        <v>-17994.591986082436</v>
      </c>
      <c r="L19" s="19">
        <f t="shared" si="0"/>
        <v>3376982.791880711</v>
      </c>
      <c r="M19">
        <f t="shared" si="5"/>
        <v>17</v>
      </c>
    </row>
    <row r="20" spans="4:13" x14ac:dyDescent="0.2">
      <c r="H20" s="19">
        <f t="shared" si="1"/>
        <v>3376982.791880711</v>
      </c>
      <c r="I20" s="19">
        <f t="shared" si="2"/>
        <v>-7441.5207614552146</v>
      </c>
      <c r="J20" s="19">
        <f t="shared" si="3"/>
        <v>-10553.071224627221</v>
      </c>
      <c r="K20" s="19">
        <f t="shared" si="4"/>
        <v>-17994.591986082436</v>
      </c>
      <c r="L20" s="19">
        <f t="shared" si="0"/>
        <v>3369541.2711192556</v>
      </c>
      <c r="M20">
        <f t="shared" si="5"/>
        <v>18</v>
      </c>
    </row>
    <row r="21" spans="4:13" x14ac:dyDescent="0.2">
      <c r="H21" s="19">
        <f t="shared" si="1"/>
        <v>3369541.2711192556</v>
      </c>
      <c r="I21" s="19">
        <f t="shared" si="2"/>
        <v>-7464.7755138347638</v>
      </c>
      <c r="J21" s="19">
        <f t="shared" si="3"/>
        <v>-10529.816472247672</v>
      </c>
      <c r="K21" s="19">
        <f t="shared" si="4"/>
        <v>-17994.591986082436</v>
      </c>
      <c r="L21" s="19">
        <f t="shared" si="0"/>
        <v>3362076.4956054208</v>
      </c>
      <c r="M21">
        <f t="shared" si="5"/>
        <v>19</v>
      </c>
    </row>
    <row r="22" spans="4:13" x14ac:dyDescent="0.2">
      <c r="H22" s="19">
        <f t="shared" si="1"/>
        <v>3362076.4956054208</v>
      </c>
      <c r="I22" s="19">
        <f t="shared" si="2"/>
        <v>-7488.1029373154961</v>
      </c>
      <c r="J22" s="19">
        <f t="shared" si="3"/>
        <v>-10506.48904876694</v>
      </c>
      <c r="K22" s="19">
        <f t="shared" si="4"/>
        <v>-17994.591986082436</v>
      </c>
      <c r="L22" s="19">
        <f t="shared" si="0"/>
        <v>3354588.3926681052</v>
      </c>
      <c r="M22">
        <f t="shared" si="5"/>
        <v>20</v>
      </c>
    </row>
    <row r="23" spans="4:13" x14ac:dyDescent="0.2">
      <c r="H23" s="19">
        <f t="shared" si="1"/>
        <v>3354588.3926681052</v>
      </c>
      <c r="I23" s="19">
        <f t="shared" si="2"/>
        <v>-7511.5032589946077</v>
      </c>
      <c r="J23" s="19">
        <f t="shared" si="3"/>
        <v>-10483.088727087828</v>
      </c>
      <c r="K23" s="19">
        <f t="shared" si="4"/>
        <v>-17994.591986082436</v>
      </c>
      <c r="L23" s="19">
        <f t="shared" si="0"/>
        <v>3347076.8894091104</v>
      </c>
      <c r="M23">
        <f t="shared" si="5"/>
        <v>21</v>
      </c>
    </row>
    <row r="24" spans="4:13" x14ac:dyDescent="0.2">
      <c r="H24" s="19">
        <f t="shared" si="1"/>
        <v>3347076.8894091104</v>
      </c>
      <c r="I24" s="19">
        <f t="shared" si="2"/>
        <v>-7534.9767066789664</v>
      </c>
      <c r="J24" s="19">
        <f t="shared" si="3"/>
        <v>-10459.61527940347</v>
      </c>
      <c r="K24" s="19">
        <f t="shared" si="4"/>
        <v>-17994.591986082436</v>
      </c>
      <c r="L24" s="19">
        <f t="shared" si="0"/>
        <v>3339541.9127024314</v>
      </c>
      <c r="M24">
        <f t="shared" si="5"/>
        <v>22</v>
      </c>
    </row>
    <row r="25" spans="4:13" x14ac:dyDescent="0.2">
      <c r="H25" s="19">
        <f t="shared" si="1"/>
        <v>3339541.9127024314</v>
      </c>
      <c r="I25" s="19">
        <f t="shared" si="2"/>
        <v>-7558.5235088873378</v>
      </c>
      <c r="J25" s="19">
        <f t="shared" si="3"/>
        <v>-10436.068477195098</v>
      </c>
      <c r="K25" s="19">
        <f t="shared" si="4"/>
        <v>-17994.591986082436</v>
      </c>
      <c r="L25" s="19">
        <f t="shared" si="0"/>
        <v>3331983.3891935442</v>
      </c>
      <c r="M25">
        <f t="shared" si="5"/>
        <v>23</v>
      </c>
    </row>
    <row r="26" spans="4:13" x14ac:dyDescent="0.2">
      <c r="H26" s="19">
        <f t="shared" si="1"/>
        <v>3331983.3891935442</v>
      </c>
      <c r="I26" s="19">
        <f t="shared" si="2"/>
        <v>-7582.143894852612</v>
      </c>
      <c r="J26" s="19">
        <f t="shared" si="3"/>
        <v>-10412.448091229824</v>
      </c>
      <c r="K26" s="19">
        <f t="shared" si="4"/>
        <v>-17994.591986082436</v>
      </c>
      <c r="L26" s="19">
        <f t="shared" si="0"/>
        <v>3324401.2452986916</v>
      </c>
      <c r="M26">
        <f t="shared" si="5"/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F77F-B7D0-A345-84AC-BB4AF81C157E}">
  <dimension ref="B3:H29"/>
  <sheetViews>
    <sheetView tabSelected="1" workbookViewId="0">
      <selection activeCell="G10" sqref="G10"/>
    </sheetView>
  </sheetViews>
  <sheetFormatPr baseColWidth="10" defaultRowHeight="16" x14ac:dyDescent="0.2"/>
  <cols>
    <col min="2" max="2" width="13.83203125" bestFit="1" customWidth="1"/>
    <col min="3" max="3" width="11.1640625" bestFit="1" customWidth="1"/>
    <col min="6" max="6" width="13.1640625" customWidth="1"/>
    <col min="8" max="8" width="13.83203125" bestFit="1" customWidth="1"/>
    <col min="9" max="9" width="10.1640625" bestFit="1" customWidth="1"/>
    <col min="10" max="10" width="2.83203125" customWidth="1"/>
  </cols>
  <sheetData>
    <row r="3" spans="3:8" x14ac:dyDescent="0.2">
      <c r="C3" t="s">
        <v>20</v>
      </c>
    </row>
    <row r="5" spans="3:8" x14ac:dyDescent="0.2">
      <c r="C5" t="s">
        <v>12</v>
      </c>
    </row>
    <row r="7" spans="3:8" x14ac:dyDescent="0.2">
      <c r="C7" t="s">
        <v>21</v>
      </c>
    </row>
    <row r="8" spans="3:8" x14ac:dyDescent="0.2">
      <c r="C8" s="11">
        <v>6.5000000000000002E-2</v>
      </c>
      <c r="D8" t="s">
        <v>22</v>
      </c>
    </row>
    <row r="9" spans="3:8" x14ac:dyDescent="0.2">
      <c r="C9" s="3">
        <f>(1+(C8/12))^12-1</f>
        <v>6.6971852002543075E-2</v>
      </c>
      <c r="D9" t="s">
        <v>23</v>
      </c>
    </row>
    <row r="10" spans="3:8" x14ac:dyDescent="0.2">
      <c r="C10" s="3">
        <f>(1+C9)^(1/12)-1</f>
        <v>5.4166666666666252E-3</v>
      </c>
      <c r="D10" t="s">
        <v>197</v>
      </c>
    </row>
    <row r="12" spans="3:8" x14ac:dyDescent="0.2">
      <c r="C12" t="s">
        <v>24</v>
      </c>
    </row>
    <row r="13" spans="3:8" x14ac:dyDescent="0.2">
      <c r="C13">
        <v>325000</v>
      </c>
      <c r="D13" t="s">
        <v>2</v>
      </c>
      <c r="H13" s="1"/>
    </row>
    <row r="14" spans="3:8" x14ac:dyDescent="0.2">
      <c r="C14">
        <v>30</v>
      </c>
      <c r="D14" t="s">
        <v>25</v>
      </c>
      <c r="H14" s="1"/>
    </row>
    <row r="15" spans="3:8" x14ac:dyDescent="0.2">
      <c r="C15">
        <f>C14*12</f>
        <v>360</v>
      </c>
      <c r="D15" t="s">
        <v>15</v>
      </c>
      <c r="H15" s="86"/>
    </row>
    <row r="16" spans="3:8" x14ac:dyDescent="0.2">
      <c r="C16" s="2">
        <v>0.06</v>
      </c>
      <c r="D16" t="s">
        <v>27</v>
      </c>
    </row>
    <row r="17" spans="2:6" x14ac:dyDescent="0.2">
      <c r="C17" s="13">
        <f>C16/12</f>
        <v>5.0000000000000001E-3</v>
      </c>
      <c r="D17" t="s">
        <v>14</v>
      </c>
    </row>
    <row r="18" spans="2:6" x14ac:dyDescent="0.2">
      <c r="C18" s="3">
        <f>((1+C17)^12)-1</f>
        <v>6.1677811864497611E-2</v>
      </c>
      <c r="D18" t="s">
        <v>1</v>
      </c>
    </row>
    <row r="19" spans="2:6" x14ac:dyDescent="0.2">
      <c r="C19">
        <f>-C13*C17</f>
        <v>-1625</v>
      </c>
      <c r="D19" t="s">
        <v>26</v>
      </c>
    </row>
    <row r="21" spans="2:6" x14ac:dyDescent="0.2">
      <c r="C21" s="90" t="s">
        <v>174</v>
      </c>
      <c r="D21" s="90"/>
      <c r="E21" s="90" t="s">
        <v>173</v>
      </c>
      <c r="F21" s="90"/>
    </row>
    <row r="22" spans="2:6" x14ac:dyDescent="0.2">
      <c r="C22">
        <f>C13</f>
        <v>325000</v>
      </c>
      <c r="D22" t="s">
        <v>2</v>
      </c>
      <c r="E22" s="11">
        <f>(0.065/12)</f>
        <v>5.4166666666666669E-3</v>
      </c>
      <c r="F22" t="s">
        <v>14</v>
      </c>
    </row>
    <row r="23" spans="2:6" x14ac:dyDescent="0.2">
      <c r="C23" s="3">
        <v>5.0000000000000001E-3</v>
      </c>
      <c r="D23" t="s">
        <v>14</v>
      </c>
      <c r="E23" s="44">
        <f>C24</f>
        <v>360</v>
      </c>
      <c r="F23" t="s">
        <v>15</v>
      </c>
    </row>
    <row r="24" spans="2:6" x14ac:dyDescent="0.2">
      <c r="C24">
        <f>C14*12</f>
        <v>360</v>
      </c>
      <c r="D24" t="s">
        <v>15</v>
      </c>
      <c r="E24" s="1">
        <f>C25</f>
        <v>-1948.539206746445</v>
      </c>
      <c r="F24" t="s">
        <v>26</v>
      </c>
    </row>
    <row r="25" spans="2:6" x14ac:dyDescent="0.2">
      <c r="C25" s="1">
        <f>PMT(C23,C24,C22)</f>
        <v>-1948.539206746445</v>
      </c>
      <c r="D25" t="s">
        <v>165</v>
      </c>
      <c r="E25" s="1">
        <f>PV(E22,E23,E24)</f>
        <v>308279.98479947296</v>
      </c>
      <c r="F25" t="s">
        <v>166</v>
      </c>
    </row>
    <row r="27" spans="2:6" x14ac:dyDescent="0.2">
      <c r="B27" t="s">
        <v>167</v>
      </c>
      <c r="C27" s="1">
        <f>C22-E25</f>
        <v>16720.015200527036</v>
      </c>
      <c r="D27" s="14" t="s">
        <v>198</v>
      </c>
    </row>
    <row r="28" spans="2:6" x14ac:dyDescent="0.2">
      <c r="C28" t="s">
        <v>168</v>
      </c>
    </row>
    <row r="29" spans="2:6" x14ac:dyDescent="0.2">
      <c r="C29" s="11">
        <f>C27/C22</f>
        <v>5.1446200617006263E-2</v>
      </c>
      <c r="D29" s="14" t="s">
        <v>175</v>
      </c>
    </row>
  </sheetData>
  <mergeCells count="2">
    <mergeCell ref="C21:D21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A5F9-4100-7B4B-9FA0-EB6889969CEC}">
  <dimension ref="C3:T113"/>
  <sheetViews>
    <sheetView zoomScaleNormal="100" workbookViewId="0">
      <selection activeCell="D5" sqref="D5"/>
    </sheetView>
  </sheetViews>
  <sheetFormatPr baseColWidth="10" defaultRowHeight="16" x14ac:dyDescent="0.2"/>
  <cols>
    <col min="3" max="3" width="11.83203125" bestFit="1" customWidth="1"/>
    <col min="4" max="4" width="11.1640625" customWidth="1"/>
    <col min="5" max="5" width="14" customWidth="1"/>
    <col min="6" max="6" width="15.6640625" customWidth="1"/>
    <col min="8" max="8" width="11.1640625" bestFit="1" customWidth="1"/>
    <col min="9" max="9" width="15.83203125" bestFit="1" customWidth="1"/>
    <col min="10" max="10" width="15.1640625" bestFit="1" customWidth="1"/>
    <col min="11" max="11" width="11.83203125" bestFit="1" customWidth="1"/>
    <col min="12" max="12" width="18.33203125" bestFit="1" customWidth="1"/>
    <col min="13" max="13" width="6.6640625" customWidth="1"/>
    <col min="15" max="15" width="11.1640625" bestFit="1" customWidth="1"/>
    <col min="18" max="18" width="11.83203125" bestFit="1" customWidth="1"/>
  </cols>
  <sheetData>
    <row r="3" spans="3:20" x14ac:dyDescent="0.2">
      <c r="C3" t="s">
        <v>12</v>
      </c>
      <c r="G3" t="s">
        <v>31</v>
      </c>
      <c r="H3" t="s">
        <v>2</v>
      </c>
      <c r="I3" t="s">
        <v>17</v>
      </c>
      <c r="J3" t="s">
        <v>32</v>
      </c>
      <c r="K3" t="s">
        <v>5</v>
      </c>
      <c r="L3" t="s">
        <v>6</v>
      </c>
      <c r="M3" t="s">
        <v>15</v>
      </c>
      <c r="O3" t="s">
        <v>2</v>
      </c>
      <c r="P3" t="s">
        <v>17</v>
      </c>
      <c r="Q3" t="s">
        <v>32</v>
      </c>
      <c r="R3" t="s">
        <v>5</v>
      </c>
      <c r="S3" t="s">
        <v>6</v>
      </c>
      <c r="T3" t="s">
        <v>15</v>
      </c>
    </row>
    <row r="4" spans="3:20" x14ac:dyDescent="0.2">
      <c r="C4" s="20">
        <v>600000</v>
      </c>
      <c r="D4" t="s">
        <v>2</v>
      </c>
      <c r="H4" s="20">
        <f>C4</f>
        <v>600000</v>
      </c>
      <c r="I4" s="1">
        <f>K4-J4</f>
        <v>-13666.584441705876</v>
      </c>
      <c r="J4" s="21">
        <f>-H4*$C$6</f>
        <v>-15000</v>
      </c>
      <c r="K4" s="1">
        <f>PMT(C6,C9,C4,0)</f>
        <v>-28666.584441705876</v>
      </c>
      <c r="L4" s="1">
        <f>H4+I4</f>
        <v>586333.41555829416</v>
      </c>
      <c r="M4">
        <v>1</v>
      </c>
      <c r="O4" s="20">
        <f>H4</f>
        <v>600000</v>
      </c>
      <c r="P4" s="1">
        <f>R4-Q4</f>
        <v>-2254.3935573940485</v>
      </c>
      <c r="Q4" s="21">
        <f>-O4*$C$15</f>
        <v>-2474.3492790865407</v>
      </c>
      <c r="R4" s="1">
        <f>C16</f>
        <v>-4728.7428364805892</v>
      </c>
      <c r="S4" s="1">
        <f>O4+P4</f>
        <v>597745.60644260596</v>
      </c>
      <c r="T4">
        <v>1</v>
      </c>
    </row>
    <row r="5" spans="3:20" x14ac:dyDescent="0.2">
      <c r="C5" s="2">
        <v>0.05</v>
      </c>
      <c r="D5" t="s">
        <v>29</v>
      </c>
      <c r="H5" s="1">
        <f>L4</f>
        <v>586333.41555829416</v>
      </c>
      <c r="I5" s="1">
        <f>K5-J5</f>
        <v>-14008.249052748521</v>
      </c>
      <c r="J5" s="21">
        <f>-H5*$C$6</f>
        <v>-14658.335388957355</v>
      </c>
      <c r="K5" s="1">
        <f>K4</f>
        <v>-28666.584441705876</v>
      </c>
      <c r="L5" s="1">
        <f>H5+I5</f>
        <v>572325.16650554561</v>
      </c>
      <c r="M5">
        <f>M4+1</f>
        <v>2</v>
      </c>
      <c r="O5" s="1">
        <f>S4</f>
        <v>597745.60644260596</v>
      </c>
      <c r="P5" s="1">
        <f>R5-Q5</f>
        <v>-2263.6904858499074</v>
      </c>
      <c r="Q5" s="21">
        <f>-O5*$C$15</f>
        <v>-2465.0523506306818</v>
      </c>
      <c r="R5" s="1">
        <f>R4</f>
        <v>-4728.7428364805892</v>
      </c>
      <c r="S5" s="1">
        <f>O5+P5</f>
        <v>595481.9159567561</v>
      </c>
      <c r="T5">
        <f>T4+1</f>
        <v>2</v>
      </c>
    </row>
    <row r="6" spans="3:20" x14ac:dyDescent="0.2">
      <c r="C6" s="13">
        <f>C5/2</f>
        <v>2.5000000000000001E-2</v>
      </c>
      <c r="D6" t="s">
        <v>14</v>
      </c>
      <c r="H6" s="1">
        <f t="shared" ref="H6:H13" si="0">L5</f>
        <v>572325.16650554561</v>
      </c>
      <c r="I6" s="1">
        <f t="shared" ref="I6:I13" si="1">K6-J6</f>
        <v>-14358.455279067235</v>
      </c>
      <c r="J6" s="21">
        <f t="shared" ref="J6:J13" si="2">-H6*$C$6</f>
        <v>-14308.129162638641</v>
      </c>
      <c r="K6" s="1">
        <f t="shared" ref="K6:K13" si="3">K5</f>
        <v>-28666.584441705876</v>
      </c>
      <c r="L6" s="1">
        <f t="shared" ref="L6:L13" si="4">H6+I6</f>
        <v>557966.71122647834</v>
      </c>
      <c r="M6">
        <f t="shared" ref="M6:M13" si="5">M5+1</f>
        <v>3</v>
      </c>
      <c r="O6" s="1">
        <f t="shared" ref="O6:O64" si="6">S5</f>
        <v>595481.9159567561</v>
      </c>
      <c r="P6" s="1">
        <f t="shared" ref="P6:P64" si="7">R6-Q6</f>
        <v>-2273.0257540528032</v>
      </c>
      <c r="Q6" s="21">
        <f t="shared" ref="Q6:Q64" si="8">-O6*$C$15</f>
        <v>-2455.717082427786</v>
      </c>
      <c r="R6" s="1">
        <f t="shared" ref="R6:R64" si="9">R5</f>
        <v>-4728.7428364805892</v>
      </c>
      <c r="S6" s="1">
        <f t="shared" ref="S6:S64" si="10">O6+P6</f>
        <v>593208.8902027033</v>
      </c>
      <c r="T6">
        <f t="shared" ref="T6:T64" si="11">T5+1</f>
        <v>3</v>
      </c>
    </row>
    <row r="7" spans="3:20" x14ac:dyDescent="0.2">
      <c r="C7" s="3">
        <f>((1+C6)^2)-1</f>
        <v>5.062499999999992E-2</v>
      </c>
      <c r="D7" t="s">
        <v>1</v>
      </c>
      <c r="H7" s="1">
        <f t="shared" si="0"/>
        <v>557966.71122647834</v>
      </c>
      <c r="I7" s="1">
        <f t="shared" si="1"/>
        <v>-14717.416661043917</v>
      </c>
      <c r="J7" s="21">
        <f t="shared" si="2"/>
        <v>-13949.167780661959</v>
      </c>
      <c r="K7" s="1">
        <f t="shared" si="3"/>
        <v>-28666.584441705876</v>
      </c>
      <c r="L7" s="1">
        <f t="shared" si="4"/>
        <v>543249.29456543445</v>
      </c>
      <c r="M7">
        <f t="shared" si="5"/>
        <v>4</v>
      </c>
      <c r="O7" s="1">
        <f t="shared" si="6"/>
        <v>593208.8902027033</v>
      </c>
      <c r="P7" s="1">
        <f t="shared" si="7"/>
        <v>-2282.3995201126127</v>
      </c>
      <c r="Q7" s="21">
        <f t="shared" si="8"/>
        <v>-2446.3433163679765</v>
      </c>
      <c r="R7" s="1">
        <f t="shared" si="9"/>
        <v>-4728.7428364805892</v>
      </c>
      <c r="S7" s="1">
        <f t="shared" si="10"/>
        <v>590926.49068259064</v>
      </c>
      <c r="T7">
        <f t="shared" si="11"/>
        <v>4</v>
      </c>
    </row>
    <row r="8" spans="3:20" x14ac:dyDescent="0.2">
      <c r="C8">
        <v>15</v>
      </c>
      <c r="D8" t="s">
        <v>25</v>
      </c>
      <c r="H8" s="1">
        <f t="shared" si="0"/>
        <v>543249.29456543445</v>
      </c>
      <c r="I8" s="1">
        <f t="shared" si="1"/>
        <v>-15085.352077570014</v>
      </c>
      <c r="J8" s="21">
        <f t="shared" si="2"/>
        <v>-13581.232364135862</v>
      </c>
      <c r="K8" s="1">
        <f t="shared" si="3"/>
        <v>-28666.584441705876</v>
      </c>
      <c r="L8" s="1">
        <f t="shared" si="4"/>
        <v>528163.94248786441</v>
      </c>
      <c r="M8">
        <f t="shared" si="5"/>
        <v>5</v>
      </c>
      <c r="O8" s="1">
        <f t="shared" si="6"/>
        <v>590926.49068259064</v>
      </c>
      <c r="P8" s="1">
        <f t="shared" si="7"/>
        <v>-2291.8119427912434</v>
      </c>
      <c r="Q8" s="21">
        <f t="shared" si="8"/>
        <v>-2436.9308936893458</v>
      </c>
      <c r="R8" s="1">
        <f t="shared" si="9"/>
        <v>-4728.7428364805892</v>
      </c>
      <c r="S8" s="1">
        <f t="shared" si="10"/>
        <v>588634.67873979942</v>
      </c>
      <c r="T8">
        <f t="shared" si="11"/>
        <v>5</v>
      </c>
    </row>
    <row r="9" spans="3:20" x14ac:dyDescent="0.2">
      <c r="C9">
        <v>30</v>
      </c>
      <c r="D9" t="s">
        <v>15</v>
      </c>
      <c r="H9" s="1">
        <f t="shared" si="0"/>
        <v>528163.94248786441</v>
      </c>
      <c r="I9" s="1">
        <f t="shared" si="1"/>
        <v>-15462.485879509266</v>
      </c>
      <c r="J9" s="21">
        <f t="shared" si="2"/>
        <v>-13204.09856219661</v>
      </c>
      <c r="K9" s="1">
        <f t="shared" si="3"/>
        <v>-28666.584441705876</v>
      </c>
      <c r="L9" s="1">
        <f t="shared" si="4"/>
        <v>512701.45660835516</v>
      </c>
      <c r="M9">
        <f t="shared" si="5"/>
        <v>6</v>
      </c>
      <c r="O9" s="1">
        <f t="shared" si="6"/>
        <v>588634.67873979942</v>
      </c>
      <c r="P9" s="1">
        <f t="shared" si="7"/>
        <v>-2301.2631815053223</v>
      </c>
      <c r="Q9" s="21">
        <f t="shared" si="8"/>
        <v>-2427.4796549752668</v>
      </c>
      <c r="R9" s="1">
        <f t="shared" si="9"/>
        <v>-4728.7428364805892</v>
      </c>
      <c r="S9" s="1">
        <f t="shared" si="10"/>
        <v>586333.41555829404</v>
      </c>
      <c r="T9">
        <f t="shared" si="11"/>
        <v>6</v>
      </c>
    </row>
    <row r="10" spans="3:20" x14ac:dyDescent="0.2">
      <c r="D10" t="s">
        <v>30</v>
      </c>
      <c r="H10" s="1">
        <f t="shared" si="0"/>
        <v>512701.45660835516</v>
      </c>
      <c r="I10" s="1">
        <f t="shared" si="1"/>
        <v>-15849.048026496996</v>
      </c>
      <c r="J10" s="21">
        <f t="shared" si="2"/>
        <v>-12817.53641520888</v>
      </c>
      <c r="K10" s="1">
        <f t="shared" si="3"/>
        <v>-28666.584441705876</v>
      </c>
      <c r="L10" s="1">
        <f t="shared" si="4"/>
        <v>496852.40858185815</v>
      </c>
      <c r="M10">
        <f t="shared" si="5"/>
        <v>7</v>
      </c>
      <c r="O10" s="1">
        <f t="shared" si="6"/>
        <v>586333.41555829404</v>
      </c>
      <c r="P10" s="1">
        <f t="shared" si="7"/>
        <v>-2310.7533963288993</v>
      </c>
      <c r="Q10" s="21">
        <f t="shared" si="8"/>
        <v>-2417.9894401516899</v>
      </c>
      <c r="R10" s="1">
        <f t="shared" si="9"/>
        <v>-4728.7428364805892</v>
      </c>
      <c r="S10" s="1">
        <f t="shared" si="10"/>
        <v>584022.66216196516</v>
      </c>
      <c r="T10">
        <f t="shared" si="11"/>
        <v>7</v>
      </c>
    </row>
    <row r="11" spans="3:20" x14ac:dyDescent="0.2">
      <c r="H11" s="1">
        <f t="shared" si="0"/>
        <v>496852.40858185815</v>
      </c>
      <c r="I11" s="1">
        <f t="shared" si="1"/>
        <v>-16245.274227159422</v>
      </c>
      <c r="J11" s="21">
        <f t="shared" si="2"/>
        <v>-12421.310214546455</v>
      </c>
      <c r="K11" s="1">
        <f t="shared" si="3"/>
        <v>-28666.584441705876</v>
      </c>
      <c r="L11" s="1">
        <f t="shared" si="4"/>
        <v>480607.1343546987</v>
      </c>
      <c r="M11">
        <f t="shared" si="5"/>
        <v>8</v>
      </c>
      <c r="O11" s="1">
        <f t="shared" si="6"/>
        <v>584022.66216196516</v>
      </c>
      <c r="P11" s="1">
        <f t="shared" si="7"/>
        <v>-2320.2827479961547</v>
      </c>
      <c r="Q11" s="21">
        <f t="shared" si="8"/>
        <v>-2408.4600884844344</v>
      </c>
      <c r="R11" s="1">
        <f t="shared" si="9"/>
        <v>-4728.7428364805892</v>
      </c>
      <c r="S11" s="1">
        <f t="shared" si="10"/>
        <v>581702.379413969</v>
      </c>
      <c r="T11">
        <f t="shared" si="11"/>
        <v>8</v>
      </c>
    </row>
    <row r="12" spans="3:20" x14ac:dyDescent="0.2">
      <c r="C12" s="3" t="s">
        <v>18</v>
      </c>
      <c r="H12" s="1">
        <f t="shared" si="0"/>
        <v>480607.1343546987</v>
      </c>
      <c r="I12" s="1">
        <f t="shared" si="1"/>
        <v>-16651.40608283841</v>
      </c>
      <c r="J12" s="21">
        <f t="shared" si="2"/>
        <v>-12015.178358867468</v>
      </c>
      <c r="K12" s="1">
        <f t="shared" si="3"/>
        <v>-28666.584441705876</v>
      </c>
      <c r="L12" s="1">
        <f t="shared" si="4"/>
        <v>463955.72827186028</v>
      </c>
      <c r="M12">
        <f t="shared" si="5"/>
        <v>9</v>
      </c>
      <c r="O12" s="1">
        <f t="shared" si="6"/>
        <v>581702.379413969</v>
      </c>
      <c r="P12" s="1">
        <f t="shared" si="7"/>
        <v>-2329.8513979041231</v>
      </c>
      <c r="Q12" s="21">
        <f t="shared" si="8"/>
        <v>-2398.891438576466</v>
      </c>
      <c r="R12" s="1">
        <f t="shared" si="9"/>
        <v>-4728.7428364805892</v>
      </c>
      <c r="S12" s="1">
        <f t="shared" si="10"/>
        <v>579372.5280160649</v>
      </c>
      <c r="T12">
        <f t="shared" si="11"/>
        <v>9</v>
      </c>
    </row>
    <row r="13" spans="3:20" x14ac:dyDescent="0.2">
      <c r="C13" s="23">
        <v>600000</v>
      </c>
      <c r="D13" t="s">
        <v>2</v>
      </c>
      <c r="H13" s="1">
        <f t="shared" si="0"/>
        <v>463955.72827186028</v>
      </c>
      <c r="I13" s="1">
        <f t="shared" si="1"/>
        <v>-17067.691234909369</v>
      </c>
      <c r="J13" s="21">
        <f t="shared" si="2"/>
        <v>-11598.893206796507</v>
      </c>
      <c r="K13" s="1">
        <f t="shared" si="3"/>
        <v>-28666.584441705876</v>
      </c>
      <c r="L13" s="1">
        <f t="shared" si="4"/>
        <v>446888.03703695093</v>
      </c>
      <c r="M13">
        <f t="shared" si="5"/>
        <v>10</v>
      </c>
      <c r="O13" s="1">
        <f t="shared" si="6"/>
        <v>579372.5280160649</v>
      </c>
      <c r="P13" s="1">
        <f t="shared" si="7"/>
        <v>-2339.459508115428</v>
      </c>
      <c r="Q13" s="21">
        <f t="shared" si="8"/>
        <v>-2389.2833283651612</v>
      </c>
      <c r="R13" s="1">
        <f t="shared" si="9"/>
        <v>-4728.7428364805892</v>
      </c>
      <c r="S13" s="1">
        <f t="shared" si="10"/>
        <v>577033.06850794947</v>
      </c>
      <c r="T13">
        <f t="shared" si="11"/>
        <v>10</v>
      </c>
    </row>
    <row r="14" spans="3:20" x14ac:dyDescent="0.2">
      <c r="C14">
        <f>12*15</f>
        <v>180</v>
      </c>
      <c r="D14" t="s">
        <v>15</v>
      </c>
      <c r="E14" s="91" t="s">
        <v>184</v>
      </c>
      <c r="O14" s="1">
        <f t="shared" si="6"/>
        <v>577033.06850794947</v>
      </c>
      <c r="P14" s="1">
        <f t="shared" si="7"/>
        <v>-2349.1072413610236</v>
      </c>
      <c r="Q14" s="21">
        <f t="shared" si="8"/>
        <v>-2379.6355951195656</v>
      </c>
      <c r="R14" s="1">
        <f t="shared" si="9"/>
        <v>-4728.7428364805892</v>
      </c>
      <c r="S14" s="1">
        <f t="shared" si="10"/>
        <v>574683.96126658842</v>
      </c>
      <c r="T14">
        <f t="shared" si="11"/>
        <v>11</v>
      </c>
    </row>
    <row r="15" spans="3:20" x14ac:dyDescent="0.2">
      <c r="C15" s="11">
        <f xml:space="preserve"> ((1.025)^(1/6))-1</f>
        <v>4.1239154651442345E-3</v>
      </c>
      <c r="D15" t="s">
        <v>176</v>
      </c>
      <c r="E15" s="14" t="s">
        <v>185</v>
      </c>
      <c r="H15" s="1">
        <f>L13</f>
        <v>446888.03703695093</v>
      </c>
      <c r="I15" s="1">
        <f>K15-J15</f>
        <v>-50255.414855269017</v>
      </c>
      <c r="J15" s="1">
        <f>-H15*0.03</f>
        <v>-13406.641111108527</v>
      </c>
      <c r="K15" s="1">
        <f>PMT(0.03,8,H15,0)</f>
        <v>-63662.055966377542</v>
      </c>
      <c r="L15" s="1">
        <f>H15+I15</f>
        <v>396632.62218168192</v>
      </c>
      <c r="M15">
        <v>1</v>
      </c>
      <c r="O15" s="1">
        <f t="shared" si="6"/>
        <v>574683.96126658842</v>
      </c>
      <c r="P15" s="1">
        <f t="shared" si="7"/>
        <v>-2358.7947610429551</v>
      </c>
      <c r="Q15" s="21">
        <f t="shared" si="8"/>
        <v>-2369.9480754376341</v>
      </c>
      <c r="R15" s="1">
        <f t="shared" si="9"/>
        <v>-4728.7428364805892</v>
      </c>
      <c r="S15" s="1">
        <f t="shared" si="10"/>
        <v>572325.16650554549</v>
      </c>
      <c r="T15">
        <f t="shared" si="11"/>
        <v>12</v>
      </c>
    </row>
    <row r="16" spans="3:20" x14ac:dyDescent="0.2">
      <c r="C16" s="1">
        <f>PMT(C15,C14,C13)</f>
        <v>-4728.7428364805892</v>
      </c>
      <c r="D16" t="s">
        <v>165</v>
      </c>
      <c r="H16" s="1">
        <f>L15</f>
        <v>396632.62218168192</v>
      </c>
      <c r="I16" s="1">
        <f>K16-J16</f>
        <v>-51763.077300927085</v>
      </c>
      <c r="J16" s="1">
        <f>-H16*0.03</f>
        <v>-11898.978665450457</v>
      </c>
      <c r="K16" s="1">
        <f>K15</f>
        <v>-63662.055966377542</v>
      </c>
      <c r="L16" s="1">
        <f t="shared" ref="L16:L22" si="12">H16+I16</f>
        <v>344869.54488075484</v>
      </c>
      <c r="M16">
        <f>M15+1</f>
        <v>2</v>
      </c>
      <c r="O16" s="1">
        <f t="shared" si="6"/>
        <v>572325.16650554549</v>
      </c>
      <c r="P16" s="1">
        <f t="shared" si="7"/>
        <v>-2368.5222312371211</v>
      </c>
      <c r="Q16" s="21">
        <f t="shared" si="8"/>
        <v>-2360.2206052434681</v>
      </c>
      <c r="R16" s="1">
        <f t="shared" si="9"/>
        <v>-4728.7428364805892</v>
      </c>
      <c r="S16" s="1">
        <f t="shared" si="10"/>
        <v>569956.64427430835</v>
      </c>
      <c r="T16">
        <f t="shared" si="11"/>
        <v>13</v>
      </c>
    </row>
    <row r="17" spans="3:20" x14ac:dyDescent="0.2">
      <c r="H17" s="1">
        <f t="shared" ref="H17:H22" si="13">L16</f>
        <v>344869.54488075484</v>
      </c>
      <c r="I17" s="1">
        <f t="shared" ref="I17:I23" si="14">K17-J17</f>
        <v>-53315.9696199549</v>
      </c>
      <c r="J17" s="1">
        <f t="shared" ref="J17:J22" si="15">-H17*0.03</f>
        <v>-10346.086346422644</v>
      </c>
      <c r="K17" s="1">
        <f t="shared" ref="K17:K22" si="16">K16</f>
        <v>-63662.055966377542</v>
      </c>
      <c r="L17" s="1">
        <f t="shared" si="12"/>
        <v>291553.57526079996</v>
      </c>
      <c r="M17">
        <f t="shared" ref="M17:M22" si="17">M16+1</f>
        <v>3</v>
      </c>
      <c r="O17" s="1">
        <f t="shared" si="6"/>
        <v>569956.64427430835</v>
      </c>
      <c r="P17" s="1">
        <f t="shared" si="7"/>
        <v>-2378.2898166960581</v>
      </c>
      <c r="Q17" s="21">
        <f t="shared" si="8"/>
        <v>-2350.4530197845311</v>
      </c>
      <c r="R17" s="1">
        <f t="shared" si="9"/>
        <v>-4728.7428364805892</v>
      </c>
      <c r="S17" s="1">
        <f t="shared" si="10"/>
        <v>567578.35445761227</v>
      </c>
      <c r="T17">
        <f t="shared" si="11"/>
        <v>14</v>
      </c>
    </row>
    <row r="18" spans="3:20" x14ac:dyDescent="0.2">
      <c r="H18" s="1">
        <f t="shared" si="13"/>
        <v>291553.57526079996</v>
      </c>
      <c r="I18" s="1">
        <f t="shared" si="14"/>
        <v>-54915.448708553544</v>
      </c>
      <c r="J18" s="1">
        <f t="shared" si="15"/>
        <v>-8746.6072578239982</v>
      </c>
      <c r="K18" s="1">
        <f t="shared" si="16"/>
        <v>-63662.055966377542</v>
      </c>
      <c r="L18" s="1">
        <f t="shared" si="12"/>
        <v>236638.12655224642</v>
      </c>
      <c r="M18">
        <f t="shared" si="17"/>
        <v>4</v>
      </c>
      <c r="O18" s="1">
        <f t="shared" si="6"/>
        <v>567578.35445761227</v>
      </c>
      <c r="P18" s="1">
        <f t="shared" si="7"/>
        <v>-2388.0976828517259</v>
      </c>
      <c r="Q18" s="21">
        <f t="shared" si="8"/>
        <v>-2340.6451536288632</v>
      </c>
      <c r="R18" s="1">
        <f t="shared" si="9"/>
        <v>-4728.7428364805892</v>
      </c>
      <c r="S18" s="1">
        <f t="shared" si="10"/>
        <v>565190.25677476055</v>
      </c>
      <c r="T18">
        <f t="shared" si="11"/>
        <v>15</v>
      </c>
    </row>
    <row r="19" spans="3:20" x14ac:dyDescent="0.2">
      <c r="C19" t="s">
        <v>54</v>
      </c>
      <c r="H19" s="1">
        <f t="shared" si="13"/>
        <v>236638.12655224642</v>
      </c>
      <c r="I19" s="1">
        <f t="shared" si="14"/>
        <v>-56562.912169810152</v>
      </c>
      <c r="J19" s="1">
        <f t="shared" si="15"/>
        <v>-7099.1437965673922</v>
      </c>
      <c r="K19" s="1">
        <f t="shared" si="16"/>
        <v>-63662.055966377542</v>
      </c>
      <c r="L19" s="1">
        <f t="shared" si="12"/>
        <v>180075.21438243627</v>
      </c>
      <c r="M19">
        <f t="shared" si="17"/>
        <v>5</v>
      </c>
      <c r="O19" s="1">
        <f t="shared" si="6"/>
        <v>565190.25677476055</v>
      </c>
      <c r="P19" s="1">
        <f t="shared" si="7"/>
        <v>-2397.9459958183133</v>
      </c>
      <c r="Q19" s="21">
        <f t="shared" si="8"/>
        <v>-2330.7968406622758</v>
      </c>
      <c r="R19" s="1">
        <f t="shared" si="9"/>
        <v>-4728.7428364805892</v>
      </c>
      <c r="S19" s="1">
        <f t="shared" si="10"/>
        <v>562792.31077894219</v>
      </c>
      <c r="T19">
        <f t="shared" si="11"/>
        <v>16</v>
      </c>
    </row>
    <row r="20" spans="3:20" x14ac:dyDescent="0.2">
      <c r="C20" s="1">
        <f>-FV(C15,5*12,C16,C13)</f>
        <v>446888.03703694965</v>
      </c>
      <c r="D20" t="s">
        <v>2</v>
      </c>
      <c r="E20" s="14" t="s">
        <v>177</v>
      </c>
      <c r="H20" s="1">
        <f t="shared" si="13"/>
        <v>180075.21438243627</v>
      </c>
      <c r="I20" s="1">
        <f t="shared" si="14"/>
        <v>-58259.79953490445</v>
      </c>
      <c r="J20" s="1">
        <f t="shared" si="15"/>
        <v>-5402.256431473088</v>
      </c>
      <c r="K20" s="1">
        <f t="shared" si="16"/>
        <v>-63662.055966377542</v>
      </c>
      <c r="L20" s="1">
        <f t="shared" si="12"/>
        <v>121815.41484753182</v>
      </c>
      <c r="M20">
        <f t="shared" si="17"/>
        <v>6</v>
      </c>
      <c r="O20" s="1">
        <f t="shared" si="6"/>
        <v>562792.31077894219</v>
      </c>
      <c r="P20" s="1">
        <f t="shared" si="7"/>
        <v>-2407.834922395049</v>
      </c>
      <c r="Q20" s="21">
        <f t="shared" si="8"/>
        <v>-2320.9079140855401</v>
      </c>
      <c r="R20" s="1">
        <f t="shared" si="9"/>
        <v>-4728.7428364805892</v>
      </c>
      <c r="S20" s="1">
        <f t="shared" si="10"/>
        <v>560384.47585654713</v>
      </c>
      <c r="T20">
        <f t="shared" si="11"/>
        <v>17</v>
      </c>
    </row>
    <row r="21" spans="3:20" x14ac:dyDescent="0.2">
      <c r="C21">
        <f>12*4</f>
        <v>48</v>
      </c>
      <c r="D21" t="s">
        <v>15</v>
      </c>
      <c r="E21" s="14" t="s">
        <v>183</v>
      </c>
      <c r="H21" s="1">
        <f t="shared" si="13"/>
        <v>121815.41484753182</v>
      </c>
      <c r="I21" s="1">
        <f t="shared" si="14"/>
        <v>-60007.593520951588</v>
      </c>
      <c r="J21" s="1">
        <f t="shared" si="15"/>
        <v>-3654.4624454259547</v>
      </c>
      <c r="K21" s="1">
        <f t="shared" si="16"/>
        <v>-63662.055966377542</v>
      </c>
      <c r="L21" s="1">
        <f t="shared" si="12"/>
        <v>61807.821326580233</v>
      </c>
      <c r="M21">
        <f t="shared" si="17"/>
        <v>7</v>
      </c>
      <c r="O21" s="1">
        <f t="shared" si="6"/>
        <v>560384.47585654713</v>
      </c>
      <c r="P21" s="1">
        <f t="shared" si="7"/>
        <v>-2417.7646300690285</v>
      </c>
      <c r="Q21" s="21">
        <f t="shared" si="8"/>
        <v>-2310.9782064115607</v>
      </c>
      <c r="R21" s="1">
        <f t="shared" si="9"/>
        <v>-4728.7428364805892</v>
      </c>
      <c r="S21" s="1">
        <f t="shared" si="10"/>
        <v>557966.7112264781</v>
      </c>
      <c r="T21">
        <f t="shared" si="11"/>
        <v>18</v>
      </c>
    </row>
    <row r="22" spans="3:20" x14ac:dyDescent="0.2">
      <c r="C22" s="11">
        <f>((1.03)^(1/6))-1</f>
        <v>4.938622031196882E-3</v>
      </c>
      <c r="D22" t="s">
        <v>176</v>
      </c>
      <c r="E22" s="14" t="s">
        <v>182</v>
      </c>
      <c r="H22" s="1">
        <f t="shared" si="13"/>
        <v>61807.821326580233</v>
      </c>
      <c r="I22" s="1">
        <f t="shared" si="14"/>
        <v>-61807.821326580131</v>
      </c>
      <c r="J22" s="1">
        <f t="shared" si="15"/>
        <v>-1854.234639797407</v>
      </c>
      <c r="K22" s="1">
        <f t="shared" si="16"/>
        <v>-63662.055966377542</v>
      </c>
      <c r="L22" s="1">
        <f t="shared" si="12"/>
        <v>1.0186340659856796E-10</v>
      </c>
      <c r="M22">
        <f t="shared" si="17"/>
        <v>8</v>
      </c>
      <c r="O22" s="1">
        <f t="shared" si="6"/>
        <v>557966.7112264781</v>
      </c>
      <c r="P22" s="1">
        <f t="shared" si="7"/>
        <v>-2427.7352870180489</v>
      </c>
      <c r="Q22" s="21">
        <f t="shared" si="8"/>
        <v>-2301.0075494625403</v>
      </c>
      <c r="R22" s="1">
        <f t="shared" si="9"/>
        <v>-4728.7428364805892</v>
      </c>
      <c r="S22" s="1">
        <f t="shared" si="10"/>
        <v>555538.9759394601</v>
      </c>
      <c r="T22">
        <f t="shared" si="11"/>
        <v>19</v>
      </c>
    </row>
    <row r="23" spans="3:20" x14ac:dyDescent="0.2">
      <c r="C23" s="1">
        <f>PMT(C22,C21,C20)</f>
        <v>-10480.094404894853</v>
      </c>
      <c r="D23" t="s">
        <v>165</v>
      </c>
      <c r="I23" s="1">
        <f t="shared" si="14"/>
        <v>-599999.99999999965</v>
      </c>
      <c r="J23" s="21">
        <f>SUM(J4:J22)</f>
        <v>-195962.29214807926</v>
      </c>
      <c r="K23" s="1">
        <f>SUM(K4:K22)</f>
        <v>-795962.29214807891</v>
      </c>
      <c r="O23" s="1">
        <f t="shared" si="6"/>
        <v>555538.9759394601</v>
      </c>
      <c r="P23" s="1">
        <f t="shared" si="7"/>
        <v>-2437.7470621134589</v>
      </c>
      <c r="Q23" s="21">
        <f t="shared" si="8"/>
        <v>-2290.9957743671303</v>
      </c>
      <c r="R23" s="1">
        <f t="shared" si="9"/>
        <v>-4728.7428364805892</v>
      </c>
      <c r="S23" s="1">
        <f t="shared" si="10"/>
        <v>553101.22887734661</v>
      </c>
      <c r="T23">
        <f t="shared" si="11"/>
        <v>20</v>
      </c>
    </row>
    <row r="24" spans="3:20" x14ac:dyDescent="0.2">
      <c r="C24" s="1"/>
      <c r="O24" s="1">
        <f t="shared" si="6"/>
        <v>553101.22887734661</v>
      </c>
      <c r="P24" s="1">
        <f t="shared" si="7"/>
        <v>-2447.8001249230188</v>
      </c>
      <c r="Q24" s="21">
        <f t="shared" si="8"/>
        <v>-2280.9427115575704</v>
      </c>
      <c r="R24" s="1">
        <f t="shared" si="9"/>
        <v>-4728.7428364805892</v>
      </c>
      <c r="S24" s="1">
        <f t="shared" si="10"/>
        <v>550653.42875242361</v>
      </c>
      <c r="T24">
        <f t="shared" si="11"/>
        <v>21</v>
      </c>
    </row>
    <row r="25" spans="3:20" x14ac:dyDescent="0.2">
      <c r="C25" t="s">
        <v>178</v>
      </c>
      <c r="H25" s="20">
        <v>600000</v>
      </c>
      <c r="I25" s="1">
        <f>K25-J25</f>
        <v>-26208.375520241338</v>
      </c>
      <c r="J25" s="21">
        <f>H25*-0.0275</f>
        <v>-16500</v>
      </c>
      <c r="K25" s="1">
        <f>PMT(0.0275,18,H25,0)</f>
        <v>-42708.375520241338</v>
      </c>
      <c r="L25" s="1">
        <f>H25+I25</f>
        <v>573791.62447975867</v>
      </c>
      <c r="M25">
        <v>1</v>
      </c>
      <c r="O25" s="1">
        <f t="shared" si="6"/>
        <v>550653.42875242361</v>
      </c>
      <c r="P25" s="1">
        <f t="shared" si="7"/>
        <v>-2457.8946457137704</v>
      </c>
      <c r="Q25" s="21">
        <f t="shared" si="8"/>
        <v>-2270.8481907668188</v>
      </c>
      <c r="R25" s="1">
        <f t="shared" si="9"/>
        <v>-4728.7428364805892</v>
      </c>
      <c r="S25" s="1">
        <f t="shared" si="10"/>
        <v>548195.53410670988</v>
      </c>
      <c r="T25">
        <f t="shared" si="11"/>
        <v>22</v>
      </c>
    </row>
    <row r="26" spans="3:20" x14ac:dyDescent="0.2">
      <c r="C26" s="92" t="s">
        <v>179</v>
      </c>
      <c r="D26" s="92"/>
      <c r="H26" s="1">
        <f>L25</f>
        <v>573791.62447975867</v>
      </c>
      <c r="I26" s="1">
        <f>K26-J26</f>
        <v>-26929.105847047977</v>
      </c>
      <c r="J26" s="21">
        <f>H26*-0.0275</f>
        <v>-15779.269673193363</v>
      </c>
      <c r="K26" s="1">
        <f>K25</f>
        <v>-42708.375520241338</v>
      </c>
      <c r="L26" s="1">
        <f>H26+I26</f>
        <v>546862.51863271068</v>
      </c>
      <c r="M26">
        <f>M25+1</f>
        <v>2</v>
      </c>
      <c r="O26" s="1">
        <f t="shared" si="6"/>
        <v>548195.53410670988</v>
      </c>
      <c r="P26" s="1">
        <f t="shared" si="7"/>
        <v>-2468.0307954549248</v>
      </c>
      <c r="Q26" s="21">
        <f t="shared" si="8"/>
        <v>-2260.7120410256643</v>
      </c>
      <c r="R26" s="1">
        <f t="shared" si="9"/>
        <v>-4728.7428364805892</v>
      </c>
      <c r="S26" s="1">
        <f t="shared" si="10"/>
        <v>545727.5033112549</v>
      </c>
      <c r="T26">
        <f t="shared" si="11"/>
        <v>23</v>
      </c>
    </row>
    <row r="27" spans="3:20" x14ac:dyDescent="0.2">
      <c r="C27" s="1">
        <f>C16*(12*5)</f>
        <v>-283724.57018883538</v>
      </c>
      <c r="D27" s="14" t="s">
        <v>186</v>
      </c>
      <c r="H27" s="1">
        <f t="shared" ref="H27:H42" si="18">L26</f>
        <v>546862.51863271068</v>
      </c>
      <c r="I27" s="1">
        <f t="shared" ref="I27:I43" si="19">K27-J27</f>
        <v>-27669.656257841794</v>
      </c>
      <c r="J27" s="21">
        <f t="shared" ref="J27:J42" si="20">H27*-0.0275</f>
        <v>-15038.719262399543</v>
      </c>
      <c r="K27" s="1">
        <f t="shared" ref="K27:K42" si="21">K26</f>
        <v>-42708.375520241338</v>
      </c>
      <c r="L27" s="1">
        <f t="shared" ref="L27:L42" si="22">H27+I27</f>
        <v>519192.86237486888</v>
      </c>
      <c r="O27" s="1">
        <f t="shared" si="6"/>
        <v>545727.5033112549</v>
      </c>
      <c r="P27" s="1">
        <f t="shared" si="7"/>
        <v>-2478.2087458207538</v>
      </c>
      <c r="Q27" s="21">
        <f t="shared" si="8"/>
        <v>-2250.5340906598353</v>
      </c>
      <c r="R27" s="1">
        <f t="shared" si="9"/>
        <v>-4728.7428364805892</v>
      </c>
      <c r="S27" s="1">
        <f t="shared" si="10"/>
        <v>543249.2945654341</v>
      </c>
      <c r="T27">
        <f t="shared" si="11"/>
        <v>24</v>
      </c>
    </row>
    <row r="28" spans="3:20" x14ac:dyDescent="0.2">
      <c r="C28" s="1">
        <f>C23*48</f>
        <v>-503044.53143495298</v>
      </c>
      <c r="D28" s="14" t="s">
        <v>187</v>
      </c>
      <c r="H28" s="1">
        <f t="shared" si="18"/>
        <v>519192.86237486888</v>
      </c>
      <c r="I28" s="1">
        <f t="shared" si="19"/>
        <v>-28430.571804932442</v>
      </c>
      <c r="J28" s="21">
        <f t="shared" si="20"/>
        <v>-14277.803715308894</v>
      </c>
      <c r="K28" s="1">
        <f t="shared" si="21"/>
        <v>-42708.375520241338</v>
      </c>
      <c r="L28" s="1">
        <f t="shared" si="22"/>
        <v>490762.29056993645</v>
      </c>
      <c r="O28" s="1">
        <f t="shared" si="6"/>
        <v>543249.2945654341</v>
      </c>
      <c r="P28" s="1">
        <f t="shared" si="7"/>
        <v>-2488.4286691934999</v>
      </c>
      <c r="Q28" s="21">
        <f t="shared" si="8"/>
        <v>-2240.3141672870893</v>
      </c>
      <c r="R28" s="1">
        <f t="shared" si="9"/>
        <v>-4728.7428364805892</v>
      </c>
      <c r="S28" s="1">
        <f t="shared" si="10"/>
        <v>540760.86589624058</v>
      </c>
      <c r="T28">
        <f t="shared" si="11"/>
        <v>25</v>
      </c>
    </row>
    <row r="29" spans="3:20" x14ac:dyDescent="0.2">
      <c r="C29" s="1">
        <f>SUM(C27:C28)</f>
        <v>-786769.10162378836</v>
      </c>
      <c r="D29" s="14" t="s">
        <v>180</v>
      </c>
      <c r="H29" s="1">
        <f t="shared" si="18"/>
        <v>490762.29056993645</v>
      </c>
      <c r="I29" s="1">
        <f t="shared" si="19"/>
        <v>-29212.412529568086</v>
      </c>
      <c r="J29" s="21">
        <f t="shared" si="20"/>
        <v>-13495.962990673252</v>
      </c>
      <c r="K29" s="1">
        <f t="shared" si="21"/>
        <v>-42708.375520241338</v>
      </c>
      <c r="L29" s="1">
        <f t="shared" si="22"/>
        <v>461549.87804036838</v>
      </c>
      <c r="O29" s="1">
        <f t="shared" si="6"/>
        <v>540760.86589624058</v>
      </c>
      <c r="P29" s="1">
        <f t="shared" si="7"/>
        <v>-2498.6907386662951</v>
      </c>
      <c r="Q29" s="21">
        <f t="shared" si="8"/>
        <v>-2230.052097814294</v>
      </c>
      <c r="R29" s="1">
        <f t="shared" si="9"/>
        <v>-4728.7428364805892</v>
      </c>
      <c r="S29" s="1">
        <f t="shared" si="10"/>
        <v>538262.17515757424</v>
      </c>
      <c r="T29">
        <f t="shared" si="11"/>
        <v>26</v>
      </c>
    </row>
    <row r="30" spans="3:20" x14ac:dyDescent="0.2">
      <c r="H30" s="1">
        <f t="shared" si="18"/>
        <v>461549.87804036838</v>
      </c>
      <c r="I30" s="1">
        <f t="shared" si="19"/>
        <v>-30015.753874131209</v>
      </c>
      <c r="J30" s="21">
        <f t="shared" si="20"/>
        <v>-12692.62164611013</v>
      </c>
      <c r="K30" s="1">
        <f t="shared" si="21"/>
        <v>-42708.375520241338</v>
      </c>
      <c r="L30" s="1">
        <f t="shared" si="22"/>
        <v>431534.12416623719</v>
      </c>
      <c r="O30" s="1">
        <f t="shared" si="6"/>
        <v>538262.17515757424</v>
      </c>
      <c r="P30" s="1">
        <f t="shared" si="7"/>
        <v>-2508.9951280460941</v>
      </c>
      <c r="Q30" s="21">
        <f t="shared" si="8"/>
        <v>-2219.7477084344951</v>
      </c>
      <c r="R30" s="1">
        <f t="shared" si="9"/>
        <v>-4728.7428364805892</v>
      </c>
      <c r="S30" s="1">
        <f t="shared" si="10"/>
        <v>535753.1800295281</v>
      </c>
      <c r="T30">
        <f t="shared" si="11"/>
        <v>27</v>
      </c>
    </row>
    <row r="31" spans="3:20" x14ac:dyDescent="0.2">
      <c r="C31" s="1">
        <f>PMT((1.0275)^(1/6)-1,9*12,600000)</f>
        <v>-7037.845984086699</v>
      </c>
      <c r="D31" s="14" t="s">
        <v>195</v>
      </c>
      <c r="H31" s="1">
        <f t="shared" si="18"/>
        <v>431534.12416623719</v>
      </c>
      <c r="I31" s="1">
        <f t="shared" si="19"/>
        <v>-30841.187105669815</v>
      </c>
      <c r="J31" s="21">
        <f t="shared" si="20"/>
        <v>-11867.188414571523</v>
      </c>
      <c r="K31" s="1">
        <f t="shared" si="21"/>
        <v>-42708.375520241338</v>
      </c>
      <c r="L31" s="1">
        <f t="shared" si="22"/>
        <v>400692.93706056738</v>
      </c>
      <c r="O31" s="1">
        <f t="shared" si="6"/>
        <v>535753.1800295281</v>
      </c>
      <c r="P31" s="1">
        <f t="shared" si="7"/>
        <v>-2519.342011856615</v>
      </c>
      <c r="Q31" s="21">
        <f t="shared" si="8"/>
        <v>-2209.4008246239741</v>
      </c>
      <c r="R31" s="1">
        <f t="shared" si="9"/>
        <v>-4728.7428364805892</v>
      </c>
      <c r="S31" s="1">
        <f t="shared" si="10"/>
        <v>533233.83801767149</v>
      </c>
      <c r="T31">
        <f t="shared" si="11"/>
        <v>28</v>
      </c>
    </row>
    <row r="32" spans="3:20" x14ac:dyDescent="0.2">
      <c r="C32" s="1">
        <f>C31*(9*12)</f>
        <v>-760087.36628136353</v>
      </c>
      <c r="D32" s="14" t="s">
        <v>188</v>
      </c>
      <c r="H32" s="1">
        <f t="shared" si="18"/>
        <v>400692.93706056738</v>
      </c>
      <c r="I32" s="1">
        <f t="shared" si="19"/>
        <v>-31689.319751075735</v>
      </c>
      <c r="J32" s="21">
        <f t="shared" si="20"/>
        <v>-11019.055769165603</v>
      </c>
      <c r="K32" s="1">
        <f t="shared" si="21"/>
        <v>-42708.375520241338</v>
      </c>
      <c r="L32" s="1">
        <f t="shared" si="22"/>
        <v>369003.61730949162</v>
      </c>
      <c r="O32" s="1">
        <f t="shared" si="6"/>
        <v>533233.83801767149</v>
      </c>
      <c r="P32" s="1">
        <f t="shared" si="7"/>
        <v>-2529.7315653412979</v>
      </c>
      <c r="Q32" s="21">
        <f t="shared" si="8"/>
        <v>-2199.0112711392912</v>
      </c>
      <c r="R32" s="1">
        <f t="shared" si="9"/>
        <v>-4728.7428364805892</v>
      </c>
      <c r="S32" s="1">
        <f t="shared" si="10"/>
        <v>530704.10645233013</v>
      </c>
      <c r="T32">
        <f t="shared" si="11"/>
        <v>29</v>
      </c>
    </row>
    <row r="33" spans="3:20" x14ac:dyDescent="0.2">
      <c r="H33" s="1">
        <f t="shared" si="18"/>
        <v>369003.61730949162</v>
      </c>
      <c r="I33" s="1">
        <f t="shared" si="19"/>
        <v>-32560.776044230319</v>
      </c>
      <c r="J33" s="21">
        <f t="shared" si="20"/>
        <v>-10147.599476011019</v>
      </c>
      <c r="K33" s="1">
        <f t="shared" si="21"/>
        <v>-42708.375520241338</v>
      </c>
      <c r="L33" s="1">
        <f t="shared" si="22"/>
        <v>336442.84126526129</v>
      </c>
      <c r="O33" s="1">
        <f t="shared" si="6"/>
        <v>530704.10645233013</v>
      </c>
      <c r="P33" s="1">
        <f t="shared" si="7"/>
        <v>-2540.1639644662728</v>
      </c>
      <c r="Q33" s="21">
        <f t="shared" si="8"/>
        <v>-2188.5788720143164</v>
      </c>
      <c r="R33" s="1">
        <f t="shared" si="9"/>
        <v>-4728.7428364805892</v>
      </c>
      <c r="S33" s="1">
        <f t="shared" si="10"/>
        <v>528163.94248786382</v>
      </c>
      <c r="T33">
        <f t="shared" si="11"/>
        <v>30</v>
      </c>
    </row>
    <row r="34" spans="3:20" x14ac:dyDescent="0.2">
      <c r="C34" s="1">
        <f>C29-C32</f>
        <v>-26681.735342424829</v>
      </c>
      <c r="D34" s="14" t="s">
        <v>196</v>
      </c>
      <c r="H34" s="1">
        <f t="shared" si="18"/>
        <v>336442.84126526129</v>
      </c>
      <c r="I34" s="1">
        <f t="shared" si="19"/>
        <v>-33456.197385446649</v>
      </c>
      <c r="J34" s="21">
        <f t="shared" si="20"/>
        <v>-9252.1781347946853</v>
      </c>
      <c r="K34" s="1">
        <f t="shared" si="21"/>
        <v>-42708.375520241338</v>
      </c>
      <c r="L34" s="1">
        <f t="shared" si="22"/>
        <v>302986.64387981466</v>
      </c>
      <c r="O34" s="1">
        <f t="shared" si="6"/>
        <v>528163.94248786382</v>
      </c>
      <c r="P34" s="1">
        <f t="shared" si="7"/>
        <v>-2550.6393859233376</v>
      </c>
      <c r="Q34" s="21">
        <f t="shared" si="8"/>
        <v>-2178.1034505572516</v>
      </c>
      <c r="R34" s="1">
        <f t="shared" si="9"/>
        <v>-4728.7428364805892</v>
      </c>
      <c r="S34" s="1">
        <f t="shared" si="10"/>
        <v>525613.30310194043</v>
      </c>
      <c r="T34">
        <f t="shared" si="11"/>
        <v>31</v>
      </c>
    </row>
    <row r="35" spans="3:20" x14ac:dyDescent="0.2">
      <c r="H35" s="1">
        <f t="shared" si="18"/>
        <v>302986.64387981466</v>
      </c>
      <c r="I35" s="1">
        <f t="shared" si="19"/>
        <v>-34376.242813546436</v>
      </c>
      <c r="J35" s="21">
        <f t="shared" si="20"/>
        <v>-8332.1327066949034</v>
      </c>
      <c r="K35" s="1">
        <f t="shared" si="21"/>
        <v>-42708.375520241338</v>
      </c>
      <c r="L35" s="1">
        <f t="shared" si="22"/>
        <v>268610.40106626821</v>
      </c>
      <c r="O35" s="1">
        <f t="shared" si="6"/>
        <v>525613.30310194043</v>
      </c>
      <c r="P35" s="1">
        <f t="shared" si="7"/>
        <v>-2561.1580071329531</v>
      </c>
      <c r="Q35" s="21">
        <f t="shared" si="8"/>
        <v>-2167.5848293476361</v>
      </c>
      <c r="R35" s="1">
        <f t="shared" si="9"/>
        <v>-4728.7428364805892</v>
      </c>
      <c r="S35" s="1">
        <f t="shared" si="10"/>
        <v>523052.14509480749</v>
      </c>
      <c r="T35">
        <f t="shared" si="11"/>
        <v>32</v>
      </c>
    </row>
    <row r="36" spans="3:20" x14ac:dyDescent="0.2">
      <c r="H36" s="1">
        <f t="shared" si="18"/>
        <v>268610.40106626821</v>
      </c>
      <c r="I36" s="1">
        <f t="shared" si="19"/>
        <v>-35321.589490918959</v>
      </c>
      <c r="J36" s="21">
        <f t="shared" si="20"/>
        <v>-7386.7860293223757</v>
      </c>
      <c r="K36" s="1">
        <f t="shared" si="21"/>
        <v>-42708.375520241338</v>
      </c>
      <c r="L36" s="1">
        <f t="shared" si="22"/>
        <v>233288.81157534925</v>
      </c>
      <c r="O36" s="1">
        <f t="shared" si="6"/>
        <v>523052.14509480749</v>
      </c>
      <c r="P36" s="1">
        <f t="shared" si="7"/>
        <v>-2571.7200062472466</v>
      </c>
      <c r="Q36" s="21">
        <f t="shared" si="8"/>
        <v>-2157.0228302333426</v>
      </c>
      <c r="R36" s="1">
        <f t="shared" si="9"/>
        <v>-4728.7428364805892</v>
      </c>
      <c r="S36" s="1">
        <f t="shared" si="10"/>
        <v>520480.42508856027</v>
      </c>
      <c r="T36">
        <f t="shared" si="11"/>
        <v>33</v>
      </c>
    </row>
    <row r="37" spans="3:20" x14ac:dyDescent="0.2">
      <c r="H37" s="1">
        <f t="shared" si="18"/>
        <v>233288.81157534925</v>
      </c>
      <c r="I37" s="1">
        <f t="shared" si="19"/>
        <v>-36292.933201919237</v>
      </c>
      <c r="J37" s="21">
        <f t="shared" si="20"/>
        <v>-6415.4423183221043</v>
      </c>
      <c r="K37" s="1">
        <f t="shared" si="21"/>
        <v>-42708.375520241338</v>
      </c>
      <c r="L37" s="1">
        <f t="shared" si="22"/>
        <v>196995.87837342999</v>
      </c>
      <c r="O37" s="1">
        <f t="shared" si="6"/>
        <v>520480.42508856027</v>
      </c>
      <c r="P37" s="1">
        <f t="shared" si="7"/>
        <v>-2582.3255621530302</v>
      </c>
      <c r="Q37" s="21">
        <f t="shared" si="8"/>
        <v>-2146.417274327559</v>
      </c>
      <c r="R37" s="1">
        <f t="shared" si="9"/>
        <v>-4728.7428364805892</v>
      </c>
      <c r="S37" s="1">
        <f t="shared" si="10"/>
        <v>517898.09952640726</v>
      </c>
      <c r="T37">
        <f t="shared" si="11"/>
        <v>34</v>
      </c>
    </row>
    <row r="38" spans="3:20" x14ac:dyDescent="0.2">
      <c r="H38" s="1">
        <f t="shared" si="18"/>
        <v>196995.87837342999</v>
      </c>
      <c r="I38" s="1">
        <f t="shared" si="19"/>
        <v>-37290.988864972009</v>
      </c>
      <c r="J38" s="21">
        <f t="shared" si="20"/>
        <v>-5417.3866552693253</v>
      </c>
      <c r="K38" s="1">
        <f t="shared" si="21"/>
        <v>-42708.375520241338</v>
      </c>
      <c r="L38" s="1">
        <f t="shared" si="22"/>
        <v>159704.88950845797</v>
      </c>
      <c r="O38" s="1">
        <f t="shared" si="6"/>
        <v>517898.09952640726</v>
      </c>
      <c r="P38" s="1">
        <f t="shared" si="7"/>
        <v>-2592.9748544748304</v>
      </c>
      <c r="Q38" s="21">
        <f t="shared" si="8"/>
        <v>-2135.7679820057588</v>
      </c>
      <c r="R38" s="1">
        <f t="shared" si="9"/>
        <v>-4728.7428364805892</v>
      </c>
      <c r="S38" s="1">
        <f t="shared" si="10"/>
        <v>515305.12467193243</v>
      </c>
      <c r="T38">
        <f t="shared" si="11"/>
        <v>35</v>
      </c>
    </row>
    <row r="39" spans="3:20" x14ac:dyDescent="0.2">
      <c r="H39" s="1">
        <f t="shared" si="18"/>
        <v>159704.88950845797</v>
      </c>
      <c r="I39" s="1">
        <f t="shared" si="19"/>
        <v>-38316.491058758744</v>
      </c>
      <c r="J39" s="21">
        <f t="shared" si="20"/>
        <v>-4391.8844614825939</v>
      </c>
      <c r="K39" s="1">
        <f t="shared" si="21"/>
        <v>-42708.375520241338</v>
      </c>
      <c r="L39" s="1">
        <f t="shared" si="22"/>
        <v>121388.39844969922</v>
      </c>
      <c r="O39" s="1">
        <f t="shared" si="6"/>
        <v>515305.12467193243</v>
      </c>
      <c r="P39" s="1">
        <f t="shared" si="7"/>
        <v>-2603.6680635779294</v>
      </c>
      <c r="Q39" s="21">
        <f t="shared" si="8"/>
        <v>-2125.0747729026598</v>
      </c>
      <c r="R39" s="1">
        <f t="shared" si="9"/>
        <v>-4728.7428364805892</v>
      </c>
      <c r="S39" s="1">
        <f t="shared" si="10"/>
        <v>512701.45660835452</v>
      </c>
      <c r="T39">
        <f t="shared" si="11"/>
        <v>36</v>
      </c>
    </row>
    <row r="40" spans="3:20" x14ac:dyDescent="0.2">
      <c r="H40" s="1">
        <f t="shared" si="18"/>
        <v>121388.39844969922</v>
      </c>
      <c r="I40" s="1">
        <f t="shared" si="19"/>
        <v>-39370.194562874611</v>
      </c>
      <c r="J40" s="21">
        <f t="shared" si="20"/>
        <v>-3338.1809573667288</v>
      </c>
      <c r="K40" s="1">
        <f t="shared" si="21"/>
        <v>-42708.375520241338</v>
      </c>
      <c r="L40" s="1">
        <f t="shared" si="22"/>
        <v>82018.203886824602</v>
      </c>
      <c r="O40" s="1">
        <f t="shared" si="6"/>
        <v>512701.45660835452</v>
      </c>
      <c r="P40" s="1">
        <f t="shared" si="7"/>
        <v>-2614.4053705714205</v>
      </c>
      <c r="Q40" s="21">
        <f t="shared" si="8"/>
        <v>-2114.3374659091687</v>
      </c>
      <c r="R40" s="1">
        <f t="shared" si="9"/>
        <v>-4728.7428364805892</v>
      </c>
      <c r="S40" s="1">
        <f t="shared" si="10"/>
        <v>510087.0512377831</v>
      </c>
      <c r="T40">
        <f t="shared" si="11"/>
        <v>37</v>
      </c>
    </row>
    <row r="41" spans="3:20" x14ac:dyDescent="0.2">
      <c r="H41" s="1">
        <f t="shared" si="18"/>
        <v>82018.203886824602</v>
      </c>
      <c r="I41" s="1">
        <f t="shared" si="19"/>
        <v>-40452.874913353662</v>
      </c>
      <c r="J41" s="21">
        <f t="shared" si="20"/>
        <v>-2255.5006068876764</v>
      </c>
      <c r="K41" s="1">
        <f t="shared" si="21"/>
        <v>-42708.375520241338</v>
      </c>
      <c r="L41" s="1">
        <f t="shared" si="22"/>
        <v>41565.32897347094</v>
      </c>
      <c r="O41" s="1">
        <f t="shared" si="6"/>
        <v>510087.0512377831</v>
      </c>
      <c r="P41" s="1">
        <f t="shared" si="7"/>
        <v>-2625.1869573112758</v>
      </c>
      <c r="Q41" s="21">
        <f t="shared" si="8"/>
        <v>-2103.5558791693134</v>
      </c>
      <c r="R41" s="1">
        <f t="shared" si="9"/>
        <v>-4728.7428364805892</v>
      </c>
      <c r="S41" s="1">
        <f t="shared" si="10"/>
        <v>507461.86428047181</v>
      </c>
      <c r="T41">
        <f t="shared" si="11"/>
        <v>38</v>
      </c>
    </row>
    <row r="42" spans="3:20" x14ac:dyDescent="0.2">
      <c r="H42" s="1">
        <f t="shared" si="18"/>
        <v>41565.32897347094</v>
      </c>
      <c r="I42" s="1">
        <f t="shared" si="19"/>
        <v>-41565.328973470889</v>
      </c>
      <c r="J42" s="21">
        <f t="shared" si="20"/>
        <v>-1143.046546770451</v>
      </c>
      <c r="K42" s="1">
        <f t="shared" si="21"/>
        <v>-42708.375520241338</v>
      </c>
      <c r="L42" s="1">
        <f t="shared" si="22"/>
        <v>0</v>
      </c>
      <c r="O42" s="1">
        <f t="shared" si="6"/>
        <v>507461.86428047181</v>
      </c>
      <c r="P42" s="1">
        <f t="shared" si="7"/>
        <v>-2636.013006403427</v>
      </c>
      <c r="Q42" s="21">
        <f t="shared" si="8"/>
        <v>-2092.7298300771622</v>
      </c>
      <c r="R42" s="1">
        <f t="shared" si="9"/>
        <v>-4728.7428364805892</v>
      </c>
      <c r="S42" s="1">
        <f t="shared" si="10"/>
        <v>504825.85127406841</v>
      </c>
      <c r="T42">
        <f t="shared" si="11"/>
        <v>39</v>
      </c>
    </row>
    <row r="43" spans="3:20" x14ac:dyDescent="0.2">
      <c r="I43" s="1">
        <f t="shared" si="19"/>
        <v>-599999.99999999977</v>
      </c>
      <c r="J43" s="21">
        <f>SUM(J25:J42)</f>
        <v>-168750.75936434424</v>
      </c>
      <c r="K43" s="1">
        <f>SUM(K25:K42)</f>
        <v>-768750.75936434406</v>
      </c>
      <c r="O43" s="1">
        <f t="shared" si="6"/>
        <v>504825.85127406841</v>
      </c>
      <c r="P43" s="1">
        <f t="shared" si="7"/>
        <v>-2646.8837012068552</v>
      </c>
      <c r="Q43" s="21">
        <f t="shared" si="8"/>
        <v>-2081.859135273734</v>
      </c>
      <c r="R43" s="1">
        <f t="shared" si="9"/>
        <v>-4728.7428364805892</v>
      </c>
      <c r="S43" s="1">
        <f t="shared" si="10"/>
        <v>502178.96757286153</v>
      </c>
      <c r="T43">
        <f t="shared" si="11"/>
        <v>40</v>
      </c>
    </row>
    <row r="44" spans="3:20" x14ac:dyDescent="0.2">
      <c r="O44" s="1">
        <f t="shared" si="6"/>
        <v>502178.96757286153</v>
      </c>
      <c r="P44" s="1">
        <f t="shared" si="7"/>
        <v>-2657.7992258367003</v>
      </c>
      <c r="Q44" s="21">
        <f t="shared" si="8"/>
        <v>-2070.9436106438889</v>
      </c>
      <c r="R44" s="1">
        <f t="shared" si="9"/>
        <v>-4728.7428364805892</v>
      </c>
      <c r="S44" s="1">
        <f t="shared" si="10"/>
        <v>499521.16834702482</v>
      </c>
      <c r="T44">
        <f t="shared" si="11"/>
        <v>41</v>
      </c>
    </row>
    <row r="45" spans="3:20" x14ac:dyDescent="0.2">
      <c r="O45" s="1">
        <f t="shared" si="6"/>
        <v>499521.16834702482</v>
      </c>
      <c r="P45" s="1">
        <f t="shared" si="7"/>
        <v>-2668.7597651673768</v>
      </c>
      <c r="Q45" s="21">
        <f t="shared" si="8"/>
        <v>-2059.9830713132123</v>
      </c>
      <c r="R45" s="1">
        <f t="shared" si="9"/>
        <v>-4728.7428364805892</v>
      </c>
      <c r="S45" s="1">
        <f t="shared" si="10"/>
        <v>496852.40858185745</v>
      </c>
      <c r="T45">
        <f t="shared" si="11"/>
        <v>42</v>
      </c>
    </row>
    <row r="46" spans="3:20" x14ac:dyDescent="0.2">
      <c r="O46" s="1">
        <f t="shared" si="6"/>
        <v>496852.40858185745</v>
      </c>
      <c r="P46" s="1">
        <f t="shared" si="7"/>
        <v>-2679.7655048357051</v>
      </c>
      <c r="Q46" s="21">
        <f t="shared" si="8"/>
        <v>-2048.9773316448841</v>
      </c>
      <c r="R46" s="1">
        <f t="shared" si="9"/>
        <v>-4728.7428364805892</v>
      </c>
      <c r="S46" s="1">
        <f t="shared" si="10"/>
        <v>494172.64307702176</v>
      </c>
      <c r="T46">
        <f t="shared" si="11"/>
        <v>43</v>
      </c>
    </row>
    <row r="47" spans="3:20" x14ac:dyDescent="0.2">
      <c r="O47" s="1">
        <f t="shared" si="6"/>
        <v>494172.64307702176</v>
      </c>
      <c r="P47" s="1">
        <f t="shared" si="7"/>
        <v>-2690.8166312440571</v>
      </c>
      <c r="Q47" s="21">
        <f t="shared" si="8"/>
        <v>-2037.926205236532</v>
      </c>
      <c r="R47" s="1">
        <f t="shared" si="9"/>
        <v>-4728.7428364805892</v>
      </c>
      <c r="S47" s="1">
        <f t="shared" si="10"/>
        <v>491481.82644577773</v>
      </c>
      <c r="T47">
        <f t="shared" si="11"/>
        <v>44</v>
      </c>
    </row>
    <row r="48" spans="3:20" x14ac:dyDescent="0.2">
      <c r="O48" s="1">
        <f t="shared" si="6"/>
        <v>491481.82644577773</v>
      </c>
      <c r="P48" s="1">
        <f t="shared" si="7"/>
        <v>-2701.9133315635117</v>
      </c>
      <c r="Q48" s="21">
        <f t="shared" si="8"/>
        <v>-2026.8295049170774</v>
      </c>
      <c r="R48" s="1">
        <f t="shared" si="9"/>
        <v>-4728.7428364805892</v>
      </c>
      <c r="S48" s="1">
        <f t="shared" si="10"/>
        <v>488779.9131142142</v>
      </c>
      <c r="T48">
        <f t="shared" si="11"/>
        <v>45</v>
      </c>
    </row>
    <row r="49" spans="15:20" x14ac:dyDescent="0.2">
      <c r="O49" s="1">
        <f t="shared" si="6"/>
        <v>488779.9131142142</v>
      </c>
      <c r="P49" s="1">
        <f t="shared" si="7"/>
        <v>-2713.0557937370259</v>
      </c>
      <c r="Q49" s="21">
        <f t="shared" si="8"/>
        <v>-2015.6870427435631</v>
      </c>
      <c r="R49" s="1">
        <f t="shared" si="9"/>
        <v>-4728.7428364805892</v>
      </c>
      <c r="S49" s="1">
        <f t="shared" si="10"/>
        <v>486066.8573204772</v>
      </c>
      <c r="T49">
        <f t="shared" si="11"/>
        <v>46</v>
      </c>
    </row>
    <row r="50" spans="15:20" x14ac:dyDescent="0.2">
      <c r="O50" s="1">
        <f t="shared" si="6"/>
        <v>486066.8573204772</v>
      </c>
      <c r="P50" s="1">
        <f t="shared" si="7"/>
        <v>-2724.2442064826173</v>
      </c>
      <c r="Q50" s="21">
        <f t="shared" si="8"/>
        <v>-2004.4986299979719</v>
      </c>
      <c r="R50" s="1">
        <f t="shared" si="9"/>
        <v>-4728.7428364805892</v>
      </c>
      <c r="S50" s="1">
        <f t="shared" si="10"/>
        <v>483342.61311399459</v>
      </c>
      <c r="T50">
        <f t="shared" si="11"/>
        <v>47</v>
      </c>
    </row>
    <row r="51" spans="15:20" x14ac:dyDescent="0.2">
      <c r="O51" s="1">
        <f t="shared" si="6"/>
        <v>483342.61311399459</v>
      </c>
      <c r="P51" s="1">
        <f t="shared" si="7"/>
        <v>-2735.4787592965604</v>
      </c>
      <c r="Q51" s="21">
        <f t="shared" si="8"/>
        <v>-1993.2640771840288</v>
      </c>
      <c r="R51" s="1">
        <f t="shared" si="9"/>
        <v>-4728.7428364805892</v>
      </c>
      <c r="S51" s="1">
        <f t="shared" si="10"/>
        <v>480607.13435469801</v>
      </c>
      <c r="T51">
        <f t="shared" si="11"/>
        <v>48</v>
      </c>
    </row>
    <row r="52" spans="15:20" x14ac:dyDescent="0.2">
      <c r="O52" s="1">
        <f t="shared" si="6"/>
        <v>480607.13435469801</v>
      </c>
      <c r="P52" s="1">
        <f t="shared" si="7"/>
        <v>-2746.7596424565972</v>
      </c>
      <c r="Q52" s="21">
        <f t="shared" si="8"/>
        <v>-1981.9831940239919</v>
      </c>
      <c r="R52" s="1">
        <f t="shared" si="9"/>
        <v>-4728.7428364805892</v>
      </c>
      <c r="S52" s="1">
        <f t="shared" si="10"/>
        <v>477860.37471224141</v>
      </c>
      <c r="T52">
        <f t="shared" si="11"/>
        <v>49</v>
      </c>
    </row>
    <row r="53" spans="15:20" x14ac:dyDescent="0.2">
      <c r="O53" s="1">
        <f t="shared" si="6"/>
        <v>477860.37471224141</v>
      </c>
      <c r="P53" s="1">
        <f t="shared" si="7"/>
        <v>-2758.087047025158</v>
      </c>
      <c r="Q53" s="21">
        <f t="shared" si="8"/>
        <v>-1970.6557894554312</v>
      </c>
      <c r="R53" s="1">
        <f t="shared" si="9"/>
        <v>-4728.7428364805892</v>
      </c>
      <c r="S53" s="1">
        <f t="shared" si="10"/>
        <v>475102.28766521625</v>
      </c>
      <c r="T53">
        <f t="shared" si="11"/>
        <v>50</v>
      </c>
    </row>
    <row r="54" spans="15:20" x14ac:dyDescent="0.2">
      <c r="O54" s="1">
        <f t="shared" si="6"/>
        <v>475102.28766521625</v>
      </c>
      <c r="P54" s="1">
        <f t="shared" si="7"/>
        <v>-2769.4611648525988</v>
      </c>
      <c r="Q54" s="21">
        <f t="shared" si="8"/>
        <v>-1959.2816716279901</v>
      </c>
      <c r="R54" s="1">
        <f t="shared" si="9"/>
        <v>-4728.7428364805892</v>
      </c>
      <c r="S54" s="1">
        <f t="shared" si="10"/>
        <v>472332.82650036365</v>
      </c>
      <c r="T54">
        <f t="shared" si="11"/>
        <v>51</v>
      </c>
    </row>
    <row r="55" spans="15:20" x14ac:dyDescent="0.2">
      <c r="O55" s="1">
        <f t="shared" si="6"/>
        <v>472332.82650036365</v>
      </c>
      <c r="P55" s="1">
        <f t="shared" si="7"/>
        <v>-2780.8821885804509</v>
      </c>
      <c r="Q55" s="21">
        <f t="shared" si="8"/>
        <v>-1947.8606479001382</v>
      </c>
      <c r="R55" s="1">
        <f t="shared" si="9"/>
        <v>-4728.7428364805892</v>
      </c>
      <c r="S55" s="1">
        <f t="shared" si="10"/>
        <v>469551.94431178318</v>
      </c>
      <c r="T55">
        <f t="shared" si="11"/>
        <v>52</v>
      </c>
    </row>
    <row r="56" spans="15:20" x14ac:dyDescent="0.2">
      <c r="O56" s="1">
        <f t="shared" si="6"/>
        <v>469551.94431178318</v>
      </c>
      <c r="P56" s="1">
        <f t="shared" si="7"/>
        <v>-2792.3503116446818</v>
      </c>
      <c r="Q56" s="21">
        <f t="shared" si="8"/>
        <v>-1936.3925248359071</v>
      </c>
      <c r="R56" s="1">
        <f t="shared" si="9"/>
        <v>-4728.7428364805892</v>
      </c>
      <c r="S56" s="1">
        <f t="shared" si="10"/>
        <v>466759.59400013852</v>
      </c>
      <c r="T56">
        <f t="shared" si="11"/>
        <v>53</v>
      </c>
    </row>
    <row r="57" spans="15:20" x14ac:dyDescent="0.2">
      <c r="O57" s="1">
        <f t="shared" si="6"/>
        <v>466759.59400013852</v>
      </c>
      <c r="P57" s="1">
        <f t="shared" si="7"/>
        <v>-2803.8657282789736</v>
      </c>
      <c r="Q57" s="21">
        <f t="shared" si="8"/>
        <v>-1924.8771082016153</v>
      </c>
      <c r="R57" s="1">
        <f t="shared" si="9"/>
        <v>-4728.7428364805892</v>
      </c>
      <c r="S57" s="1">
        <f t="shared" si="10"/>
        <v>463955.72827185952</v>
      </c>
      <c r="T57">
        <f t="shared" si="11"/>
        <v>54</v>
      </c>
    </row>
    <row r="58" spans="15:20" x14ac:dyDescent="0.2">
      <c r="O58" s="1">
        <f t="shared" si="6"/>
        <v>463955.72827185952</v>
      </c>
      <c r="P58" s="1">
        <f t="shared" si="7"/>
        <v>-2815.4286335180113</v>
      </c>
      <c r="Q58" s="21">
        <f t="shared" si="8"/>
        <v>-1913.3142029625776</v>
      </c>
      <c r="R58" s="1">
        <f t="shared" si="9"/>
        <v>-4728.7428364805892</v>
      </c>
      <c r="S58" s="1">
        <f t="shared" si="10"/>
        <v>461140.29963834153</v>
      </c>
      <c r="T58">
        <f t="shared" si="11"/>
        <v>55</v>
      </c>
    </row>
    <row r="59" spans="15:20" x14ac:dyDescent="0.2">
      <c r="O59" s="1">
        <f t="shared" si="6"/>
        <v>461140.29963834153</v>
      </c>
      <c r="P59" s="1">
        <f t="shared" si="7"/>
        <v>-2827.0392232007862</v>
      </c>
      <c r="Q59" s="21">
        <f t="shared" si="8"/>
        <v>-1901.7036132798028</v>
      </c>
      <c r="R59" s="1">
        <f t="shared" si="9"/>
        <v>-4728.7428364805892</v>
      </c>
      <c r="S59" s="1">
        <f t="shared" si="10"/>
        <v>458313.26041514077</v>
      </c>
      <c r="T59">
        <f t="shared" si="11"/>
        <v>56</v>
      </c>
    </row>
    <row r="60" spans="15:20" x14ac:dyDescent="0.2">
      <c r="O60" s="1">
        <f t="shared" si="6"/>
        <v>458313.26041514077</v>
      </c>
      <c r="P60" s="1">
        <f t="shared" si="7"/>
        <v>-2838.6976939739134</v>
      </c>
      <c r="Q60" s="21">
        <f t="shared" si="8"/>
        <v>-1890.045142506676</v>
      </c>
      <c r="R60" s="1">
        <f t="shared" si="9"/>
        <v>-4728.7428364805892</v>
      </c>
      <c r="S60" s="1">
        <f t="shared" si="10"/>
        <v>455474.56272116688</v>
      </c>
      <c r="T60">
        <f t="shared" si="11"/>
        <v>57</v>
      </c>
    </row>
    <row r="61" spans="15:20" x14ac:dyDescent="0.2">
      <c r="O61" s="1">
        <f t="shared" si="6"/>
        <v>455474.56272116688</v>
      </c>
      <c r="P61" s="1">
        <f t="shared" si="7"/>
        <v>-2850.4042432949618</v>
      </c>
      <c r="Q61" s="21">
        <f t="shared" si="8"/>
        <v>-1878.3385931856276</v>
      </c>
      <c r="R61" s="1">
        <f t="shared" si="9"/>
        <v>-4728.7428364805892</v>
      </c>
      <c r="S61" s="1">
        <f t="shared" si="10"/>
        <v>452624.15847787191</v>
      </c>
      <c r="T61">
        <f t="shared" si="11"/>
        <v>58</v>
      </c>
    </row>
    <row r="62" spans="15:20" x14ac:dyDescent="0.2">
      <c r="O62" s="1">
        <f t="shared" si="6"/>
        <v>452624.15847787191</v>
      </c>
      <c r="P62" s="1">
        <f t="shared" si="7"/>
        <v>-2862.1590694357983</v>
      </c>
      <c r="Q62" s="21">
        <f t="shared" si="8"/>
        <v>-1866.5837670447909</v>
      </c>
      <c r="R62" s="1">
        <f t="shared" si="9"/>
        <v>-4728.7428364805892</v>
      </c>
      <c r="S62" s="1">
        <f t="shared" si="10"/>
        <v>449761.99940843612</v>
      </c>
      <c r="T62">
        <f t="shared" si="11"/>
        <v>59</v>
      </c>
    </row>
    <row r="63" spans="15:20" x14ac:dyDescent="0.2">
      <c r="O63" s="1">
        <f t="shared" si="6"/>
        <v>449761.99940843612</v>
      </c>
      <c r="P63" s="1">
        <f t="shared" si="7"/>
        <v>-2873.9623714859472</v>
      </c>
      <c r="Q63" s="21">
        <f t="shared" si="8"/>
        <v>-1854.7804649946418</v>
      </c>
      <c r="R63" s="1">
        <f t="shared" si="9"/>
        <v>-4728.7428364805892</v>
      </c>
      <c r="S63" s="1">
        <f t="shared" si="10"/>
        <v>446888.03703695018</v>
      </c>
      <c r="T63">
        <f t="shared" si="11"/>
        <v>60</v>
      </c>
    </row>
    <row r="64" spans="15:20" x14ac:dyDescent="0.2">
      <c r="O64" s="1"/>
      <c r="P64" s="1"/>
      <c r="Q64" s="21"/>
      <c r="R64" s="1">
        <f>SUM(R4:R63)</f>
        <v>-283724.57018883515</v>
      </c>
      <c r="S64" s="1"/>
    </row>
    <row r="66" spans="15:20" x14ac:dyDescent="0.2">
      <c r="O66" s="1">
        <f>S63</f>
        <v>446888.03703695018</v>
      </c>
      <c r="P66" s="1">
        <f>R66-Q66</f>
        <v>-8273.0832997058424</v>
      </c>
      <c r="Q66" s="21">
        <f>-O66*$C$22</f>
        <v>-2207.0111051890103</v>
      </c>
      <c r="R66" s="1">
        <f>C23</f>
        <v>-10480.094404894853</v>
      </c>
      <c r="S66" s="1">
        <f>O66+P66</f>
        <v>438614.95373724436</v>
      </c>
      <c r="T66">
        <v>1</v>
      </c>
    </row>
    <row r="67" spans="15:20" x14ac:dyDescent="0.2">
      <c r="O67" s="1">
        <f>S66</f>
        <v>438614.95373724436</v>
      </c>
      <c r="P67" s="1">
        <f>R67-Q67</f>
        <v>-8671.2834139343086</v>
      </c>
      <c r="Q67" s="21">
        <f>-O67*$C$15</f>
        <v>-1808.810990960545</v>
      </c>
      <c r="R67" s="1">
        <f>R66</f>
        <v>-10480.094404894853</v>
      </c>
      <c r="S67" s="1">
        <f>O67+P67</f>
        <v>429943.67032331007</v>
      </c>
      <c r="T67">
        <f>T66+1</f>
        <v>2</v>
      </c>
    </row>
    <row r="68" spans="15:20" x14ac:dyDescent="0.2">
      <c r="O68" s="1">
        <f t="shared" ref="O68:O113" si="23">S67</f>
        <v>429943.67032331007</v>
      </c>
      <c r="P68" s="1">
        <f t="shared" ref="P68:P113" si="24">R68-Q68</f>
        <v>-8707.0430537076809</v>
      </c>
      <c r="Q68" s="21">
        <f t="shared" ref="Q68:Q113" si="25">-O68*$C$15</f>
        <v>-1773.0513511871727</v>
      </c>
      <c r="R68" s="1">
        <f t="shared" ref="R68:R113" si="26">R67</f>
        <v>-10480.094404894853</v>
      </c>
      <c r="S68" s="1">
        <f t="shared" ref="S68:S113" si="27">O68+P68</f>
        <v>421236.62726960238</v>
      </c>
      <c r="T68">
        <f t="shared" ref="T68:T113" si="28">T67+1</f>
        <v>3</v>
      </c>
    </row>
    <row r="69" spans="15:20" x14ac:dyDescent="0.2">
      <c r="O69" s="1">
        <f t="shared" si="23"/>
        <v>421236.62726960238</v>
      </c>
      <c r="P69" s="1">
        <f t="shared" si="24"/>
        <v>-8742.950163212543</v>
      </c>
      <c r="Q69" s="21">
        <f t="shared" si="25"/>
        <v>-1737.1442416823108</v>
      </c>
      <c r="R69" s="1">
        <f t="shared" si="26"/>
        <v>-10480.094404894853</v>
      </c>
      <c r="S69" s="1">
        <f t="shared" si="27"/>
        <v>412493.67710638983</v>
      </c>
      <c r="T69">
        <f t="shared" si="28"/>
        <v>4</v>
      </c>
    </row>
    <row r="70" spans="15:20" x14ac:dyDescent="0.2">
      <c r="O70" s="1">
        <f t="shared" si="23"/>
        <v>412493.67710638983</v>
      </c>
      <c r="P70" s="1">
        <f t="shared" si="24"/>
        <v>-8779.0053506015993</v>
      </c>
      <c r="Q70" s="21">
        <f t="shared" si="25"/>
        <v>-1701.0890542932532</v>
      </c>
      <c r="R70" s="1">
        <f t="shared" si="26"/>
        <v>-10480.094404894853</v>
      </c>
      <c r="S70" s="1">
        <f t="shared" si="27"/>
        <v>403714.67175578821</v>
      </c>
      <c r="T70">
        <f t="shared" si="28"/>
        <v>5</v>
      </c>
    </row>
    <row r="71" spans="15:20" x14ac:dyDescent="0.2">
      <c r="O71" s="1">
        <f t="shared" si="23"/>
        <v>403714.67175578821</v>
      </c>
      <c r="P71" s="1">
        <f t="shared" si="24"/>
        <v>-8815.2092265355295</v>
      </c>
      <c r="Q71" s="21">
        <f t="shared" si="25"/>
        <v>-1664.8851783593232</v>
      </c>
      <c r="R71" s="1">
        <f t="shared" si="26"/>
        <v>-10480.094404894853</v>
      </c>
      <c r="S71" s="1">
        <f t="shared" si="27"/>
        <v>394899.46252925269</v>
      </c>
      <c r="T71">
        <f t="shared" si="28"/>
        <v>6</v>
      </c>
    </row>
    <row r="72" spans="15:20" x14ac:dyDescent="0.2">
      <c r="O72" s="1">
        <f t="shared" si="23"/>
        <v>394899.46252925269</v>
      </c>
      <c r="P72" s="1">
        <f t="shared" si="24"/>
        <v>-8851.5624041933224</v>
      </c>
      <c r="Q72" s="21">
        <f t="shared" si="25"/>
        <v>-1628.5320007015314</v>
      </c>
      <c r="R72" s="1">
        <f t="shared" si="26"/>
        <v>-10480.094404894853</v>
      </c>
      <c r="S72" s="1">
        <f t="shared" si="27"/>
        <v>386047.90012505936</v>
      </c>
      <c r="T72">
        <f t="shared" si="28"/>
        <v>7</v>
      </c>
    </row>
    <row r="73" spans="15:20" x14ac:dyDescent="0.2">
      <c r="O73" s="1">
        <f t="shared" si="23"/>
        <v>386047.90012505936</v>
      </c>
      <c r="P73" s="1">
        <f t="shared" si="24"/>
        <v>-8888.0654992826639</v>
      </c>
      <c r="Q73" s="21">
        <f t="shared" si="25"/>
        <v>-1592.0289056121892</v>
      </c>
      <c r="R73" s="1">
        <f t="shared" si="26"/>
        <v>-10480.094404894853</v>
      </c>
      <c r="S73" s="1">
        <f t="shared" si="27"/>
        <v>377159.83462577668</v>
      </c>
      <c r="T73">
        <f t="shared" si="28"/>
        <v>8</v>
      </c>
    </row>
    <row r="74" spans="15:20" x14ac:dyDescent="0.2">
      <c r="O74" s="1">
        <f t="shared" si="23"/>
        <v>377159.83462577668</v>
      </c>
      <c r="P74" s="1">
        <f t="shared" si="24"/>
        <v>-8924.7191300503709</v>
      </c>
      <c r="Q74" s="21">
        <f t="shared" si="25"/>
        <v>-1555.3752748444824</v>
      </c>
      <c r="R74" s="1">
        <f t="shared" si="26"/>
        <v>-10480.094404894853</v>
      </c>
      <c r="S74" s="1">
        <f t="shared" si="27"/>
        <v>368235.11549572629</v>
      </c>
      <c r="T74">
        <f t="shared" si="28"/>
        <v>9</v>
      </c>
    </row>
    <row r="75" spans="15:20" x14ac:dyDescent="0.2">
      <c r="O75" s="1">
        <f t="shared" si="23"/>
        <v>368235.11549572629</v>
      </c>
      <c r="P75" s="1">
        <f t="shared" si="24"/>
        <v>-8961.5239172928541</v>
      </c>
      <c r="Q75" s="21">
        <f t="shared" si="25"/>
        <v>-1518.570487601999</v>
      </c>
      <c r="R75" s="1">
        <f t="shared" si="26"/>
        <v>-10480.094404894853</v>
      </c>
      <c r="S75" s="1">
        <f t="shared" si="27"/>
        <v>359273.59157843346</v>
      </c>
      <c r="T75">
        <f t="shared" si="28"/>
        <v>10</v>
      </c>
    </row>
    <row r="76" spans="15:20" x14ac:dyDescent="0.2">
      <c r="O76" s="1">
        <f t="shared" si="23"/>
        <v>359273.59157843346</v>
      </c>
      <c r="P76" s="1">
        <f t="shared" si="24"/>
        <v>-8998.4804843666388</v>
      </c>
      <c r="Q76" s="21">
        <f t="shared" si="25"/>
        <v>-1481.6139205282152</v>
      </c>
      <c r="R76" s="1">
        <f t="shared" si="26"/>
        <v>-10480.094404894853</v>
      </c>
      <c r="S76" s="1">
        <f t="shared" si="27"/>
        <v>350275.11109406681</v>
      </c>
      <c r="T76">
        <f t="shared" si="28"/>
        <v>11</v>
      </c>
    </row>
    <row r="77" spans="15:20" x14ac:dyDescent="0.2">
      <c r="O77" s="1">
        <f t="shared" si="23"/>
        <v>350275.11109406681</v>
      </c>
      <c r="P77" s="1">
        <f t="shared" si="24"/>
        <v>-9035.5894571989156</v>
      </c>
      <c r="Q77" s="21">
        <f t="shared" si="25"/>
        <v>-1444.5049476959371</v>
      </c>
      <c r="R77" s="1">
        <f t="shared" si="26"/>
        <v>-10480.094404894853</v>
      </c>
      <c r="S77" s="1">
        <f t="shared" si="27"/>
        <v>341239.5216368679</v>
      </c>
      <c r="T77">
        <f t="shared" si="28"/>
        <v>12</v>
      </c>
    </row>
    <row r="78" spans="15:20" x14ac:dyDescent="0.2">
      <c r="O78" s="1">
        <f t="shared" si="23"/>
        <v>341239.5216368679</v>
      </c>
      <c r="P78" s="1">
        <f t="shared" si="24"/>
        <v>-9072.8514642981536</v>
      </c>
      <c r="Q78" s="21">
        <f t="shared" si="25"/>
        <v>-1407.2429405967002</v>
      </c>
      <c r="R78" s="1">
        <f t="shared" si="26"/>
        <v>-10480.094404894853</v>
      </c>
      <c r="S78" s="1">
        <f t="shared" si="27"/>
        <v>332166.67017256975</v>
      </c>
      <c r="T78">
        <f t="shared" si="28"/>
        <v>13</v>
      </c>
    </row>
    <row r="79" spans="15:20" x14ac:dyDescent="0.2">
      <c r="O79" s="1">
        <f t="shared" si="23"/>
        <v>332166.67017256975</v>
      </c>
      <c r="P79" s="1">
        <f t="shared" si="24"/>
        <v>-9110.267136764729</v>
      </c>
      <c r="Q79" s="21">
        <f t="shared" si="25"/>
        <v>-1369.8272681301246</v>
      </c>
      <c r="R79" s="1">
        <f t="shared" si="26"/>
        <v>-10480.094404894853</v>
      </c>
      <c r="S79" s="1">
        <f t="shared" si="27"/>
        <v>323056.40303580504</v>
      </c>
      <c r="T79">
        <f t="shared" si="28"/>
        <v>14</v>
      </c>
    </row>
    <row r="80" spans="15:20" x14ac:dyDescent="0.2">
      <c r="O80" s="1">
        <f t="shared" si="23"/>
        <v>323056.40303580504</v>
      </c>
      <c r="P80" s="1">
        <f t="shared" si="24"/>
        <v>-9147.8371083016282</v>
      </c>
      <c r="Q80" s="21">
        <f t="shared" si="25"/>
        <v>-1332.2572965932252</v>
      </c>
      <c r="R80" s="1">
        <f t="shared" si="26"/>
        <v>-10480.094404894853</v>
      </c>
      <c r="S80" s="1">
        <f t="shared" si="27"/>
        <v>313908.5659275034</v>
      </c>
      <c r="T80">
        <f t="shared" si="28"/>
        <v>15</v>
      </c>
    </row>
    <row r="81" spans="15:20" x14ac:dyDescent="0.2">
      <c r="O81" s="1">
        <f t="shared" si="23"/>
        <v>313908.5659275034</v>
      </c>
      <c r="P81" s="1">
        <f t="shared" si="24"/>
        <v>-9185.562015225174</v>
      </c>
      <c r="Q81" s="21">
        <f t="shared" si="25"/>
        <v>-1294.5323896696798</v>
      </c>
      <c r="R81" s="1">
        <f t="shared" si="26"/>
        <v>-10480.094404894853</v>
      </c>
      <c r="S81" s="1">
        <f t="shared" si="27"/>
        <v>304723.00391227822</v>
      </c>
      <c r="T81">
        <f t="shared" si="28"/>
        <v>16</v>
      </c>
    </row>
    <row r="82" spans="15:20" x14ac:dyDescent="0.2">
      <c r="O82" s="1">
        <f t="shared" si="23"/>
        <v>304723.00391227822</v>
      </c>
      <c r="P82" s="1">
        <f t="shared" si="24"/>
        <v>-9223.4424964758018</v>
      </c>
      <c r="Q82" s="21">
        <f t="shared" si="25"/>
        <v>-1256.6519084190511</v>
      </c>
      <c r="R82" s="1">
        <f t="shared" si="26"/>
        <v>-10480.094404894853</v>
      </c>
      <c r="S82" s="1">
        <f t="shared" si="27"/>
        <v>295499.5614158024</v>
      </c>
      <c r="T82">
        <f t="shared" si="28"/>
        <v>17</v>
      </c>
    </row>
    <row r="83" spans="15:20" x14ac:dyDescent="0.2">
      <c r="O83" s="1">
        <f t="shared" si="23"/>
        <v>295499.5614158024</v>
      </c>
      <c r="P83" s="1">
        <f t="shared" si="24"/>
        <v>-9261.4791936288875</v>
      </c>
      <c r="Q83" s="21">
        <f t="shared" si="25"/>
        <v>-1218.6152112659661</v>
      </c>
      <c r="R83" s="1">
        <f t="shared" si="26"/>
        <v>-10480.094404894853</v>
      </c>
      <c r="S83" s="1">
        <f t="shared" si="27"/>
        <v>286238.08222217351</v>
      </c>
      <c r="T83">
        <f t="shared" si="28"/>
        <v>18</v>
      </c>
    </row>
    <row r="84" spans="15:20" x14ac:dyDescent="0.2">
      <c r="O84" s="1">
        <f t="shared" si="23"/>
        <v>286238.08222217351</v>
      </c>
      <c r="P84" s="1">
        <f t="shared" si="24"/>
        <v>-9299.6727509056054</v>
      </c>
      <c r="Q84" s="21">
        <f t="shared" si="25"/>
        <v>-1180.4216539892484</v>
      </c>
      <c r="R84" s="1">
        <f t="shared" si="26"/>
        <v>-10480.094404894853</v>
      </c>
      <c r="S84" s="1">
        <f t="shared" si="27"/>
        <v>276938.40947126789</v>
      </c>
      <c r="T84">
        <f t="shared" si="28"/>
        <v>19</v>
      </c>
    </row>
    <row r="85" spans="15:20" x14ac:dyDescent="0.2">
      <c r="O85" s="1">
        <f t="shared" si="23"/>
        <v>276938.40947126789</v>
      </c>
      <c r="P85" s="1">
        <f t="shared" si="24"/>
        <v>-9338.0238151838457</v>
      </c>
      <c r="Q85" s="21">
        <f t="shared" si="25"/>
        <v>-1142.0705897110081</v>
      </c>
      <c r="R85" s="1">
        <f t="shared" si="26"/>
        <v>-10480.094404894853</v>
      </c>
      <c r="S85" s="1">
        <f t="shared" si="27"/>
        <v>267600.38565608405</v>
      </c>
      <c r="T85">
        <f t="shared" si="28"/>
        <v>20</v>
      </c>
    </row>
    <row r="86" spans="15:20" x14ac:dyDescent="0.2">
      <c r="O86" s="1">
        <f t="shared" si="23"/>
        <v>267600.38565608405</v>
      </c>
      <c r="P86" s="1">
        <f t="shared" si="24"/>
        <v>-9376.5330360091666</v>
      </c>
      <c r="Q86" s="21">
        <f t="shared" si="25"/>
        <v>-1103.5613688856863</v>
      </c>
      <c r="R86" s="1">
        <f t="shared" si="26"/>
        <v>-10480.094404894853</v>
      </c>
      <c r="S86" s="1">
        <f t="shared" si="27"/>
        <v>258223.85262007487</v>
      </c>
      <c r="T86">
        <f t="shared" si="28"/>
        <v>21</v>
      </c>
    </row>
    <row r="87" spans="15:20" x14ac:dyDescent="0.2">
      <c r="O87" s="1">
        <f t="shared" si="23"/>
        <v>258223.85262007487</v>
      </c>
      <c r="P87" s="1">
        <f t="shared" si="24"/>
        <v>-9415.201065605801</v>
      </c>
      <c r="Q87" s="21">
        <f t="shared" si="25"/>
        <v>-1064.8933392890524</v>
      </c>
      <c r="R87" s="1">
        <f t="shared" si="26"/>
        <v>-10480.094404894853</v>
      </c>
      <c r="S87" s="1">
        <f t="shared" si="27"/>
        <v>248808.65155446908</v>
      </c>
      <c r="T87">
        <f t="shared" si="28"/>
        <v>22</v>
      </c>
    </row>
    <row r="88" spans="15:20" x14ac:dyDescent="0.2">
      <c r="O88" s="1">
        <f t="shared" si="23"/>
        <v>248808.65155446908</v>
      </c>
      <c r="P88" s="1">
        <f t="shared" si="24"/>
        <v>-9454.0285588876941</v>
      </c>
      <c r="Q88" s="21">
        <f t="shared" si="25"/>
        <v>-1026.0658460071581</v>
      </c>
      <c r="R88" s="1">
        <f t="shared" si="26"/>
        <v>-10480.094404894853</v>
      </c>
      <c r="S88" s="1">
        <f t="shared" si="27"/>
        <v>239354.62299558139</v>
      </c>
      <c r="T88">
        <f t="shared" si="28"/>
        <v>23</v>
      </c>
    </row>
    <row r="89" spans="15:20" x14ac:dyDescent="0.2">
      <c r="O89" s="1">
        <f t="shared" si="23"/>
        <v>239354.62299558139</v>
      </c>
      <c r="P89" s="1">
        <f t="shared" si="24"/>
        <v>-9493.0161734696067</v>
      </c>
      <c r="Q89" s="21">
        <f t="shared" si="25"/>
        <v>-987.07823142524592</v>
      </c>
      <c r="R89" s="1">
        <f t="shared" si="26"/>
        <v>-10480.094404894853</v>
      </c>
      <c r="S89" s="1">
        <f t="shared" si="27"/>
        <v>229861.60682211179</v>
      </c>
      <c r="T89">
        <f t="shared" si="28"/>
        <v>24</v>
      </c>
    </row>
    <row r="90" spans="15:20" x14ac:dyDescent="0.2">
      <c r="O90" s="1">
        <f t="shared" si="23"/>
        <v>229861.60682211179</v>
      </c>
      <c r="P90" s="1">
        <f t="shared" si="24"/>
        <v>-9532.1645696782434</v>
      </c>
      <c r="Q90" s="21">
        <f t="shared" si="25"/>
        <v>-947.92983521661029</v>
      </c>
      <c r="R90" s="1">
        <f t="shared" si="26"/>
        <v>-10480.094404894853</v>
      </c>
      <c r="S90" s="1">
        <f t="shared" si="27"/>
        <v>220329.44225243354</v>
      </c>
      <c r="T90">
        <f t="shared" si="28"/>
        <v>25</v>
      </c>
    </row>
    <row r="91" spans="15:20" x14ac:dyDescent="0.2">
      <c r="O91" s="1">
        <f t="shared" si="23"/>
        <v>220329.44225243354</v>
      </c>
      <c r="P91" s="1">
        <f t="shared" si="24"/>
        <v>-9571.4744105634381</v>
      </c>
      <c r="Q91" s="21">
        <f t="shared" si="25"/>
        <v>-908.6199943314142</v>
      </c>
      <c r="R91" s="1">
        <f t="shared" si="26"/>
        <v>-10480.094404894853</v>
      </c>
      <c r="S91" s="1">
        <f t="shared" si="27"/>
        <v>210757.96784187009</v>
      </c>
      <c r="T91">
        <f t="shared" si="28"/>
        <v>26</v>
      </c>
    </row>
    <row r="92" spans="15:20" x14ac:dyDescent="0.2">
      <c r="O92" s="1">
        <f t="shared" si="23"/>
        <v>210757.96784187009</v>
      </c>
      <c r="P92" s="1">
        <f t="shared" si="24"/>
        <v>-9610.9463619093931</v>
      </c>
      <c r="Q92" s="21">
        <f t="shared" si="25"/>
        <v>-869.14804298545937</v>
      </c>
      <c r="R92" s="1">
        <f t="shared" si="26"/>
        <v>-10480.094404894853</v>
      </c>
      <c r="S92" s="1">
        <f t="shared" si="27"/>
        <v>201147.02147996071</v>
      </c>
      <c r="T92">
        <f t="shared" si="28"/>
        <v>27</v>
      </c>
    </row>
    <row r="93" spans="15:20" x14ac:dyDescent="0.2">
      <c r="O93" s="1">
        <f t="shared" si="23"/>
        <v>201147.02147996071</v>
      </c>
      <c r="P93" s="1">
        <f t="shared" si="24"/>
        <v>-9650.5810922459441</v>
      </c>
      <c r="Q93" s="21">
        <f t="shared" si="25"/>
        <v>-829.5133126489095</v>
      </c>
      <c r="R93" s="1">
        <f t="shared" si="26"/>
        <v>-10480.094404894853</v>
      </c>
      <c r="S93" s="1">
        <f t="shared" si="27"/>
        <v>191496.44038771477</v>
      </c>
      <c r="T93">
        <f t="shared" si="28"/>
        <v>28</v>
      </c>
    </row>
    <row r="94" spans="15:20" x14ac:dyDescent="0.2">
      <c r="O94" s="1">
        <f t="shared" si="23"/>
        <v>191496.44038771477</v>
      </c>
      <c r="P94" s="1">
        <f t="shared" si="24"/>
        <v>-9690.3792728598855</v>
      </c>
      <c r="Q94" s="21">
        <f t="shared" si="25"/>
        <v>-789.71513203496795</v>
      </c>
      <c r="R94" s="1">
        <f t="shared" si="26"/>
        <v>-10480.094404894853</v>
      </c>
      <c r="S94" s="1">
        <f t="shared" si="27"/>
        <v>181806.06111485488</v>
      </c>
      <c r="T94">
        <f t="shared" si="28"/>
        <v>29</v>
      </c>
    </row>
    <row r="95" spans="15:20" x14ac:dyDescent="0.2">
      <c r="O95" s="1">
        <f t="shared" si="23"/>
        <v>181806.06111485488</v>
      </c>
      <c r="P95" s="1">
        <f t="shared" si="24"/>
        <v>-9730.3415778063445</v>
      </c>
      <c r="Q95" s="21">
        <f t="shared" si="25"/>
        <v>-749.75282708850784</v>
      </c>
      <c r="R95" s="1">
        <f t="shared" si="26"/>
        <v>-10480.094404894853</v>
      </c>
      <c r="S95" s="1">
        <f t="shared" si="27"/>
        <v>172075.71953704854</v>
      </c>
      <c r="T95">
        <f t="shared" si="28"/>
        <v>30</v>
      </c>
    </row>
    <row r="96" spans="15:20" x14ac:dyDescent="0.2">
      <c r="O96" s="1">
        <f t="shared" si="23"/>
        <v>172075.71953704854</v>
      </c>
      <c r="P96" s="1">
        <f t="shared" si="24"/>
        <v>-9770.4686839201968</v>
      </c>
      <c r="Q96" s="21">
        <f t="shared" si="25"/>
        <v>-709.62572097465636</v>
      </c>
      <c r="R96" s="1">
        <f t="shared" si="26"/>
        <v>-10480.094404894853</v>
      </c>
      <c r="S96" s="1">
        <f t="shared" si="27"/>
        <v>162305.25085312835</v>
      </c>
      <c r="T96">
        <f t="shared" si="28"/>
        <v>31</v>
      </c>
    </row>
    <row r="97" spans="15:20" x14ac:dyDescent="0.2">
      <c r="O97" s="1">
        <f t="shared" si="23"/>
        <v>162305.25085312835</v>
      </c>
      <c r="P97" s="1">
        <f t="shared" si="24"/>
        <v>-9810.7612708275228</v>
      </c>
      <c r="Q97" s="21">
        <f t="shared" si="25"/>
        <v>-669.33313406733043</v>
      </c>
      <c r="R97" s="1">
        <f t="shared" si="26"/>
        <v>-10480.094404894853</v>
      </c>
      <c r="S97" s="1">
        <f t="shared" si="27"/>
        <v>152494.48958230083</v>
      </c>
      <c r="T97">
        <f t="shared" si="28"/>
        <v>32</v>
      </c>
    </row>
    <row r="98" spans="15:20" x14ac:dyDescent="0.2">
      <c r="O98" s="1">
        <f t="shared" si="23"/>
        <v>152494.48958230083</v>
      </c>
      <c r="P98" s="1">
        <f t="shared" si="24"/>
        <v>-9851.2200209571256</v>
      </c>
      <c r="Q98" s="21">
        <f t="shared" si="25"/>
        <v>-628.87438393772675</v>
      </c>
      <c r="R98" s="1">
        <f t="shared" si="26"/>
        <v>-10480.094404894853</v>
      </c>
      <c r="S98" s="1">
        <f t="shared" si="27"/>
        <v>142643.26956134371</v>
      </c>
      <c r="T98">
        <f t="shared" si="28"/>
        <v>33</v>
      </c>
    </row>
    <row r="99" spans="15:20" x14ac:dyDescent="0.2">
      <c r="O99" s="1">
        <f t="shared" si="23"/>
        <v>142643.26956134371</v>
      </c>
      <c r="P99" s="1">
        <f t="shared" si="24"/>
        <v>-9891.8456195520903</v>
      </c>
      <c r="Q99" s="21">
        <f t="shared" si="25"/>
        <v>-588.2487853427632</v>
      </c>
      <c r="R99" s="1">
        <f t="shared" si="26"/>
        <v>-10480.094404894853</v>
      </c>
      <c r="S99" s="1">
        <f t="shared" si="27"/>
        <v>132751.42394179161</v>
      </c>
      <c r="T99">
        <f t="shared" si="28"/>
        <v>34</v>
      </c>
    </row>
    <row r="100" spans="15:20" x14ac:dyDescent="0.2">
      <c r="O100" s="1">
        <f t="shared" si="23"/>
        <v>132751.42394179161</v>
      </c>
      <c r="P100" s="1">
        <f t="shared" si="24"/>
        <v>-9932.6387546813803</v>
      </c>
      <c r="Q100" s="21">
        <f t="shared" si="25"/>
        <v>-547.45565021347306</v>
      </c>
      <c r="R100" s="1">
        <f t="shared" si="26"/>
        <v>-10480.094404894853</v>
      </c>
      <c r="S100" s="1">
        <f t="shared" si="27"/>
        <v>122818.78518711023</v>
      </c>
      <c r="T100">
        <f t="shared" si="28"/>
        <v>35</v>
      </c>
    </row>
    <row r="101" spans="15:20" x14ac:dyDescent="0.2">
      <c r="O101" s="1">
        <f t="shared" si="23"/>
        <v>122818.78518711023</v>
      </c>
      <c r="P101" s="1">
        <f t="shared" si="24"/>
        <v>-9973.6001172515025</v>
      </c>
      <c r="Q101" s="21">
        <f t="shared" si="25"/>
        <v>-506.49428764335153</v>
      </c>
      <c r="R101" s="1">
        <f t="shared" si="26"/>
        <v>-10480.094404894853</v>
      </c>
      <c r="S101" s="1">
        <f t="shared" si="27"/>
        <v>112845.18506985874</v>
      </c>
      <c r="T101">
        <f t="shared" si="28"/>
        <v>36</v>
      </c>
    </row>
    <row r="102" spans="15:20" x14ac:dyDescent="0.2">
      <c r="O102" s="1">
        <f t="shared" si="23"/>
        <v>112845.18506985874</v>
      </c>
      <c r="P102" s="1">
        <f t="shared" si="24"/>
        <v>-10014.7304010182</v>
      </c>
      <c r="Q102" s="21">
        <f t="shared" si="25"/>
        <v>-465.36400387665373</v>
      </c>
      <c r="R102" s="1">
        <f t="shared" si="26"/>
        <v>-10480.094404894853</v>
      </c>
      <c r="S102" s="1">
        <f t="shared" si="27"/>
        <v>102830.45466884054</v>
      </c>
      <c r="T102">
        <f t="shared" si="28"/>
        <v>37</v>
      </c>
    </row>
    <row r="103" spans="15:20" x14ac:dyDescent="0.2">
      <c r="O103" s="1">
        <f t="shared" si="23"/>
        <v>102830.45466884054</v>
      </c>
      <c r="P103" s="1">
        <f t="shared" si="24"/>
        <v>-10056.030302598208</v>
      </c>
      <c r="Q103" s="21">
        <f t="shared" si="25"/>
        <v>-424.06410229664465</v>
      </c>
      <c r="R103" s="1">
        <f t="shared" si="26"/>
        <v>-10480.094404894853</v>
      </c>
      <c r="S103" s="1">
        <f t="shared" si="27"/>
        <v>92774.424366242325</v>
      </c>
      <c r="T103">
        <f t="shared" si="28"/>
        <v>38</v>
      </c>
    </row>
    <row r="104" spans="15:20" x14ac:dyDescent="0.2">
      <c r="O104" s="1">
        <f t="shared" si="23"/>
        <v>92774.424366242325</v>
      </c>
      <c r="P104" s="1">
        <f t="shared" si="24"/>
        <v>-10097.500521481052</v>
      </c>
      <c r="Q104" s="21">
        <f t="shared" si="25"/>
        <v>-382.59388341380082</v>
      </c>
      <c r="R104" s="1">
        <f t="shared" si="26"/>
        <v>-10480.094404894853</v>
      </c>
      <c r="S104" s="1">
        <f t="shared" si="27"/>
        <v>82676.923844761273</v>
      </c>
      <c r="T104">
        <f t="shared" si="28"/>
        <v>39</v>
      </c>
    </row>
    <row r="105" spans="15:20" x14ac:dyDescent="0.2">
      <c r="O105" s="1">
        <f t="shared" si="23"/>
        <v>82676.923844761273</v>
      </c>
      <c r="P105" s="1">
        <f t="shared" si="24"/>
        <v>-10139.141760040889</v>
      </c>
      <c r="Q105" s="21">
        <f t="shared" si="25"/>
        <v>-340.95264485396314</v>
      </c>
      <c r="R105" s="1">
        <f t="shared" si="26"/>
        <v>-10480.094404894853</v>
      </c>
      <c r="S105" s="1">
        <f t="shared" si="27"/>
        <v>72537.782084720384</v>
      </c>
      <c r="T105">
        <f t="shared" si="28"/>
        <v>40</v>
      </c>
    </row>
    <row r="106" spans="15:20" x14ac:dyDescent="0.2">
      <c r="O106" s="1">
        <f t="shared" si="23"/>
        <v>72537.782084720384</v>
      </c>
      <c r="P106" s="1">
        <f t="shared" si="24"/>
        <v>-10180.954723548411</v>
      </c>
      <c r="Q106" s="21">
        <f t="shared" si="25"/>
        <v>-299.1396813464408</v>
      </c>
      <c r="R106" s="1">
        <f t="shared" si="26"/>
        <v>-10480.094404894853</v>
      </c>
      <c r="S106" s="1">
        <f t="shared" si="27"/>
        <v>62356.827361171971</v>
      </c>
      <c r="T106">
        <f t="shared" si="28"/>
        <v>41</v>
      </c>
    </row>
    <row r="107" spans="15:20" x14ac:dyDescent="0.2">
      <c r="O107" s="1">
        <f t="shared" si="23"/>
        <v>62356.827361171971</v>
      </c>
      <c r="P107" s="1">
        <f t="shared" si="24"/>
        <v>-10222.940120182788</v>
      </c>
      <c r="Q107" s="21">
        <f t="shared" si="25"/>
        <v>-257.15428471206621</v>
      </c>
      <c r="R107" s="1">
        <f t="shared" si="26"/>
        <v>-10480.094404894853</v>
      </c>
      <c r="S107" s="1">
        <f t="shared" si="27"/>
        <v>52133.887240989185</v>
      </c>
      <c r="T107">
        <f t="shared" si="28"/>
        <v>42</v>
      </c>
    </row>
    <row r="108" spans="15:20" x14ac:dyDescent="0.2">
      <c r="O108" s="1">
        <f t="shared" si="23"/>
        <v>52133.887240989185</v>
      </c>
      <c r="P108" s="1">
        <f t="shared" si="24"/>
        <v>-10265.098661043652</v>
      </c>
      <c r="Q108" s="21">
        <f t="shared" si="25"/>
        <v>-214.99574385120098</v>
      </c>
      <c r="R108" s="1">
        <f t="shared" si="26"/>
        <v>-10480.094404894853</v>
      </c>
      <c r="S108" s="1">
        <f t="shared" si="27"/>
        <v>41868.788579945533</v>
      </c>
      <c r="T108">
        <f t="shared" si="28"/>
        <v>43</v>
      </c>
    </row>
    <row r="109" spans="15:20" x14ac:dyDescent="0.2">
      <c r="O109" s="1">
        <f t="shared" si="23"/>
        <v>41868.788579945533</v>
      </c>
      <c r="P109" s="1">
        <f t="shared" si="24"/>
        <v>-10307.431060163162</v>
      </c>
      <c r="Q109" s="21">
        <f t="shared" si="25"/>
        <v>-172.66334473169169</v>
      </c>
      <c r="R109" s="1">
        <f t="shared" si="26"/>
        <v>-10480.094404894853</v>
      </c>
      <c r="S109" s="1">
        <f t="shared" si="27"/>
        <v>31561.35751978237</v>
      </c>
      <c r="T109">
        <f t="shared" si="28"/>
        <v>44</v>
      </c>
    </row>
    <row r="110" spans="15:20" x14ac:dyDescent="0.2">
      <c r="O110" s="1">
        <f t="shared" si="23"/>
        <v>31561.35751978237</v>
      </c>
      <c r="P110" s="1">
        <f t="shared" si="24"/>
        <v>-10349.938034518076</v>
      </c>
      <c r="Q110" s="21">
        <f t="shared" si="25"/>
        <v>-130.15637037677681</v>
      </c>
      <c r="R110" s="1">
        <f t="shared" si="26"/>
        <v>-10480.094404894853</v>
      </c>
      <c r="S110" s="1">
        <f t="shared" si="27"/>
        <v>21211.419485264294</v>
      </c>
      <c r="T110">
        <f t="shared" si="28"/>
        <v>45</v>
      </c>
    </row>
    <row r="111" spans="15:20" x14ac:dyDescent="0.2">
      <c r="O111" s="1">
        <f t="shared" si="23"/>
        <v>21211.419485264294</v>
      </c>
      <c r="P111" s="1">
        <f t="shared" si="24"/>
        <v>-10392.62030404191</v>
      </c>
      <c r="Q111" s="21">
        <f t="shared" si="25"/>
        <v>-87.474100852943181</v>
      </c>
      <c r="R111" s="1">
        <f t="shared" si="26"/>
        <v>-10480.094404894853</v>
      </c>
      <c r="S111" s="1">
        <f t="shared" si="27"/>
        <v>10818.799181222385</v>
      </c>
      <c r="T111">
        <f t="shared" si="28"/>
        <v>46</v>
      </c>
    </row>
    <row r="112" spans="15:20" x14ac:dyDescent="0.2">
      <c r="O112" s="1">
        <f t="shared" si="23"/>
        <v>10818.799181222385</v>
      </c>
      <c r="P112" s="1">
        <f t="shared" si="24"/>
        <v>-10435.47859163712</v>
      </c>
      <c r="Q112" s="21">
        <f t="shared" si="25"/>
        <v>-44.615813257732775</v>
      </c>
      <c r="R112" s="1">
        <f t="shared" si="26"/>
        <v>-10480.094404894853</v>
      </c>
      <c r="S112" s="1">
        <f t="shared" si="27"/>
        <v>383.32058958526432</v>
      </c>
      <c r="T112">
        <f t="shared" si="28"/>
        <v>47</v>
      </c>
    </row>
    <row r="113" spans="15:20" x14ac:dyDescent="0.2">
      <c r="O113" s="1">
        <f t="shared" si="23"/>
        <v>383.32058958526432</v>
      </c>
      <c r="P113" s="1">
        <f t="shared" si="24"/>
        <v>-10478.513623187355</v>
      </c>
      <c r="Q113" s="21">
        <f t="shared" si="25"/>
        <v>-1.5807817074988775</v>
      </c>
      <c r="R113" s="1">
        <f t="shared" si="26"/>
        <v>-10480.094404894853</v>
      </c>
      <c r="S113" s="1">
        <f t="shared" si="27"/>
        <v>-10095.193033602091</v>
      </c>
      <c r="T113">
        <f t="shared" si="28"/>
        <v>48</v>
      </c>
    </row>
  </sheetData>
  <mergeCells count="1">
    <mergeCell ref="C26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5774-F997-E740-9E63-DBF904F25C27}">
  <dimension ref="B3:G19"/>
  <sheetViews>
    <sheetView workbookViewId="0">
      <selection activeCell="B18" sqref="B18"/>
    </sheetView>
  </sheetViews>
  <sheetFormatPr baseColWidth="10" defaultRowHeight="16" x14ac:dyDescent="0.2"/>
  <cols>
    <col min="3" max="3" width="13.6640625" bestFit="1" customWidth="1"/>
    <col min="6" max="7" width="14.33203125" bestFit="1" customWidth="1"/>
  </cols>
  <sheetData>
    <row r="3" spans="3:7" x14ac:dyDescent="0.2">
      <c r="C3" t="s">
        <v>33</v>
      </c>
    </row>
    <row r="4" spans="3:7" x14ac:dyDescent="0.2">
      <c r="C4" s="11">
        <v>5.5E-2</v>
      </c>
      <c r="D4" t="s">
        <v>34</v>
      </c>
    </row>
    <row r="5" spans="3:7" x14ac:dyDescent="0.2">
      <c r="C5" s="20">
        <v>20000000</v>
      </c>
      <c r="D5" t="s">
        <v>2</v>
      </c>
    </row>
    <row r="6" spans="3:7" x14ac:dyDescent="0.2">
      <c r="C6" s="3">
        <f>C4/2</f>
        <v>2.75E-2</v>
      </c>
      <c r="D6" t="s">
        <v>169</v>
      </c>
    </row>
    <row r="7" spans="3:7" x14ac:dyDescent="0.2">
      <c r="C7" s="3">
        <f>(1+C6)^(1/6)-1</f>
        <v>4.5316817182770031E-3</v>
      </c>
      <c r="D7" t="s">
        <v>164</v>
      </c>
    </row>
    <row r="8" spans="3:7" x14ac:dyDescent="0.2">
      <c r="C8" s="22">
        <f>25*12</f>
        <v>300</v>
      </c>
      <c r="D8" t="s">
        <v>15</v>
      </c>
    </row>
    <row r="9" spans="3:7" x14ac:dyDescent="0.2">
      <c r="C9" s="1">
        <f>PMT(C7,C8,C5,0)</f>
        <v>-122078.29653280081</v>
      </c>
      <c r="D9" t="s">
        <v>170</v>
      </c>
      <c r="F9" s="1">
        <f>FV(C14,84,C9,C5)</f>
        <v>-14592020.187375246</v>
      </c>
      <c r="G9" s="1"/>
    </row>
    <row r="11" spans="3:7" x14ac:dyDescent="0.2">
      <c r="C11" t="s">
        <v>7</v>
      </c>
    </row>
    <row r="12" spans="3:7" x14ac:dyDescent="0.2">
      <c r="C12" s="2">
        <v>0.04</v>
      </c>
      <c r="D12" t="s">
        <v>35</v>
      </c>
    </row>
    <row r="13" spans="3:7" x14ac:dyDescent="0.2">
      <c r="C13" s="18">
        <f>C12/2</f>
        <v>0.02</v>
      </c>
      <c r="D13" t="s">
        <v>171</v>
      </c>
    </row>
    <row r="14" spans="3:7" x14ac:dyDescent="0.2">
      <c r="C14" s="3">
        <f>(1.02^(1/6))-1</f>
        <v>3.3058903246372395E-3</v>
      </c>
      <c r="D14" t="s">
        <v>172</v>
      </c>
    </row>
    <row r="15" spans="3:7" x14ac:dyDescent="0.2">
      <c r="C15" s="1">
        <f>C9</f>
        <v>-122078.29653280081</v>
      </c>
      <c r="D15" t="s">
        <v>26</v>
      </c>
      <c r="F15" s="11">
        <v>5.5E-2</v>
      </c>
    </row>
    <row r="16" spans="3:7" x14ac:dyDescent="0.2">
      <c r="C16">
        <f>C8-(7*12)</f>
        <v>216</v>
      </c>
      <c r="D16" t="s">
        <v>15</v>
      </c>
      <c r="F16" s="11">
        <v>2.75E-2</v>
      </c>
    </row>
    <row r="17" spans="2:6" x14ac:dyDescent="0.2">
      <c r="B17" t="s">
        <v>28</v>
      </c>
      <c r="C17" s="1">
        <f>PV(C14,C16,C15,0)</f>
        <v>18824789.48350608</v>
      </c>
      <c r="D17" t="s">
        <v>2</v>
      </c>
    </row>
    <row r="18" spans="2:6" x14ac:dyDescent="0.2">
      <c r="C18" s="1"/>
    </row>
    <row r="19" spans="2:6" x14ac:dyDescent="0.2">
      <c r="F19" s="1">
        <f>PV(F16,C16,C15,0)</f>
        <v>4426550.8802966662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F001-64C2-6C4F-990C-1B00F334B9F0}">
  <dimension ref="C3:H12"/>
  <sheetViews>
    <sheetView workbookViewId="0">
      <selection activeCell="H5" sqref="H5"/>
    </sheetView>
  </sheetViews>
  <sheetFormatPr baseColWidth="10" defaultRowHeight="16" x14ac:dyDescent="0.2"/>
  <cols>
    <col min="3" max="3" width="17" bestFit="1" customWidth="1"/>
    <col min="4" max="4" width="14" bestFit="1" customWidth="1"/>
    <col min="5" max="7" width="11.5" bestFit="1" customWidth="1"/>
    <col min="8" max="8" width="14" bestFit="1" customWidth="1"/>
  </cols>
  <sheetData>
    <row r="3" spans="3:8" x14ac:dyDescent="0.2">
      <c r="C3" t="s">
        <v>36</v>
      </c>
      <c r="D3">
        <v>1</v>
      </c>
      <c r="E3">
        <v>2</v>
      </c>
      <c r="F3">
        <v>3</v>
      </c>
      <c r="G3">
        <v>4</v>
      </c>
      <c r="H3">
        <v>5</v>
      </c>
    </row>
    <row r="4" spans="3:8" x14ac:dyDescent="0.2">
      <c r="C4" t="s">
        <v>37</v>
      </c>
      <c r="D4" s="20">
        <v>62700</v>
      </c>
      <c r="E4" s="20">
        <v>64800</v>
      </c>
      <c r="F4" s="15">
        <v>66900</v>
      </c>
      <c r="G4" s="15">
        <v>69200</v>
      </c>
      <c r="H4" s="15">
        <v>71400</v>
      </c>
    </row>
    <row r="5" spans="3:8" x14ac:dyDescent="0.2">
      <c r="C5" t="s">
        <v>38</v>
      </c>
      <c r="H5" s="15">
        <f>H4/0.0375</f>
        <v>1904000</v>
      </c>
    </row>
    <row r="6" spans="3:8" x14ac:dyDescent="0.2">
      <c r="C6" t="s">
        <v>39</v>
      </c>
      <c r="D6" s="20">
        <f>SUM(D4:D5)</f>
        <v>62700</v>
      </c>
      <c r="E6" s="20">
        <f t="shared" ref="E6:H6" si="0">SUM(E4:E5)</f>
        <v>64800</v>
      </c>
      <c r="F6" s="20">
        <f t="shared" si="0"/>
        <v>66900</v>
      </c>
      <c r="G6" s="20">
        <f t="shared" si="0"/>
        <v>69200</v>
      </c>
      <c r="H6" s="20">
        <f t="shared" si="0"/>
        <v>1975400</v>
      </c>
    </row>
    <row r="8" spans="3:8" x14ac:dyDescent="0.2">
      <c r="C8" t="s">
        <v>41</v>
      </c>
      <c r="D8" s="2">
        <v>0.05</v>
      </c>
    </row>
    <row r="10" spans="3:8" x14ac:dyDescent="0.2">
      <c r="C10" t="s">
        <v>40</v>
      </c>
      <c r="D10" s="4">
        <f>D6*(1.05)^-D3</f>
        <v>59714.28571428571</v>
      </c>
      <c r="E10" s="4">
        <f t="shared" ref="E10:H10" si="1">E6*(1.05)^-E3</f>
        <v>58775.510204081627</v>
      </c>
      <c r="F10" s="4">
        <f t="shared" si="1"/>
        <v>57790.735341755746</v>
      </c>
      <c r="G10" s="4">
        <f t="shared" si="1"/>
        <v>56931.011255598234</v>
      </c>
      <c r="H10" s="4">
        <f t="shared" si="1"/>
        <v>1547777.5892417938</v>
      </c>
    </row>
    <row r="11" spans="3:8" x14ac:dyDescent="0.2">
      <c r="D11" s="4"/>
      <c r="E11" s="4"/>
      <c r="F11" s="4"/>
      <c r="G11" s="4"/>
      <c r="H11" s="4"/>
    </row>
    <row r="12" spans="3:8" x14ac:dyDescent="0.2">
      <c r="C12" t="s">
        <v>42</v>
      </c>
      <c r="D12" s="4">
        <f>SUM(D10:H10)</f>
        <v>1780989.131757515</v>
      </c>
      <c r="E12" s="4"/>
      <c r="F12" s="4"/>
      <c r="G12" s="4"/>
      <c r="H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1904-E955-0D47-93BA-581B8FC2B7BC}">
  <dimension ref="B2:M22"/>
  <sheetViews>
    <sheetView workbookViewId="0">
      <selection activeCell="H22" sqref="H22"/>
    </sheetView>
  </sheetViews>
  <sheetFormatPr baseColWidth="10" defaultRowHeight="16" x14ac:dyDescent="0.2"/>
  <cols>
    <col min="4" max="4" width="11.1640625" bestFit="1" customWidth="1"/>
    <col min="10" max="10" width="11.1640625" bestFit="1" customWidth="1"/>
    <col min="12" max="12" width="14" bestFit="1" customWidth="1"/>
  </cols>
  <sheetData>
    <row r="2" spans="2:12" x14ac:dyDescent="0.2">
      <c r="B2" t="s">
        <v>47</v>
      </c>
      <c r="D2" t="s">
        <v>48</v>
      </c>
      <c r="H2" t="s">
        <v>50</v>
      </c>
      <c r="I2" t="s">
        <v>51</v>
      </c>
    </row>
    <row r="4" spans="2:12" x14ac:dyDescent="0.2">
      <c r="B4" t="s">
        <v>43</v>
      </c>
      <c r="D4" s="20">
        <v>300</v>
      </c>
      <c r="E4" t="s">
        <v>44</v>
      </c>
    </row>
    <row r="5" spans="2:12" x14ac:dyDescent="0.2">
      <c r="B5" t="s">
        <v>9</v>
      </c>
      <c r="D5" s="2">
        <v>0.06</v>
      </c>
      <c r="E5" t="s">
        <v>45</v>
      </c>
    </row>
    <row r="6" spans="2:12" x14ac:dyDescent="0.2">
      <c r="B6" t="s">
        <v>49</v>
      </c>
      <c r="D6" s="23">
        <v>168000000</v>
      </c>
      <c r="E6" t="s">
        <v>8</v>
      </c>
    </row>
    <row r="7" spans="2:12" x14ac:dyDescent="0.2">
      <c r="B7" t="s">
        <v>46</v>
      </c>
      <c r="D7" s="23">
        <v>14200000</v>
      </c>
      <c r="E7" t="s">
        <v>8</v>
      </c>
    </row>
    <row r="8" spans="2:12" x14ac:dyDescent="0.2">
      <c r="B8" t="s">
        <v>52</v>
      </c>
      <c r="D8" s="23">
        <v>1500000</v>
      </c>
      <c r="E8" t="s">
        <v>53</v>
      </c>
    </row>
    <row r="9" spans="2:12" x14ac:dyDescent="0.2">
      <c r="B9" t="s">
        <v>56</v>
      </c>
      <c r="D9" s="2">
        <v>7.0000000000000007E-2</v>
      </c>
    </row>
    <row r="10" spans="2:12" x14ac:dyDescent="0.2">
      <c r="G10" t="s">
        <v>18</v>
      </c>
      <c r="H10" s="14" t="s">
        <v>55</v>
      </c>
    </row>
    <row r="11" spans="2:12" x14ac:dyDescent="0.2">
      <c r="H11" s="25">
        <f>D7/D6</f>
        <v>8.4523809523809529E-2</v>
      </c>
    </row>
    <row r="13" spans="2:12" x14ac:dyDescent="0.2">
      <c r="G13" t="s">
        <v>54</v>
      </c>
      <c r="H13" s="14" t="s">
        <v>57</v>
      </c>
    </row>
    <row r="14" spans="2:12" x14ac:dyDescent="0.2">
      <c r="H14" s="26">
        <f>D4*(1+D5)</f>
        <v>318</v>
      </c>
      <c r="I14" s="17" t="s">
        <v>44</v>
      </c>
    </row>
    <row r="16" spans="2:12" x14ac:dyDescent="0.2">
      <c r="G16" t="s">
        <v>58</v>
      </c>
      <c r="H16" t="s">
        <v>7</v>
      </c>
      <c r="L16" t="s">
        <v>61</v>
      </c>
    </row>
    <row r="17" spans="7:13" x14ac:dyDescent="0.2">
      <c r="H17" t="s">
        <v>63</v>
      </c>
      <c r="J17" s="23">
        <f>D6</f>
        <v>168000000</v>
      </c>
      <c r="L17" s="23">
        <f>J17</f>
        <v>168000000</v>
      </c>
      <c r="M17" t="s">
        <v>64</v>
      </c>
    </row>
    <row r="18" spans="7:13" x14ac:dyDescent="0.2">
      <c r="H18" t="s">
        <v>59</v>
      </c>
      <c r="J18" s="23">
        <f>D7</f>
        <v>14200000</v>
      </c>
      <c r="L18" s="10">
        <f>J18-(J20*2)</f>
        <v>11200000</v>
      </c>
      <c r="M18" s="14" t="s">
        <v>62</v>
      </c>
    </row>
    <row r="19" spans="7:13" x14ac:dyDescent="0.2">
      <c r="H19" t="s">
        <v>65</v>
      </c>
      <c r="J19" s="3">
        <f>J18/J17</f>
        <v>8.4523809523809529E-2</v>
      </c>
      <c r="L19" s="25">
        <f>L18/L17</f>
        <v>6.6666666666666666E-2</v>
      </c>
    </row>
    <row r="20" spans="7:13" x14ac:dyDescent="0.2">
      <c r="H20" t="s">
        <v>60</v>
      </c>
      <c r="J20" s="23">
        <f>D8</f>
        <v>1500000</v>
      </c>
    </row>
    <row r="22" spans="7:13" x14ac:dyDescent="0.2">
      <c r="G22" t="s">
        <v>66</v>
      </c>
      <c r="H2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C5E-7BB4-C949-9121-3D2AE2F39193}">
  <dimension ref="B3:F14"/>
  <sheetViews>
    <sheetView workbookViewId="0">
      <selection activeCell="E10" sqref="E10"/>
    </sheetView>
  </sheetViews>
  <sheetFormatPr baseColWidth="10" defaultRowHeight="16" x14ac:dyDescent="0.2"/>
  <cols>
    <col min="3" max="3" width="15" bestFit="1" customWidth="1"/>
    <col min="5" max="5" width="11.1640625" bestFit="1" customWidth="1"/>
  </cols>
  <sheetData>
    <row r="3" spans="2:6" x14ac:dyDescent="0.2">
      <c r="C3" t="s">
        <v>68</v>
      </c>
      <c r="E3" t="s">
        <v>69</v>
      </c>
    </row>
    <row r="4" spans="2:6" x14ac:dyDescent="0.2">
      <c r="C4" s="23">
        <v>128000</v>
      </c>
      <c r="D4" t="s">
        <v>8</v>
      </c>
      <c r="E4" s="20">
        <v>25850000</v>
      </c>
      <c r="F4" t="s">
        <v>70</v>
      </c>
    </row>
    <row r="5" spans="2:6" x14ac:dyDescent="0.2">
      <c r="E5" s="23">
        <v>97000</v>
      </c>
      <c r="F5" t="s">
        <v>8</v>
      </c>
    </row>
    <row r="6" spans="2:6" x14ac:dyDescent="0.2">
      <c r="E6" s="1">
        <f>E4/E5</f>
        <v>266.49484536082474</v>
      </c>
      <c r="F6" t="s">
        <v>71</v>
      </c>
    </row>
    <row r="8" spans="2:6" x14ac:dyDescent="0.2">
      <c r="D8" s="27" t="s">
        <v>73</v>
      </c>
      <c r="E8" s="2">
        <v>0.08</v>
      </c>
      <c r="F8" t="s">
        <v>72</v>
      </c>
    </row>
    <row r="10" spans="2:6" x14ac:dyDescent="0.2">
      <c r="E10" s="24">
        <f>E6*(1-E8)</f>
        <v>245.17525773195877</v>
      </c>
      <c r="F10" t="s">
        <v>74</v>
      </c>
    </row>
    <row r="12" spans="2:6" x14ac:dyDescent="0.2">
      <c r="E12" s="2">
        <v>0.05</v>
      </c>
      <c r="F12" t="s">
        <v>75</v>
      </c>
    </row>
    <row r="14" spans="2:6" x14ac:dyDescent="0.2">
      <c r="B14" t="s">
        <v>77</v>
      </c>
      <c r="C14" s="15">
        <f>C4*E14</f>
        <v>32951554.639175259</v>
      </c>
      <c r="E14" s="24">
        <f>E10*(1+E12)</f>
        <v>257.4340206185567</v>
      </c>
      <c r="F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0FC-6AB8-6947-BB17-81FDDCA055F9}">
  <dimension ref="C2:P29"/>
  <sheetViews>
    <sheetView workbookViewId="0">
      <selection activeCell="F2" sqref="F2:P29"/>
    </sheetView>
  </sheetViews>
  <sheetFormatPr baseColWidth="10" defaultRowHeight="16" x14ac:dyDescent="0.2"/>
  <cols>
    <col min="6" max="6" width="2.83203125" bestFit="1" customWidth="1"/>
    <col min="7" max="7" width="18.33203125" customWidth="1"/>
    <col min="8" max="15" width="13" customWidth="1"/>
    <col min="16" max="16" width="11.5" bestFit="1" customWidth="1"/>
  </cols>
  <sheetData>
    <row r="2" spans="3:16" ht="17" thickBot="1" x14ac:dyDescent="0.25"/>
    <row r="3" spans="3:16" ht="17" thickBot="1" x14ac:dyDescent="0.25">
      <c r="C3" t="s">
        <v>78</v>
      </c>
      <c r="G3" s="33" t="s">
        <v>36</v>
      </c>
      <c r="H3" s="34"/>
      <c r="I3" s="34">
        <v>1</v>
      </c>
      <c r="J3" s="34">
        <v>2</v>
      </c>
      <c r="K3" s="34">
        <v>3</v>
      </c>
      <c r="L3" s="34">
        <v>4</v>
      </c>
      <c r="M3" s="34">
        <v>5</v>
      </c>
      <c r="N3" s="34">
        <v>6</v>
      </c>
      <c r="O3" s="34">
        <v>7</v>
      </c>
      <c r="P3" s="35">
        <v>8</v>
      </c>
    </row>
    <row r="4" spans="3:16" x14ac:dyDescent="0.2">
      <c r="C4">
        <v>90</v>
      </c>
      <c r="D4" t="s">
        <v>79</v>
      </c>
      <c r="F4" t="s">
        <v>18</v>
      </c>
      <c r="G4" t="s">
        <v>194</v>
      </c>
      <c r="I4" s="20">
        <f>C5</f>
        <v>970000</v>
      </c>
      <c r="J4" s="28">
        <f>I4*(1+$C$6)</f>
        <v>1003949.9999999999</v>
      </c>
      <c r="K4" s="28">
        <f t="shared" ref="K4:P4" si="0">J4*(1+$C$6)</f>
        <v>1039088.2499999998</v>
      </c>
      <c r="L4" s="28">
        <f t="shared" si="0"/>
        <v>1075456.3387499996</v>
      </c>
      <c r="M4" s="28">
        <f t="shared" si="0"/>
        <v>1113097.3106062496</v>
      </c>
      <c r="N4" s="28">
        <f t="shared" si="0"/>
        <v>1152055.7164774681</v>
      </c>
      <c r="O4" s="28">
        <f t="shared" si="0"/>
        <v>1192377.6665541795</v>
      </c>
      <c r="P4" s="28">
        <f t="shared" si="0"/>
        <v>1234110.8848835756</v>
      </c>
    </row>
    <row r="5" spans="3:16" x14ac:dyDescent="0.2">
      <c r="C5" s="20">
        <v>970000</v>
      </c>
      <c r="D5" t="s">
        <v>80</v>
      </c>
      <c r="G5" t="s">
        <v>88</v>
      </c>
      <c r="O5" s="29">
        <f>P4/C7</f>
        <v>15924011.417852588</v>
      </c>
    </row>
    <row r="6" spans="3:16" x14ac:dyDescent="0.2">
      <c r="C6" s="11">
        <v>3.5000000000000003E-2</v>
      </c>
      <c r="D6" t="s">
        <v>81</v>
      </c>
      <c r="G6" t="s">
        <v>192</v>
      </c>
      <c r="I6" s="20">
        <f>SUM(I4:I5)/1.1^I3</f>
        <v>881818.18181818177</v>
      </c>
      <c r="J6" s="20">
        <f>SUM(J4:J5)/1.1^J3</f>
        <v>829710.74380165269</v>
      </c>
      <c r="K6" s="20">
        <f>SUM(K4:K5)/1.1^K3</f>
        <v>780682.38166791841</v>
      </c>
      <c r="L6" s="20">
        <f>SUM(L4:L5)/1.1^L3</f>
        <v>734551.15002390498</v>
      </c>
      <c r="M6" s="20">
        <f>SUM(M4:M5)/1.1^M3</f>
        <v>691145.85479521961</v>
      </c>
      <c r="N6" s="20">
        <f>SUM(N4:N5)/1.1^N3</f>
        <v>650305.4179209565</v>
      </c>
      <c r="O6" s="20">
        <f>SUM(O4:O5)/1.1^O3</f>
        <v>8783414.0134587809</v>
      </c>
    </row>
    <row r="7" spans="3:16" x14ac:dyDescent="0.2">
      <c r="C7" s="11">
        <v>7.7499999999999999E-2</v>
      </c>
      <c r="D7" t="s">
        <v>82</v>
      </c>
    </row>
    <row r="8" spans="3:16" x14ac:dyDescent="0.2">
      <c r="C8" s="2">
        <v>0.1</v>
      </c>
      <c r="D8" t="s">
        <v>83</v>
      </c>
      <c r="F8" t="s">
        <v>54</v>
      </c>
      <c r="G8" t="s">
        <v>191</v>
      </c>
      <c r="H8" s="20">
        <f>SUM(I6:O6)</f>
        <v>13351627.743486615</v>
      </c>
      <c r="I8" s="14"/>
    </row>
    <row r="9" spans="3:16" x14ac:dyDescent="0.2"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3:16" x14ac:dyDescent="0.2">
      <c r="G10" t="s">
        <v>193</v>
      </c>
      <c r="H10" s="20">
        <f>-H8</f>
        <v>-13351627.743486615</v>
      </c>
    </row>
    <row r="11" spans="3:16" x14ac:dyDescent="0.2">
      <c r="G11" t="s">
        <v>194</v>
      </c>
      <c r="I11" s="20">
        <f>C5</f>
        <v>970000</v>
      </c>
      <c r="J11" s="28">
        <f>I11*(1+$C$6)</f>
        <v>1003949.9999999999</v>
      </c>
      <c r="K11" s="28">
        <f t="shared" ref="K11:P11" si="1">J11*(1+$C$6)</f>
        <v>1039088.2499999998</v>
      </c>
      <c r="L11" s="28">
        <f t="shared" si="1"/>
        <v>1075456.3387499996</v>
      </c>
      <c r="M11" s="28">
        <f t="shared" si="1"/>
        <v>1113097.3106062496</v>
      </c>
      <c r="N11" s="28">
        <f t="shared" si="1"/>
        <v>1152055.7164774681</v>
      </c>
      <c r="O11" s="28">
        <f t="shared" si="1"/>
        <v>1192377.6665541795</v>
      </c>
      <c r="P11" s="28">
        <f t="shared" si="1"/>
        <v>1234110.8848835756</v>
      </c>
    </row>
    <row r="12" spans="3:16" x14ac:dyDescent="0.2">
      <c r="G12" t="s">
        <v>89</v>
      </c>
      <c r="O12" s="29">
        <f>P11/0.085</f>
        <v>14518951.586865595</v>
      </c>
    </row>
    <row r="13" spans="3:16" x14ac:dyDescent="0.2">
      <c r="G13" t="s">
        <v>85</v>
      </c>
      <c r="H13" s="20">
        <f>SUM(H10:H12)</f>
        <v>-13351627.743486615</v>
      </c>
      <c r="I13" s="20">
        <f>SUM(I10:I12)</f>
        <v>970000</v>
      </c>
      <c r="J13" s="20">
        <f>SUM(J10:J12)</f>
        <v>1003949.9999999999</v>
      </c>
      <c r="K13" s="20">
        <f>SUM(K10:K12)</f>
        <v>1039088.2499999998</v>
      </c>
      <c r="L13" s="20">
        <f>SUM(L10:L12)</f>
        <v>1075456.3387499996</v>
      </c>
      <c r="M13" s="20">
        <f>SUM(M10:M12)</f>
        <v>1113097.3106062496</v>
      </c>
      <c r="N13" s="20">
        <f>SUM(N10:N12)</f>
        <v>1152055.7164774681</v>
      </c>
      <c r="O13" s="20">
        <f>SUM(O10:O12)</f>
        <v>15711329.253419774</v>
      </c>
    </row>
    <row r="15" spans="3:16" x14ac:dyDescent="0.2">
      <c r="F15" t="s">
        <v>58</v>
      </c>
      <c r="G15" t="s">
        <v>0</v>
      </c>
      <c r="H15" s="12">
        <f>IRR(H13:O13)</f>
        <v>8.9320287776835094E-2</v>
      </c>
    </row>
    <row r="16" spans="3:16" x14ac:dyDescent="0.2"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6:16" x14ac:dyDescent="0.2">
      <c r="G17" t="s">
        <v>193</v>
      </c>
      <c r="H17" s="20">
        <f>H10</f>
        <v>-13351627.743486615</v>
      </c>
    </row>
    <row r="18" spans="6:16" x14ac:dyDescent="0.2">
      <c r="G18" s="97" t="s">
        <v>194</v>
      </c>
      <c r="I18" s="20">
        <f>I11</f>
        <v>970000</v>
      </c>
      <c r="J18" s="28">
        <f>I18*(1+$C$6)</f>
        <v>1003949.9999999999</v>
      </c>
      <c r="K18" s="28">
        <f t="shared" ref="K18:P18" si="2">J18*(1+$C$6)</f>
        <v>1039088.2499999998</v>
      </c>
      <c r="L18" s="28">
        <f t="shared" si="2"/>
        <v>1075456.3387499996</v>
      </c>
      <c r="M18" s="28">
        <f t="shared" si="2"/>
        <v>1113097.3106062496</v>
      </c>
      <c r="N18" s="28">
        <f t="shared" si="2"/>
        <v>1152055.7164774681</v>
      </c>
      <c r="O18" s="28">
        <f t="shared" si="2"/>
        <v>1192377.6665541795</v>
      </c>
      <c r="P18" s="28">
        <f t="shared" si="2"/>
        <v>1234110.8848835756</v>
      </c>
    </row>
    <row r="19" spans="6:16" x14ac:dyDescent="0.2">
      <c r="G19" t="s">
        <v>89</v>
      </c>
      <c r="O19" s="29">
        <f>P18/0.085</f>
        <v>14518951.586865595</v>
      </c>
    </row>
    <row r="20" spans="6:16" x14ac:dyDescent="0.2">
      <c r="G20" t="s">
        <v>85</v>
      </c>
      <c r="H20" s="20">
        <f>SUM(H17:H19)</f>
        <v>-13351627.743486615</v>
      </c>
      <c r="I20" s="20">
        <f>SUM(I17:I19)</f>
        <v>970000</v>
      </c>
      <c r="J20" s="20">
        <f>SUM(J17:J19)</f>
        <v>1003949.9999999999</v>
      </c>
      <c r="K20" s="20">
        <f>SUM(K17:K19)</f>
        <v>1039088.2499999998</v>
      </c>
      <c r="L20" s="20">
        <f>SUM(L17:L19)</f>
        <v>1075456.3387499996</v>
      </c>
      <c r="M20" s="20">
        <f>SUM(M17:M19)</f>
        <v>1113097.3106062496</v>
      </c>
      <c r="N20" s="20">
        <f>SUM(N17:N19)</f>
        <v>1152055.7164774681</v>
      </c>
      <c r="O20" s="20">
        <f>SUM(O17:O19)</f>
        <v>15711329.253419774</v>
      </c>
    </row>
    <row r="22" spans="6:16" x14ac:dyDescent="0.2">
      <c r="F22" t="s">
        <v>86</v>
      </c>
      <c r="G22" s="31" t="s">
        <v>87</v>
      </c>
      <c r="H22" s="32">
        <f>NPV(0.1,H20:O20)</f>
        <v>-655470.78079167323</v>
      </c>
    </row>
    <row r="23" spans="6:16" x14ac:dyDescent="0.2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6:16" x14ac:dyDescent="0.2">
      <c r="G24" s="97" t="s">
        <v>194</v>
      </c>
      <c r="I24" s="20">
        <v>970000</v>
      </c>
      <c r="J24" s="28">
        <f>I24*(1+$C$6)</f>
        <v>1003949.9999999999</v>
      </c>
      <c r="K24" s="28">
        <f t="shared" ref="K24:P24" si="3">J24*(1+$C$6)</f>
        <v>1039088.2499999998</v>
      </c>
      <c r="L24" s="28">
        <f t="shared" si="3"/>
        <v>1075456.3387499996</v>
      </c>
      <c r="M24" s="28">
        <f t="shared" si="3"/>
        <v>1113097.3106062496</v>
      </c>
      <c r="N24" s="28">
        <f t="shared" si="3"/>
        <v>1152055.7164774681</v>
      </c>
      <c r="O24" s="28">
        <f t="shared" si="3"/>
        <v>1192377.6665541795</v>
      </c>
      <c r="P24" s="28">
        <f t="shared" si="3"/>
        <v>1234110.8848835756</v>
      </c>
    </row>
    <row r="25" spans="6:16" x14ac:dyDescent="0.2">
      <c r="G25" t="s">
        <v>89</v>
      </c>
      <c r="O25" s="29">
        <f>P24/0.085</f>
        <v>14518951.586865595</v>
      </c>
    </row>
    <row r="26" spans="6:16" x14ac:dyDescent="0.2">
      <c r="G26" t="s">
        <v>85</v>
      </c>
      <c r="I26" s="20">
        <f>SUM(I24:I25)</f>
        <v>970000</v>
      </c>
      <c r="J26" s="20">
        <f>SUM(J24:J25)</f>
        <v>1003949.9999999999</v>
      </c>
      <c r="K26" s="20">
        <f>SUM(K24:K25)</f>
        <v>1039088.2499999998</v>
      </c>
      <c r="L26" s="20">
        <f>SUM(L24:L25)</f>
        <v>1075456.3387499996</v>
      </c>
      <c r="M26" s="20">
        <f>SUM(M24:M25)</f>
        <v>1113097.3106062496</v>
      </c>
      <c r="N26" s="20">
        <f>SUM(N24:N25)</f>
        <v>1152055.7164774681</v>
      </c>
      <c r="O26" s="20">
        <f>SUM(O24:O25)</f>
        <v>15711329.253419774</v>
      </c>
      <c r="P26" s="20">
        <f>SUM(P24:P25)</f>
        <v>1234110.8848835756</v>
      </c>
    </row>
    <row r="27" spans="6:16" x14ac:dyDescent="0.2">
      <c r="G27" t="s">
        <v>192</v>
      </c>
      <c r="I27" s="20">
        <f>I26/1.1^I3</f>
        <v>881818.18181818177</v>
      </c>
      <c r="J27" s="20">
        <f>J26/1.1^J3</f>
        <v>829710.74380165269</v>
      </c>
      <c r="K27" s="20">
        <f>K26/1.1^K3</f>
        <v>780682.38166791841</v>
      </c>
      <c r="L27" s="20">
        <f>L26/1.1^L3</f>
        <v>734551.15002390498</v>
      </c>
      <c r="M27" s="20">
        <f>M26/1.1^M3</f>
        <v>691145.85479521961</v>
      </c>
      <c r="N27" s="20">
        <f>N26/1.1^N3</f>
        <v>650305.4179209565</v>
      </c>
      <c r="O27" s="20">
        <f>O26/1.1^O3</f>
        <v>8062396.1545879412</v>
      </c>
    </row>
    <row r="29" spans="6:16" x14ac:dyDescent="0.2">
      <c r="F29" t="s">
        <v>90</v>
      </c>
      <c r="G29" t="s">
        <v>84</v>
      </c>
      <c r="H29" s="20">
        <f>SUM(I27:O27)</f>
        <v>12630609.884615775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A9D5-CC8C-F641-9613-18B941D932E7}">
  <dimension ref="C3:Q32"/>
  <sheetViews>
    <sheetView workbookViewId="0">
      <selection activeCell="O17" sqref="O17:Q27"/>
    </sheetView>
  </sheetViews>
  <sheetFormatPr baseColWidth="10" defaultRowHeight="16" x14ac:dyDescent="0.2"/>
  <cols>
    <col min="3" max="3" width="11.5" bestFit="1" customWidth="1"/>
    <col min="8" max="8" width="2.83203125" customWidth="1"/>
    <col min="9" max="9" width="4" customWidth="1"/>
    <col min="10" max="10" width="11.1640625" style="15" customWidth="1"/>
    <col min="13" max="13" width="12.5" style="15" bestFit="1" customWidth="1"/>
  </cols>
  <sheetData>
    <row r="3" spans="3:13" x14ac:dyDescent="0.2">
      <c r="C3" t="s">
        <v>91</v>
      </c>
      <c r="H3" t="s">
        <v>100</v>
      </c>
    </row>
    <row r="4" spans="3:13" x14ac:dyDescent="0.2">
      <c r="C4" s="23">
        <v>42200</v>
      </c>
      <c r="D4" t="s">
        <v>8</v>
      </c>
    </row>
    <row r="5" spans="3:13" x14ac:dyDescent="0.2">
      <c r="C5" s="1">
        <v>4.75</v>
      </c>
      <c r="D5" t="s">
        <v>92</v>
      </c>
      <c r="H5" t="s">
        <v>91</v>
      </c>
    </row>
    <row r="6" spans="3:13" x14ac:dyDescent="0.2">
      <c r="D6" t="s">
        <v>93</v>
      </c>
      <c r="I6" t="s">
        <v>101</v>
      </c>
      <c r="M6" s="15">
        <f>C4*(C5*(9/12))</f>
        <v>150337.5</v>
      </c>
    </row>
    <row r="7" spans="3:13" x14ac:dyDescent="0.2">
      <c r="C7" s="4">
        <f>C4*(C5*(4/12))</f>
        <v>66816.666666666657</v>
      </c>
      <c r="D7" t="s">
        <v>94</v>
      </c>
      <c r="I7" t="s">
        <v>102</v>
      </c>
      <c r="M7" s="15">
        <f>C4*C22*(9/12)</f>
        <v>95784.590118430802</v>
      </c>
    </row>
    <row r="9" spans="3:13" x14ac:dyDescent="0.2">
      <c r="C9" t="s">
        <v>95</v>
      </c>
      <c r="H9" t="s">
        <v>95</v>
      </c>
    </row>
    <row r="10" spans="3:13" x14ac:dyDescent="0.2">
      <c r="C10" s="23">
        <v>62720</v>
      </c>
      <c r="D10" t="s">
        <v>8</v>
      </c>
      <c r="I10" t="s">
        <v>101</v>
      </c>
      <c r="M10" s="15">
        <f>C10*C11</f>
        <v>329280</v>
      </c>
    </row>
    <row r="11" spans="3:13" x14ac:dyDescent="0.2">
      <c r="C11" s="1">
        <v>5.25</v>
      </c>
      <c r="D11" t="s">
        <v>92</v>
      </c>
      <c r="I11" t="s">
        <v>102</v>
      </c>
      <c r="M11" s="15">
        <f>C10*C22</f>
        <v>189813.88601036271</v>
      </c>
    </row>
    <row r="13" spans="3:13" x14ac:dyDescent="0.2">
      <c r="C13" t="s">
        <v>99</v>
      </c>
      <c r="H13" t="s">
        <v>99</v>
      </c>
    </row>
    <row r="14" spans="3:13" x14ac:dyDescent="0.2">
      <c r="C14" s="23">
        <v>3160</v>
      </c>
      <c r="D14" t="s">
        <v>96</v>
      </c>
      <c r="I14" t="s">
        <v>101</v>
      </c>
      <c r="M14" s="15">
        <f>C16*C14*(9/12)</f>
        <v>13983</v>
      </c>
    </row>
    <row r="15" spans="3:13" x14ac:dyDescent="0.2">
      <c r="D15" t="s">
        <v>97</v>
      </c>
      <c r="I15" t="s">
        <v>102</v>
      </c>
      <c r="M15" s="15">
        <f>C14*C22*(9/12)</f>
        <v>7172.4953737971882</v>
      </c>
    </row>
    <row r="16" spans="3:13" ht="17" thickBot="1" x14ac:dyDescent="0.25">
      <c r="C16" s="1">
        <v>5.9</v>
      </c>
      <c r="D16" t="s">
        <v>92</v>
      </c>
      <c r="I16" t="s">
        <v>106</v>
      </c>
      <c r="M16" s="15">
        <f>-C17</f>
        <v>-2960</v>
      </c>
    </row>
    <row r="17" spans="3:17" x14ac:dyDescent="0.2">
      <c r="C17" s="20">
        <v>2960</v>
      </c>
      <c r="D17" t="s">
        <v>98</v>
      </c>
      <c r="O17" s="6" t="s">
        <v>37</v>
      </c>
      <c r="P17" s="7"/>
      <c r="Q17" s="45">
        <f>M21</f>
        <v>413089.47150259069</v>
      </c>
    </row>
    <row r="18" spans="3:17" x14ac:dyDescent="0.2">
      <c r="H18" t="s">
        <v>107</v>
      </c>
      <c r="M18" s="15">
        <f>-C20</f>
        <v>-327090</v>
      </c>
      <c r="O18" s="8" t="s">
        <v>127</v>
      </c>
      <c r="P18" s="5"/>
      <c r="Q18" s="47">
        <f>C24*(0.0375/12)</f>
        <v>20625</v>
      </c>
    </row>
    <row r="19" spans="3:17" x14ac:dyDescent="0.2">
      <c r="H19" t="s">
        <v>109</v>
      </c>
      <c r="M19" s="15">
        <f>-0.4*C21</f>
        <v>-43232</v>
      </c>
      <c r="O19" s="8" t="s">
        <v>129</v>
      </c>
      <c r="P19" s="5"/>
      <c r="Q19" s="41">
        <f>SUM(T20:T21)</f>
        <v>0</v>
      </c>
    </row>
    <row r="20" spans="3:17" x14ac:dyDescent="0.2">
      <c r="C20" s="20">
        <v>327090</v>
      </c>
      <c r="D20" t="s">
        <v>105</v>
      </c>
      <c r="O20" s="8" t="s">
        <v>130</v>
      </c>
      <c r="P20" s="5"/>
      <c r="Q20" s="5">
        <v>0</v>
      </c>
    </row>
    <row r="21" spans="3:17" x14ac:dyDescent="0.2">
      <c r="C21" s="23">
        <f>C14+C10+C4</f>
        <v>108080</v>
      </c>
      <c r="D21" t="s">
        <v>103</v>
      </c>
      <c r="H21" s="31" t="s">
        <v>110</v>
      </c>
      <c r="I21" s="31"/>
      <c r="J21" s="82"/>
      <c r="K21" s="31"/>
      <c r="L21" s="31"/>
      <c r="M21" s="82">
        <f>SUM(M6:M19)</f>
        <v>413089.47150259069</v>
      </c>
      <c r="O21" s="55" t="s">
        <v>131</v>
      </c>
      <c r="P21" s="37"/>
      <c r="Q21" s="38">
        <f>SUM(Q17:Q20)</f>
        <v>433714.47150259069</v>
      </c>
    </row>
    <row r="22" spans="3:17" x14ac:dyDescent="0.2">
      <c r="C22" s="1">
        <f>C20/C21</f>
        <v>3.0263693560325686</v>
      </c>
      <c r="D22" t="s">
        <v>104</v>
      </c>
      <c r="O22" s="61" t="s">
        <v>132</v>
      </c>
      <c r="P22" s="39"/>
      <c r="Q22" s="41">
        <f>-Q19</f>
        <v>0</v>
      </c>
    </row>
    <row r="23" spans="3:17" x14ac:dyDescent="0.2">
      <c r="O23" s="61" t="s">
        <v>133</v>
      </c>
      <c r="P23" s="39"/>
      <c r="Q23" s="5">
        <f>Q20</f>
        <v>0</v>
      </c>
    </row>
    <row r="24" spans="3:17" x14ac:dyDescent="0.2">
      <c r="C24" s="23">
        <v>6600000</v>
      </c>
      <c r="D24" t="s">
        <v>2</v>
      </c>
      <c r="H24" t="s">
        <v>111</v>
      </c>
      <c r="O24" s="61" t="s">
        <v>134</v>
      </c>
      <c r="P24" s="39"/>
      <c r="Q24" s="41">
        <f>-T11</f>
        <v>0</v>
      </c>
    </row>
    <row r="25" spans="3:17" x14ac:dyDescent="0.2">
      <c r="C25" s="11">
        <v>3.7499999999999999E-2</v>
      </c>
      <c r="D25" t="s">
        <v>13</v>
      </c>
      <c r="I25" t="s">
        <v>112</v>
      </c>
      <c r="M25" s="15">
        <f>C29</f>
        <v>-33932.659173755448</v>
      </c>
      <c r="O25" s="62" t="s">
        <v>135</v>
      </c>
      <c r="P25" s="40"/>
      <c r="Q25" s="38">
        <f>SUM(Q21:Q24)</f>
        <v>433714.47150259069</v>
      </c>
    </row>
    <row r="26" spans="3:17" x14ac:dyDescent="0.2">
      <c r="C26" s="3">
        <f>C25/12</f>
        <v>3.1249999999999997E-3</v>
      </c>
      <c r="D26" t="s">
        <v>14</v>
      </c>
      <c r="O26" s="62" t="s">
        <v>136</v>
      </c>
      <c r="P26" s="40"/>
      <c r="Q26" s="38">
        <f>Q25*-0.44</f>
        <v>-190834.36746113992</v>
      </c>
    </row>
    <row r="27" spans="3:17" ht="17" thickBot="1" x14ac:dyDescent="0.25">
      <c r="C27">
        <v>25</v>
      </c>
      <c r="D27" t="s">
        <v>25</v>
      </c>
      <c r="H27" t="s">
        <v>113</v>
      </c>
      <c r="M27" s="15">
        <f>M25</f>
        <v>-33932.659173755448</v>
      </c>
      <c r="O27" s="74" t="s">
        <v>137</v>
      </c>
      <c r="P27" s="75"/>
      <c r="Q27" s="70">
        <f>Q25+Q26</f>
        <v>242880.10404145077</v>
      </c>
    </row>
    <row r="28" spans="3:17" x14ac:dyDescent="0.2">
      <c r="C28">
        <f>C27*12</f>
        <v>300</v>
      </c>
      <c r="D28" t="s">
        <v>15</v>
      </c>
    </row>
    <row r="29" spans="3:17" x14ac:dyDescent="0.2">
      <c r="C29" s="1">
        <f>PMT(C26,C28,C24,0)</f>
        <v>-33932.659173755448</v>
      </c>
      <c r="D29" t="s">
        <v>26</v>
      </c>
    </row>
    <row r="30" spans="3:17" x14ac:dyDescent="0.2">
      <c r="H30" s="17" t="s">
        <v>114</v>
      </c>
      <c r="I30" s="17"/>
      <c r="J30" s="36"/>
      <c r="K30" s="17"/>
      <c r="L30" s="17"/>
      <c r="M30" s="36">
        <f>M27+M21</f>
        <v>379156.81232883525</v>
      </c>
    </row>
    <row r="31" spans="3:17" ht="17" thickBot="1" x14ac:dyDescent="0.25"/>
    <row r="32" spans="3:17" ht="17" thickBot="1" x14ac:dyDescent="0.25">
      <c r="H32" s="83" t="s">
        <v>115</v>
      </c>
      <c r="I32" s="84"/>
      <c r="J32" s="85"/>
    </row>
  </sheetData>
  <mergeCells count="1">
    <mergeCell ref="H32:J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AC65-6B1D-9F4E-A7D0-B4FFC0F6A47F}">
  <dimension ref="C1:W28"/>
  <sheetViews>
    <sheetView topLeftCell="C1" workbookViewId="0">
      <selection activeCell="K10" sqref="K10:P12"/>
    </sheetView>
  </sheetViews>
  <sheetFormatPr baseColWidth="10" defaultRowHeight="16" x14ac:dyDescent="0.2"/>
  <cols>
    <col min="7" max="7" width="2.83203125" customWidth="1"/>
    <col min="8" max="8" width="10.1640625" customWidth="1"/>
    <col min="9" max="9" width="15.33203125" customWidth="1"/>
    <col min="10" max="10" width="9.33203125" bestFit="1" customWidth="1"/>
    <col min="11" max="11" width="6.33203125" style="44" customWidth="1"/>
    <col min="12" max="12" width="10.1640625" style="18" bestFit="1" customWidth="1"/>
    <col min="13" max="13" width="15.83203125" bestFit="1" customWidth="1"/>
    <col min="14" max="14" width="15.1640625" bestFit="1" customWidth="1"/>
    <col min="15" max="15" width="13" bestFit="1" customWidth="1"/>
    <col min="16" max="16" width="13.6640625" bestFit="1" customWidth="1"/>
    <col min="17" max="17" width="2.6640625" bestFit="1" customWidth="1"/>
    <col min="18" max="18" width="22" bestFit="1" customWidth="1"/>
    <col min="19" max="19" width="12.5" bestFit="1" customWidth="1"/>
    <col min="20" max="20" width="14" bestFit="1" customWidth="1"/>
    <col min="21" max="23" width="11.5" bestFit="1" customWidth="1"/>
  </cols>
  <sheetData>
    <row r="1" spans="3:23" x14ac:dyDescent="0.2">
      <c r="K1"/>
      <c r="L1"/>
    </row>
    <row r="2" spans="3:23" ht="17" thickBot="1" x14ac:dyDescent="0.25">
      <c r="K2"/>
      <c r="L2"/>
    </row>
    <row r="3" spans="3:23" x14ac:dyDescent="0.2">
      <c r="C3" s="20">
        <v>3400000</v>
      </c>
      <c r="D3" t="s">
        <v>116</v>
      </c>
      <c r="G3" t="s">
        <v>18</v>
      </c>
      <c r="H3" s="49" t="s">
        <v>122</v>
      </c>
      <c r="I3" s="50" t="s">
        <v>119</v>
      </c>
      <c r="J3" s="50" t="s">
        <v>108</v>
      </c>
      <c r="K3" s="50" t="s">
        <v>141</v>
      </c>
      <c r="L3" s="50" t="s">
        <v>120</v>
      </c>
      <c r="M3" s="50" t="s">
        <v>121</v>
      </c>
      <c r="N3" s="51" t="s">
        <v>123</v>
      </c>
      <c r="Q3" t="s">
        <v>58</v>
      </c>
      <c r="R3" s="49" t="s">
        <v>36</v>
      </c>
      <c r="S3" s="50">
        <v>1</v>
      </c>
      <c r="T3" s="50">
        <v>2</v>
      </c>
      <c r="U3" s="50">
        <v>3</v>
      </c>
      <c r="V3" s="81">
        <v>4</v>
      </c>
      <c r="W3" s="51">
        <v>5</v>
      </c>
    </row>
    <row r="4" spans="3:23" x14ac:dyDescent="0.2">
      <c r="C4" s="20">
        <v>300000</v>
      </c>
      <c r="D4" t="s">
        <v>117</v>
      </c>
      <c r="H4" s="8">
        <v>1</v>
      </c>
      <c r="I4" s="41">
        <f>C5</f>
        <v>3100000</v>
      </c>
      <c r="J4" s="41">
        <v>0</v>
      </c>
      <c r="K4" s="41">
        <f>I4+J4</f>
        <v>3100000</v>
      </c>
      <c r="L4" s="69">
        <f>2%</f>
        <v>0.02</v>
      </c>
      <c r="M4" s="41">
        <f>L4*K4</f>
        <v>62000</v>
      </c>
      <c r="N4" s="47">
        <f>K4-M4</f>
        <v>3038000</v>
      </c>
      <c r="R4" s="8" t="s">
        <v>138</v>
      </c>
      <c r="S4" s="54">
        <v>3400000</v>
      </c>
      <c r="T4" s="54"/>
      <c r="U4" s="54"/>
      <c r="V4" s="54"/>
      <c r="W4" s="46"/>
    </row>
    <row r="5" spans="3:23" x14ac:dyDescent="0.2">
      <c r="C5" s="20">
        <f>C3-C4</f>
        <v>3100000</v>
      </c>
      <c r="D5" t="s">
        <v>118</v>
      </c>
      <c r="H5" s="8">
        <v>2</v>
      </c>
      <c r="I5" s="41">
        <f>N4</f>
        <v>3038000</v>
      </c>
      <c r="J5" s="41">
        <v>15000</v>
      </c>
      <c r="K5" s="41">
        <f>I5+J5</f>
        <v>3053000</v>
      </c>
      <c r="L5" s="69">
        <v>0.04</v>
      </c>
      <c r="M5" s="41">
        <f>L5*K5</f>
        <v>122120</v>
      </c>
      <c r="N5" s="47">
        <f>K5-M5</f>
        <v>2930880</v>
      </c>
      <c r="R5" s="8" t="s">
        <v>152</v>
      </c>
      <c r="S5" s="54">
        <v>-300000</v>
      </c>
      <c r="T5" s="54"/>
      <c r="U5" s="54"/>
      <c r="V5" s="54"/>
      <c r="W5" s="46"/>
    </row>
    <row r="6" spans="3:23" x14ac:dyDescent="0.2">
      <c r="H6" s="8">
        <v>3</v>
      </c>
      <c r="I6" s="41">
        <f t="shared" ref="I6:I8" si="0">N5</f>
        <v>2930880</v>
      </c>
      <c r="J6" s="41">
        <v>15000</v>
      </c>
      <c r="K6" s="41">
        <f t="shared" ref="K6:K8" si="1">I6+J6</f>
        <v>2945880</v>
      </c>
      <c r="L6" s="69">
        <v>0.04</v>
      </c>
      <c r="M6" s="41">
        <f t="shared" ref="M6:M8" si="2">L6*K6</f>
        <v>117835.2</v>
      </c>
      <c r="N6" s="47">
        <f t="shared" ref="N6:N8" si="3">K6-M6</f>
        <v>2828044.8</v>
      </c>
      <c r="R6" s="8" t="s">
        <v>140</v>
      </c>
      <c r="S6" s="54">
        <v>0</v>
      </c>
      <c r="T6" s="54">
        <v>15000</v>
      </c>
      <c r="U6" s="54">
        <v>15000</v>
      </c>
      <c r="V6" s="54">
        <v>15000</v>
      </c>
      <c r="W6" s="46">
        <v>15000</v>
      </c>
    </row>
    <row r="7" spans="3:23" x14ac:dyDescent="0.2">
      <c r="H7" s="8">
        <v>4</v>
      </c>
      <c r="I7" s="41">
        <f t="shared" si="0"/>
        <v>2828044.8</v>
      </c>
      <c r="J7" s="41">
        <v>15000</v>
      </c>
      <c r="K7" s="41">
        <f t="shared" si="1"/>
        <v>2843044.8</v>
      </c>
      <c r="L7" s="69">
        <v>0.04</v>
      </c>
      <c r="M7" s="41">
        <f t="shared" si="2"/>
        <v>113721.792</v>
      </c>
      <c r="N7" s="47">
        <f t="shared" si="3"/>
        <v>2729323.0079999999</v>
      </c>
      <c r="R7" s="55" t="s">
        <v>141</v>
      </c>
      <c r="S7" s="42">
        <f>SUM(S4:S6)</f>
        <v>3100000</v>
      </c>
      <c r="T7" s="42">
        <f>S9+T6</f>
        <v>3053000</v>
      </c>
      <c r="U7" s="42">
        <f t="shared" ref="U7:W7" si="4">T9+U6</f>
        <v>2945880</v>
      </c>
      <c r="V7" s="42">
        <f t="shared" si="4"/>
        <v>2843044.8</v>
      </c>
      <c r="W7" s="56">
        <f t="shared" si="4"/>
        <v>2744323.0079999999</v>
      </c>
    </row>
    <row r="8" spans="3:23" ht="17" thickBot="1" x14ac:dyDescent="0.25">
      <c r="H8" s="9">
        <v>5</v>
      </c>
      <c r="I8" s="70">
        <f t="shared" si="0"/>
        <v>2729323.0079999999</v>
      </c>
      <c r="J8" s="70">
        <v>15000</v>
      </c>
      <c r="K8" s="70">
        <f t="shared" si="1"/>
        <v>2744323.0079999999</v>
      </c>
      <c r="L8" s="71">
        <v>0.04</v>
      </c>
      <c r="M8" s="70">
        <f t="shared" si="2"/>
        <v>109772.92032</v>
      </c>
      <c r="N8" s="72">
        <f t="shared" si="3"/>
        <v>2634550.0876799999</v>
      </c>
      <c r="R8" s="55" t="s">
        <v>142</v>
      </c>
      <c r="S8" s="42">
        <f>S7*-0.02</f>
        <v>-62000</v>
      </c>
      <c r="T8" s="42">
        <f>T7*-0.04</f>
        <v>-122120</v>
      </c>
      <c r="U8" s="42">
        <f t="shared" ref="U8:W8" si="5">U7*-0.04</f>
        <v>-117835.2</v>
      </c>
      <c r="V8" s="42">
        <f t="shared" si="5"/>
        <v>-113721.792</v>
      </c>
      <c r="W8" s="56">
        <f t="shared" si="5"/>
        <v>-109772.92032</v>
      </c>
    </row>
    <row r="9" spans="3:23" ht="17" thickBot="1" x14ac:dyDescent="0.25">
      <c r="K9"/>
      <c r="R9" s="9" t="s">
        <v>143</v>
      </c>
      <c r="S9" s="68">
        <f>SUM(S7:S8)</f>
        <v>3038000</v>
      </c>
      <c r="T9" s="68">
        <f>SUM(T7:T8)</f>
        <v>2930880</v>
      </c>
      <c r="U9" s="68">
        <f t="shared" ref="U9:W9" si="6">SUM(U7:U8)</f>
        <v>2828044.8</v>
      </c>
      <c r="V9" s="68">
        <f t="shared" si="6"/>
        <v>2729323.0079999999</v>
      </c>
      <c r="W9" s="48">
        <f t="shared" si="6"/>
        <v>2634550.0876799999</v>
      </c>
    </row>
    <row r="10" spans="3:23" x14ac:dyDescent="0.2">
      <c r="C10" s="20">
        <v>270000</v>
      </c>
      <c r="D10" t="s">
        <v>37</v>
      </c>
      <c r="G10" t="s">
        <v>54</v>
      </c>
      <c r="H10" s="6" t="s">
        <v>37</v>
      </c>
      <c r="I10" s="7"/>
      <c r="J10" s="73">
        <f>C10</f>
        <v>270000</v>
      </c>
      <c r="K10" s="93" t="s">
        <v>190</v>
      </c>
      <c r="L10" s="80" t="s">
        <v>3</v>
      </c>
      <c r="M10" s="50" t="s">
        <v>17</v>
      </c>
      <c r="N10" s="50" t="s">
        <v>32</v>
      </c>
      <c r="O10" s="50" t="s">
        <v>128</v>
      </c>
      <c r="P10" s="51" t="s">
        <v>123</v>
      </c>
      <c r="R10" s="49" t="s">
        <v>144</v>
      </c>
      <c r="S10" s="50" t="s">
        <v>139</v>
      </c>
      <c r="T10" s="51" t="s">
        <v>145</v>
      </c>
    </row>
    <row r="11" spans="3:23" x14ac:dyDescent="0.2">
      <c r="C11" s="2">
        <v>0.44</v>
      </c>
      <c r="D11" t="s">
        <v>125</v>
      </c>
      <c r="H11" s="8" t="s">
        <v>127</v>
      </c>
      <c r="I11" s="5"/>
      <c r="J11" s="47">
        <f>SUM(N11:N12)</f>
        <v>-154634.64656718119</v>
      </c>
      <c r="K11" s="8">
        <v>1</v>
      </c>
      <c r="L11" s="76">
        <f>C14</f>
        <v>2300000</v>
      </c>
      <c r="M11" s="41">
        <f>O11-N11</f>
        <v>-18232.694305742421</v>
      </c>
      <c r="N11" s="41">
        <f>-L11*$C$17</f>
        <v>-77625</v>
      </c>
      <c r="O11" s="41">
        <f>C20</f>
        <v>-95857.694305742421</v>
      </c>
      <c r="P11" s="47">
        <f>L11+M11</f>
        <v>2281767.3056942574</v>
      </c>
      <c r="R11" s="8" t="s">
        <v>147</v>
      </c>
      <c r="S11" s="52">
        <v>500000</v>
      </c>
      <c r="T11" s="53">
        <v>4000000</v>
      </c>
    </row>
    <row r="12" spans="3:23" x14ac:dyDescent="0.2">
      <c r="H12" s="8" t="s">
        <v>129</v>
      </c>
      <c r="I12" s="5"/>
      <c r="J12" s="41">
        <f>SUM(M11:M12)</f>
        <v>-37080.742044303654</v>
      </c>
      <c r="K12" s="8">
        <v>2</v>
      </c>
      <c r="L12" s="76">
        <f>P11</f>
        <v>2281767.3056942574</v>
      </c>
      <c r="M12" s="41">
        <f>O12-N12</f>
        <v>-18848.047738561232</v>
      </c>
      <c r="N12" s="41">
        <f>-L12*$C$17</f>
        <v>-77009.646567181189</v>
      </c>
      <c r="O12" s="41">
        <f>O11</f>
        <v>-95857.694305742421</v>
      </c>
      <c r="P12" s="47">
        <f>L12+M12</f>
        <v>2262919.257955696</v>
      </c>
      <c r="R12" s="8" t="s">
        <v>156</v>
      </c>
      <c r="S12" s="54">
        <f>S11*-0.05</f>
        <v>-25000</v>
      </c>
      <c r="T12" s="46">
        <f>T11*-0.05</f>
        <v>-200000</v>
      </c>
    </row>
    <row r="13" spans="3:23" x14ac:dyDescent="0.2">
      <c r="C13" t="s">
        <v>124</v>
      </c>
      <c r="H13" s="8" t="s">
        <v>130</v>
      </c>
      <c r="I13" s="5"/>
      <c r="J13" s="5">
        <v>0</v>
      </c>
      <c r="K13" s="77">
        <f>K12+1</f>
        <v>3</v>
      </c>
      <c r="L13" s="76">
        <f t="shared" ref="L13:L20" si="7">P12</f>
        <v>2262919.257955696</v>
      </c>
      <c r="M13" s="41">
        <f t="shared" ref="M13:M20" si="8">O13-N13</f>
        <v>-19484.169349737684</v>
      </c>
      <c r="N13" s="41">
        <f t="shared" ref="N13:N20" si="9">-L13*$C$17</f>
        <v>-76373.524956004738</v>
      </c>
      <c r="O13" s="41">
        <f t="shared" ref="O13:O20" si="10">O12</f>
        <v>-95857.694305742421</v>
      </c>
      <c r="P13" s="47">
        <f t="shared" ref="P13:P20" si="11">L13+M13</f>
        <v>2243435.0886059585</v>
      </c>
      <c r="R13" s="55" t="s">
        <v>146</v>
      </c>
      <c r="S13" s="42">
        <f>SUM(S11:S12)</f>
        <v>475000</v>
      </c>
      <c r="T13" s="56">
        <f>SUM(T11:T12)</f>
        <v>3800000</v>
      </c>
    </row>
    <row r="14" spans="3:23" x14ac:dyDescent="0.2">
      <c r="C14" s="20">
        <v>2300000</v>
      </c>
      <c r="D14" t="s">
        <v>2</v>
      </c>
      <c r="H14" s="55" t="s">
        <v>131</v>
      </c>
      <c r="I14" s="37"/>
      <c r="J14" s="38">
        <f>SUM(J10:J13)</f>
        <v>78284.611388515157</v>
      </c>
      <c r="K14" s="77">
        <f t="shared" ref="K14:K20" si="12">K13+1</f>
        <v>4</v>
      </c>
      <c r="L14" s="76">
        <f t="shared" si="7"/>
        <v>2243435.0886059585</v>
      </c>
      <c r="M14" s="41">
        <f t="shared" si="8"/>
        <v>-20141.76006529131</v>
      </c>
      <c r="N14" s="41">
        <f t="shared" si="9"/>
        <v>-75715.934240451112</v>
      </c>
      <c r="O14" s="41">
        <f t="shared" si="10"/>
        <v>-95857.694305742421</v>
      </c>
      <c r="P14" s="47">
        <f t="shared" si="11"/>
        <v>2223293.328540667</v>
      </c>
      <c r="R14" s="57" t="s">
        <v>148</v>
      </c>
      <c r="S14" s="43">
        <v>300000</v>
      </c>
      <c r="T14" s="58">
        <v>3100000</v>
      </c>
    </row>
    <row r="15" spans="3:23" x14ac:dyDescent="0.2">
      <c r="C15" s="11">
        <v>6.7500000000000004E-2</v>
      </c>
      <c r="D15" t="s">
        <v>13</v>
      </c>
      <c r="H15" s="61" t="s">
        <v>132</v>
      </c>
      <c r="I15" s="39"/>
      <c r="J15" s="41">
        <f>-J12</f>
        <v>37080.742044303654</v>
      </c>
      <c r="K15" s="77">
        <f t="shared" si="12"/>
        <v>5</v>
      </c>
      <c r="L15" s="76">
        <f t="shared" si="7"/>
        <v>2223293.328540667</v>
      </c>
      <c r="M15" s="41">
        <f t="shared" si="8"/>
        <v>-20821.54446749491</v>
      </c>
      <c r="N15" s="41">
        <f t="shared" si="9"/>
        <v>-75036.149838247511</v>
      </c>
      <c r="O15" s="41">
        <f t="shared" si="10"/>
        <v>-95857.694305742421</v>
      </c>
      <c r="P15" s="47">
        <f t="shared" si="11"/>
        <v>2202471.7840731721</v>
      </c>
      <c r="R15" s="59" t="s">
        <v>149</v>
      </c>
      <c r="S15" s="16"/>
      <c r="T15" s="60">
        <f>SUM(T6:W6)</f>
        <v>60000</v>
      </c>
    </row>
    <row r="16" spans="3:23" x14ac:dyDescent="0.2">
      <c r="C16" s="3">
        <f>(1+C17)^2-1</f>
        <v>6.8639062499999959E-2</v>
      </c>
      <c r="D16" t="s">
        <v>1</v>
      </c>
      <c r="H16" s="61" t="s">
        <v>133</v>
      </c>
      <c r="I16" s="39"/>
      <c r="J16" s="5">
        <f>J13</f>
        <v>0</v>
      </c>
      <c r="K16" s="77">
        <f t="shared" si="12"/>
        <v>6</v>
      </c>
      <c r="L16" s="76">
        <f t="shared" si="7"/>
        <v>2202471.7840731721</v>
      </c>
      <c r="M16" s="41">
        <f t="shared" si="8"/>
        <v>-21524.271593272861</v>
      </c>
      <c r="N16" s="41">
        <f t="shared" si="9"/>
        <v>-74333.422712469561</v>
      </c>
      <c r="O16" s="41">
        <f t="shared" si="10"/>
        <v>-95857.694305742421</v>
      </c>
      <c r="P16" s="47">
        <f t="shared" si="11"/>
        <v>2180947.5124798995</v>
      </c>
      <c r="R16" s="55" t="s">
        <v>150</v>
      </c>
      <c r="S16" s="42">
        <f>S14</f>
        <v>300000</v>
      </c>
      <c r="T16" s="56">
        <f>SUM(T14:T15)</f>
        <v>3160000</v>
      </c>
    </row>
    <row r="17" spans="3:22" x14ac:dyDescent="0.2">
      <c r="C17" s="86">
        <f>C15/2</f>
        <v>3.3750000000000002E-2</v>
      </c>
      <c r="D17" t="s">
        <v>189</v>
      </c>
      <c r="H17" s="61" t="s">
        <v>134</v>
      </c>
      <c r="I17" s="39"/>
      <c r="J17" s="41">
        <f>-M4</f>
        <v>-62000</v>
      </c>
      <c r="K17" s="77">
        <f t="shared" si="12"/>
        <v>7</v>
      </c>
      <c r="L17" s="76">
        <f t="shared" si="7"/>
        <v>2180947.5124798995</v>
      </c>
      <c r="M17" s="41">
        <f t="shared" si="8"/>
        <v>-22250.715759545812</v>
      </c>
      <c r="N17" s="41">
        <f t="shared" si="9"/>
        <v>-73606.978546196609</v>
      </c>
      <c r="O17" s="41">
        <f t="shared" si="10"/>
        <v>-95857.694305742421</v>
      </c>
      <c r="P17" s="47">
        <f t="shared" si="11"/>
        <v>2158696.7967203534</v>
      </c>
      <c r="R17" s="61" t="s">
        <v>151</v>
      </c>
      <c r="S17" s="52">
        <v>300000</v>
      </c>
      <c r="T17" s="53">
        <v>3160000</v>
      </c>
    </row>
    <row r="18" spans="3:22" x14ac:dyDescent="0.2">
      <c r="C18">
        <v>25</v>
      </c>
      <c r="D18" t="s">
        <v>25</v>
      </c>
      <c r="H18" s="62" t="s">
        <v>135</v>
      </c>
      <c r="I18" s="40"/>
      <c r="J18" s="38">
        <f>SUM(J14:J17)</f>
        <v>53365.353432818811</v>
      </c>
      <c r="K18" s="77">
        <f t="shared" si="12"/>
        <v>8</v>
      </c>
      <c r="L18" s="76">
        <f t="shared" si="7"/>
        <v>2158696.7967203534</v>
      </c>
      <c r="M18" s="41">
        <f t="shared" si="8"/>
        <v>-23001.677416430495</v>
      </c>
      <c r="N18" s="41">
        <f t="shared" si="9"/>
        <v>-72856.016889311926</v>
      </c>
      <c r="O18" s="41">
        <f t="shared" si="10"/>
        <v>-95857.694305742421</v>
      </c>
      <c r="P18" s="47">
        <f t="shared" si="11"/>
        <v>2135695.1193039231</v>
      </c>
      <c r="R18" s="61" t="s">
        <v>143</v>
      </c>
      <c r="S18" s="5"/>
      <c r="T18" s="46">
        <f>W9</f>
        <v>2634550.0876799999</v>
      </c>
    </row>
    <row r="19" spans="3:22" x14ac:dyDescent="0.2">
      <c r="C19">
        <v>50</v>
      </c>
      <c r="D19" t="s">
        <v>15</v>
      </c>
      <c r="H19" s="62" t="s">
        <v>136</v>
      </c>
      <c r="I19" s="40"/>
      <c r="J19" s="38">
        <f>J18*-0.44</f>
        <v>-23480.755510440278</v>
      </c>
      <c r="K19" s="77">
        <f t="shared" si="12"/>
        <v>9</v>
      </c>
      <c r="L19" s="76">
        <f t="shared" si="7"/>
        <v>2135695.1193039231</v>
      </c>
      <c r="M19" s="41">
        <f t="shared" si="8"/>
        <v>-23777.984029235013</v>
      </c>
      <c r="N19" s="41">
        <f t="shared" si="9"/>
        <v>-72079.710276507409</v>
      </c>
      <c r="O19" s="41">
        <f t="shared" si="10"/>
        <v>-95857.694305742421</v>
      </c>
      <c r="P19" s="47">
        <f t="shared" si="11"/>
        <v>2111917.1352746882</v>
      </c>
      <c r="R19" s="61" t="s">
        <v>153</v>
      </c>
      <c r="S19" s="5"/>
      <c r="T19" s="46">
        <f>T17-T18</f>
        <v>525449.91232000012</v>
      </c>
    </row>
    <row r="20" spans="3:22" ht="17" thickBot="1" x14ac:dyDescent="0.25">
      <c r="C20" s="96">
        <f>PMT(C17,C19,C14,0)</f>
        <v>-95857.694305742421</v>
      </c>
      <c r="D20" t="s">
        <v>126</v>
      </c>
      <c r="H20" s="74" t="s">
        <v>137</v>
      </c>
      <c r="I20" s="75"/>
      <c r="J20" s="70">
        <f>J18+J19</f>
        <v>29884.597922378533</v>
      </c>
      <c r="K20" s="78">
        <f t="shared" si="12"/>
        <v>10</v>
      </c>
      <c r="L20" s="79">
        <f t="shared" si="7"/>
        <v>2111917.1352746882</v>
      </c>
      <c r="M20" s="70">
        <f t="shared" si="8"/>
        <v>-24580.49099022169</v>
      </c>
      <c r="N20" s="70">
        <f t="shared" si="9"/>
        <v>-71277.203315520732</v>
      </c>
      <c r="O20" s="70">
        <f t="shared" si="10"/>
        <v>-95857.694305742421</v>
      </c>
      <c r="P20" s="72">
        <f t="shared" si="11"/>
        <v>2087336.6442844665</v>
      </c>
      <c r="R20" s="62" t="s">
        <v>154</v>
      </c>
      <c r="S20" s="37"/>
      <c r="T20" s="56">
        <f>T19*-0.44</f>
        <v>-231197.96142080004</v>
      </c>
    </row>
    <row r="21" spans="3:22" x14ac:dyDescent="0.2">
      <c r="R21" s="61" t="s">
        <v>155</v>
      </c>
      <c r="S21" s="54">
        <f>S13-S14</f>
        <v>175000</v>
      </c>
      <c r="T21" s="46">
        <f>T13-T16</f>
        <v>640000</v>
      </c>
    </row>
    <row r="22" spans="3:22" x14ac:dyDescent="0.2">
      <c r="J22" s="20"/>
      <c r="R22" s="61" t="s">
        <v>157</v>
      </c>
      <c r="S22" s="63">
        <f>S21*0.5</f>
        <v>87500</v>
      </c>
      <c r="T22" s="64">
        <f>T21*0.5</f>
        <v>320000</v>
      </c>
    </row>
    <row r="23" spans="3:22" ht="17" thickBot="1" x14ac:dyDescent="0.25">
      <c r="R23" s="65" t="s">
        <v>158</v>
      </c>
      <c r="S23" s="66">
        <f>S22*-0.44</f>
        <v>-38500</v>
      </c>
      <c r="T23" s="67">
        <f>T22*-0.44</f>
        <v>-140800</v>
      </c>
      <c r="U23" s="95" t="s">
        <v>181</v>
      </c>
      <c r="V23" s="29">
        <f>SUM(S23:T23)</f>
        <v>-179300</v>
      </c>
    </row>
    <row r="24" spans="3:22" x14ac:dyDescent="0.2">
      <c r="R24" s="6" t="s">
        <v>159</v>
      </c>
      <c r="S24" s="45">
        <f>SUM(S13:T13)</f>
        <v>4275000</v>
      </c>
    </row>
    <row r="25" spans="3:22" x14ac:dyDescent="0.2">
      <c r="R25" s="8" t="s">
        <v>160</v>
      </c>
      <c r="S25" s="46">
        <f>T20</f>
        <v>-231197.96142080004</v>
      </c>
    </row>
    <row r="26" spans="3:22" x14ac:dyDescent="0.2">
      <c r="R26" s="8" t="s">
        <v>161</v>
      </c>
      <c r="S26" s="46">
        <f>V23</f>
        <v>-179300</v>
      </c>
    </row>
    <row r="27" spans="3:22" x14ac:dyDescent="0.2">
      <c r="R27" s="8" t="s">
        <v>162</v>
      </c>
      <c r="S27" s="47">
        <f>-P20</f>
        <v>-2087336.6442844665</v>
      </c>
    </row>
    <row r="28" spans="3:22" ht="17" thickBot="1" x14ac:dyDescent="0.25">
      <c r="R28" s="94" t="s">
        <v>163</v>
      </c>
      <c r="S28" s="67">
        <f>SUM(S24:S27)</f>
        <v>1777165.3942947334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Berkley Developments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Iaboni</dc:creator>
  <cp:lastModifiedBy>Microsoft Office User</cp:lastModifiedBy>
  <dcterms:created xsi:type="dcterms:W3CDTF">2016-09-26T00:04:41Z</dcterms:created>
  <dcterms:modified xsi:type="dcterms:W3CDTF">2019-10-07T12:44:12Z</dcterms:modified>
</cp:coreProperties>
</file>