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d\Desktop\Schulich\Year 3 - Sem 1\FINE3100 - Financial Management\"/>
    </mc:Choice>
  </mc:AlternateContent>
  <xr:revisionPtr revIDLastSave="0" documentId="8_{8BAE45F4-F58D-4700-96D6-D903ECA4F22E}" xr6:coauthVersionLast="38" xr6:coauthVersionMax="38" xr10:uidLastSave="{00000000-0000-0000-0000-000000000000}"/>
  <bookViews>
    <workbookView xWindow="0" yWindow="0" windowWidth="21570" windowHeight="7920" firstSheet="5" activeTab="9" xr2:uid="{08D69329-D2A0-480B-B28B-23B6627F4DE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2" sheetId="12" r:id="rId10"/>
    <sheet name="Sheet10" sheetId="10" r:id="rId11"/>
    <sheet name="Sheet11" sheetId="11" r:id="rId12"/>
  </sheets>
  <definedNames>
    <definedName name="CIQWBGuid" hidden="1">"Book1 (version 1).xlsb"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2" l="1"/>
  <c r="F8" i="12"/>
  <c r="L5" i="12"/>
  <c r="E14" i="12"/>
  <c r="F14" i="12" s="1"/>
  <c r="D14" i="12"/>
  <c r="F3" i="12"/>
  <c r="F5" i="12"/>
  <c r="F4" i="12" s="1"/>
  <c r="K4" i="12" s="1"/>
  <c r="K5" i="12" s="1"/>
  <c r="H5" i="12"/>
  <c r="L10" i="11"/>
  <c r="J4" i="11"/>
  <c r="J5" i="11"/>
  <c r="K3" i="11"/>
  <c r="K4" i="11"/>
  <c r="K5" i="11" s="1"/>
  <c r="D12" i="11"/>
  <c r="E12" i="11" s="1"/>
  <c r="F12" i="11" s="1"/>
  <c r="C12" i="11"/>
  <c r="C10" i="11"/>
  <c r="C14" i="11" s="1"/>
  <c r="M6" i="10"/>
  <c r="D10" i="10"/>
  <c r="E10" i="10" s="1"/>
  <c r="L5" i="10"/>
  <c r="C12" i="10"/>
  <c r="C10" i="10"/>
  <c r="C14" i="10" s="1"/>
  <c r="I5" i="10"/>
  <c r="G5" i="10" s="1"/>
  <c r="G4" i="10" s="1"/>
  <c r="F5" i="9"/>
  <c r="H5" i="9" s="1"/>
  <c r="H4" i="9" s="1"/>
  <c r="C13" i="9"/>
  <c r="J5" i="9" s="1"/>
  <c r="J6" i="9" s="1"/>
  <c r="D11" i="9" s="1"/>
  <c r="C11" i="9"/>
  <c r="C15" i="9" s="1"/>
  <c r="J4" i="9"/>
  <c r="C3" i="9"/>
  <c r="K4" i="9"/>
  <c r="K5" i="9" s="1"/>
  <c r="H8" i="8"/>
  <c r="K4" i="8"/>
  <c r="C17" i="8"/>
  <c r="K5" i="8" s="1"/>
  <c r="C15" i="8"/>
  <c r="C9" i="8"/>
  <c r="E40" i="7"/>
  <c r="D11" i="7"/>
  <c r="D12" i="7" s="1"/>
  <c r="C11" i="7"/>
  <c r="C12" i="7" s="1"/>
  <c r="D10" i="7"/>
  <c r="C10" i="7"/>
  <c r="D36" i="7"/>
  <c r="C37" i="7"/>
  <c r="I11" i="7"/>
  <c r="D23" i="7"/>
  <c r="E23" i="7" s="1"/>
  <c r="F23" i="7" s="1"/>
  <c r="G23" i="7" s="1"/>
  <c r="D18" i="7"/>
  <c r="D22" i="7" s="1"/>
  <c r="C24" i="7"/>
  <c r="C19" i="7"/>
  <c r="D7" i="7"/>
  <c r="D8" i="7"/>
  <c r="C8" i="7"/>
  <c r="C7" i="7"/>
  <c r="G5" i="6"/>
  <c r="G6" i="6"/>
  <c r="F5" i="6"/>
  <c r="D14" i="6"/>
  <c r="E14" i="6" s="1"/>
  <c r="C14" i="6"/>
  <c r="C6" i="6"/>
  <c r="C8" i="6" s="1"/>
  <c r="C16" i="6" s="1"/>
  <c r="I18" i="4"/>
  <c r="C9" i="5"/>
  <c r="K3" i="5" s="1"/>
  <c r="L3" i="5" s="1"/>
  <c r="L5" i="5" s="1"/>
  <c r="C5" i="5"/>
  <c r="C7" i="5" s="1"/>
  <c r="C8" i="5" s="1"/>
  <c r="C16" i="5" s="1"/>
  <c r="C18" i="5" s="1"/>
  <c r="H5" i="5"/>
  <c r="F5" i="5" s="1"/>
  <c r="C21" i="4"/>
  <c r="D21" i="4" s="1"/>
  <c r="G16" i="4"/>
  <c r="G18" i="4" s="1"/>
  <c r="G8" i="4"/>
  <c r="G24" i="3"/>
  <c r="G6" i="3"/>
  <c r="G8" i="3" s="1"/>
  <c r="C14" i="3"/>
  <c r="C9" i="3"/>
  <c r="C7" i="3"/>
  <c r="C5" i="3"/>
  <c r="C23" i="2"/>
  <c r="D23" i="2" s="1"/>
  <c r="C13" i="2"/>
  <c r="C9" i="2"/>
  <c r="K11" i="2"/>
  <c r="C5" i="2"/>
  <c r="D8" i="1"/>
  <c r="D9" i="1"/>
  <c r="C9" i="1"/>
  <c r="C8" i="1"/>
  <c r="C41" i="1"/>
  <c r="E34" i="1"/>
  <c r="E28" i="1"/>
  <c r="F28" i="1" s="1"/>
  <c r="G28" i="1" s="1"/>
  <c r="C23" i="1"/>
  <c r="D23" i="1"/>
  <c r="E23" i="1" s="1"/>
  <c r="E38" i="1" s="1"/>
  <c r="C13" i="1"/>
  <c r="D17" i="1" s="1"/>
  <c r="D18" i="1" s="1"/>
  <c r="D19" i="1" s="1"/>
  <c r="C28" i="1"/>
  <c r="C26" i="1"/>
  <c r="C15" i="1" s="1"/>
  <c r="C24" i="1"/>
  <c r="D13" i="9" l="1"/>
  <c r="D15" i="9"/>
  <c r="D17" i="9" s="1"/>
  <c r="E11" i="9"/>
  <c r="D25" i="4"/>
  <c r="D27" i="4" s="1"/>
  <c r="E21" i="4"/>
  <c r="D23" i="4"/>
  <c r="K6" i="8"/>
  <c r="E12" i="10"/>
  <c r="E14" i="10" s="1"/>
  <c r="E17" i="10" s="1"/>
  <c r="F10" i="10"/>
  <c r="F16" i="12"/>
  <c r="F18" i="12" s="1"/>
  <c r="F21" i="12" s="1"/>
  <c r="G14" i="12"/>
  <c r="D14" i="3"/>
  <c r="L4" i="8"/>
  <c r="L5" i="8" s="1"/>
  <c r="L4" i="10"/>
  <c r="D12" i="10"/>
  <c r="D14" i="10" s="1"/>
  <c r="D17" i="10" s="1"/>
  <c r="C15" i="2"/>
  <c r="C25" i="2" s="1"/>
  <c r="C27" i="2" s="1"/>
  <c r="C16" i="3"/>
  <c r="C18" i="3" s="1"/>
  <c r="C10" i="5"/>
  <c r="D14" i="5" s="1"/>
  <c r="D33" i="7"/>
  <c r="D16" i="12"/>
  <c r="D18" i="12" s="1"/>
  <c r="D21" i="12" s="1"/>
  <c r="E16" i="12"/>
  <c r="E18" i="12" s="1"/>
  <c r="E21" i="12" s="1"/>
  <c r="D10" i="11"/>
  <c r="C19" i="8"/>
  <c r="F40" i="7"/>
  <c r="D34" i="7"/>
  <c r="D35" i="7"/>
  <c r="D37" i="7" s="1"/>
  <c r="D38" i="7" s="1"/>
  <c r="D21" i="7"/>
  <c r="D24" i="7" s="1"/>
  <c r="C26" i="7"/>
  <c r="C27" i="7" s="1"/>
  <c r="E18" i="7"/>
  <c r="D19" i="7"/>
  <c r="F14" i="6"/>
  <c r="G14" i="6" s="1"/>
  <c r="D16" i="6"/>
  <c r="C18" i="6"/>
  <c r="C9" i="6"/>
  <c r="E23" i="2"/>
  <c r="F23" i="2" s="1"/>
  <c r="C17" i="2"/>
  <c r="E40" i="1"/>
  <c r="D40" i="1"/>
  <c r="C17" i="1"/>
  <c r="C18" i="1" s="1"/>
  <c r="C19" i="1" s="1"/>
  <c r="D37" i="1"/>
  <c r="E37" i="1"/>
  <c r="D39" i="1"/>
  <c r="E39" i="1"/>
  <c r="D14" i="1"/>
  <c r="D24" i="1" s="1"/>
  <c r="D25" i="1" s="1"/>
  <c r="C16" i="1"/>
  <c r="D38" i="1"/>
  <c r="F34" i="1"/>
  <c r="G34" i="1" s="1"/>
  <c r="F23" i="1"/>
  <c r="F39" i="1" s="1"/>
  <c r="C25" i="1"/>
  <c r="C27" i="1" s="1"/>
  <c r="C29" i="1" s="1"/>
  <c r="D26" i="1"/>
  <c r="E26" i="1"/>
  <c r="F11" i="9" l="1"/>
  <c r="E15" i="9"/>
  <c r="E17" i="9" s="1"/>
  <c r="E13" i="9"/>
  <c r="E14" i="5"/>
  <c r="D16" i="5"/>
  <c r="D18" i="5" s="1"/>
  <c r="D21" i="5" s="1"/>
  <c r="G16" i="12"/>
  <c r="G18" i="12" s="1"/>
  <c r="G21" i="12" s="1"/>
  <c r="H14" i="12"/>
  <c r="M4" i="10"/>
  <c r="M5" i="10" s="1"/>
  <c r="L6" i="10"/>
  <c r="D14" i="11"/>
  <c r="D16" i="11" s="1"/>
  <c r="E10" i="11"/>
  <c r="D16" i="3"/>
  <c r="D18" i="3" s="1"/>
  <c r="D20" i="3" s="1"/>
  <c r="E14" i="3"/>
  <c r="F25" i="2"/>
  <c r="F27" i="2" s="1"/>
  <c r="G23" i="2"/>
  <c r="G27" i="2" s="1"/>
  <c r="G30" i="2" s="1"/>
  <c r="D26" i="7"/>
  <c r="D27" i="7" s="1"/>
  <c r="D29" i="7" s="1"/>
  <c r="D31" i="7" s="1"/>
  <c r="D43" i="7" s="1"/>
  <c r="D46" i="7" s="1"/>
  <c r="D25" i="2"/>
  <c r="D27" i="2" s="1"/>
  <c r="D29" i="2" s="1"/>
  <c r="F12" i="10"/>
  <c r="F14" i="10" s="1"/>
  <c r="G10" i="10"/>
  <c r="E23" i="4"/>
  <c r="E25" i="4" s="1"/>
  <c r="E27" i="4" s="1"/>
  <c r="F21" i="4"/>
  <c r="G40" i="7"/>
  <c r="C29" i="7"/>
  <c r="C31" i="7" s="1"/>
  <c r="E34" i="7"/>
  <c r="E36" i="7"/>
  <c r="E33" i="7"/>
  <c r="E37" i="7" s="1"/>
  <c r="E38" i="7" s="1"/>
  <c r="E35" i="7"/>
  <c r="E22" i="7"/>
  <c r="E21" i="7"/>
  <c r="E24" i="7" s="1"/>
  <c r="E26" i="7" s="1"/>
  <c r="F18" i="7"/>
  <c r="E19" i="7"/>
  <c r="G16" i="6"/>
  <c r="G18" i="6" s="1"/>
  <c r="F19" i="6" s="1"/>
  <c r="E16" i="6"/>
  <c r="D18" i="6"/>
  <c r="D20" i="6" s="1"/>
  <c r="H30" i="2"/>
  <c r="E25" i="2"/>
  <c r="E27" i="2" s="1"/>
  <c r="E29" i="2" s="1"/>
  <c r="E24" i="1"/>
  <c r="E25" i="1" s="1"/>
  <c r="C14" i="1"/>
  <c r="F38" i="1"/>
  <c r="F40" i="1"/>
  <c r="E41" i="1"/>
  <c r="D41" i="1"/>
  <c r="D42" i="1" s="1"/>
  <c r="D27" i="1"/>
  <c r="D29" i="1" s="1"/>
  <c r="D30" i="1" s="1"/>
  <c r="D31" i="1" s="1"/>
  <c r="D32" i="1" s="1"/>
  <c r="F37" i="1"/>
  <c r="E27" i="1"/>
  <c r="E29" i="1" s="1"/>
  <c r="E30" i="1" s="1"/>
  <c r="E31" i="1" s="1"/>
  <c r="E32" i="1" s="1"/>
  <c r="F24" i="1"/>
  <c r="F25" i="1" s="1"/>
  <c r="G23" i="1"/>
  <c r="F26" i="1"/>
  <c r="C30" i="1"/>
  <c r="C31" i="1" s="1"/>
  <c r="C32" i="1" s="1"/>
  <c r="E16" i="3" l="1"/>
  <c r="E18" i="3" s="1"/>
  <c r="E20" i="3" s="1"/>
  <c r="F14" i="3"/>
  <c r="G12" i="10"/>
  <c r="G14" i="10" s="1"/>
  <c r="F15" i="10" s="1"/>
  <c r="F17" i="10" s="1"/>
  <c r="C17" i="10" s="1"/>
  <c r="K11" i="10" s="1"/>
  <c r="K12" i="10" s="1"/>
  <c r="M12" i="10" s="1"/>
  <c r="M11" i="10" s="1"/>
  <c r="C19" i="10" s="1"/>
  <c r="F14" i="5"/>
  <c r="E16" i="5"/>
  <c r="E18" i="5" s="1"/>
  <c r="E21" i="5" s="1"/>
  <c r="G11" i="9"/>
  <c r="F13" i="9"/>
  <c r="F15" i="9" s="1"/>
  <c r="F17" i="9" s="1"/>
  <c r="F41" i="1"/>
  <c r="F23" i="4"/>
  <c r="F25" i="4"/>
  <c r="F27" i="4" s="1"/>
  <c r="G21" i="4"/>
  <c r="F10" i="11"/>
  <c r="E14" i="11"/>
  <c r="E16" i="11" s="1"/>
  <c r="I14" i="12"/>
  <c r="H16" i="12"/>
  <c r="H18" i="12" s="1"/>
  <c r="F35" i="7"/>
  <c r="F33" i="7"/>
  <c r="F34" i="7"/>
  <c r="G18" i="7"/>
  <c r="F36" i="7"/>
  <c r="E27" i="7"/>
  <c r="E29" i="7"/>
  <c r="E31" i="7" s="1"/>
  <c r="E43" i="7" s="1"/>
  <c r="E46" i="7" s="1"/>
  <c r="F19" i="7"/>
  <c r="F21" i="7"/>
  <c r="F22" i="7"/>
  <c r="F16" i="6"/>
  <c r="F18" i="6" s="1"/>
  <c r="F20" i="6" s="1"/>
  <c r="E18" i="6"/>
  <c r="E20" i="6" s="1"/>
  <c r="C20" i="6" s="1"/>
  <c r="D25" i="6" s="1"/>
  <c r="E42" i="1"/>
  <c r="F42" i="1"/>
  <c r="E44" i="1"/>
  <c r="E48" i="1" s="1"/>
  <c r="D44" i="1"/>
  <c r="D48" i="1" s="1"/>
  <c r="G38" i="1"/>
  <c r="G40" i="1"/>
  <c r="G39" i="1"/>
  <c r="G37" i="1"/>
  <c r="F27" i="1"/>
  <c r="F29" i="1" s="1"/>
  <c r="F30" i="1" s="1"/>
  <c r="F31" i="1" s="1"/>
  <c r="F32" i="1" s="1"/>
  <c r="G24" i="1"/>
  <c r="G25" i="1" s="1"/>
  <c r="G26" i="1"/>
  <c r="D24" i="6" l="1"/>
  <c r="F25" i="6"/>
  <c r="F24" i="6" s="1"/>
  <c r="F27" i="6" s="1"/>
  <c r="I18" i="12"/>
  <c r="H19" i="12" s="1"/>
  <c r="H21" i="12" s="1"/>
  <c r="F9" i="12" s="1"/>
  <c r="F10" i="12" s="1"/>
  <c r="H10" i="12" s="1"/>
  <c r="H9" i="12" s="1"/>
  <c r="C24" i="12" s="1"/>
  <c r="I16" i="12"/>
  <c r="H21" i="4"/>
  <c r="G23" i="4"/>
  <c r="G25" i="4" s="1"/>
  <c r="G27" i="4" s="1"/>
  <c r="G14" i="5"/>
  <c r="F16" i="5"/>
  <c r="F18" i="5" s="1"/>
  <c r="G13" i="9"/>
  <c r="G15" i="9"/>
  <c r="G17" i="9" s="1"/>
  <c r="H11" i="9"/>
  <c r="G41" i="1"/>
  <c r="G42" i="1" s="1"/>
  <c r="G10" i="11"/>
  <c r="F14" i="11"/>
  <c r="G14" i="3"/>
  <c r="F16" i="3"/>
  <c r="F18" i="3"/>
  <c r="F20" i="3" s="1"/>
  <c r="G22" i="7"/>
  <c r="G35" i="7"/>
  <c r="G19" i="7"/>
  <c r="G33" i="7"/>
  <c r="G34" i="7"/>
  <c r="G36" i="7"/>
  <c r="G21" i="7"/>
  <c r="G24" i="7" s="1"/>
  <c r="G26" i="7" s="1"/>
  <c r="G27" i="7" s="1"/>
  <c r="G29" i="7" s="1"/>
  <c r="G31" i="7" s="1"/>
  <c r="F37" i="7"/>
  <c r="F38" i="7" s="1"/>
  <c r="F24" i="7"/>
  <c r="F26" i="7" s="1"/>
  <c r="F30" i="2"/>
  <c r="F29" i="2"/>
  <c r="F44" i="1"/>
  <c r="F48" i="1" s="1"/>
  <c r="G27" i="1"/>
  <c r="G29" i="1" s="1"/>
  <c r="G30" i="1" s="1"/>
  <c r="G31" i="1" s="1"/>
  <c r="G32" i="1" s="1"/>
  <c r="G44" i="1" s="1"/>
  <c r="I11" i="9" l="1"/>
  <c r="H13" i="9"/>
  <c r="H15" i="9" s="1"/>
  <c r="G18" i="5"/>
  <c r="F19" i="5" s="1"/>
  <c r="F21" i="5" s="1"/>
  <c r="C23" i="5" s="1"/>
  <c r="G16" i="5"/>
  <c r="G12" i="11"/>
  <c r="G14" i="11" s="1"/>
  <c r="F15" i="11" s="1"/>
  <c r="F16" i="11" s="1"/>
  <c r="C16" i="11" s="1"/>
  <c r="J11" i="11" s="1"/>
  <c r="J12" i="11" s="1"/>
  <c r="L12" i="11" s="1"/>
  <c r="L11" i="11" s="1"/>
  <c r="C18" i="11" s="1"/>
  <c r="C52" i="1"/>
  <c r="C54" i="1" s="1"/>
  <c r="G48" i="1"/>
  <c r="C50" i="1" s="1"/>
  <c r="H14" i="3"/>
  <c r="G16" i="3"/>
  <c r="G18" i="3" s="1"/>
  <c r="G20" i="3" s="1"/>
  <c r="I21" i="4"/>
  <c r="H23" i="4"/>
  <c r="H25" i="4" s="1"/>
  <c r="F27" i="7"/>
  <c r="F29" i="7" s="1"/>
  <c r="F31" i="7" s="1"/>
  <c r="F43" i="7" s="1"/>
  <c r="G37" i="7"/>
  <c r="G38" i="7" s="1"/>
  <c r="G43" i="7" s="1"/>
  <c r="F44" i="7" s="1"/>
  <c r="F6" i="6"/>
  <c r="D17" i="8"/>
  <c r="E17" i="8" s="1"/>
  <c r="F17" i="8" s="1"/>
  <c r="F46" i="7" l="1"/>
  <c r="C46" i="7" s="1"/>
  <c r="F9" i="5"/>
  <c r="F10" i="5"/>
  <c r="H10" i="5" s="1"/>
  <c r="H9" i="5" s="1"/>
  <c r="C25" i="5" s="1"/>
  <c r="C27" i="5" s="1"/>
  <c r="C56" i="1"/>
  <c r="I23" i="4"/>
  <c r="I25" i="4"/>
  <c r="H26" i="4" s="1"/>
  <c r="H27" i="4" s="1"/>
  <c r="C29" i="4" s="1"/>
  <c r="I10" i="4" s="1"/>
  <c r="I14" i="3"/>
  <c r="H16" i="3"/>
  <c r="H18" i="3"/>
  <c r="I13" i="9"/>
  <c r="I15" i="9" s="1"/>
  <c r="H16" i="9" s="1"/>
  <c r="H17" i="9" s="1"/>
  <c r="C17" i="9" s="1"/>
  <c r="L12" i="9" s="1"/>
  <c r="L13" i="9" s="1"/>
  <c r="N13" i="9" s="1"/>
  <c r="N12" i="9" s="1"/>
  <c r="C19" i="9" s="1"/>
  <c r="D15" i="8"/>
  <c r="I9" i="4" l="1"/>
  <c r="C31" i="4" s="1"/>
  <c r="G10" i="4"/>
  <c r="G9" i="4" s="1"/>
  <c r="I16" i="3"/>
  <c r="I18" i="3" s="1"/>
  <c r="H19" i="3" s="1"/>
  <c r="H20" i="3" s="1"/>
  <c r="C22" i="3" s="1"/>
  <c r="I30" i="3" s="1"/>
  <c r="E15" i="8"/>
  <c r="D19" i="8"/>
  <c r="D21" i="8" s="1"/>
  <c r="G30" i="3" l="1"/>
  <c r="G29" i="3" s="1"/>
  <c r="I29" i="3"/>
  <c r="C24" i="3" s="1"/>
  <c r="C28" i="3" s="1"/>
  <c r="E19" i="8"/>
  <c r="E21" i="8" s="1"/>
  <c r="F15" i="8"/>
  <c r="F19" i="8" l="1"/>
  <c r="G15" i="8"/>
  <c r="G17" i="8" l="1"/>
  <c r="G19" i="8" s="1"/>
  <c r="F20" i="8" s="1"/>
  <c r="F21" i="8" s="1"/>
  <c r="C21" i="8" s="1"/>
  <c r="F9" i="8" s="1"/>
  <c r="F10" i="8" s="1"/>
  <c r="H10" i="8" s="1"/>
  <c r="H9" i="8" s="1"/>
  <c r="C23" i="8" s="1"/>
</calcChain>
</file>

<file path=xl/sharedStrings.xml><?xml version="1.0" encoding="utf-8"?>
<sst xmlns="http://schemas.openxmlformats.org/spreadsheetml/2006/main" count="401" uniqueCount="151">
  <si>
    <t>Income Statement</t>
  </si>
  <si>
    <t>Sales</t>
  </si>
  <si>
    <t>COGS</t>
  </si>
  <si>
    <t>Gross Profit</t>
  </si>
  <si>
    <t>Expenses</t>
  </si>
  <si>
    <t>EBITDA</t>
  </si>
  <si>
    <t>D&amp;A</t>
  </si>
  <si>
    <t>EBIT</t>
  </si>
  <si>
    <t>Tax</t>
  </si>
  <si>
    <t>NI</t>
  </si>
  <si>
    <t>Year</t>
  </si>
  <si>
    <t>Things to Remember</t>
  </si>
  <si>
    <t>Company has been tripling growth since its inception two years ago yet is experiencing liquidity issues due to fast growth and lack of financing</t>
  </si>
  <si>
    <t>Investors are split between risk-seeking, reward-seeking investors and safe investors who prefer the steady income they are already earning</t>
  </si>
  <si>
    <t>Unlevered Beta</t>
  </si>
  <si>
    <t>D/E</t>
  </si>
  <si>
    <t>Rd</t>
  </si>
  <si>
    <t>Tropicane</t>
  </si>
  <si>
    <t>Sunnydee</t>
  </si>
  <si>
    <t>Rf</t>
  </si>
  <si>
    <t>Rf - Rm</t>
  </si>
  <si>
    <t>Tax Rate</t>
  </si>
  <si>
    <t>OCF</t>
  </si>
  <si>
    <t xml:space="preserve">Gross Profit Margin </t>
  </si>
  <si>
    <t>Expense Ratio</t>
  </si>
  <si>
    <t>CapEx</t>
  </si>
  <si>
    <t>FCFF</t>
  </si>
  <si>
    <t>Delta CapEx</t>
  </si>
  <si>
    <t>NWC</t>
  </si>
  <si>
    <t>AR</t>
  </si>
  <si>
    <t>AP</t>
  </si>
  <si>
    <t>Inventory Ratio</t>
  </si>
  <si>
    <t>Inventory</t>
  </si>
  <si>
    <t>Bank Indebtedness</t>
  </si>
  <si>
    <t>Change in NWC</t>
  </si>
  <si>
    <t>WACC</t>
  </si>
  <si>
    <t>Beta Levered</t>
  </si>
  <si>
    <t>Re</t>
  </si>
  <si>
    <t>Debt/Ent.V</t>
  </si>
  <si>
    <t>Equity/Ent.V</t>
  </si>
  <si>
    <t>FCF @ PV</t>
  </si>
  <si>
    <t>Total PV FCF</t>
  </si>
  <si>
    <t>Term Value @ Y4</t>
  </si>
  <si>
    <t>PV Term Value</t>
  </si>
  <si>
    <t>Ent Value</t>
  </si>
  <si>
    <t>Revenues</t>
  </si>
  <si>
    <t>OA</t>
  </si>
  <si>
    <t>D</t>
  </si>
  <si>
    <t>E</t>
  </si>
  <si>
    <t>Cash</t>
  </si>
  <si>
    <t>EV</t>
  </si>
  <si>
    <t>DnA</t>
  </si>
  <si>
    <t>=9-10</t>
  </si>
  <si>
    <t>R(Capital)</t>
  </si>
  <si>
    <t>Return on Capital = NI / OA</t>
  </si>
  <si>
    <t>Net CapEx = CapEx - DnA</t>
  </si>
  <si>
    <t>Net CapEx</t>
  </si>
  <si>
    <t xml:space="preserve">Acq. C. </t>
  </si>
  <si>
    <t>Amount reinvested into the company includes Net CapEx, change in NWC and any other purchases</t>
  </si>
  <si>
    <t>Reinvestment Rate = percentage of NI reinvested = Reinvestment / NI</t>
  </si>
  <si>
    <t xml:space="preserve">Reinv </t>
  </si>
  <si>
    <t>Expected Growth Rate = Reinvestment Rate * Return on Capital</t>
  </si>
  <si>
    <t>E(g)</t>
  </si>
  <si>
    <t>Given E(g)</t>
  </si>
  <si>
    <t>Reinvestment Rate</t>
  </si>
  <si>
    <t xml:space="preserve">Reinvested </t>
  </si>
  <si>
    <t>OR</t>
  </si>
  <si>
    <t>Reinvested Amount</t>
  </si>
  <si>
    <t>PV FCF (0.2)</t>
  </si>
  <si>
    <t xml:space="preserve">BV(E) </t>
  </si>
  <si>
    <t>Reinvestment</t>
  </si>
  <si>
    <t>Return on Capital = NI/OA</t>
  </si>
  <si>
    <t xml:space="preserve">R(c) </t>
  </si>
  <si>
    <t>E(G)</t>
  </si>
  <si>
    <t>PV</t>
  </si>
  <si>
    <t>PV of Firm</t>
  </si>
  <si>
    <t>BV</t>
  </si>
  <si>
    <t>Total</t>
  </si>
  <si>
    <t>MV</t>
  </si>
  <si>
    <t>MV of E</t>
  </si>
  <si>
    <t>Shares Outstanding</t>
  </si>
  <si>
    <t>$ per Share</t>
  </si>
  <si>
    <t>Revenue</t>
  </si>
  <si>
    <t>Outstanding Shares</t>
  </si>
  <si>
    <t>SharePrice</t>
  </si>
  <si>
    <t>BV E</t>
  </si>
  <si>
    <t>Cost of Capital</t>
  </si>
  <si>
    <t xml:space="preserve">R(C) </t>
  </si>
  <si>
    <t xml:space="preserve">E(G) </t>
  </si>
  <si>
    <t>given</t>
  </si>
  <si>
    <t>Reinvestment Rate = g/ROC</t>
  </si>
  <si>
    <t>RR</t>
  </si>
  <si>
    <t>Reinv Rat</t>
  </si>
  <si>
    <t>PV CF</t>
  </si>
  <si>
    <t>5 years</t>
  </si>
  <si>
    <t>after 5 years</t>
  </si>
  <si>
    <t>Note: when determining the term. value, the growth on reinvestment will be the stable growth; you must recalculate the growth and reinvestment rate for term.val. and the pv factor is the cost of capital - the stable growth rate</t>
  </si>
  <si>
    <t>Value of firm</t>
  </si>
  <si>
    <t>Share Price</t>
  </si>
  <si>
    <t>Note: when PVing the FCFF and TV, use the Cost of Capital</t>
  </si>
  <si>
    <t>C</t>
  </si>
  <si>
    <t>Cap Ex</t>
  </si>
  <si>
    <t xml:space="preserve">C(C) </t>
  </si>
  <si>
    <t>first 3</t>
  </si>
  <si>
    <t>after 3</t>
  </si>
  <si>
    <t>Term</t>
  </si>
  <si>
    <t>PV of CF &amp; Term</t>
  </si>
  <si>
    <t>Firm Value</t>
  </si>
  <si>
    <t>Equity Value</t>
  </si>
  <si>
    <t>T</t>
  </si>
  <si>
    <t>ReInvestment</t>
  </si>
  <si>
    <t xml:space="preserve">Year </t>
  </si>
  <si>
    <t>before 3 years</t>
  </si>
  <si>
    <t>after 3 years</t>
  </si>
  <si>
    <t>$/Share</t>
  </si>
  <si>
    <t>Note: the order is Cost of Capital, Expected Growth, Reinvestment Rate, and the Return on Capital</t>
  </si>
  <si>
    <t>cost of cap</t>
  </si>
  <si>
    <t>return on cap</t>
  </si>
  <si>
    <t>expected growth</t>
  </si>
  <si>
    <t>reinvestment rate</t>
  </si>
  <si>
    <t>PV Factor</t>
  </si>
  <si>
    <t>growth</t>
  </si>
  <si>
    <t>SunnyDee</t>
  </si>
  <si>
    <t>Rm-Rf</t>
  </si>
  <si>
    <t>D/EV</t>
  </si>
  <si>
    <t>E/EV</t>
  </si>
  <si>
    <t>C(d)</t>
  </si>
  <si>
    <t>NetCapEx</t>
  </si>
  <si>
    <t>Total Revenue</t>
  </si>
  <si>
    <t>Selling and Admin</t>
  </si>
  <si>
    <t>Total Expenses</t>
  </si>
  <si>
    <t>Change NWC</t>
  </si>
  <si>
    <t>Term Value</t>
  </si>
  <si>
    <t>Levered Beta</t>
  </si>
  <si>
    <t>calc.</t>
  </si>
  <si>
    <t>PV CFS</t>
  </si>
  <si>
    <t>Expected Growth</t>
  </si>
  <si>
    <t>Cost of Cap</t>
  </si>
  <si>
    <t>Return on Cap</t>
  </si>
  <si>
    <t>ACQ</t>
  </si>
  <si>
    <t>Reinv. Rate</t>
  </si>
  <si>
    <t>pre</t>
  </si>
  <si>
    <t>post</t>
  </si>
  <si>
    <t>ReInv = Expected Growth / ROC</t>
  </si>
  <si>
    <t>ROC</t>
  </si>
  <si>
    <t>CC</t>
  </si>
  <si>
    <t>Reinv</t>
  </si>
  <si>
    <t>EG</t>
  </si>
  <si>
    <t>ReInv</t>
  </si>
  <si>
    <t>Eg</t>
  </si>
  <si>
    <t>PV 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</si>
</sst>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16" fontId="0" fillId="0" borderId="0" xfId="0" quotePrefix="1" applyNumberFormat="1"/>
    <xf numFmtId="0" fontId="0" fillId="0" borderId="0" xfId="0" applyNumberFormat="1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7EB9-E9C5-4C5A-AEDB-1B0B2171FF36}">
  <dimension ref="A2:G56"/>
  <sheetViews>
    <sheetView workbookViewId="0">
      <selection activeCell="C57" sqref="C57"/>
    </sheetView>
  </sheetViews>
  <sheetFormatPr defaultRowHeight="15" x14ac:dyDescent="0.25"/>
  <cols>
    <col min="2" max="2" width="20.28515625" customWidth="1"/>
    <col min="3" max="3" width="14.140625" customWidth="1"/>
    <col min="4" max="4" width="13" customWidth="1"/>
  </cols>
  <sheetData>
    <row r="2" spans="1:4" x14ac:dyDescent="0.25">
      <c r="A2" t="s">
        <v>11</v>
      </c>
    </row>
    <row r="3" spans="1:4" x14ac:dyDescent="0.25">
      <c r="B3" t="s">
        <v>12</v>
      </c>
    </row>
    <row r="4" spans="1:4" x14ac:dyDescent="0.25">
      <c r="B4" t="s">
        <v>13</v>
      </c>
    </row>
    <row r="5" spans="1:4" x14ac:dyDescent="0.25">
      <c r="B5" t="s">
        <v>14</v>
      </c>
      <c r="C5" t="s">
        <v>17</v>
      </c>
      <c r="D5" t="s">
        <v>18</v>
      </c>
    </row>
    <row r="6" spans="1:4" x14ac:dyDescent="0.25">
      <c r="B6" t="s">
        <v>14</v>
      </c>
      <c r="C6">
        <v>0.9</v>
      </c>
      <c r="D6">
        <v>1.1000000000000001</v>
      </c>
    </row>
    <row r="7" spans="1:4" x14ac:dyDescent="0.25">
      <c r="B7" t="s">
        <v>15</v>
      </c>
      <c r="C7">
        <v>0.67</v>
      </c>
      <c r="D7">
        <v>0.5</v>
      </c>
    </row>
    <row r="8" spans="1:4" x14ac:dyDescent="0.25">
      <c r="B8" t="s">
        <v>38</v>
      </c>
      <c r="C8">
        <f>C7/(1+C7)</f>
        <v>0.40119760479041922</v>
      </c>
      <c r="D8">
        <f>D7/(1+D7)</f>
        <v>0.33333333333333331</v>
      </c>
    </row>
    <row r="9" spans="1:4" x14ac:dyDescent="0.25">
      <c r="B9" t="s">
        <v>39</v>
      </c>
      <c r="C9">
        <f>1/(1+C7)</f>
        <v>0.5988023952095809</v>
      </c>
      <c r="D9">
        <f>1/(1+D7)</f>
        <v>0.66666666666666663</v>
      </c>
    </row>
    <row r="10" spans="1:4" x14ac:dyDescent="0.25">
      <c r="B10" t="s">
        <v>16</v>
      </c>
      <c r="C10">
        <v>0.08</v>
      </c>
      <c r="D10">
        <v>0.11</v>
      </c>
    </row>
    <row r="11" spans="1:4" x14ac:dyDescent="0.25">
      <c r="B11" t="s">
        <v>19</v>
      </c>
      <c r="C11">
        <v>0.06</v>
      </c>
    </row>
    <row r="12" spans="1:4" x14ac:dyDescent="0.25">
      <c r="B12" t="s">
        <v>20</v>
      </c>
      <c r="C12">
        <v>7.0000000000000007E-2</v>
      </c>
    </row>
    <row r="13" spans="1:4" x14ac:dyDescent="0.25">
      <c r="B13" t="s">
        <v>21</v>
      </c>
      <c r="C13">
        <f>492/1230</f>
        <v>0.4</v>
      </c>
    </row>
    <row r="14" spans="1:4" x14ac:dyDescent="0.25">
      <c r="B14" t="s">
        <v>23</v>
      </c>
      <c r="C14" s="1">
        <f>1-D14</f>
        <v>0.21319796954314718</v>
      </c>
      <c r="D14" s="1">
        <f>C24/C23</f>
        <v>0.78680203045685282</v>
      </c>
    </row>
    <row r="15" spans="1:4" x14ac:dyDescent="0.25">
      <c r="B15" t="s">
        <v>24</v>
      </c>
      <c r="C15" s="1">
        <f>C26/C23</f>
        <v>7.2335025380710655E-2</v>
      </c>
    </row>
    <row r="16" spans="1:4" x14ac:dyDescent="0.25">
      <c r="B16" t="s">
        <v>31</v>
      </c>
      <c r="C16">
        <f>1020/C23</f>
        <v>0.12944162436548223</v>
      </c>
    </row>
    <row r="17" spans="2:7" x14ac:dyDescent="0.25">
      <c r="B17" t="s">
        <v>36</v>
      </c>
      <c r="C17">
        <f>C6+(C7*(1-$C$13))</f>
        <v>1.302</v>
      </c>
      <c r="D17">
        <f>D6+(D7*(1-$C$13))</f>
        <v>1.4000000000000001</v>
      </c>
    </row>
    <row r="18" spans="2:7" x14ac:dyDescent="0.25">
      <c r="B18" t="s">
        <v>37</v>
      </c>
      <c r="C18">
        <f>$C$11+$C$12*C17</f>
        <v>0.15114</v>
      </c>
      <c r="D18">
        <f>$C$11+$C$12*D17</f>
        <v>0.15800000000000003</v>
      </c>
    </row>
    <row r="19" spans="2:7" x14ac:dyDescent="0.25">
      <c r="B19" t="s">
        <v>35</v>
      </c>
      <c r="C19">
        <f>C18*C9+C10*C8*(1-$C$13)</f>
        <v>0.10976047904191617</v>
      </c>
      <c r="D19">
        <f>D18*D9+D10*D8*(1-$C$13)</f>
        <v>0.12733333333333335</v>
      </c>
    </row>
    <row r="21" spans="2:7" x14ac:dyDescent="0.25">
      <c r="B21" t="s">
        <v>0</v>
      </c>
    </row>
    <row r="22" spans="2:7" x14ac:dyDescent="0.25">
      <c r="B22" t="s">
        <v>10</v>
      </c>
      <c r="C22">
        <v>0</v>
      </c>
      <c r="D22">
        <v>1</v>
      </c>
      <c r="E22">
        <v>2</v>
      </c>
      <c r="F22">
        <v>3</v>
      </c>
      <c r="G22">
        <v>4</v>
      </c>
    </row>
    <row r="23" spans="2:7" x14ac:dyDescent="0.25">
      <c r="B23" t="s">
        <v>1</v>
      </c>
      <c r="C23">
        <f>7880</f>
        <v>7880</v>
      </c>
      <c r="D23">
        <f>7880*1.15</f>
        <v>9062</v>
      </c>
      <c r="E23">
        <f>D23*1.08</f>
        <v>9786.9600000000009</v>
      </c>
      <c r="F23">
        <f>E23*1.02</f>
        <v>9982.6992000000009</v>
      </c>
      <c r="G23">
        <f>F23*1.02</f>
        <v>10182.353184000001</v>
      </c>
    </row>
    <row r="24" spans="2:7" x14ac:dyDescent="0.25">
      <c r="B24" t="s">
        <v>2</v>
      </c>
      <c r="C24">
        <f>6200</f>
        <v>6200</v>
      </c>
      <c r="D24">
        <f>D23*$D$14</f>
        <v>7130</v>
      </c>
      <c r="E24">
        <f>E23*$D$14</f>
        <v>7700.4000000000015</v>
      </c>
      <c r="F24">
        <f>F23*($D$14-0.05)</f>
        <v>7355.2730400000009</v>
      </c>
      <c r="G24">
        <f>G23*($D$14-0.05)</f>
        <v>7502.3785008000004</v>
      </c>
    </row>
    <row r="25" spans="2:7" x14ac:dyDescent="0.25">
      <c r="B25" t="s">
        <v>3</v>
      </c>
      <c r="C25">
        <f>C23-C24</f>
        <v>1680</v>
      </c>
      <c r="D25">
        <f>D23-D24</f>
        <v>1932</v>
      </c>
      <c r="E25">
        <f>E23-E24</f>
        <v>2086.5599999999995</v>
      </c>
      <c r="F25">
        <f>F23-F24</f>
        <v>2627.42616</v>
      </c>
      <c r="G25">
        <f>G23-G24</f>
        <v>2679.974683200001</v>
      </c>
    </row>
    <row r="26" spans="2:7" x14ac:dyDescent="0.25">
      <c r="B26" t="s">
        <v>4</v>
      </c>
      <c r="C26">
        <f>570</f>
        <v>570</v>
      </c>
      <c r="D26">
        <f>D23*$C$15</f>
        <v>655.5</v>
      </c>
      <c r="E26">
        <f>E23*$C$15</f>
        <v>707.94</v>
      </c>
      <c r="F26">
        <f>F23*$C$15</f>
        <v>722.09879999999998</v>
      </c>
      <c r="G26">
        <f>G23*$C$15</f>
        <v>736.54077600000005</v>
      </c>
    </row>
    <row r="27" spans="2:7" x14ac:dyDescent="0.25">
      <c r="B27" t="s">
        <v>5</v>
      </c>
      <c r="C27">
        <f>C25-C26</f>
        <v>1110</v>
      </c>
      <c r="D27">
        <f>D25-D26</f>
        <v>1276.5</v>
      </c>
      <c r="E27">
        <f>E25-E26</f>
        <v>1378.6199999999994</v>
      </c>
      <c r="F27">
        <f>F25-F26</f>
        <v>1905.32736</v>
      </c>
      <c r="G27">
        <f>G25-G26</f>
        <v>1943.4339072000009</v>
      </c>
    </row>
    <row r="28" spans="2:7" x14ac:dyDescent="0.25">
      <c r="B28" t="s">
        <v>6</v>
      </c>
      <c r="C28">
        <f>310</f>
        <v>310</v>
      </c>
      <c r="D28">
        <v>340</v>
      </c>
      <c r="E28">
        <f>D28*1.08</f>
        <v>367.20000000000005</v>
      </c>
      <c r="F28">
        <f>E28*1.02</f>
        <v>374.54400000000004</v>
      </c>
      <c r="G28">
        <f>F28*1.02</f>
        <v>382.03488000000004</v>
      </c>
    </row>
    <row r="29" spans="2:7" x14ac:dyDescent="0.25">
      <c r="B29" t="s">
        <v>7</v>
      </c>
      <c r="C29">
        <f>C27-C28</f>
        <v>800</v>
      </c>
      <c r="D29">
        <f>D27-D28</f>
        <v>936.5</v>
      </c>
      <c r="E29">
        <f>E27-E28</f>
        <v>1011.4199999999994</v>
      </c>
      <c r="F29">
        <f>F27-F28</f>
        <v>1530.7833599999999</v>
      </c>
      <c r="G29">
        <f>G27-G28</f>
        <v>1561.399027200001</v>
      </c>
    </row>
    <row r="30" spans="2:7" x14ac:dyDescent="0.25">
      <c r="B30" t="s">
        <v>8</v>
      </c>
      <c r="C30">
        <f>C29*0.4</f>
        <v>320</v>
      </c>
      <c r="D30">
        <f>D29*$C$13</f>
        <v>374.6</v>
      </c>
      <c r="E30">
        <f>E29*$C$13</f>
        <v>404.56799999999976</v>
      </c>
      <c r="F30">
        <f>F29*$C$13</f>
        <v>612.31334400000003</v>
      </c>
      <c r="G30">
        <f>G29*$C$13</f>
        <v>624.55961088000049</v>
      </c>
    </row>
    <row r="31" spans="2:7" x14ac:dyDescent="0.25">
      <c r="B31" t="s">
        <v>9</v>
      </c>
      <c r="C31">
        <f>C29-C30</f>
        <v>480</v>
      </c>
      <c r="D31">
        <f>D29-D30</f>
        <v>561.9</v>
      </c>
      <c r="E31">
        <f>E29-E30</f>
        <v>606.85199999999963</v>
      </c>
      <c r="F31">
        <f>F29-F30</f>
        <v>918.47001599999987</v>
      </c>
      <c r="G31">
        <f>G29-G30</f>
        <v>936.83941632000051</v>
      </c>
    </row>
    <row r="32" spans="2:7" x14ac:dyDescent="0.25">
      <c r="B32" t="s">
        <v>22</v>
      </c>
      <c r="C32">
        <f>C31+C28</f>
        <v>790</v>
      </c>
      <c r="D32">
        <f>D31+D28</f>
        <v>901.9</v>
      </c>
      <c r="E32">
        <f>E31+E28</f>
        <v>974.05199999999968</v>
      </c>
      <c r="F32">
        <f>F31+F28</f>
        <v>1293.0140159999999</v>
      </c>
      <c r="G32">
        <f>G31+G28</f>
        <v>1318.8742963200007</v>
      </c>
    </row>
    <row r="34" spans="2:7" x14ac:dyDescent="0.25">
      <c r="B34" t="s">
        <v>27</v>
      </c>
      <c r="D34">
        <v>500</v>
      </c>
      <c r="E34">
        <f>D34*1.08</f>
        <v>540</v>
      </c>
      <c r="F34">
        <f>E34*1.02</f>
        <v>550.79999999999995</v>
      </c>
      <c r="G34">
        <f>F34*1.02</f>
        <v>561.81599999999992</v>
      </c>
    </row>
    <row r="36" spans="2:7" x14ac:dyDescent="0.25">
      <c r="B36" t="s">
        <v>28</v>
      </c>
    </row>
    <row r="37" spans="2:7" x14ac:dyDescent="0.25">
      <c r="B37" t="s">
        <v>32</v>
      </c>
      <c r="C37">
        <v>1020</v>
      </c>
      <c r="D37">
        <f>($C$37/$C$23)*D23</f>
        <v>1173</v>
      </c>
      <c r="E37">
        <f>($C$37/$C$23)*E23</f>
        <v>1266.8400000000001</v>
      </c>
      <c r="F37">
        <f>($C$37/$C$23)*F23</f>
        <v>1292.1768000000002</v>
      </c>
      <c r="G37">
        <f>($C$37/$C$23)*G23</f>
        <v>1318.0203360000003</v>
      </c>
    </row>
    <row r="38" spans="2:7" x14ac:dyDescent="0.25">
      <c r="B38" t="s">
        <v>29</v>
      </c>
      <c r="C38">
        <v>990</v>
      </c>
      <c r="D38">
        <f>D23/(365/35)</f>
        <v>868.95890410958907</v>
      </c>
      <c r="E38">
        <f>E23/(365/30)</f>
        <v>804.40767123287685</v>
      </c>
      <c r="F38">
        <f>F23/(365/30)</f>
        <v>820.4958246575344</v>
      </c>
      <c r="G38">
        <f>G23/(365/30)</f>
        <v>836.90574115068512</v>
      </c>
    </row>
    <row r="39" spans="2:7" x14ac:dyDescent="0.25">
      <c r="B39" t="s">
        <v>33</v>
      </c>
      <c r="C39">
        <v>530</v>
      </c>
      <c r="D39">
        <f>($C$39/$C$23)*D23</f>
        <v>609.49999999999989</v>
      </c>
      <c r="E39">
        <f>($C$39/$C$23)*E23</f>
        <v>658.26</v>
      </c>
      <c r="F39">
        <f>($C$39/$C$23)*F23</f>
        <v>671.42520000000002</v>
      </c>
      <c r="G39">
        <f>($C$39/$C$23)*G23</f>
        <v>684.85370399999999</v>
      </c>
    </row>
    <row r="40" spans="2:7" x14ac:dyDescent="0.25">
      <c r="B40" t="s">
        <v>30</v>
      </c>
      <c r="C40">
        <v>1100</v>
      </c>
      <c r="D40">
        <f>D23*0.1</f>
        <v>906.2</v>
      </c>
      <c r="E40">
        <f>E23*0.1</f>
        <v>978.69600000000014</v>
      </c>
      <c r="F40">
        <f>F23*0.1</f>
        <v>998.26992000000018</v>
      </c>
      <c r="G40">
        <f>G23*0.1</f>
        <v>1018.2353184000002</v>
      </c>
    </row>
    <row r="41" spans="2:7" x14ac:dyDescent="0.25">
      <c r="B41" t="s">
        <v>28</v>
      </c>
      <c r="C41">
        <f>C37+C38-C39-C40</f>
        <v>380</v>
      </c>
      <c r="D41">
        <f>D37+D38-D39-D40</f>
        <v>526.25890410958914</v>
      </c>
      <c r="E41">
        <f>E37+E38-E39-E40</f>
        <v>434.29167123287698</v>
      </c>
      <c r="F41">
        <f>F37+F38-F39-F40</f>
        <v>442.97750465753415</v>
      </c>
      <c r="G41">
        <f>G37+G38-G39-G40</f>
        <v>451.83705475068484</v>
      </c>
    </row>
    <row r="42" spans="2:7" x14ac:dyDescent="0.25">
      <c r="B42" t="s">
        <v>34</v>
      </c>
      <c r="D42">
        <f>D41-C41</f>
        <v>146.25890410958914</v>
      </c>
      <c r="E42">
        <f>E41-D41</f>
        <v>-91.96723287671216</v>
      </c>
      <c r="F42">
        <f>F41-E41</f>
        <v>8.6858334246571758</v>
      </c>
      <c r="G42">
        <f>G41-F41</f>
        <v>8.8595500931506876</v>
      </c>
    </row>
    <row r="44" spans="2:7" x14ac:dyDescent="0.25">
      <c r="B44" t="s">
        <v>26</v>
      </c>
      <c r="D44">
        <f>D32-D34-D42</f>
        <v>255.64109589041084</v>
      </c>
      <c r="E44">
        <f>E32-E34-E42</f>
        <v>526.01923287671184</v>
      </c>
      <c r="F44">
        <f>F32-F34-F42</f>
        <v>733.52818257534273</v>
      </c>
      <c r="G44">
        <f>G32-G34-G42</f>
        <v>748.19874622685006</v>
      </c>
    </row>
    <row r="46" spans="2:7" x14ac:dyDescent="0.25">
      <c r="B46" t="s">
        <v>35</v>
      </c>
      <c r="C46">
        <v>0.12733333333333335</v>
      </c>
    </row>
    <row r="48" spans="2:7" x14ac:dyDescent="0.25">
      <c r="B48" t="s">
        <v>40</v>
      </c>
      <c r="D48">
        <f>D44/((1+$C$46)^D22)</f>
        <v>226.76619978451583</v>
      </c>
      <c r="E48">
        <f>E44/((1+$C$46)^E22)</f>
        <v>413.90142965545203</v>
      </c>
      <c r="F48">
        <f>F44/((1+$C$46)^F22)</f>
        <v>511.98797245889654</v>
      </c>
      <c r="G48">
        <f>G44/((1+$C$46)^G22)</f>
        <v>463.24163090603918</v>
      </c>
    </row>
    <row r="50" spans="2:3" x14ac:dyDescent="0.25">
      <c r="B50" t="s">
        <v>41</v>
      </c>
      <c r="C50">
        <f>SUM(D48:H48)</f>
        <v>1615.8972328049035</v>
      </c>
    </row>
    <row r="52" spans="2:3" x14ac:dyDescent="0.25">
      <c r="B52" t="s">
        <v>42</v>
      </c>
      <c r="C52">
        <f>G44/(C46-0.02)</f>
        <v>6970.7957722998444</v>
      </c>
    </row>
    <row r="54" spans="2:3" x14ac:dyDescent="0.25">
      <c r="B54" t="s">
        <v>43</v>
      </c>
      <c r="C54">
        <f>C52/((1+C46)^G22)</f>
        <v>4315.9158158947739</v>
      </c>
    </row>
    <row r="56" spans="2:3" x14ac:dyDescent="0.25">
      <c r="B56" t="s">
        <v>44</v>
      </c>
      <c r="C56">
        <f>C54+C50+450-1020</f>
        <v>5361.8130486996779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B44D-61D9-471D-BAF4-388B38204E0B}">
  <dimension ref="A1:L24"/>
  <sheetViews>
    <sheetView tabSelected="1" workbookViewId="0">
      <selection activeCell="B25" sqref="B25"/>
    </sheetView>
  </sheetViews>
  <sheetFormatPr defaultRowHeight="15" x14ac:dyDescent="0.25"/>
  <sheetData>
    <row r="1" spans="1:12" x14ac:dyDescent="0.25">
      <c r="A1">
        <v>3</v>
      </c>
    </row>
    <row r="2" spans="1:12" x14ac:dyDescent="0.25">
      <c r="E2" t="s">
        <v>76</v>
      </c>
      <c r="K2" t="s">
        <v>141</v>
      </c>
      <c r="L2" t="s">
        <v>142</v>
      </c>
    </row>
    <row r="3" spans="1:12" x14ac:dyDescent="0.25">
      <c r="B3" t="s">
        <v>9</v>
      </c>
      <c r="C3">
        <v>20</v>
      </c>
      <c r="E3" t="s">
        <v>100</v>
      </c>
      <c r="F3">
        <f>20</f>
        <v>20</v>
      </c>
      <c r="G3" t="s">
        <v>47</v>
      </c>
      <c r="H3">
        <v>50</v>
      </c>
      <c r="J3" t="s">
        <v>145</v>
      </c>
      <c r="K3">
        <v>0.12</v>
      </c>
      <c r="L3">
        <v>0.1</v>
      </c>
    </row>
    <row r="4" spans="1:12" x14ac:dyDescent="0.25">
      <c r="E4" t="s">
        <v>46</v>
      </c>
      <c r="F4">
        <f>F5-F3</f>
        <v>80</v>
      </c>
      <c r="G4" t="s">
        <v>48</v>
      </c>
      <c r="H4">
        <v>50</v>
      </c>
      <c r="J4" t="s">
        <v>144</v>
      </c>
      <c r="K4">
        <f>C3/F4</f>
        <v>0.25</v>
      </c>
      <c r="L4">
        <v>0.15</v>
      </c>
    </row>
    <row r="5" spans="1:12" x14ac:dyDescent="0.25">
      <c r="E5" t="s">
        <v>77</v>
      </c>
      <c r="F5">
        <f>H5</f>
        <v>100</v>
      </c>
      <c r="G5" t="s">
        <v>77</v>
      </c>
      <c r="H5">
        <f>SUM(H3:H4)</f>
        <v>100</v>
      </c>
      <c r="J5" t="s">
        <v>146</v>
      </c>
      <c r="K5">
        <f>K6/K4</f>
        <v>0.4</v>
      </c>
      <c r="L5">
        <f>L6/L4</f>
        <v>0.2</v>
      </c>
    </row>
    <row r="6" spans="1:12" x14ac:dyDescent="0.25">
      <c r="J6" t="s">
        <v>149</v>
      </c>
      <c r="K6">
        <v>0.1</v>
      </c>
      <c r="L6">
        <v>0.03</v>
      </c>
    </row>
    <row r="7" spans="1:12" x14ac:dyDescent="0.25">
      <c r="E7" t="s">
        <v>78</v>
      </c>
    </row>
    <row r="8" spans="1:12" x14ac:dyDescent="0.25">
      <c r="E8" t="s">
        <v>100</v>
      </c>
      <c r="F8">
        <f>20</f>
        <v>20</v>
      </c>
      <c r="G8" t="s">
        <v>47</v>
      </c>
      <c r="H8">
        <f>50</f>
        <v>50</v>
      </c>
    </row>
    <row r="9" spans="1:12" x14ac:dyDescent="0.25">
      <c r="E9" t="s">
        <v>46</v>
      </c>
      <c r="F9">
        <f>H21</f>
        <v>226.11176502837458</v>
      </c>
      <c r="G9" t="s">
        <v>48</v>
      </c>
      <c r="H9">
        <f>H10-H8</f>
        <v>196.11176502837458</v>
      </c>
    </row>
    <row r="10" spans="1:12" x14ac:dyDescent="0.25">
      <c r="E10" t="s">
        <v>77</v>
      </c>
      <c r="F10">
        <f>SUM(F8:F9)</f>
        <v>246.11176502837458</v>
      </c>
      <c r="G10" t="s">
        <v>77</v>
      </c>
      <c r="H10">
        <f>F10</f>
        <v>246.11176502837458</v>
      </c>
    </row>
    <row r="12" spans="1:12" x14ac:dyDescent="0.25">
      <c r="B12" t="s">
        <v>10</v>
      </c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</row>
    <row r="14" spans="1:12" x14ac:dyDescent="0.25">
      <c r="B14" t="s">
        <v>9</v>
      </c>
      <c r="D14">
        <f>20*1.1</f>
        <v>22</v>
      </c>
      <c r="E14">
        <f>D14*1.1</f>
        <v>24.200000000000003</v>
      </c>
      <c r="F14">
        <f>E14*1.1</f>
        <v>26.620000000000005</v>
      </c>
      <c r="G14">
        <f>F14*1.1</f>
        <v>29.282000000000007</v>
      </c>
      <c r="H14">
        <f>G14*1.1</f>
        <v>32.210200000000007</v>
      </c>
      <c r="I14">
        <f>H14*1.03</f>
        <v>33.17650600000001</v>
      </c>
    </row>
    <row r="16" spans="1:12" x14ac:dyDescent="0.25">
      <c r="B16" t="s">
        <v>146</v>
      </c>
      <c r="D16">
        <f>D14*$K$5</f>
        <v>8.8000000000000007</v>
      </c>
      <c r="E16">
        <f>E14*$K$5</f>
        <v>9.6800000000000015</v>
      </c>
      <c r="F16">
        <f>F14*$K$5</f>
        <v>10.648000000000003</v>
      </c>
      <c r="G16">
        <f>G14*$K$5</f>
        <v>11.712800000000003</v>
      </c>
      <c r="H16">
        <f>H14*$K$5</f>
        <v>12.884080000000004</v>
      </c>
      <c r="I16">
        <f>I14*0.2</f>
        <v>6.6353012000000025</v>
      </c>
    </row>
    <row r="18" spans="2:9" x14ac:dyDescent="0.25">
      <c r="B18" t="s">
        <v>26</v>
      </c>
      <c r="D18">
        <f t="shared" ref="D18:I18" si="0">D14-D16</f>
        <v>13.2</v>
      </c>
      <c r="E18">
        <f t="shared" si="0"/>
        <v>14.520000000000001</v>
      </c>
      <c r="F18">
        <f t="shared" si="0"/>
        <v>15.972000000000001</v>
      </c>
      <c r="G18">
        <f t="shared" si="0"/>
        <v>17.569200000000002</v>
      </c>
      <c r="H18">
        <f t="shared" si="0"/>
        <v>19.326120000000003</v>
      </c>
      <c r="I18">
        <f t="shared" si="0"/>
        <v>26.54120480000001</v>
      </c>
    </row>
    <row r="19" spans="2:9" x14ac:dyDescent="0.25">
      <c r="H19">
        <f>I18/0.07</f>
        <v>379.16006857142867</v>
      </c>
    </row>
    <row r="21" spans="2:9" x14ac:dyDescent="0.25">
      <c r="B21" t="s">
        <v>150</v>
      </c>
      <c r="D21">
        <f>SUM(D18:D19)/(1.12^D12)</f>
        <v>11.785714285714285</v>
      </c>
      <c r="E21">
        <f>SUM(E18:E19)/(1.12^E12)</f>
        <v>11.575255102040815</v>
      </c>
      <c r="F21">
        <f>SUM(F18:F19)/(1.12^F12)</f>
        <v>11.368554118075799</v>
      </c>
      <c r="G21">
        <f>SUM(G18:G19)/(1.12^G12)</f>
        <v>11.165544223110162</v>
      </c>
      <c r="H21">
        <f>SUM(H18:H19)/(1.12^H12)</f>
        <v>226.11176502837458</v>
      </c>
    </row>
    <row r="24" spans="2:9" x14ac:dyDescent="0.25">
      <c r="B24" t="s">
        <v>114</v>
      </c>
      <c r="C24">
        <f>H9/20</f>
        <v>9.8055882514187296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FAD8-1EA1-47A0-B436-B68415CDD082}">
  <dimension ref="A1:M19"/>
  <sheetViews>
    <sheetView workbookViewId="0"/>
  </sheetViews>
  <sheetFormatPr defaultRowHeight="15" x14ac:dyDescent="0.25"/>
  <cols>
    <col min="2" max="2" width="9.5703125" bestFit="1" customWidth="1"/>
    <col min="6" max="6" width="5.42578125" bestFit="1" customWidth="1"/>
    <col min="8" max="8" width="5.42578125" bestFit="1" customWidth="1"/>
  </cols>
  <sheetData>
    <row r="1" spans="1:13" x14ac:dyDescent="0.25">
      <c r="A1">
        <v>4</v>
      </c>
    </row>
    <row r="2" spans="1:13" x14ac:dyDescent="0.25">
      <c r="B2" t="s">
        <v>9</v>
      </c>
      <c r="C2">
        <v>4</v>
      </c>
      <c r="F2" t="s">
        <v>76</v>
      </c>
      <c r="L2" t="s">
        <v>141</v>
      </c>
      <c r="M2" t="s">
        <v>142</v>
      </c>
    </row>
    <row r="3" spans="1:13" x14ac:dyDescent="0.25">
      <c r="B3" t="s">
        <v>127</v>
      </c>
      <c r="C3">
        <v>1</v>
      </c>
      <c r="F3" t="s">
        <v>49</v>
      </c>
      <c r="G3">
        <v>0</v>
      </c>
      <c r="H3" t="s">
        <v>47</v>
      </c>
      <c r="I3">
        <v>4</v>
      </c>
      <c r="K3" t="s">
        <v>145</v>
      </c>
      <c r="L3">
        <v>0.12</v>
      </c>
      <c r="M3">
        <v>0.1</v>
      </c>
    </row>
    <row r="4" spans="1:13" x14ac:dyDescent="0.25">
      <c r="B4" t="s">
        <v>28</v>
      </c>
      <c r="C4">
        <v>0.2</v>
      </c>
      <c r="F4" t="s">
        <v>46</v>
      </c>
      <c r="G4">
        <f>G5-G3</f>
        <v>12</v>
      </c>
      <c r="H4" t="s">
        <v>48</v>
      </c>
      <c r="I4">
        <v>8</v>
      </c>
      <c r="K4" t="s">
        <v>144</v>
      </c>
      <c r="L4">
        <f>C10/G5</f>
        <v>0.33333333333333331</v>
      </c>
      <c r="M4">
        <f>L4</f>
        <v>0.33333333333333331</v>
      </c>
    </row>
    <row r="5" spans="1:13" x14ac:dyDescent="0.25">
      <c r="F5" t="s">
        <v>77</v>
      </c>
      <c r="G5">
        <f>I5</f>
        <v>12</v>
      </c>
      <c r="H5" t="s">
        <v>77</v>
      </c>
      <c r="I5">
        <f>SUM(I3:I4)</f>
        <v>12</v>
      </c>
      <c r="K5" t="s">
        <v>148</v>
      </c>
      <c r="L5">
        <f>C12/C10</f>
        <v>0.3</v>
      </c>
      <c r="M5">
        <f>M6/M4</f>
        <v>0.09</v>
      </c>
    </row>
    <row r="6" spans="1:13" x14ac:dyDescent="0.25">
      <c r="K6" t="s">
        <v>147</v>
      </c>
      <c r="L6">
        <f>L4*L5</f>
        <v>9.9999999999999992E-2</v>
      </c>
      <c r="M6">
        <f>0.03</f>
        <v>0.03</v>
      </c>
    </row>
    <row r="8" spans="1:13" x14ac:dyDescent="0.25">
      <c r="B8" t="s">
        <v>10</v>
      </c>
      <c r="C8">
        <v>0</v>
      </c>
      <c r="D8">
        <v>1</v>
      </c>
      <c r="E8">
        <v>2</v>
      </c>
      <c r="F8">
        <v>3</v>
      </c>
      <c r="G8">
        <v>4</v>
      </c>
    </row>
    <row r="9" spans="1:13" x14ac:dyDescent="0.25">
      <c r="J9" t="s">
        <v>78</v>
      </c>
    </row>
    <row r="10" spans="1:13" x14ac:dyDescent="0.25">
      <c r="B10" t="s">
        <v>9</v>
      </c>
      <c r="C10">
        <f>C2</f>
        <v>4</v>
      </c>
      <c r="D10">
        <f>C10*1.1</f>
        <v>4.4000000000000004</v>
      </c>
      <c r="E10">
        <f>D10*1.1</f>
        <v>4.8400000000000007</v>
      </c>
      <c r="F10">
        <f>E10*1.1</f>
        <v>5.3240000000000016</v>
      </c>
      <c r="G10">
        <f>F10*1.03</f>
        <v>5.4837200000000017</v>
      </c>
      <c r="J10" t="s">
        <v>49</v>
      </c>
      <c r="L10" t="s">
        <v>47</v>
      </c>
      <c r="M10">
        <v>4</v>
      </c>
    </row>
    <row r="11" spans="1:13" x14ac:dyDescent="0.25">
      <c r="J11" t="s">
        <v>46</v>
      </c>
      <c r="K11">
        <f>C17</f>
        <v>58.845202031705526</v>
      </c>
      <c r="L11" t="s">
        <v>48</v>
      </c>
      <c r="M11">
        <f>M12-M10</f>
        <v>54.845202031705526</v>
      </c>
    </row>
    <row r="12" spans="1:13" x14ac:dyDescent="0.25">
      <c r="B12" t="s">
        <v>148</v>
      </c>
      <c r="C12">
        <f>SUM(C3:C4)</f>
        <v>1.2</v>
      </c>
      <c r="D12">
        <f>D10*0.3</f>
        <v>1.32</v>
      </c>
      <c r="E12">
        <f>E10*0.3</f>
        <v>1.4520000000000002</v>
      </c>
      <c r="F12">
        <f>F10*0.3</f>
        <v>1.5972000000000004</v>
      </c>
      <c r="G12">
        <f>G10*0.09</f>
        <v>0.49353480000000016</v>
      </c>
      <c r="J12" t="s">
        <v>77</v>
      </c>
      <c r="K12">
        <f>K11</f>
        <v>58.845202031705526</v>
      </c>
      <c r="L12" t="s">
        <v>77</v>
      </c>
      <c r="M12">
        <f>K12</f>
        <v>58.845202031705526</v>
      </c>
    </row>
    <row r="14" spans="1:13" x14ac:dyDescent="0.25">
      <c r="B14" t="s">
        <v>26</v>
      </c>
      <c r="C14">
        <f>C10-C12</f>
        <v>2.8</v>
      </c>
      <c r="D14">
        <f>D10-D12</f>
        <v>3.08</v>
      </c>
      <c r="E14">
        <f>E10-E12</f>
        <v>3.3880000000000008</v>
      </c>
      <c r="F14">
        <f>F10-F12</f>
        <v>3.7268000000000012</v>
      </c>
      <c r="G14">
        <f>G10-G12</f>
        <v>4.9901852000000018</v>
      </c>
    </row>
    <row r="15" spans="1:13" x14ac:dyDescent="0.25">
      <c r="F15">
        <f>G14/0.07</f>
        <v>71.288360000000011</v>
      </c>
    </row>
    <row r="17" spans="2:6" x14ac:dyDescent="0.25">
      <c r="B17" t="s">
        <v>93</v>
      </c>
      <c r="C17">
        <f>SUM(D17:F17)</f>
        <v>58.845202031705526</v>
      </c>
      <c r="D17">
        <f>SUM(D14:D15)/1.12^D8</f>
        <v>2.75</v>
      </c>
      <c r="E17">
        <f>SUM(E14:E15)/1.12^E8</f>
        <v>2.7008928571428572</v>
      </c>
      <c r="F17">
        <f>SUM(F14:F15)/1.12^F8</f>
        <v>53.394309174562672</v>
      </c>
    </row>
    <row r="19" spans="2:6" x14ac:dyDescent="0.25">
      <c r="B19" t="s">
        <v>114</v>
      </c>
      <c r="C19">
        <f>M11/5</f>
        <v>10.969040406341104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BBA3D-2D54-4770-98D5-FB3CE5A97FFA}">
  <dimension ref="A1:L18"/>
  <sheetViews>
    <sheetView workbookViewId="0"/>
  </sheetViews>
  <sheetFormatPr defaultRowHeight="15" x14ac:dyDescent="0.25"/>
  <sheetData>
    <row r="1" spans="1:12" x14ac:dyDescent="0.25">
      <c r="A1">
        <v>5</v>
      </c>
    </row>
    <row r="2" spans="1:12" x14ac:dyDescent="0.25">
      <c r="B2" t="s">
        <v>9</v>
      </c>
      <c r="C2">
        <v>20</v>
      </c>
    </row>
    <row r="3" spans="1:12" x14ac:dyDescent="0.25">
      <c r="B3" t="s">
        <v>109</v>
      </c>
      <c r="C3">
        <v>0.4</v>
      </c>
      <c r="I3" t="s">
        <v>145</v>
      </c>
      <c r="J3">
        <v>0.12</v>
      </c>
      <c r="K3">
        <f>0.1</f>
        <v>0.1</v>
      </c>
    </row>
    <row r="4" spans="1:12" x14ac:dyDescent="0.25">
      <c r="B4" t="s">
        <v>127</v>
      </c>
      <c r="C4">
        <v>10</v>
      </c>
      <c r="I4" t="s">
        <v>144</v>
      </c>
      <c r="J4">
        <f>J6/J5</f>
        <v>0.19999999999999998</v>
      </c>
      <c r="K4">
        <f>J4</f>
        <v>0.19999999999999998</v>
      </c>
    </row>
    <row r="5" spans="1:12" x14ac:dyDescent="0.25">
      <c r="B5" t="s">
        <v>28</v>
      </c>
      <c r="C5">
        <v>5</v>
      </c>
      <c r="I5" t="s">
        <v>148</v>
      </c>
      <c r="J5">
        <f>0.75</f>
        <v>0.75</v>
      </c>
      <c r="K5">
        <f>K6/K4</f>
        <v>0.2</v>
      </c>
    </row>
    <row r="6" spans="1:12" x14ac:dyDescent="0.25">
      <c r="I6" t="s">
        <v>149</v>
      </c>
      <c r="J6">
        <v>0.15</v>
      </c>
      <c r="K6">
        <v>0.04</v>
      </c>
    </row>
    <row r="8" spans="1:12" x14ac:dyDescent="0.25">
      <c r="B8" t="s">
        <v>10</v>
      </c>
      <c r="C8">
        <v>0</v>
      </c>
      <c r="D8">
        <v>1</v>
      </c>
      <c r="E8">
        <v>2</v>
      </c>
      <c r="F8">
        <v>3</v>
      </c>
    </row>
    <row r="9" spans="1:12" x14ac:dyDescent="0.25">
      <c r="I9" t="s">
        <v>78</v>
      </c>
    </row>
    <row r="10" spans="1:12" x14ac:dyDescent="0.25">
      <c r="B10" t="s">
        <v>9</v>
      </c>
      <c r="C10">
        <f>C2</f>
        <v>20</v>
      </c>
      <c r="D10">
        <f>C10*1.15</f>
        <v>23</v>
      </c>
      <c r="E10">
        <f>D10*1.15</f>
        <v>26.45</v>
      </c>
      <c r="F10">
        <f>E10*1.15</f>
        <v>30.417499999999997</v>
      </c>
      <c r="G10">
        <f>F10*1.04</f>
        <v>31.634199999999996</v>
      </c>
      <c r="I10" t="s">
        <v>100</v>
      </c>
      <c r="J10">
        <v>25</v>
      </c>
      <c r="K10" t="s">
        <v>47</v>
      </c>
      <c r="L10">
        <f>80</f>
        <v>80</v>
      </c>
    </row>
    <row r="11" spans="1:12" x14ac:dyDescent="0.25">
      <c r="I11" t="s">
        <v>46</v>
      </c>
      <c r="J11">
        <f>C16</f>
        <v>316.03933321375411</v>
      </c>
      <c r="K11" t="s">
        <v>48</v>
      </c>
      <c r="L11">
        <f>L12-L10</f>
        <v>261.03933321375411</v>
      </c>
    </row>
    <row r="12" spans="1:12" x14ac:dyDescent="0.25">
      <c r="B12" t="s">
        <v>148</v>
      </c>
      <c r="C12">
        <f>SUM(C4:C5)</f>
        <v>15</v>
      </c>
      <c r="D12">
        <f t="shared" ref="D12:F12" si="0">C12*1.15</f>
        <v>17.25</v>
      </c>
      <c r="E12">
        <f t="shared" si="0"/>
        <v>19.837499999999999</v>
      </c>
      <c r="F12">
        <f t="shared" si="0"/>
        <v>22.813124999999996</v>
      </c>
      <c r="G12">
        <f>G10*0.2</f>
        <v>6.3268399999999998</v>
      </c>
      <c r="I12" t="s">
        <v>77</v>
      </c>
      <c r="J12">
        <f>SUM(J10:J11)</f>
        <v>341.03933321375411</v>
      </c>
      <c r="K12" t="s">
        <v>77</v>
      </c>
      <c r="L12">
        <f>J12</f>
        <v>341.03933321375411</v>
      </c>
    </row>
    <row r="14" spans="1:12" x14ac:dyDescent="0.25">
      <c r="B14" t="s">
        <v>26</v>
      </c>
      <c r="C14">
        <f>C10-C12</f>
        <v>5</v>
      </c>
      <c r="D14">
        <f>D10-D12</f>
        <v>5.75</v>
      </c>
      <c r="E14">
        <f>E10-E12</f>
        <v>6.6125000000000007</v>
      </c>
      <c r="F14">
        <f>F10-F12</f>
        <v>7.604375000000001</v>
      </c>
      <c r="G14">
        <f>G10-G12</f>
        <v>25.307359999999996</v>
      </c>
    </row>
    <row r="15" spans="1:12" x14ac:dyDescent="0.25">
      <c r="F15">
        <f>G14/0.06</f>
        <v>421.78933333333327</v>
      </c>
    </row>
    <row r="16" spans="1:12" x14ac:dyDescent="0.25">
      <c r="B16" t="s">
        <v>93</v>
      </c>
      <c r="C16">
        <f>SUM(D16:F16)</f>
        <v>316.03933321375411</v>
      </c>
      <c r="D16">
        <f>SUM(D14:D15)/(1.12^D8)</f>
        <v>5.1339285714285712</v>
      </c>
      <c r="E16">
        <f>SUM(E14:E15)/(1.12^E8)</f>
        <v>5.271444515306122</v>
      </c>
      <c r="F16">
        <f>SUM(F14:F15)/(1.12^F8)</f>
        <v>305.63396012701941</v>
      </c>
    </row>
    <row r="18" spans="2:3" x14ac:dyDescent="0.25">
      <c r="B18" t="s">
        <v>114</v>
      </c>
      <c r="C18">
        <f>L11/10</f>
        <v>26.103933321375411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4A10-8A7C-4454-B412-E0590B62A797}">
  <dimension ref="A1:K30"/>
  <sheetViews>
    <sheetView workbookViewId="0"/>
  </sheetViews>
  <sheetFormatPr defaultRowHeight="15" x14ac:dyDescent="0.25"/>
  <cols>
    <col min="2" max="2" width="11.42578125" bestFit="1" customWidth="1"/>
  </cols>
  <sheetData>
    <row r="1" spans="1:11" x14ac:dyDescent="0.25">
      <c r="A1">
        <v>1</v>
      </c>
    </row>
    <row r="3" spans="1:11" x14ac:dyDescent="0.25">
      <c r="B3" t="s">
        <v>45</v>
      </c>
      <c r="C3">
        <v>100</v>
      </c>
    </row>
    <row r="4" spans="1:11" x14ac:dyDescent="0.25">
      <c r="B4" t="s">
        <v>9</v>
      </c>
      <c r="C4">
        <v>10</v>
      </c>
    </row>
    <row r="5" spans="1:11" x14ac:dyDescent="0.25">
      <c r="B5" t="s">
        <v>22</v>
      </c>
      <c r="C5">
        <f>C4+C8</f>
        <v>15</v>
      </c>
      <c r="F5" t="s">
        <v>47</v>
      </c>
      <c r="G5">
        <v>15</v>
      </c>
      <c r="I5" t="s">
        <v>49</v>
      </c>
      <c r="J5">
        <v>10</v>
      </c>
    </row>
    <row r="6" spans="1:11" x14ac:dyDescent="0.25">
      <c r="F6" t="s">
        <v>48</v>
      </c>
      <c r="G6">
        <v>45</v>
      </c>
      <c r="I6" t="s">
        <v>46</v>
      </c>
      <c r="J6">
        <v>50</v>
      </c>
    </row>
    <row r="7" spans="1:11" x14ac:dyDescent="0.25">
      <c r="B7" t="s">
        <v>25</v>
      </c>
      <c r="C7">
        <v>7</v>
      </c>
      <c r="F7" t="s">
        <v>50</v>
      </c>
      <c r="G7">
        <v>60</v>
      </c>
      <c r="I7" t="s">
        <v>50</v>
      </c>
      <c r="J7">
        <v>60</v>
      </c>
    </row>
    <row r="8" spans="1:11" x14ac:dyDescent="0.25">
      <c r="B8" t="s">
        <v>51</v>
      </c>
      <c r="C8">
        <v>5</v>
      </c>
    </row>
    <row r="9" spans="1:11" x14ac:dyDescent="0.25">
      <c r="B9" t="s">
        <v>56</v>
      </c>
      <c r="C9">
        <f>C7-C8</f>
        <v>2</v>
      </c>
      <c r="J9" t="s">
        <v>37</v>
      </c>
      <c r="K9">
        <v>0.15</v>
      </c>
    </row>
    <row r="10" spans="1:11" x14ac:dyDescent="0.25">
      <c r="J10" t="s">
        <v>35</v>
      </c>
      <c r="K10">
        <v>0.12</v>
      </c>
    </row>
    <row r="11" spans="1:11" x14ac:dyDescent="0.25">
      <c r="B11" t="s">
        <v>28</v>
      </c>
      <c r="C11">
        <v>1</v>
      </c>
      <c r="D11" s="2" t="s">
        <v>52</v>
      </c>
      <c r="F11" t="s">
        <v>54</v>
      </c>
      <c r="J11" t="s">
        <v>53</v>
      </c>
      <c r="K11">
        <f>C4/J6</f>
        <v>0.2</v>
      </c>
    </row>
    <row r="12" spans="1:11" x14ac:dyDescent="0.25">
      <c r="F12" t="s">
        <v>55</v>
      </c>
    </row>
    <row r="13" spans="1:11" x14ac:dyDescent="0.25">
      <c r="B13" t="s">
        <v>57</v>
      </c>
      <c r="C13">
        <f>15/5</f>
        <v>3</v>
      </c>
    </row>
    <row r="14" spans="1:11" x14ac:dyDescent="0.25">
      <c r="F14" t="s">
        <v>58</v>
      </c>
    </row>
    <row r="15" spans="1:11" x14ac:dyDescent="0.25">
      <c r="B15" t="s">
        <v>60</v>
      </c>
      <c r="C15">
        <f>SUM(C9:C13)/C4</f>
        <v>0.6</v>
      </c>
    </row>
    <row r="16" spans="1:11" x14ac:dyDescent="0.25">
      <c r="F16" t="s">
        <v>59</v>
      </c>
    </row>
    <row r="17" spans="2:8" x14ac:dyDescent="0.25">
      <c r="B17" t="s">
        <v>62</v>
      </c>
      <c r="C17">
        <f>C15*K11</f>
        <v>0.12</v>
      </c>
    </row>
    <row r="18" spans="2:8" x14ac:dyDescent="0.25">
      <c r="F18" t="s">
        <v>61</v>
      </c>
    </row>
    <row r="19" spans="2:8" x14ac:dyDescent="0.25">
      <c r="B19" t="s">
        <v>63</v>
      </c>
      <c r="C19">
        <v>0.03</v>
      </c>
    </row>
    <row r="22" spans="2:8" x14ac:dyDescent="0.25">
      <c r="B22" t="s">
        <v>10</v>
      </c>
      <c r="C22">
        <v>0</v>
      </c>
      <c r="D22">
        <v>1</v>
      </c>
      <c r="E22">
        <v>2</v>
      </c>
      <c r="F22">
        <v>3</v>
      </c>
      <c r="G22">
        <v>4</v>
      </c>
    </row>
    <row r="23" spans="2:8" x14ac:dyDescent="0.25">
      <c r="B23" t="s">
        <v>9</v>
      </c>
      <c r="C23">
        <f>C4</f>
        <v>10</v>
      </c>
      <c r="D23">
        <f>C23*1.12</f>
        <v>11.200000000000001</v>
      </c>
      <c r="E23">
        <f>D23*1.12</f>
        <v>12.544000000000002</v>
      </c>
      <c r="F23">
        <f>E23*1.12</f>
        <v>14.049280000000003</v>
      </c>
      <c r="G23">
        <f>F23*1.03</f>
        <v>14.470758400000003</v>
      </c>
    </row>
    <row r="25" spans="2:8" x14ac:dyDescent="0.25">
      <c r="B25" t="s">
        <v>65</v>
      </c>
      <c r="C25">
        <f>C23*$C$15</f>
        <v>6</v>
      </c>
      <c r="D25">
        <f>D23*$C$15</f>
        <v>6.7200000000000006</v>
      </c>
      <c r="E25">
        <f>E23*$C$15</f>
        <v>7.5264000000000006</v>
      </c>
      <c r="F25">
        <f>F23*$C$15</f>
        <v>8.4295680000000015</v>
      </c>
      <c r="G25">
        <v>2.17</v>
      </c>
    </row>
    <row r="27" spans="2:8" x14ac:dyDescent="0.25">
      <c r="B27" t="s">
        <v>26</v>
      </c>
      <c r="C27">
        <f>C23-C25</f>
        <v>4</v>
      </c>
      <c r="D27">
        <f>D23-D25</f>
        <v>4.4800000000000004</v>
      </c>
      <c r="E27">
        <f>E23-E25</f>
        <v>5.0176000000000016</v>
      </c>
      <c r="F27">
        <f>F23-F25</f>
        <v>5.6197120000000016</v>
      </c>
      <c r="G27">
        <f>G23-G25</f>
        <v>12.300758400000003</v>
      </c>
    </row>
    <row r="29" spans="2:8" x14ac:dyDescent="0.25">
      <c r="B29" t="s">
        <v>68</v>
      </c>
      <c r="D29">
        <f>D27/(1.12^D22)</f>
        <v>4</v>
      </c>
      <c r="E29">
        <f>E27/(1.12^E22)</f>
        <v>4.0000000000000009</v>
      </c>
      <c r="F29">
        <f>F27/(1.12^F22)</f>
        <v>4</v>
      </c>
    </row>
    <row r="30" spans="2:8" x14ac:dyDescent="0.25">
      <c r="F30">
        <f>F27/0.03</f>
        <v>187.32373333333339</v>
      </c>
      <c r="G30">
        <f>G27/0.07</f>
        <v>175.72512000000003</v>
      </c>
      <c r="H30">
        <f>G27/175.72</f>
        <v>7.0002039608468028E-2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8EE09-E245-4C2D-8CC6-C0EBE054103D}">
  <dimension ref="B1:N30"/>
  <sheetViews>
    <sheetView topLeftCell="B1" workbookViewId="0">
      <selection activeCell="B1" sqref="B1"/>
    </sheetView>
  </sheetViews>
  <sheetFormatPr defaultRowHeight="15" x14ac:dyDescent="0.25"/>
  <cols>
    <col min="2" max="2" width="18.85546875" bestFit="1" customWidth="1"/>
  </cols>
  <sheetData>
    <row r="1" spans="2:14" x14ac:dyDescent="0.25">
      <c r="B1">
        <v>2</v>
      </c>
    </row>
    <row r="2" spans="2:14" x14ac:dyDescent="0.25">
      <c r="B2" t="s">
        <v>9</v>
      </c>
      <c r="C2">
        <v>10</v>
      </c>
      <c r="F2" t="s">
        <v>69</v>
      </c>
      <c r="G2">
        <v>100</v>
      </c>
    </row>
    <row r="3" spans="2:14" x14ac:dyDescent="0.25">
      <c r="B3" t="s">
        <v>66</v>
      </c>
      <c r="C3">
        <v>80</v>
      </c>
    </row>
    <row r="4" spans="2:14" x14ac:dyDescent="0.25">
      <c r="F4" t="s">
        <v>71</v>
      </c>
    </row>
    <row r="5" spans="2:14" x14ac:dyDescent="0.25">
      <c r="B5" t="s">
        <v>56</v>
      </c>
      <c r="C5" s="3">
        <f>12-5</f>
        <v>7</v>
      </c>
    </row>
    <row r="6" spans="2:14" x14ac:dyDescent="0.25">
      <c r="F6" t="s">
        <v>72</v>
      </c>
      <c r="G6">
        <f>C2/G2</f>
        <v>0.1</v>
      </c>
    </row>
    <row r="7" spans="2:14" x14ac:dyDescent="0.25">
      <c r="B7" t="s">
        <v>28</v>
      </c>
      <c r="C7">
        <f>8-6</f>
        <v>2</v>
      </c>
    </row>
    <row r="8" spans="2:14" x14ac:dyDescent="0.25">
      <c r="F8" t="s">
        <v>73</v>
      </c>
      <c r="G8">
        <f>Sheet3!G6*Sheet3!C9</f>
        <v>9.0000000000000011E-2</v>
      </c>
    </row>
    <row r="9" spans="2:14" ht="15" customHeight="1" x14ac:dyDescent="0.25">
      <c r="B9" t="s">
        <v>67</v>
      </c>
      <c r="C9">
        <f>9/10</f>
        <v>0.9</v>
      </c>
      <c r="I9" s="6" t="s">
        <v>96</v>
      </c>
      <c r="J9" s="6"/>
      <c r="K9" s="6"/>
      <c r="L9" s="6"/>
      <c r="M9" s="6"/>
      <c r="N9" s="6"/>
    </row>
    <row r="10" spans="2:14" x14ac:dyDescent="0.25">
      <c r="I10" s="6"/>
      <c r="J10" s="6"/>
      <c r="K10" s="6"/>
      <c r="L10" s="6"/>
      <c r="M10" s="6"/>
      <c r="N10" s="6"/>
    </row>
    <row r="11" spans="2:14" x14ac:dyDescent="0.25">
      <c r="I11" s="6"/>
      <c r="J11" s="6"/>
      <c r="K11" s="6"/>
      <c r="L11" s="6"/>
      <c r="M11" s="6"/>
      <c r="N11" s="6"/>
    </row>
    <row r="12" spans="2:14" x14ac:dyDescent="0.25">
      <c r="B12" t="s">
        <v>10</v>
      </c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 s="6"/>
      <c r="J12" s="6"/>
      <c r="K12" s="6"/>
      <c r="L12" s="6"/>
      <c r="M12" s="6"/>
      <c r="N12" s="6"/>
    </row>
    <row r="14" spans="2:14" x14ac:dyDescent="0.25">
      <c r="B14" t="s">
        <v>9</v>
      </c>
      <c r="C14">
        <f>C2</f>
        <v>10</v>
      </c>
      <c r="D14">
        <f>C14*(1+$G$8)</f>
        <v>10.9</v>
      </c>
      <c r="E14">
        <f>D14*(1+$G$8)</f>
        <v>11.881000000000002</v>
      </c>
      <c r="F14">
        <f>E14*(1+$G$8)</f>
        <v>12.950290000000003</v>
      </c>
      <c r="G14">
        <f>F14*(1+$G$8)</f>
        <v>14.115816100000004</v>
      </c>
      <c r="H14">
        <f>G14*(1+$G$8)</f>
        <v>15.386239549000004</v>
      </c>
      <c r="I14">
        <f>H14*(1.03)</f>
        <v>15.847826735470004</v>
      </c>
    </row>
    <row r="16" spans="2:14" x14ac:dyDescent="0.25">
      <c r="B16" t="s">
        <v>70</v>
      </c>
      <c r="C16">
        <f t="shared" ref="C16:H16" si="0">C14*$C$9</f>
        <v>9</v>
      </c>
      <c r="D16">
        <f t="shared" si="0"/>
        <v>9.81</v>
      </c>
      <c r="E16">
        <f t="shared" si="0"/>
        <v>10.692900000000002</v>
      </c>
      <c r="F16">
        <f t="shared" si="0"/>
        <v>11.655261000000003</v>
      </c>
      <c r="G16">
        <f t="shared" si="0"/>
        <v>12.704234490000003</v>
      </c>
      <c r="H16">
        <f t="shared" si="0"/>
        <v>13.847615594100004</v>
      </c>
      <c r="I16">
        <f>I14*0.3</f>
        <v>4.7543480206410011</v>
      </c>
    </row>
    <row r="18" spans="2:9" x14ac:dyDescent="0.25">
      <c r="B18" t="s">
        <v>26</v>
      </c>
      <c r="C18">
        <f t="shared" ref="C18:I18" si="1">C14-C16</f>
        <v>1</v>
      </c>
      <c r="D18">
        <f t="shared" si="1"/>
        <v>1.0899999999999999</v>
      </c>
      <c r="E18">
        <f t="shared" si="1"/>
        <v>1.1881000000000004</v>
      </c>
      <c r="F18">
        <f t="shared" si="1"/>
        <v>1.2950289999999995</v>
      </c>
      <c r="G18">
        <f t="shared" si="1"/>
        <v>1.4115816100000007</v>
      </c>
      <c r="H18">
        <f t="shared" si="1"/>
        <v>1.5386239549000003</v>
      </c>
      <c r="I18">
        <f t="shared" si="1"/>
        <v>11.093478714829004</v>
      </c>
    </row>
    <row r="19" spans="2:9" x14ac:dyDescent="0.25">
      <c r="H19">
        <f>I18/0.05</f>
        <v>221.86957429658008</v>
      </c>
    </row>
    <row r="20" spans="2:9" x14ac:dyDescent="0.25">
      <c r="B20" t="s">
        <v>74</v>
      </c>
      <c r="D20">
        <f>D18/(1+0.12)^D12</f>
        <v>0.97321428571428548</v>
      </c>
      <c r="E20">
        <f>E18/(1+0.12)^E12</f>
        <v>0.94714604591836749</v>
      </c>
      <c r="F20">
        <f>F18/(1+0.12)^F12</f>
        <v>0.92177606254555333</v>
      </c>
      <c r="G20">
        <f>G18/(1+0.12)^G12</f>
        <v>0.89708563229879823</v>
      </c>
      <c r="H20">
        <f>(H18+H19)/1.12^H12</f>
        <v>126.7678114755948</v>
      </c>
    </row>
    <row r="22" spans="2:9" x14ac:dyDescent="0.25">
      <c r="B22" t="s">
        <v>75</v>
      </c>
      <c r="C22">
        <f>SUM(D20:H20)</f>
        <v>130.50703350207181</v>
      </c>
      <c r="F22" t="s">
        <v>76</v>
      </c>
    </row>
    <row r="23" spans="2:9" x14ac:dyDescent="0.25">
      <c r="F23" t="s">
        <v>49</v>
      </c>
      <c r="G23">
        <v>15</v>
      </c>
      <c r="H23" t="s">
        <v>47</v>
      </c>
      <c r="I23">
        <v>40</v>
      </c>
    </row>
    <row r="24" spans="2:9" x14ac:dyDescent="0.25">
      <c r="B24" t="s">
        <v>79</v>
      </c>
      <c r="C24">
        <f>I29</f>
        <v>105.50703350207181</v>
      </c>
      <c r="F24" t="s">
        <v>46</v>
      </c>
      <c r="G24">
        <f>G25-G23</f>
        <v>125</v>
      </c>
      <c r="H24" t="s">
        <v>48</v>
      </c>
      <c r="I24">
        <v>100</v>
      </c>
    </row>
    <row r="25" spans="2:9" x14ac:dyDescent="0.25">
      <c r="F25" t="s">
        <v>77</v>
      </c>
      <c r="G25">
        <v>140</v>
      </c>
      <c r="H25" t="s">
        <v>77</v>
      </c>
      <c r="I25">
        <v>140</v>
      </c>
    </row>
    <row r="26" spans="2:9" x14ac:dyDescent="0.25">
      <c r="B26" t="s">
        <v>80</v>
      </c>
      <c r="C26">
        <v>8</v>
      </c>
    </row>
    <row r="27" spans="2:9" x14ac:dyDescent="0.25">
      <c r="F27" t="s">
        <v>78</v>
      </c>
    </row>
    <row r="28" spans="2:9" x14ac:dyDescent="0.25">
      <c r="B28" t="s">
        <v>81</v>
      </c>
      <c r="C28">
        <f>C24/C26</f>
        <v>13.188379187758976</v>
      </c>
      <c r="F28" t="s">
        <v>49</v>
      </c>
      <c r="G28">
        <v>15</v>
      </c>
      <c r="H28" t="s">
        <v>47</v>
      </c>
      <c r="I28">
        <v>40</v>
      </c>
    </row>
    <row r="29" spans="2:9" x14ac:dyDescent="0.25">
      <c r="F29" t="s">
        <v>46</v>
      </c>
      <c r="G29">
        <f>G30-G28</f>
        <v>130.50703350207181</v>
      </c>
      <c r="H29" t="s">
        <v>48</v>
      </c>
      <c r="I29">
        <f>I30-I28</f>
        <v>105.50703350207181</v>
      </c>
    </row>
    <row r="30" spans="2:9" x14ac:dyDescent="0.25">
      <c r="F30" t="s">
        <v>77</v>
      </c>
      <c r="G30">
        <f>I30</f>
        <v>145.50703350207181</v>
      </c>
      <c r="H30" t="s">
        <v>77</v>
      </c>
      <c r="I30">
        <f>C22+G28</f>
        <v>145.50703350207181</v>
      </c>
    </row>
  </sheetData>
  <mergeCells count="1">
    <mergeCell ref="I9:N1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DBF7-448B-467B-AAA4-DFD725AB374A}">
  <dimension ref="A1:I31"/>
  <sheetViews>
    <sheetView workbookViewId="0"/>
  </sheetViews>
  <sheetFormatPr defaultRowHeight="15" x14ac:dyDescent="0.25"/>
  <cols>
    <col min="2" max="2" width="18.42578125" bestFit="1" customWidth="1"/>
  </cols>
  <sheetData>
    <row r="1" spans="1:9" x14ac:dyDescent="0.25">
      <c r="A1">
        <v>3</v>
      </c>
    </row>
    <row r="2" spans="1:9" x14ac:dyDescent="0.25">
      <c r="B2" t="s">
        <v>9</v>
      </c>
      <c r="C2">
        <v>20</v>
      </c>
      <c r="F2" t="s">
        <v>76</v>
      </c>
    </row>
    <row r="3" spans="1:9" x14ac:dyDescent="0.25">
      <c r="B3" t="s">
        <v>82</v>
      </c>
      <c r="C3">
        <v>200</v>
      </c>
      <c r="F3" t="s">
        <v>49</v>
      </c>
      <c r="G3">
        <v>20</v>
      </c>
      <c r="H3" t="s">
        <v>47</v>
      </c>
      <c r="I3">
        <v>50</v>
      </c>
    </row>
    <row r="4" spans="1:9" x14ac:dyDescent="0.25">
      <c r="B4" t="s">
        <v>83</v>
      </c>
      <c r="C4">
        <v>20</v>
      </c>
      <c r="F4" t="s">
        <v>46</v>
      </c>
      <c r="G4">
        <v>80</v>
      </c>
      <c r="H4" t="s">
        <v>48</v>
      </c>
      <c r="I4">
        <v>50</v>
      </c>
    </row>
    <row r="5" spans="1:9" x14ac:dyDescent="0.25">
      <c r="B5" t="s">
        <v>84</v>
      </c>
      <c r="C5">
        <v>10</v>
      </c>
      <c r="F5" t="s">
        <v>77</v>
      </c>
      <c r="G5">
        <v>100</v>
      </c>
      <c r="H5" t="s">
        <v>77</v>
      </c>
      <c r="I5">
        <v>100</v>
      </c>
    </row>
    <row r="6" spans="1:9" x14ac:dyDescent="0.25">
      <c r="B6" t="s">
        <v>85</v>
      </c>
      <c r="C6">
        <v>50</v>
      </c>
    </row>
    <row r="7" spans="1:9" x14ac:dyDescent="0.25">
      <c r="B7" t="s">
        <v>47</v>
      </c>
      <c r="C7">
        <v>50</v>
      </c>
      <c r="F7" t="s">
        <v>78</v>
      </c>
    </row>
    <row r="8" spans="1:9" x14ac:dyDescent="0.25">
      <c r="B8" t="s">
        <v>49</v>
      </c>
      <c r="C8">
        <v>20</v>
      </c>
      <c r="F8" t="s">
        <v>49</v>
      </c>
      <c r="G8">
        <f>G3</f>
        <v>20</v>
      </c>
      <c r="H8" t="s">
        <v>47</v>
      </c>
      <c r="I8">
        <v>50</v>
      </c>
    </row>
    <row r="9" spans="1:9" x14ac:dyDescent="0.25">
      <c r="B9" t="s">
        <v>86</v>
      </c>
      <c r="C9">
        <v>0.12</v>
      </c>
      <c r="F9" t="s">
        <v>46</v>
      </c>
      <c r="G9">
        <f>G10-G8</f>
        <v>272.00683275731564</v>
      </c>
      <c r="H9" t="s">
        <v>48</v>
      </c>
      <c r="I9">
        <f>I10-I8</f>
        <v>242.00683275731564</v>
      </c>
    </row>
    <row r="10" spans="1:9" x14ac:dyDescent="0.25">
      <c r="F10" t="s">
        <v>77</v>
      </c>
      <c r="G10">
        <f>I10</f>
        <v>292.00683275731564</v>
      </c>
      <c r="H10" t="s">
        <v>77</v>
      </c>
      <c r="I10">
        <f>C29+G8</f>
        <v>292.00683275731564</v>
      </c>
    </row>
    <row r="12" spans="1:9" x14ac:dyDescent="0.25">
      <c r="F12" s="4" t="s">
        <v>54</v>
      </c>
    </row>
    <row r="13" spans="1:9" x14ac:dyDescent="0.25">
      <c r="F13" s="4" t="s">
        <v>90</v>
      </c>
    </row>
    <row r="15" spans="1:9" x14ac:dyDescent="0.25">
      <c r="G15" t="s">
        <v>94</v>
      </c>
      <c r="I15" t="s">
        <v>95</v>
      </c>
    </row>
    <row r="16" spans="1:9" x14ac:dyDescent="0.25">
      <c r="F16" t="s">
        <v>87</v>
      </c>
      <c r="G16">
        <f>C2/G4</f>
        <v>0.25</v>
      </c>
      <c r="I16">
        <v>0.15</v>
      </c>
    </row>
    <row r="17" spans="2:9" x14ac:dyDescent="0.25">
      <c r="F17" t="s">
        <v>88</v>
      </c>
      <c r="G17">
        <v>0.1</v>
      </c>
      <c r="H17" t="s">
        <v>89</v>
      </c>
      <c r="I17">
        <v>0.03</v>
      </c>
    </row>
    <row r="18" spans="2:9" x14ac:dyDescent="0.25">
      <c r="F18" t="s">
        <v>92</v>
      </c>
      <c r="G18">
        <f>G17/G16</f>
        <v>0.4</v>
      </c>
      <c r="I18">
        <f>I17/I16</f>
        <v>0.2</v>
      </c>
    </row>
    <row r="20" spans="2:9" x14ac:dyDescent="0.25">
      <c r="B20" t="s">
        <v>10</v>
      </c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</row>
    <row r="21" spans="2:9" x14ac:dyDescent="0.25">
      <c r="B21" t="s">
        <v>9</v>
      </c>
      <c r="C21">
        <f>C2</f>
        <v>20</v>
      </c>
      <c r="D21">
        <f>C21*1.1</f>
        <v>22</v>
      </c>
      <c r="E21">
        <f>D21*1.1</f>
        <v>24.200000000000003</v>
      </c>
      <c r="F21">
        <f>E21*1.1</f>
        <v>26.620000000000005</v>
      </c>
      <c r="G21">
        <f>F21*1.1</f>
        <v>29.282000000000007</v>
      </c>
      <c r="H21">
        <f>G21*1.1</f>
        <v>32.210200000000007</v>
      </c>
      <c r="I21">
        <f>H21*1.03</f>
        <v>33.17650600000001</v>
      </c>
    </row>
    <row r="23" spans="2:9" x14ac:dyDescent="0.25">
      <c r="B23" t="s">
        <v>67</v>
      </c>
      <c r="C23">
        <v>0</v>
      </c>
      <c r="D23">
        <f>D21*$G$18</f>
        <v>8.8000000000000007</v>
      </c>
      <c r="E23">
        <f>E21*$G$18</f>
        <v>9.6800000000000015</v>
      </c>
      <c r="F23">
        <f>F21*$G$18</f>
        <v>10.648000000000003</v>
      </c>
      <c r="G23">
        <f>G21*$G$18</f>
        <v>11.712800000000003</v>
      </c>
      <c r="H23">
        <f>H21*$G$18</f>
        <v>12.884080000000004</v>
      </c>
      <c r="I23">
        <f>I21*I18</f>
        <v>6.6353012000000025</v>
      </c>
    </row>
    <row r="25" spans="2:9" x14ac:dyDescent="0.25">
      <c r="B25" t="s">
        <v>26</v>
      </c>
      <c r="D25">
        <f t="shared" ref="D25:I25" si="0">D21-D23</f>
        <v>13.2</v>
      </c>
      <c r="E25">
        <f t="shared" si="0"/>
        <v>14.520000000000001</v>
      </c>
      <c r="F25">
        <f t="shared" si="0"/>
        <v>15.972000000000001</v>
      </c>
      <c r="G25">
        <f t="shared" si="0"/>
        <v>17.569200000000002</v>
      </c>
      <c r="H25">
        <f t="shared" si="0"/>
        <v>19.326120000000003</v>
      </c>
      <c r="I25">
        <f t="shared" si="0"/>
        <v>26.54120480000001</v>
      </c>
    </row>
    <row r="26" spans="2:9" x14ac:dyDescent="0.25">
      <c r="H26">
        <f>I25/0.07</f>
        <v>379.16006857142867</v>
      </c>
    </row>
    <row r="27" spans="2:9" x14ac:dyDescent="0.25">
      <c r="B27" t="s">
        <v>93</v>
      </c>
      <c r="D27">
        <f>SUM(D25:D26)/1.12^D20</f>
        <v>11.785714285714285</v>
      </c>
      <c r="E27">
        <f>SUM(E25:E26)/1.12^E20</f>
        <v>11.575255102040815</v>
      </c>
      <c r="F27">
        <f>SUM(F25:F26)/1.12^F20</f>
        <v>11.368554118075799</v>
      </c>
      <c r="G27">
        <f>SUM(G25:G26)/1.12^G20</f>
        <v>11.165544223110162</v>
      </c>
      <c r="H27">
        <f>SUM(H25:H26)/1.12^H20</f>
        <v>226.11176502837458</v>
      </c>
    </row>
    <row r="29" spans="2:9" x14ac:dyDescent="0.25">
      <c r="B29" t="s">
        <v>97</v>
      </c>
      <c r="C29">
        <f>SUM(D27:H27)</f>
        <v>272.00683275731564</v>
      </c>
      <c r="F29" t="s">
        <v>99</v>
      </c>
    </row>
    <row r="31" spans="2:9" x14ac:dyDescent="0.25">
      <c r="B31" t="s">
        <v>98</v>
      </c>
      <c r="C31">
        <f>I9/C4</f>
        <v>12.100341637865782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091AF-0E0C-45B1-AE0B-5322B676B3E8}">
  <dimension ref="A1:L27"/>
  <sheetViews>
    <sheetView workbookViewId="0"/>
  </sheetViews>
  <sheetFormatPr defaultRowHeight="15" x14ac:dyDescent="0.25"/>
  <cols>
    <col min="2" max="2" width="15.28515625" bestFit="1" customWidth="1"/>
  </cols>
  <sheetData>
    <row r="1" spans="1:12" x14ac:dyDescent="0.25">
      <c r="A1">
        <v>4</v>
      </c>
      <c r="K1" t="s">
        <v>103</v>
      </c>
      <c r="L1" t="s">
        <v>104</v>
      </c>
    </row>
    <row r="2" spans="1:12" x14ac:dyDescent="0.25">
      <c r="B2" t="s">
        <v>9</v>
      </c>
      <c r="C2">
        <v>4</v>
      </c>
      <c r="E2" t="s">
        <v>76</v>
      </c>
      <c r="J2" t="s">
        <v>102</v>
      </c>
      <c r="K2">
        <v>0.12</v>
      </c>
      <c r="L2">
        <v>0.1</v>
      </c>
    </row>
    <row r="3" spans="1:12" x14ac:dyDescent="0.25">
      <c r="B3" t="s">
        <v>101</v>
      </c>
      <c r="C3">
        <v>2</v>
      </c>
      <c r="E3" t="s">
        <v>100</v>
      </c>
      <c r="F3">
        <v>0</v>
      </c>
      <c r="G3" t="s">
        <v>47</v>
      </c>
      <c r="H3">
        <v>4</v>
      </c>
      <c r="J3" t="s">
        <v>72</v>
      </c>
      <c r="K3">
        <f>C9</f>
        <v>0.33333333333333331</v>
      </c>
      <c r="L3">
        <f>K3</f>
        <v>0.33333333333333331</v>
      </c>
    </row>
    <row r="4" spans="1:12" x14ac:dyDescent="0.25">
      <c r="B4" t="s">
        <v>47</v>
      </c>
      <c r="C4">
        <v>1</v>
      </c>
      <c r="E4" t="s">
        <v>46</v>
      </c>
      <c r="F4">
        <v>12</v>
      </c>
      <c r="G4" t="s">
        <v>48</v>
      </c>
      <c r="H4">
        <v>8</v>
      </c>
      <c r="J4" t="s">
        <v>62</v>
      </c>
      <c r="L4">
        <v>0.03</v>
      </c>
    </row>
    <row r="5" spans="1:12" x14ac:dyDescent="0.25">
      <c r="B5" t="s">
        <v>56</v>
      </c>
      <c r="C5">
        <f>C3-C4</f>
        <v>1</v>
      </c>
      <c r="E5" t="s">
        <v>77</v>
      </c>
      <c r="F5">
        <f>H5</f>
        <v>12</v>
      </c>
      <c r="G5" t="s">
        <v>77</v>
      </c>
      <c r="H5">
        <f>H3+H4</f>
        <v>12</v>
      </c>
      <c r="L5">
        <f>L4/L3</f>
        <v>0.09</v>
      </c>
    </row>
    <row r="6" spans="1:12" x14ac:dyDescent="0.25">
      <c r="B6" t="s">
        <v>28</v>
      </c>
      <c r="C6">
        <v>0.2</v>
      </c>
    </row>
    <row r="7" spans="1:12" x14ac:dyDescent="0.25">
      <c r="B7" t="s">
        <v>70</v>
      </c>
      <c r="C7">
        <f>C6+C5</f>
        <v>1.2</v>
      </c>
      <c r="E7" t="s">
        <v>78</v>
      </c>
    </row>
    <row r="8" spans="1:12" x14ac:dyDescent="0.25">
      <c r="B8" t="s">
        <v>91</v>
      </c>
      <c r="C8">
        <f>C7/C2</f>
        <v>0.3</v>
      </c>
      <c r="E8" t="s">
        <v>100</v>
      </c>
      <c r="F8">
        <v>0</v>
      </c>
      <c r="G8" t="s">
        <v>47</v>
      </c>
      <c r="H8">
        <v>4</v>
      </c>
    </row>
    <row r="9" spans="1:12" x14ac:dyDescent="0.25">
      <c r="B9" t="s">
        <v>72</v>
      </c>
      <c r="C9">
        <f>C2/F4</f>
        <v>0.33333333333333331</v>
      </c>
      <c r="E9" t="s">
        <v>46</v>
      </c>
      <c r="F9">
        <f>C23</f>
        <v>58.845202031705526</v>
      </c>
      <c r="G9" t="s">
        <v>48</v>
      </c>
      <c r="H9">
        <f>H10-H8</f>
        <v>54.845202031705526</v>
      </c>
    </row>
    <row r="10" spans="1:12" x14ac:dyDescent="0.25">
      <c r="B10" t="s">
        <v>62</v>
      </c>
      <c r="C10">
        <f>C9*C8</f>
        <v>9.9999999999999992E-2</v>
      </c>
      <c r="E10" t="s">
        <v>77</v>
      </c>
      <c r="F10">
        <f>C23</f>
        <v>58.845202031705526</v>
      </c>
      <c r="G10" t="s">
        <v>77</v>
      </c>
      <c r="H10">
        <f>F10</f>
        <v>58.845202031705526</v>
      </c>
    </row>
    <row r="12" spans="1:12" x14ac:dyDescent="0.25">
      <c r="B12" t="s">
        <v>10</v>
      </c>
      <c r="C12">
        <v>0</v>
      </c>
      <c r="D12">
        <v>1</v>
      </c>
      <c r="E12">
        <v>2</v>
      </c>
      <c r="F12">
        <v>3</v>
      </c>
    </row>
    <row r="14" spans="1:12" x14ac:dyDescent="0.25">
      <c r="B14" t="s">
        <v>9</v>
      </c>
      <c r="C14">
        <v>4</v>
      </c>
      <c r="D14">
        <f>C14*(1+$C$10)</f>
        <v>4.4000000000000004</v>
      </c>
      <c r="E14">
        <f>D14*(1+$C$10)</f>
        <v>4.8400000000000007</v>
      </c>
      <c r="F14">
        <f>E14*(1+$C$10)</f>
        <v>5.3240000000000016</v>
      </c>
      <c r="G14">
        <f>F14*1.03</f>
        <v>5.4837200000000017</v>
      </c>
    </row>
    <row r="16" spans="1:12" x14ac:dyDescent="0.25">
      <c r="B16" t="s">
        <v>70</v>
      </c>
      <c r="C16">
        <f>C14*$C$8</f>
        <v>1.2</v>
      </c>
      <c r="D16">
        <f>D14*$C$8</f>
        <v>1.32</v>
      </c>
      <c r="E16">
        <f>E14*$C$8</f>
        <v>1.4520000000000002</v>
      </c>
      <c r="F16">
        <f>F14*$C$8</f>
        <v>1.5972000000000004</v>
      </c>
      <c r="G16">
        <f>G14*L5</f>
        <v>0.49353480000000016</v>
      </c>
    </row>
    <row r="18" spans="2:7" x14ac:dyDescent="0.25">
      <c r="B18" t="s">
        <v>26</v>
      </c>
      <c r="C18">
        <f>C14-C16</f>
        <v>2.8</v>
      </c>
      <c r="D18">
        <f>D14-D16</f>
        <v>3.08</v>
      </c>
      <c r="E18">
        <f>E14-E16</f>
        <v>3.3880000000000008</v>
      </c>
      <c r="F18">
        <f>F14-F16</f>
        <v>3.7268000000000012</v>
      </c>
      <c r="G18">
        <f>G14-G16</f>
        <v>4.9901852000000018</v>
      </c>
    </row>
    <row r="19" spans="2:7" x14ac:dyDescent="0.25">
      <c r="B19" t="s">
        <v>105</v>
      </c>
      <c r="F19">
        <f>G18/0.07</f>
        <v>71.288360000000011</v>
      </c>
    </row>
    <row r="21" spans="2:7" x14ac:dyDescent="0.25">
      <c r="B21" t="s">
        <v>106</v>
      </c>
      <c r="D21">
        <f>SUM(D18:D19)/(1+$K$2)^D12</f>
        <v>2.75</v>
      </c>
      <c r="E21">
        <f>SUM(E18:E19)/(1+$K$2)^E12</f>
        <v>2.7008928571428572</v>
      </c>
      <c r="F21">
        <f>SUM(F18:F19)/(1+$K$2)^F12</f>
        <v>53.394309174562672</v>
      </c>
    </row>
    <row r="23" spans="2:7" x14ac:dyDescent="0.25">
      <c r="B23" t="s">
        <v>107</v>
      </c>
      <c r="C23">
        <f>SUM(D21:F21)</f>
        <v>58.845202031705526</v>
      </c>
    </row>
    <row r="25" spans="2:7" x14ac:dyDescent="0.25">
      <c r="B25" t="s">
        <v>108</v>
      </c>
      <c r="C25">
        <f>H9</f>
        <v>54.845202031705526</v>
      </c>
    </row>
    <row r="27" spans="2:7" x14ac:dyDescent="0.25">
      <c r="B27" t="s">
        <v>98</v>
      </c>
      <c r="C27">
        <f>C25/5</f>
        <v>10.969040406341104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E9644-60FD-4B54-90EC-DB642566306F}">
  <dimension ref="A1:J27"/>
  <sheetViews>
    <sheetView workbookViewId="0"/>
  </sheetViews>
  <sheetFormatPr defaultRowHeight="15" x14ac:dyDescent="0.25"/>
  <cols>
    <col min="2" max="2" width="20.42578125" bestFit="1" customWidth="1"/>
    <col min="6" max="6" width="13.7109375" bestFit="1" customWidth="1"/>
  </cols>
  <sheetData>
    <row r="1" spans="1:10" x14ac:dyDescent="0.25">
      <c r="A1">
        <v>5</v>
      </c>
    </row>
    <row r="2" spans="1:10" x14ac:dyDescent="0.25">
      <c r="B2" t="s">
        <v>9</v>
      </c>
      <c r="C2">
        <v>20</v>
      </c>
      <c r="F2" t="s">
        <v>112</v>
      </c>
      <c r="G2" t="s">
        <v>113</v>
      </c>
    </row>
    <row r="3" spans="1:10" x14ac:dyDescent="0.25">
      <c r="B3" t="s">
        <v>109</v>
      </c>
      <c r="C3">
        <v>0.4</v>
      </c>
      <c r="E3" t="s">
        <v>102</v>
      </c>
      <c r="F3">
        <v>0.12</v>
      </c>
      <c r="G3">
        <v>0.1</v>
      </c>
    </row>
    <row r="4" spans="1:10" x14ac:dyDescent="0.25">
      <c r="B4" t="s">
        <v>25</v>
      </c>
      <c r="C4">
        <v>15</v>
      </c>
      <c r="E4" t="s">
        <v>62</v>
      </c>
      <c r="F4">
        <v>0.15</v>
      </c>
      <c r="G4">
        <v>0.04</v>
      </c>
    </row>
    <row r="5" spans="1:10" x14ac:dyDescent="0.25">
      <c r="B5" t="s">
        <v>51</v>
      </c>
      <c r="C5">
        <v>5</v>
      </c>
      <c r="E5" t="s">
        <v>91</v>
      </c>
      <c r="F5">
        <f>0.75</f>
        <v>0.75</v>
      </c>
      <c r="G5">
        <f>0.04/0.2</f>
        <v>0.19999999999999998</v>
      </c>
    </row>
    <row r="6" spans="1:10" x14ac:dyDescent="0.25">
      <c r="B6" t="s">
        <v>56</v>
      </c>
      <c r="C6">
        <f>C4-C5</f>
        <v>10</v>
      </c>
      <c r="E6" t="s">
        <v>87</v>
      </c>
      <c r="F6">
        <f>F4/F5</f>
        <v>0.19999999999999998</v>
      </c>
      <c r="G6">
        <f>0.2</f>
        <v>0.2</v>
      </c>
    </row>
    <row r="7" spans="1:10" x14ac:dyDescent="0.25">
      <c r="B7" t="s">
        <v>28</v>
      </c>
      <c r="C7">
        <v>5</v>
      </c>
    </row>
    <row r="8" spans="1:10" x14ac:dyDescent="0.25">
      <c r="B8" t="s">
        <v>110</v>
      </c>
      <c r="C8">
        <f>C6+C7</f>
        <v>15</v>
      </c>
      <c r="F8" s="6" t="s">
        <v>115</v>
      </c>
      <c r="G8" s="6"/>
      <c r="H8" s="6"/>
      <c r="I8" s="6"/>
      <c r="J8" s="6"/>
    </row>
    <row r="9" spans="1:10" x14ac:dyDescent="0.25">
      <c r="B9" t="s">
        <v>64</v>
      </c>
      <c r="C9">
        <f>C8/C2</f>
        <v>0.75</v>
      </c>
      <c r="F9" s="6"/>
      <c r="G9" s="6"/>
      <c r="H9" s="6"/>
      <c r="I9" s="6"/>
      <c r="J9" s="6"/>
    </row>
    <row r="12" spans="1:10" x14ac:dyDescent="0.25">
      <c r="B12" t="s">
        <v>111</v>
      </c>
      <c r="C12">
        <v>0</v>
      </c>
      <c r="D12">
        <v>1</v>
      </c>
      <c r="E12">
        <v>2</v>
      </c>
      <c r="F12">
        <v>3</v>
      </c>
    </row>
    <row r="14" spans="1:10" x14ac:dyDescent="0.25">
      <c r="B14" t="s">
        <v>9</v>
      </c>
      <c r="C14">
        <f>C2</f>
        <v>20</v>
      </c>
      <c r="D14">
        <f>C14*1.15</f>
        <v>23</v>
      </c>
      <c r="E14">
        <f>D14*1.15</f>
        <v>26.45</v>
      </c>
      <c r="F14">
        <f>E14*1.15</f>
        <v>30.417499999999997</v>
      </c>
      <c r="G14">
        <f>F14*1.04</f>
        <v>31.634199999999996</v>
      </c>
    </row>
    <row r="16" spans="1:10" x14ac:dyDescent="0.25">
      <c r="B16" t="s">
        <v>70</v>
      </c>
      <c r="C16">
        <f>C8</f>
        <v>15</v>
      </c>
      <c r="D16">
        <f>C16*1.15</f>
        <v>17.25</v>
      </c>
      <c r="E16">
        <f>D16*1.15</f>
        <v>19.837499999999999</v>
      </c>
      <c r="F16">
        <f>E16*1.15</f>
        <v>22.813124999999996</v>
      </c>
      <c r="G16">
        <f>G14*0.2</f>
        <v>6.3268399999999998</v>
      </c>
    </row>
    <row r="18" spans="2:7" x14ac:dyDescent="0.25">
      <c r="B18" t="s">
        <v>26</v>
      </c>
      <c r="C18">
        <f>C14-C16</f>
        <v>5</v>
      </c>
      <c r="D18">
        <f>D14-D16</f>
        <v>5.75</v>
      </c>
      <c r="E18">
        <f>E14-E16</f>
        <v>6.6125000000000007</v>
      </c>
      <c r="F18">
        <f>F14-F16</f>
        <v>7.604375000000001</v>
      </c>
      <c r="G18">
        <f>G14-G16</f>
        <v>25.307359999999996</v>
      </c>
    </row>
    <row r="19" spans="2:7" x14ac:dyDescent="0.25">
      <c r="F19">
        <f>G18/0.06</f>
        <v>421.78933333333327</v>
      </c>
    </row>
    <row r="20" spans="2:7" x14ac:dyDescent="0.25">
      <c r="B20" t="s">
        <v>93</v>
      </c>
      <c r="C20">
        <f>SUM(D20:F20)</f>
        <v>316.03933321375411</v>
      </c>
      <c r="D20">
        <f>SUM(D18:D19)/(1+$F$3)^D12</f>
        <v>5.1339285714285712</v>
      </c>
      <c r="E20">
        <f>SUM(E18:E19)/(1+$F$3)^E12</f>
        <v>5.271444515306122</v>
      </c>
      <c r="F20">
        <f>SUM(F18:F19)/(1+$F$3)^F12</f>
        <v>305.63396012701941</v>
      </c>
    </row>
    <row r="23" spans="2:7" x14ac:dyDescent="0.25">
      <c r="C23" t="s">
        <v>49</v>
      </c>
      <c r="D23">
        <v>25</v>
      </c>
      <c r="E23" t="s">
        <v>47</v>
      </c>
      <c r="F23">
        <v>80</v>
      </c>
    </row>
    <row r="24" spans="2:7" x14ac:dyDescent="0.25">
      <c r="C24" t="s">
        <v>46</v>
      </c>
      <c r="D24">
        <f>D25-D23</f>
        <v>316.03933321375411</v>
      </c>
      <c r="E24" t="s">
        <v>48</v>
      </c>
      <c r="F24">
        <f>F25-F23</f>
        <v>261.03933321375411</v>
      </c>
    </row>
    <row r="25" spans="2:7" x14ac:dyDescent="0.25">
      <c r="C25" t="s">
        <v>77</v>
      </c>
      <c r="D25">
        <f>C20+D23</f>
        <v>341.03933321375411</v>
      </c>
      <c r="E25" t="s">
        <v>77</v>
      </c>
      <c r="F25">
        <f>D25</f>
        <v>341.03933321375411</v>
      </c>
    </row>
    <row r="27" spans="2:7" x14ac:dyDescent="0.25">
      <c r="E27" t="s">
        <v>114</v>
      </c>
      <c r="F27">
        <f>F24/10</f>
        <v>26.103933321375411</v>
      </c>
    </row>
  </sheetData>
  <mergeCells count="1">
    <mergeCell ref="F8:J9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ABE7-06F7-473C-8D40-FFA481B58FE2}">
  <dimension ref="B2:K46"/>
  <sheetViews>
    <sheetView workbookViewId="0">
      <selection activeCell="G48" sqref="G48"/>
    </sheetView>
  </sheetViews>
  <sheetFormatPr defaultRowHeight="15" x14ac:dyDescent="0.25"/>
  <cols>
    <col min="2" max="2" width="18.140625" bestFit="1" customWidth="1"/>
    <col min="3" max="3" width="9.7109375" bestFit="1" customWidth="1"/>
    <col min="4" max="4" width="10" bestFit="1" customWidth="1"/>
    <col min="8" max="8" width="17.28515625" bestFit="1" customWidth="1"/>
  </cols>
  <sheetData>
    <row r="2" spans="2:11" x14ac:dyDescent="0.25">
      <c r="C2" t="s">
        <v>17</v>
      </c>
      <c r="D2" t="s">
        <v>122</v>
      </c>
    </row>
    <row r="3" spans="2:11" x14ac:dyDescent="0.25">
      <c r="B3" t="s">
        <v>14</v>
      </c>
      <c r="C3">
        <v>0.9</v>
      </c>
      <c r="D3">
        <v>1.1000000000000001</v>
      </c>
      <c r="G3" t="s">
        <v>120</v>
      </c>
      <c r="H3" t="s">
        <v>116</v>
      </c>
    </row>
    <row r="4" spans="2:11" x14ac:dyDescent="0.25">
      <c r="B4" t="s">
        <v>19</v>
      </c>
      <c r="C4">
        <v>0.06</v>
      </c>
      <c r="G4" t="s">
        <v>121</v>
      </c>
      <c r="H4" t="s">
        <v>118</v>
      </c>
    </row>
    <row r="5" spans="2:11" x14ac:dyDescent="0.25">
      <c r="B5" t="s">
        <v>123</v>
      </c>
      <c r="C5">
        <v>7.0000000000000007E-2</v>
      </c>
      <c r="H5" t="s">
        <v>119</v>
      </c>
    </row>
    <row r="6" spans="2:11" x14ac:dyDescent="0.25">
      <c r="B6" t="s">
        <v>15</v>
      </c>
      <c r="C6">
        <v>0.67</v>
      </c>
      <c r="D6">
        <v>0.5</v>
      </c>
      <c r="H6" t="s">
        <v>117</v>
      </c>
    </row>
    <row r="7" spans="2:11" x14ac:dyDescent="0.25">
      <c r="B7" t="s">
        <v>124</v>
      </c>
      <c r="C7">
        <f>C6/(1+C6)</f>
        <v>0.40119760479041922</v>
      </c>
      <c r="D7">
        <f>D6/(1+D6)</f>
        <v>0.33333333333333331</v>
      </c>
    </row>
    <row r="8" spans="2:11" x14ac:dyDescent="0.25">
      <c r="B8" t="s">
        <v>125</v>
      </c>
      <c r="C8">
        <f>1/(1+C6)</f>
        <v>0.5988023952095809</v>
      </c>
      <c r="D8">
        <f>1/(1+D6)</f>
        <v>0.66666666666666663</v>
      </c>
    </row>
    <row r="9" spans="2:11" x14ac:dyDescent="0.25">
      <c r="B9" t="s">
        <v>126</v>
      </c>
      <c r="C9">
        <v>0.08</v>
      </c>
      <c r="D9">
        <v>0.11</v>
      </c>
      <c r="H9" t="s">
        <v>76</v>
      </c>
    </row>
    <row r="10" spans="2:11" x14ac:dyDescent="0.25">
      <c r="B10" t="s">
        <v>133</v>
      </c>
      <c r="C10">
        <f>C3+(C3*C6*(0.6))</f>
        <v>1.2618</v>
      </c>
      <c r="D10">
        <f>D3+(D3*D6*(0.6))</f>
        <v>1.4300000000000002</v>
      </c>
      <c r="E10" t="s">
        <v>134</v>
      </c>
      <c r="H10" t="s">
        <v>29</v>
      </c>
      <c r="I10">
        <v>990</v>
      </c>
      <c r="J10" t="s">
        <v>47</v>
      </c>
      <c r="K10">
        <v>2650</v>
      </c>
    </row>
    <row r="11" spans="2:11" x14ac:dyDescent="0.25">
      <c r="B11" t="s">
        <v>37</v>
      </c>
      <c r="C11">
        <f>$C$4+$C$5*C10</f>
        <v>0.14832600000000001</v>
      </c>
      <c r="D11">
        <f>$C$4+$C$5*D10</f>
        <v>0.16010000000000002</v>
      </c>
      <c r="H11" t="s">
        <v>46</v>
      </c>
      <c r="I11">
        <f>I12-I10</f>
        <v>2650</v>
      </c>
      <c r="J11" t="s">
        <v>48</v>
      </c>
      <c r="K11">
        <v>990</v>
      </c>
    </row>
    <row r="12" spans="2:11" x14ac:dyDescent="0.25">
      <c r="B12" t="s">
        <v>35</v>
      </c>
      <c r="C12">
        <f>C11*C8+C9*C7*0.6</f>
        <v>0.10807544910179642</v>
      </c>
      <c r="D12">
        <f>D11*D8+D9*D7*0.6</f>
        <v>0.12873333333333334</v>
      </c>
      <c r="H12" t="s">
        <v>77</v>
      </c>
      <c r="I12">
        <v>3640</v>
      </c>
      <c r="J12" t="s">
        <v>77</v>
      </c>
      <c r="K12">
        <v>3640</v>
      </c>
    </row>
    <row r="16" spans="2:11" x14ac:dyDescent="0.25">
      <c r="B16" t="s">
        <v>10</v>
      </c>
      <c r="C16">
        <v>0</v>
      </c>
      <c r="D16">
        <v>1</v>
      </c>
      <c r="E16">
        <v>2</v>
      </c>
      <c r="F16">
        <v>3</v>
      </c>
    </row>
    <row r="18" spans="2:7" x14ac:dyDescent="0.25">
      <c r="B18" t="s">
        <v>1</v>
      </c>
      <c r="C18">
        <v>7880</v>
      </c>
      <c r="D18">
        <f>C18*1.15</f>
        <v>9062</v>
      </c>
      <c r="E18">
        <f>D18*1.08</f>
        <v>9786.9600000000009</v>
      </c>
      <c r="F18">
        <f>E18*1.02</f>
        <v>9982.6992000000009</v>
      </c>
      <c r="G18">
        <f>F18*1.02</f>
        <v>10182.353184000001</v>
      </c>
    </row>
    <row r="19" spans="2:7" x14ac:dyDescent="0.25">
      <c r="B19" t="s">
        <v>128</v>
      </c>
      <c r="C19">
        <f>SUM(C18:C18)</f>
        <v>7880</v>
      </c>
      <c r="D19">
        <f>SUM(D18:D18)</f>
        <v>9062</v>
      </c>
      <c r="E19">
        <f>SUM(E18:E18)</f>
        <v>9786.9600000000009</v>
      </c>
      <c r="F19">
        <f>SUM(F18:F18)</f>
        <v>9982.6992000000009</v>
      </c>
      <c r="G19">
        <f>SUM(G18:G18)</f>
        <v>10182.353184000001</v>
      </c>
    </row>
    <row r="21" spans="2:7" x14ac:dyDescent="0.25">
      <c r="B21" t="s">
        <v>2</v>
      </c>
      <c r="C21">
        <v>6200</v>
      </c>
      <c r="D21">
        <f>($C$21/$C$18)*D18</f>
        <v>7130</v>
      </c>
      <c r="E21">
        <f>($C$21/$C$18)*E18</f>
        <v>7700.4000000000015</v>
      </c>
      <c r="F21">
        <f>(($C$21/$C$18)-0.05)*F18</f>
        <v>7355.2730400000009</v>
      </c>
      <c r="G21">
        <f>(($C$21/$C$18)-0.05)*G18</f>
        <v>7502.3785008000004</v>
      </c>
    </row>
    <row r="22" spans="2:7" x14ac:dyDescent="0.25">
      <c r="B22" t="s">
        <v>129</v>
      </c>
      <c r="C22">
        <v>570</v>
      </c>
      <c r="D22">
        <f>($C$22/$C$18)*D18</f>
        <v>655.5</v>
      </c>
      <c r="E22">
        <f>($C$22/$C$18)*E18</f>
        <v>707.94</v>
      </c>
      <c r="F22">
        <f>($C$22/$C$18)*F18</f>
        <v>722.09879999999998</v>
      </c>
      <c r="G22">
        <f>($C$22/$C$18)*G18</f>
        <v>736.54077600000005</v>
      </c>
    </row>
    <row r="23" spans="2:7" x14ac:dyDescent="0.25">
      <c r="B23" t="s">
        <v>51</v>
      </c>
      <c r="C23">
        <v>310</v>
      </c>
      <c r="D23">
        <f>340</f>
        <v>340</v>
      </c>
      <c r="E23">
        <f>D23*1.08</f>
        <v>367.20000000000005</v>
      </c>
      <c r="F23">
        <f>E23*1.02</f>
        <v>374.54400000000004</v>
      </c>
      <c r="G23">
        <f>F23*1.02</f>
        <v>382.03488000000004</v>
      </c>
    </row>
    <row r="24" spans="2:7" x14ac:dyDescent="0.25">
      <c r="B24" t="s">
        <v>130</v>
      </c>
      <c r="C24">
        <f>SUM(C21:C23)</f>
        <v>7080</v>
      </c>
      <c r="D24">
        <f>SUM(D21:D23)</f>
        <v>8125.5</v>
      </c>
      <c r="E24">
        <f>SUM(E21:E23)</f>
        <v>8775.5400000000027</v>
      </c>
      <c r="F24">
        <f>SUM(F21:F23)</f>
        <v>8451.9158400000015</v>
      </c>
      <c r="G24">
        <f>SUM(G21:G23)</f>
        <v>8620.9541568000004</v>
      </c>
    </row>
    <row r="26" spans="2:7" x14ac:dyDescent="0.25">
      <c r="B26" t="s">
        <v>7</v>
      </c>
      <c r="C26">
        <f>C19-C24</f>
        <v>800</v>
      </c>
      <c r="D26">
        <f>D19-D24</f>
        <v>936.5</v>
      </c>
      <c r="E26">
        <f>E19-E24</f>
        <v>1011.4199999999983</v>
      </c>
      <c r="F26">
        <f>F19-F24</f>
        <v>1530.7833599999994</v>
      </c>
      <c r="G26">
        <f>G19-G24</f>
        <v>1561.399027200001</v>
      </c>
    </row>
    <row r="27" spans="2:7" x14ac:dyDescent="0.25">
      <c r="B27" t="s">
        <v>109</v>
      </c>
      <c r="C27">
        <f>C26*0.4</f>
        <v>320</v>
      </c>
      <c r="D27">
        <f>D26*0.4</f>
        <v>374.6</v>
      </c>
      <c r="E27">
        <f>E26*0.4</f>
        <v>404.5679999999993</v>
      </c>
      <c r="F27">
        <f>F26*0.4</f>
        <v>612.3133439999998</v>
      </c>
      <c r="G27">
        <f>G26*0.4</f>
        <v>624.55961088000049</v>
      </c>
    </row>
    <row r="29" spans="2:7" x14ac:dyDescent="0.25">
      <c r="B29" t="s">
        <v>9</v>
      </c>
      <c r="C29">
        <f>C26-C27</f>
        <v>480</v>
      </c>
      <c r="D29">
        <f>D26-D27</f>
        <v>561.9</v>
      </c>
      <c r="E29">
        <f>E26-E27</f>
        <v>606.85199999999895</v>
      </c>
      <c r="F29">
        <f>F26-F27</f>
        <v>918.47001599999965</v>
      </c>
      <c r="G29">
        <f>G26-G27</f>
        <v>936.83941632000051</v>
      </c>
    </row>
    <row r="31" spans="2:7" x14ac:dyDescent="0.25">
      <c r="B31" t="s">
        <v>22</v>
      </c>
      <c r="C31">
        <f>C29+C23</f>
        <v>790</v>
      </c>
      <c r="D31">
        <f>D29+D23</f>
        <v>901.9</v>
      </c>
      <c r="E31">
        <f>E29+E23</f>
        <v>974.051999999999</v>
      </c>
      <c r="F31">
        <f>F29+F23</f>
        <v>1293.0140159999996</v>
      </c>
      <c r="G31">
        <f>G29+G23</f>
        <v>1318.8742963200007</v>
      </c>
    </row>
    <row r="33" spans="2:7" x14ac:dyDescent="0.25">
      <c r="B33" t="s">
        <v>29</v>
      </c>
      <c r="C33">
        <v>990</v>
      </c>
      <c r="D33">
        <f>D18/(365/35)</f>
        <v>868.95890410958907</v>
      </c>
      <c r="E33">
        <f>E18/(365/30)</f>
        <v>804.40767123287685</v>
      </c>
      <c r="F33">
        <f>F18/(365/30)</f>
        <v>820.4958246575344</v>
      </c>
      <c r="G33">
        <f>G18/(365/30)</f>
        <v>836.90574115068512</v>
      </c>
    </row>
    <row r="34" spans="2:7" x14ac:dyDescent="0.25">
      <c r="B34" t="s">
        <v>32</v>
      </c>
      <c r="C34">
        <v>1020</v>
      </c>
      <c r="D34">
        <f>($C$34/$C$18)*D18</f>
        <v>1173</v>
      </c>
      <c r="E34">
        <f>($C$34/$C$18)*E18</f>
        <v>1266.8400000000001</v>
      </c>
      <c r="F34">
        <f>($C$34/$C$18)*F18</f>
        <v>1292.1768000000002</v>
      </c>
      <c r="G34">
        <f>($C$34/$C$18)*G18</f>
        <v>1318.0203360000003</v>
      </c>
    </row>
    <row r="35" spans="2:7" x14ac:dyDescent="0.25">
      <c r="B35" t="s">
        <v>33</v>
      </c>
      <c r="C35">
        <v>530</v>
      </c>
      <c r="D35">
        <f>$C$35/$C$18*D18</f>
        <v>609.49999999999989</v>
      </c>
      <c r="E35">
        <f>$C$35/$C$18*E18</f>
        <v>658.26</v>
      </c>
      <c r="F35">
        <f>$C$35/$C$18*F18</f>
        <v>671.42520000000002</v>
      </c>
      <c r="G35">
        <f>$C$35/$C$18*G18</f>
        <v>684.85370399999999</v>
      </c>
    </row>
    <row r="36" spans="2:7" x14ac:dyDescent="0.25">
      <c r="B36" t="s">
        <v>30</v>
      </c>
      <c r="C36">
        <v>1100</v>
      </c>
      <c r="D36">
        <f>D18*0.1</f>
        <v>906.2</v>
      </c>
      <c r="E36">
        <f>E18*0.1</f>
        <v>978.69600000000014</v>
      </c>
      <c r="F36">
        <f>F18*0.1</f>
        <v>998.26992000000018</v>
      </c>
      <c r="G36">
        <f>G18*0.1</f>
        <v>1018.2353184000002</v>
      </c>
    </row>
    <row r="37" spans="2:7" x14ac:dyDescent="0.25">
      <c r="B37" t="s">
        <v>28</v>
      </c>
      <c r="C37">
        <f>C33+C34-C35-C36</f>
        <v>380</v>
      </c>
      <c r="D37">
        <f>D33+D34-D35-D36</f>
        <v>526.25890410958914</v>
      </c>
      <c r="E37">
        <f>E33+E34-E35-E36</f>
        <v>434.29167123287698</v>
      </c>
      <c r="F37">
        <f>F33+F34-F35-F36</f>
        <v>442.97750465753415</v>
      </c>
      <c r="G37">
        <f>G33+G34-G35-G36</f>
        <v>451.83705475068484</v>
      </c>
    </row>
    <row r="38" spans="2:7" x14ac:dyDescent="0.25">
      <c r="B38" t="s">
        <v>131</v>
      </c>
      <c r="C38">
        <v>0</v>
      </c>
      <c r="D38">
        <f>D37-C37</f>
        <v>146.25890410958914</v>
      </c>
      <c r="E38">
        <f>E37-D37</f>
        <v>-91.96723287671216</v>
      </c>
      <c r="F38">
        <f>F37-E37</f>
        <v>8.6858334246571758</v>
      </c>
      <c r="G38">
        <f>G37-F37</f>
        <v>8.8595500931506876</v>
      </c>
    </row>
    <row r="40" spans="2:7" x14ac:dyDescent="0.25">
      <c r="B40" t="s">
        <v>25</v>
      </c>
      <c r="D40">
        <v>500</v>
      </c>
      <c r="E40">
        <f>D40*1.08</f>
        <v>540</v>
      </c>
      <c r="F40">
        <f>E40*1.02</f>
        <v>550.79999999999995</v>
      </c>
      <c r="G40">
        <f>F40*1.02</f>
        <v>561.81599999999992</v>
      </c>
    </row>
    <row r="43" spans="2:7" x14ac:dyDescent="0.25">
      <c r="B43" t="s">
        <v>26</v>
      </c>
      <c r="D43">
        <f>D31-D38-D40</f>
        <v>255.64109589041084</v>
      </c>
      <c r="E43">
        <f>E31-E38-E40</f>
        <v>526.01923287671116</v>
      </c>
      <c r="F43">
        <f>F31-F38-F40</f>
        <v>733.5281825753425</v>
      </c>
      <c r="G43">
        <f>G31-G38-G40</f>
        <v>748.19874622685018</v>
      </c>
    </row>
    <row r="44" spans="2:7" x14ac:dyDescent="0.25">
      <c r="B44" t="s">
        <v>132</v>
      </c>
      <c r="F44">
        <f>G43/(D12-0.02)</f>
        <v>6881.0430370341828</v>
      </c>
    </row>
    <row r="46" spans="2:7" x14ac:dyDescent="0.25">
      <c r="B46" t="s">
        <v>135</v>
      </c>
      <c r="C46" s="5">
        <f>SUM(D46:F46)</f>
        <v>5934.4265387280939</v>
      </c>
      <c r="D46">
        <f>SUM(D43:D44)/(1+$D$12)^D16</f>
        <v>226.48493522864345</v>
      </c>
      <c r="E46">
        <f>SUM(E43:E44)/(1+$D$12)^E16</f>
        <v>412.87531901828044</v>
      </c>
      <c r="F46">
        <f>SUM(F43:F44)/(1+$D$12)^F16</f>
        <v>5295.0662844811704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52F29-D979-4837-A763-AAF5EBE11B8B}">
  <dimension ref="A1:L23"/>
  <sheetViews>
    <sheetView workbookViewId="0"/>
  </sheetViews>
  <sheetFormatPr defaultRowHeight="15" x14ac:dyDescent="0.25"/>
  <cols>
    <col min="2" max="2" width="13.5703125" bestFit="1" customWidth="1"/>
    <col min="10" max="10" width="16.28515625" bestFit="1" customWidth="1"/>
  </cols>
  <sheetData>
    <row r="1" spans="1:12" x14ac:dyDescent="0.25">
      <c r="A1">
        <v>1</v>
      </c>
    </row>
    <row r="2" spans="1:12" x14ac:dyDescent="0.25">
      <c r="B2" t="s">
        <v>9</v>
      </c>
      <c r="C2">
        <v>10</v>
      </c>
      <c r="E2" t="s">
        <v>76</v>
      </c>
      <c r="K2" t="s">
        <v>141</v>
      </c>
      <c r="L2" t="s">
        <v>142</v>
      </c>
    </row>
    <row r="3" spans="1:12" x14ac:dyDescent="0.25">
      <c r="B3" t="s">
        <v>47</v>
      </c>
      <c r="C3">
        <v>15</v>
      </c>
      <c r="E3" t="s">
        <v>49</v>
      </c>
      <c r="F3">
        <v>10</v>
      </c>
      <c r="G3" t="s">
        <v>47</v>
      </c>
      <c r="H3">
        <v>15</v>
      </c>
      <c r="J3" t="s">
        <v>137</v>
      </c>
      <c r="K3">
        <v>0.12</v>
      </c>
      <c r="L3">
        <v>0.1</v>
      </c>
    </row>
    <row r="4" spans="1:12" x14ac:dyDescent="0.25">
      <c r="B4" t="s">
        <v>85</v>
      </c>
      <c r="C4">
        <v>45</v>
      </c>
      <c r="E4" t="s">
        <v>46</v>
      </c>
      <c r="F4">
        <v>50</v>
      </c>
      <c r="G4" t="s">
        <v>48</v>
      </c>
      <c r="H4">
        <v>45</v>
      </c>
      <c r="J4" t="s">
        <v>138</v>
      </c>
      <c r="K4">
        <f>C2/F4</f>
        <v>0.2</v>
      </c>
      <c r="L4">
        <f>K4</f>
        <v>0.2</v>
      </c>
    </row>
    <row r="5" spans="1:12" x14ac:dyDescent="0.25">
      <c r="B5" t="s">
        <v>49</v>
      </c>
      <c r="C5">
        <v>10</v>
      </c>
      <c r="E5" t="s">
        <v>77</v>
      </c>
      <c r="F5">
        <v>60</v>
      </c>
      <c r="G5" t="s">
        <v>77</v>
      </c>
      <c r="H5">
        <v>60</v>
      </c>
      <c r="J5" t="s">
        <v>140</v>
      </c>
      <c r="K5">
        <f>C17/C15</f>
        <v>0.6</v>
      </c>
      <c r="L5">
        <f>L6/L4</f>
        <v>0.15</v>
      </c>
    </row>
    <row r="6" spans="1:12" x14ac:dyDescent="0.25">
      <c r="B6" t="s">
        <v>37</v>
      </c>
      <c r="C6">
        <v>0.15</v>
      </c>
      <c r="D6">
        <v>0.12</v>
      </c>
      <c r="J6" t="s">
        <v>136</v>
      </c>
      <c r="K6">
        <f>K4*K5</f>
        <v>0.12</v>
      </c>
      <c r="L6">
        <v>0.03</v>
      </c>
    </row>
    <row r="7" spans="1:12" x14ac:dyDescent="0.25">
      <c r="B7" t="s">
        <v>127</v>
      </c>
      <c r="C7">
        <v>2</v>
      </c>
      <c r="E7" t="s">
        <v>78</v>
      </c>
    </row>
    <row r="8" spans="1:12" x14ac:dyDescent="0.25">
      <c r="B8" t="s">
        <v>28</v>
      </c>
      <c r="C8">
        <v>1</v>
      </c>
      <c r="E8" t="s">
        <v>49</v>
      </c>
      <c r="F8">
        <v>10</v>
      </c>
      <c r="G8" t="s">
        <v>47</v>
      </c>
      <c r="H8">
        <f>H3</f>
        <v>15</v>
      </c>
      <c r="J8" t="s">
        <v>143</v>
      </c>
    </row>
    <row r="9" spans="1:12" x14ac:dyDescent="0.25">
      <c r="B9" t="s">
        <v>139</v>
      </c>
      <c r="C9">
        <f>15/5</f>
        <v>3</v>
      </c>
      <c r="E9" t="s">
        <v>46</v>
      </c>
      <c r="F9">
        <f>C21</f>
        <v>137.07142857142856</v>
      </c>
      <c r="G9" t="s">
        <v>48</v>
      </c>
      <c r="H9">
        <f>H10-H8</f>
        <v>132.07142857142856</v>
      </c>
    </row>
    <row r="10" spans="1:12" x14ac:dyDescent="0.25">
      <c r="E10" t="s">
        <v>77</v>
      </c>
      <c r="F10">
        <f>F8+F9</f>
        <v>147.07142857142856</v>
      </c>
      <c r="G10" t="s">
        <v>77</v>
      </c>
      <c r="H10">
        <f>F10</f>
        <v>147.07142857142856</v>
      </c>
    </row>
    <row r="13" spans="1:12" x14ac:dyDescent="0.25">
      <c r="B13" t="s">
        <v>10</v>
      </c>
      <c r="C13">
        <v>0</v>
      </c>
      <c r="D13">
        <v>1</v>
      </c>
      <c r="E13">
        <v>2</v>
      </c>
      <c r="F13">
        <v>3</v>
      </c>
      <c r="G13">
        <v>4</v>
      </c>
    </row>
    <row r="15" spans="1:12" x14ac:dyDescent="0.25">
      <c r="B15" t="s">
        <v>9</v>
      </c>
      <c r="C15">
        <f>C2</f>
        <v>10</v>
      </c>
      <c r="D15">
        <f>C15*(1+$K$6)</f>
        <v>11.200000000000001</v>
      </c>
      <c r="E15">
        <f>D15*(1+$K$6)</f>
        <v>12.544000000000002</v>
      </c>
      <c r="F15">
        <f>E15*(1+$K$6)</f>
        <v>14.049280000000003</v>
      </c>
      <c r="G15">
        <f>F15*1.03</f>
        <v>14.470758400000003</v>
      </c>
    </row>
    <row r="17" spans="2:7" x14ac:dyDescent="0.25">
      <c r="B17" t="s">
        <v>70</v>
      </c>
      <c r="C17">
        <f>SUM(C7:C9)</f>
        <v>6</v>
      </c>
      <c r="D17">
        <f>C17*(1+$K$6)</f>
        <v>6.7200000000000006</v>
      </c>
      <c r="E17">
        <f>D17*(1+$K$6)</f>
        <v>7.5264000000000015</v>
      </c>
      <c r="F17">
        <f>E17*(1+$K$6)</f>
        <v>8.4295680000000033</v>
      </c>
      <c r="G17">
        <f>G15*L5</f>
        <v>2.1706137600000002</v>
      </c>
    </row>
    <row r="19" spans="2:7" x14ac:dyDescent="0.25">
      <c r="B19" t="s">
        <v>26</v>
      </c>
      <c r="C19">
        <f>C15-C17</f>
        <v>4</v>
      </c>
      <c r="D19">
        <f>D15-D17</f>
        <v>4.4800000000000004</v>
      </c>
      <c r="E19">
        <f>E15-E17</f>
        <v>5.0176000000000007</v>
      </c>
      <c r="F19">
        <f>F15-F17</f>
        <v>5.6197119999999998</v>
      </c>
      <c r="G19">
        <f>G15-G17</f>
        <v>12.300144640000003</v>
      </c>
    </row>
    <row r="20" spans="2:7" x14ac:dyDescent="0.25">
      <c r="F20">
        <f>G19/0.07</f>
        <v>175.71635200000003</v>
      </c>
    </row>
    <row r="21" spans="2:7" x14ac:dyDescent="0.25">
      <c r="B21" t="s">
        <v>93</v>
      </c>
      <c r="C21">
        <f>SUM(D21:F21)</f>
        <v>137.07142857142856</v>
      </c>
      <c r="D21">
        <f>SUM(D19:D20)/1.12^D13</f>
        <v>4</v>
      </c>
      <c r="E21">
        <f>SUM(E19:E20)/1.12^E13</f>
        <v>4</v>
      </c>
      <c r="F21">
        <f>SUM(F19:F20)/1.12^F13</f>
        <v>129.07142857142856</v>
      </c>
    </row>
    <row r="23" spans="2:7" x14ac:dyDescent="0.25">
      <c r="B23" t="s">
        <v>114</v>
      </c>
      <c r="C23">
        <f>H9/5</f>
        <v>26.414285714285711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89D5-9692-4F3A-86B9-C5D71CC749C1}">
  <dimension ref="A1:N19"/>
  <sheetViews>
    <sheetView workbookViewId="0"/>
  </sheetViews>
  <sheetFormatPr defaultRowHeight="15" x14ac:dyDescent="0.25"/>
  <cols>
    <col min="2" max="2" width="9.5703125" bestFit="1" customWidth="1"/>
  </cols>
  <sheetData>
    <row r="1" spans="1:14" x14ac:dyDescent="0.25">
      <c r="A1">
        <v>2</v>
      </c>
    </row>
    <row r="2" spans="1:14" x14ac:dyDescent="0.25">
      <c r="B2" t="s">
        <v>9</v>
      </c>
      <c r="C2">
        <v>10</v>
      </c>
      <c r="E2" t="s">
        <v>76</v>
      </c>
      <c r="J2" t="s">
        <v>141</v>
      </c>
      <c r="K2" t="s">
        <v>142</v>
      </c>
    </row>
    <row r="3" spans="1:14" x14ac:dyDescent="0.25">
      <c r="B3" t="s">
        <v>127</v>
      </c>
      <c r="C3">
        <f>12-5</f>
        <v>7</v>
      </c>
      <c r="E3" t="s">
        <v>49</v>
      </c>
      <c r="F3">
        <v>15</v>
      </c>
      <c r="G3" t="s">
        <v>47</v>
      </c>
      <c r="H3">
        <v>40</v>
      </c>
      <c r="I3" t="s">
        <v>145</v>
      </c>
      <c r="J3">
        <v>0.12</v>
      </c>
      <c r="K3">
        <v>0.08</v>
      </c>
    </row>
    <row r="4" spans="1:14" x14ac:dyDescent="0.25">
      <c r="B4" t="s">
        <v>28</v>
      </c>
      <c r="C4">
        <v>2</v>
      </c>
      <c r="E4" t="s">
        <v>46</v>
      </c>
      <c r="F4">
        <v>100</v>
      </c>
      <c r="G4" t="s">
        <v>48</v>
      </c>
      <c r="H4">
        <f>H5-H3</f>
        <v>75</v>
      </c>
      <c r="I4" t="s">
        <v>144</v>
      </c>
      <c r="J4">
        <f>C2/F4</f>
        <v>0.1</v>
      </c>
      <c r="K4">
        <f>J4</f>
        <v>0.1</v>
      </c>
    </row>
    <row r="5" spans="1:14" x14ac:dyDescent="0.25">
      <c r="E5" t="s">
        <v>77</v>
      </c>
      <c r="F5">
        <f>SUM(F3:F4)</f>
        <v>115</v>
      </c>
      <c r="G5" t="s">
        <v>77</v>
      </c>
      <c r="H5">
        <f>F5</f>
        <v>115</v>
      </c>
      <c r="I5" t="s">
        <v>146</v>
      </c>
      <c r="J5">
        <f>C13/C11</f>
        <v>0.9</v>
      </c>
      <c r="K5">
        <f>K6/K4</f>
        <v>0.3</v>
      </c>
    </row>
    <row r="6" spans="1:14" x14ac:dyDescent="0.25">
      <c r="I6" t="s">
        <v>147</v>
      </c>
      <c r="J6">
        <f>J4*J5</f>
        <v>9.0000000000000011E-2</v>
      </c>
      <c r="K6">
        <v>0.03</v>
      </c>
    </row>
    <row r="9" spans="1:14" x14ac:dyDescent="0.25">
      <c r="B9" t="s">
        <v>10</v>
      </c>
      <c r="C9">
        <v>0</v>
      </c>
      <c r="D9">
        <v>1</v>
      </c>
      <c r="E9">
        <v>2</v>
      </c>
      <c r="F9">
        <v>3</v>
      </c>
      <c r="G9">
        <v>4</v>
      </c>
      <c r="H9">
        <v>5</v>
      </c>
    </row>
    <row r="10" spans="1:14" x14ac:dyDescent="0.25">
      <c r="K10" t="s">
        <v>78</v>
      </c>
    </row>
    <row r="11" spans="1:14" x14ac:dyDescent="0.25">
      <c r="B11" t="s">
        <v>9</v>
      </c>
      <c r="C11">
        <f>C2</f>
        <v>10</v>
      </c>
      <c r="D11">
        <f>C11*(1+$J$6)</f>
        <v>10.9</v>
      </c>
      <c r="E11">
        <f>D11*(1+$J$6)</f>
        <v>11.881000000000002</v>
      </c>
      <c r="F11">
        <f>E11*(1+$J$6)</f>
        <v>12.950290000000003</v>
      </c>
      <c r="G11">
        <f>F11*(1+$J$6)</f>
        <v>14.115816100000004</v>
      </c>
      <c r="H11">
        <f>G11*(1+$J$6)</f>
        <v>15.386239549000004</v>
      </c>
      <c r="I11">
        <f>H11*1.03</f>
        <v>15.847826735470004</v>
      </c>
      <c r="K11" t="s">
        <v>49</v>
      </c>
      <c r="L11">
        <v>15</v>
      </c>
      <c r="M11" t="s">
        <v>47</v>
      </c>
      <c r="N11">
        <v>40</v>
      </c>
    </row>
    <row r="12" spans="1:14" x14ac:dyDescent="0.25">
      <c r="K12" t="s">
        <v>46</v>
      </c>
      <c r="L12">
        <f>C17</f>
        <v>130.50703350207181</v>
      </c>
      <c r="M12" t="s">
        <v>48</v>
      </c>
      <c r="N12">
        <f>N13-N11</f>
        <v>105.50703350207181</v>
      </c>
    </row>
    <row r="13" spans="1:14" x14ac:dyDescent="0.25">
      <c r="B13" t="s">
        <v>146</v>
      </c>
      <c r="C13">
        <f>C3+C4</f>
        <v>9</v>
      </c>
      <c r="D13">
        <f>D11*$J$5</f>
        <v>9.81</v>
      </c>
      <c r="E13">
        <f>E11*$J$5</f>
        <v>10.692900000000002</v>
      </c>
      <c r="F13">
        <f>F11*$J$5</f>
        <v>11.655261000000003</v>
      </c>
      <c r="G13">
        <f>G11*$J$5</f>
        <v>12.704234490000003</v>
      </c>
      <c r="H13">
        <f>H11*$J$5</f>
        <v>13.847615594100004</v>
      </c>
      <c r="I13">
        <f>I11*K5</f>
        <v>4.7543480206410011</v>
      </c>
      <c r="K13" t="s">
        <v>77</v>
      </c>
      <c r="L13">
        <f>SUM(L11:L12)</f>
        <v>145.50703350207181</v>
      </c>
      <c r="M13" t="s">
        <v>77</v>
      </c>
      <c r="N13">
        <f>L13</f>
        <v>145.50703350207181</v>
      </c>
    </row>
    <row r="15" spans="1:14" x14ac:dyDescent="0.25">
      <c r="B15" t="s">
        <v>26</v>
      </c>
      <c r="C15">
        <f t="shared" ref="C15:I15" si="0">C11-C13</f>
        <v>1</v>
      </c>
      <c r="D15">
        <f t="shared" si="0"/>
        <v>1.0899999999999999</v>
      </c>
      <c r="E15">
        <f t="shared" si="0"/>
        <v>1.1881000000000004</v>
      </c>
      <c r="F15">
        <f t="shared" si="0"/>
        <v>1.2950289999999995</v>
      </c>
      <c r="G15">
        <f t="shared" si="0"/>
        <v>1.4115816100000007</v>
      </c>
      <c r="H15">
        <f t="shared" si="0"/>
        <v>1.5386239549000003</v>
      </c>
      <c r="I15">
        <f t="shared" si="0"/>
        <v>11.093478714829004</v>
      </c>
    </row>
    <row r="16" spans="1:14" x14ac:dyDescent="0.25">
      <c r="H16">
        <f>I15/0.05</f>
        <v>221.86957429658008</v>
      </c>
    </row>
    <row r="17" spans="2:8" x14ac:dyDescent="0.25">
      <c r="B17" t="s">
        <v>93</v>
      </c>
      <c r="C17">
        <f>SUM(D17:H17)</f>
        <v>130.50703350207181</v>
      </c>
      <c r="D17">
        <f>SUM(D15:D16)/((1+$J$3)^D9)</f>
        <v>0.97321428571428548</v>
      </c>
      <c r="E17">
        <f>SUM(E15:E16)/((1+$J$3)^E9)</f>
        <v>0.94714604591836749</v>
      </c>
      <c r="F17">
        <f>SUM(F15:F16)/((1+$J$3)^F9)</f>
        <v>0.92177606254555333</v>
      </c>
      <c r="G17">
        <f>SUM(G15:G16)/((1+$J$3)^G9)</f>
        <v>0.89708563229879823</v>
      </c>
      <c r="H17">
        <f>SUM(H15:H16)/((1+$J$3)^H9)</f>
        <v>126.7678114755948</v>
      </c>
    </row>
    <row r="19" spans="2:8" x14ac:dyDescent="0.25">
      <c r="B19" t="s">
        <v>114</v>
      </c>
      <c r="C19">
        <f>N12/8</f>
        <v>13.188379187758976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Sheet12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Haseeb Afridi</dc:creator>
  <cp:lastModifiedBy>Haseeb Afridi</cp:lastModifiedBy>
  <dcterms:created xsi:type="dcterms:W3CDTF">2018-11-14T22:25:23Z</dcterms:created>
  <dcterms:modified xsi:type="dcterms:W3CDTF">2018-11-18T01:05:50Z</dcterms:modified>
</cp:coreProperties>
</file>