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d\Desktop\Desktop Files\Schulich\Year 3 - Sem 1\FINE3100 - Financial Management\"/>
    </mc:Choice>
  </mc:AlternateContent>
  <xr:revisionPtr revIDLastSave="0" documentId="13_ncr:1_{E1E9F159-030F-4CA8-B5D4-51CE1DB601ED}" xr6:coauthVersionLast="45" xr6:coauthVersionMax="45" xr10:uidLastSave="{00000000-0000-0000-0000-000000000000}"/>
  <bookViews>
    <workbookView xWindow="-120" yWindow="-120" windowWidth="21840" windowHeight="13290" activeTab="1" xr2:uid="{E1F965D6-CEBA-4626-9530-113CF71893BB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</sheets>
  <definedNames>
    <definedName name="CIQWBGuid" hidden="1">"Book1"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3" l="1"/>
  <c r="G14" i="13" s="1"/>
  <c r="H14" i="13" s="1"/>
  <c r="I14" i="13" s="1"/>
  <c r="E7" i="13"/>
  <c r="F7" i="13" s="1"/>
  <c r="G7" i="13" s="1"/>
  <c r="H7" i="13" s="1"/>
  <c r="I7" i="13" s="1"/>
  <c r="J7" i="13" s="1"/>
  <c r="E9" i="13"/>
  <c r="F9" i="13" s="1"/>
  <c r="G9" i="13" s="1"/>
  <c r="H9" i="13" s="1"/>
  <c r="I9" i="13" s="1"/>
  <c r="J9" i="13" s="1"/>
  <c r="I10" i="13" s="1"/>
  <c r="E5" i="13"/>
  <c r="F5" i="13" s="1"/>
  <c r="G5" i="13" s="1"/>
  <c r="H5" i="13" s="1"/>
  <c r="I5" i="13" s="1"/>
  <c r="J5" i="13" s="1"/>
  <c r="E3" i="13"/>
  <c r="F3" i="13" s="1"/>
  <c r="F64" i="12"/>
  <c r="G64" i="12" s="1"/>
  <c r="H64" i="12" s="1"/>
  <c r="I64" i="12" s="1"/>
  <c r="J64" i="12" s="1"/>
  <c r="K64" i="12" s="1"/>
  <c r="L64" i="12" s="1"/>
  <c r="M64" i="12" s="1"/>
  <c r="N64" i="12" s="1"/>
  <c r="O64" i="12" s="1"/>
  <c r="E64" i="12"/>
  <c r="M85" i="12"/>
  <c r="L85" i="12"/>
  <c r="D75" i="12"/>
  <c r="D72" i="12"/>
  <c r="D73" i="12" s="1"/>
  <c r="D78" i="12" s="1"/>
  <c r="D67" i="12"/>
  <c r="D65" i="12"/>
  <c r="E62" i="12"/>
  <c r="F62" i="12" s="1"/>
  <c r="G62" i="12" s="1"/>
  <c r="H62" i="12" s="1"/>
  <c r="I62" i="12" s="1"/>
  <c r="J62" i="12" s="1"/>
  <c r="K62" i="12" s="1"/>
  <c r="L62" i="12" s="1"/>
  <c r="M62" i="12" s="1"/>
  <c r="N62" i="12" s="1"/>
  <c r="L55" i="12"/>
  <c r="K55" i="12"/>
  <c r="L28" i="12"/>
  <c r="E36" i="12"/>
  <c r="E37" i="12" s="1"/>
  <c r="E47" i="12"/>
  <c r="E48" i="12" s="1"/>
  <c r="D47" i="12"/>
  <c r="D43" i="12"/>
  <c r="D40" i="12"/>
  <c r="D39" i="12"/>
  <c r="D41" i="12" s="1"/>
  <c r="D38" i="12"/>
  <c r="D44" i="12" s="1"/>
  <c r="D37" i="12"/>
  <c r="E34" i="12"/>
  <c r="F34" i="12" s="1"/>
  <c r="M28" i="12"/>
  <c r="B9" i="12"/>
  <c r="E7" i="12"/>
  <c r="F7" i="12" s="1"/>
  <c r="D18" i="12"/>
  <c r="D16" i="12"/>
  <c r="D21" i="12" s="1"/>
  <c r="B14" i="12"/>
  <c r="D15" i="12"/>
  <c r="D8" i="12"/>
  <c r="D10" i="12" s="1"/>
  <c r="E5" i="12"/>
  <c r="F5" i="12" s="1"/>
  <c r="G5" i="12" s="1"/>
  <c r="H5" i="12" s="1"/>
  <c r="I5" i="12" s="1"/>
  <c r="J5" i="12" s="1"/>
  <c r="K5" i="12" s="1"/>
  <c r="L5" i="12" s="1"/>
  <c r="M5" i="12" s="1"/>
  <c r="N5" i="12" s="1"/>
  <c r="D74" i="9"/>
  <c r="D53" i="9"/>
  <c r="D82" i="9"/>
  <c r="H76" i="9"/>
  <c r="H71" i="9" s="1"/>
  <c r="D75" i="9"/>
  <c r="E75" i="9" s="1"/>
  <c r="E73" i="9"/>
  <c r="E74" i="9" s="1"/>
  <c r="D61" i="9"/>
  <c r="H56" i="9"/>
  <c r="H55" i="9"/>
  <c r="D55" i="9"/>
  <c r="D56" i="9" s="1"/>
  <c r="D57" i="9" s="1"/>
  <c r="E52" i="9"/>
  <c r="E61" i="9" s="1"/>
  <c r="E63" i="9" s="1"/>
  <c r="E65" i="9" s="1"/>
  <c r="H26" i="9"/>
  <c r="H31" i="9"/>
  <c r="D30" i="9"/>
  <c r="D29" i="9"/>
  <c r="E28" i="9"/>
  <c r="E29" i="9" s="1"/>
  <c r="E37" i="9"/>
  <c r="D37" i="9"/>
  <c r="E30" i="9"/>
  <c r="D31" i="9"/>
  <c r="H11" i="9"/>
  <c r="H10" i="9"/>
  <c r="H5" i="9" s="1"/>
  <c r="N4" i="11"/>
  <c r="N5" i="11"/>
  <c r="M6" i="11"/>
  <c r="D7" i="11"/>
  <c r="E94" i="10"/>
  <c r="E105" i="10" s="1"/>
  <c r="E106" i="10" s="1"/>
  <c r="F73" i="10"/>
  <c r="G73" i="10" s="1"/>
  <c r="H73" i="10" s="1"/>
  <c r="I73" i="10" s="1"/>
  <c r="J73" i="10" s="1"/>
  <c r="K73" i="10" s="1"/>
  <c r="L73" i="10" s="1"/>
  <c r="M73" i="10" s="1"/>
  <c r="N73" i="10" s="1"/>
  <c r="E73" i="10"/>
  <c r="E84" i="10" s="1"/>
  <c r="E85" i="10" s="1"/>
  <c r="S96" i="10"/>
  <c r="R96" i="10"/>
  <c r="D105" i="10"/>
  <c r="D101" i="10"/>
  <c r="D96" i="10"/>
  <c r="D102" i="10" s="1"/>
  <c r="D95" i="10"/>
  <c r="D97" i="10" s="1"/>
  <c r="S73" i="10"/>
  <c r="R73" i="10"/>
  <c r="D84" i="10"/>
  <c r="D80" i="10"/>
  <c r="D82" i="10" s="1"/>
  <c r="D76" i="10"/>
  <c r="D74" i="10"/>
  <c r="E71" i="10"/>
  <c r="F71" i="10" s="1"/>
  <c r="G71" i="10" s="1"/>
  <c r="H71" i="10" s="1"/>
  <c r="I71" i="10" s="1"/>
  <c r="J71" i="10" s="1"/>
  <c r="K71" i="10" s="1"/>
  <c r="L71" i="10" s="1"/>
  <c r="M71" i="10" s="1"/>
  <c r="N71" i="10" s="1"/>
  <c r="O71" i="10" s="1"/>
  <c r="I29" i="10"/>
  <c r="E42" i="10"/>
  <c r="E53" i="10" s="1"/>
  <c r="D53" i="10"/>
  <c r="D49" i="10"/>
  <c r="D44" i="10"/>
  <c r="D43" i="10"/>
  <c r="E65" i="10"/>
  <c r="D65" i="10"/>
  <c r="E40" i="10"/>
  <c r="F40" i="10" s="1"/>
  <c r="G40" i="10" s="1"/>
  <c r="H40" i="10" s="1"/>
  <c r="I40" i="10" s="1"/>
  <c r="J40" i="10" s="1"/>
  <c r="K40" i="10" s="1"/>
  <c r="L40" i="10" s="1"/>
  <c r="M40" i="10" s="1"/>
  <c r="N40" i="10" s="1"/>
  <c r="O40" i="10" s="1"/>
  <c r="E30" i="10"/>
  <c r="D30" i="10"/>
  <c r="E7" i="10"/>
  <c r="E8" i="10" s="1"/>
  <c r="D18" i="10"/>
  <c r="D14" i="10"/>
  <c r="D8" i="10"/>
  <c r="D10" i="10" s="1"/>
  <c r="E5" i="10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D16" i="9"/>
  <c r="E7" i="9"/>
  <c r="E9" i="9" s="1"/>
  <c r="D8" i="9"/>
  <c r="D10" i="9" s="1"/>
  <c r="C12" i="8"/>
  <c r="F8" i="8"/>
  <c r="E8" i="8"/>
  <c r="D39" i="7"/>
  <c r="D37" i="7"/>
  <c r="H35" i="7"/>
  <c r="H32" i="7"/>
  <c r="H33" i="7" s="1"/>
  <c r="J33" i="7" s="1"/>
  <c r="J32" i="7" s="1"/>
  <c r="D23" i="7"/>
  <c r="F10" i="7"/>
  <c r="H10" i="7" s="1"/>
  <c r="M10" i="7" s="1"/>
  <c r="F11" i="7"/>
  <c r="D11" i="7" s="1"/>
  <c r="D10" i="7" s="1"/>
  <c r="F6" i="7"/>
  <c r="H6" i="7" s="1"/>
  <c r="D9" i="6"/>
  <c r="E21" i="5"/>
  <c r="E18" i="5"/>
  <c r="E9" i="5"/>
  <c r="E5" i="5"/>
  <c r="D40" i="4"/>
  <c r="H43" i="4"/>
  <c r="J43" i="4" s="1"/>
  <c r="J42" i="4" s="1"/>
  <c r="D32" i="4"/>
  <c r="D34" i="4" s="1"/>
  <c r="D42" i="4" s="1"/>
  <c r="D44" i="4" s="1"/>
  <c r="H38" i="4"/>
  <c r="J38" i="4" s="1"/>
  <c r="J36" i="4" s="1"/>
  <c r="L17" i="4"/>
  <c r="J19" i="4"/>
  <c r="J14" i="4"/>
  <c r="H29" i="4"/>
  <c r="J29" i="4" s="1"/>
  <c r="D22" i="4"/>
  <c r="D20" i="4"/>
  <c r="H19" i="4"/>
  <c r="H14" i="4"/>
  <c r="D13" i="4"/>
  <c r="D11" i="4"/>
  <c r="L27" i="4" l="1"/>
  <c r="J27" i="4"/>
  <c r="D45" i="12"/>
  <c r="D50" i="12" s="1"/>
  <c r="D52" i="12" s="1"/>
  <c r="F11" i="13"/>
  <c r="G3" i="13"/>
  <c r="G34" i="12"/>
  <c r="H34" i="12" s="1"/>
  <c r="E11" i="5"/>
  <c r="E23" i="5" s="1"/>
  <c r="E26" i="5" s="1"/>
  <c r="E43" i="12"/>
  <c r="F36" i="12"/>
  <c r="E16" i="13"/>
  <c r="H50" i="9"/>
  <c r="E38" i="12"/>
  <c r="E11" i="13"/>
  <c r="L36" i="4"/>
  <c r="F94" i="10"/>
  <c r="G94" i="10" s="1"/>
  <c r="H94" i="10" s="1"/>
  <c r="I94" i="10" s="1"/>
  <c r="J94" i="10" s="1"/>
  <c r="K94" i="10" s="1"/>
  <c r="L94" i="10" s="1"/>
  <c r="M94" i="10" s="1"/>
  <c r="N94" i="10" s="1"/>
  <c r="E53" i="9"/>
  <c r="F16" i="13"/>
  <c r="L42" i="4"/>
  <c r="D76" i="9"/>
  <c r="D77" i="9" s="1"/>
  <c r="D78" i="9" s="1"/>
  <c r="E75" i="12"/>
  <c r="E76" i="12" s="1"/>
  <c r="E71" i="12"/>
  <c r="F65" i="12"/>
  <c r="F66" i="12"/>
  <c r="F72" i="12" s="1"/>
  <c r="F75" i="12"/>
  <c r="F76" i="12" s="1"/>
  <c r="F71" i="12"/>
  <c r="D68" i="12"/>
  <c r="D69" i="12" s="1"/>
  <c r="D80" i="12" s="1"/>
  <c r="E66" i="12"/>
  <c r="E72" i="12" s="1"/>
  <c r="E65" i="12"/>
  <c r="E67" i="12" s="1"/>
  <c r="E39" i="12"/>
  <c r="E40" i="12" s="1"/>
  <c r="E41" i="12" s="1"/>
  <c r="E44" i="12"/>
  <c r="E45" i="12" s="1"/>
  <c r="E50" i="12" s="1"/>
  <c r="G7" i="12"/>
  <c r="F14" i="12"/>
  <c r="F8" i="12"/>
  <c r="F9" i="12"/>
  <c r="F15" i="12" s="1"/>
  <c r="F16" i="12" s="1"/>
  <c r="F18" i="12"/>
  <c r="D11" i="12"/>
  <c r="D12" i="12" s="1"/>
  <c r="D23" i="12" s="1"/>
  <c r="E14" i="12"/>
  <c r="E18" i="12"/>
  <c r="E19" i="12" s="1"/>
  <c r="E8" i="12"/>
  <c r="E9" i="12"/>
  <c r="E15" i="12" s="1"/>
  <c r="G9" i="12"/>
  <c r="G15" i="12" s="1"/>
  <c r="H7" i="12"/>
  <c r="G8" i="12"/>
  <c r="G10" i="12" s="1"/>
  <c r="G18" i="12"/>
  <c r="G14" i="12"/>
  <c r="G16" i="12" s="1"/>
  <c r="E54" i="9"/>
  <c r="E82" i="9"/>
  <c r="E84" i="9" s="1"/>
  <c r="E86" i="9" s="1"/>
  <c r="E76" i="9"/>
  <c r="D32" i="9"/>
  <c r="D33" i="9" s="1"/>
  <c r="E39" i="9"/>
  <c r="E41" i="9" s="1"/>
  <c r="E31" i="9"/>
  <c r="E32" i="9" s="1"/>
  <c r="D103" i="10"/>
  <c r="D98" i="10"/>
  <c r="D99" i="10" s="1"/>
  <c r="E95" i="10"/>
  <c r="E96" i="10"/>
  <c r="E101" i="10"/>
  <c r="D78" i="10"/>
  <c r="E74" i="10"/>
  <c r="D77" i="10"/>
  <c r="E75" i="10"/>
  <c r="E80" i="10"/>
  <c r="F42" i="10"/>
  <c r="G42" i="10" s="1"/>
  <c r="E9" i="10"/>
  <c r="E43" i="10"/>
  <c r="D45" i="10"/>
  <c r="D46" i="10" s="1"/>
  <c r="D47" i="10" s="1"/>
  <c r="E14" i="10"/>
  <c r="F14" i="10" s="1"/>
  <c r="D50" i="10"/>
  <c r="D51" i="10" s="1"/>
  <c r="F43" i="10"/>
  <c r="G43" i="10"/>
  <c r="H42" i="10"/>
  <c r="G53" i="10"/>
  <c r="D16" i="10"/>
  <c r="F53" i="10"/>
  <c r="F54" i="10" s="1"/>
  <c r="E49" i="10"/>
  <c r="F49" i="10" s="1"/>
  <c r="E44" i="10"/>
  <c r="E45" i="10"/>
  <c r="E46" i="10" s="1"/>
  <c r="E47" i="10" s="1"/>
  <c r="E54" i="10"/>
  <c r="E15" i="10"/>
  <c r="F7" i="10"/>
  <c r="F9" i="10" s="1"/>
  <c r="F15" i="10" s="1"/>
  <c r="E10" i="10"/>
  <c r="E18" i="10"/>
  <c r="E19" i="10" s="1"/>
  <c r="D11" i="10"/>
  <c r="D12" i="10" s="1"/>
  <c r="E8" i="9"/>
  <c r="E10" i="9" s="1"/>
  <c r="E11" i="9" s="1"/>
  <c r="E12" i="9" s="1"/>
  <c r="E22" i="9" s="1"/>
  <c r="E23" i="9" s="1"/>
  <c r="E16" i="9"/>
  <c r="E18" i="9" s="1"/>
  <c r="E20" i="9" s="1"/>
  <c r="D11" i="9"/>
  <c r="D12" i="9" s="1"/>
  <c r="J3" i="7"/>
  <c r="F7" i="7"/>
  <c r="D7" i="7" s="1"/>
  <c r="D6" i="7" s="1"/>
  <c r="G13" i="2"/>
  <c r="G20" i="2" s="1"/>
  <c r="H9" i="2"/>
  <c r="I9" i="2" s="1"/>
  <c r="G9" i="2"/>
  <c r="G8" i="2"/>
  <c r="H8" i="2" s="1"/>
  <c r="I8" i="2" s="1"/>
  <c r="H11" i="2"/>
  <c r="I11" i="2"/>
  <c r="I10" i="2" s="1"/>
  <c r="G11" i="2"/>
  <c r="G14" i="2"/>
  <c r="H14" i="2" s="1"/>
  <c r="I14" i="2" s="1"/>
  <c r="E7" i="2"/>
  <c r="F7" i="2"/>
  <c r="D7" i="2"/>
  <c r="E11" i="2"/>
  <c r="F11" i="2"/>
  <c r="D11" i="2"/>
  <c r="G5" i="2"/>
  <c r="H5" i="2" s="1"/>
  <c r="I5" i="2" s="1"/>
  <c r="I6" i="2" s="1"/>
  <c r="E24" i="2"/>
  <c r="F24" i="2"/>
  <c r="D24" i="2"/>
  <c r="F20" i="2"/>
  <c r="E20" i="2"/>
  <c r="D20" i="2"/>
  <c r="D18" i="2"/>
  <c r="D22" i="2" s="1"/>
  <c r="D26" i="2" s="1"/>
  <c r="D28" i="2" s="1"/>
  <c r="E16" i="2"/>
  <c r="E18" i="2" s="1"/>
  <c r="F16" i="2"/>
  <c r="F18" i="2" s="1"/>
  <c r="D16" i="2"/>
  <c r="E3" i="2"/>
  <c r="F3" i="2" s="1"/>
  <c r="G3" i="2" s="1"/>
  <c r="H3" i="2" s="1"/>
  <c r="I3" i="2" s="1"/>
  <c r="J10" i="1"/>
  <c r="J12" i="1" s="1"/>
  <c r="J13" i="1" s="1"/>
  <c r="J15" i="1" s="1"/>
  <c r="J19" i="1" s="1"/>
  <c r="K9" i="1"/>
  <c r="L9" i="1" s="1"/>
  <c r="K8" i="1"/>
  <c r="L8" i="1" s="1"/>
  <c r="M8" i="1" s="1"/>
  <c r="K7" i="1"/>
  <c r="L7" i="1" s="1"/>
  <c r="M7" i="1" s="1"/>
  <c r="K5" i="1"/>
  <c r="L5" i="1" s="1"/>
  <c r="M5" i="1" s="1"/>
  <c r="D20" i="1"/>
  <c r="D16" i="1"/>
  <c r="F5" i="1"/>
  <c r="F16" i="1" s="1"/>
  <c r="G5" i="1"/>
  <c r="F9" i="1"/>
  <c r="G9" i="1"/>
  <c r="E10" i="1"/>
  <c r="E12" i="1" s="1"/>
  <c r="E14" i="1" s="1"/>
  <c r="E18" i="1" s="1"/>
  <c r="D10" i="1"/>
  <c r="D12" i="1" s="1"/>
  <c r="D14" i="1" s="1"/>
  <c r="D18" i="1" s="1"/>
  <c r="E9" i="1"/>
  <c r="E8" i="1"/>
  <c r="F8" i="1" s="1"/>
  <c r="G8" i="1" s="1"/>
  <c r="E7" i="1"/>
  <c r="F7" i="1" s="1"/>
  <c r="G7" i="1" s="1"/>
  <c r="E5" i="1"/>
  <c r="E16" i="1" s="1"/>
  <c r="E20" i="1" l="1"/>
  <c r="G14" i="1"/>
  <c r="J14" i="7"/>
  <c r="J16" i="7" s="1"/>
  <c r="D17" i="7" s="1"/>
  <c r="L3" i="7"/>
  <c r="E16" i="10"/>
  <c r="F10" i="12"/>
  <c r="F11" i="12" s="1"/>
  <c r="F12" i="12" s="1"/>
  <c r="F23" i="12" s="1"/>
  <c r="F25" i="12" s="1"/>
  <c r="D41" i="7"/>
  <c r="G11" i="13"/>
  <c r="H3" i="13"/>
  <c r="G16" i="1"/>
  <c r="F10" i="1"/>
  <c r="F12" i="1" s="1"/>
  <c r="F14" i="1" s="1"/>
  <c r="F18" i="1" s="1"/>
  <c r="G6" i="2"/>
  <c r="G24" i="2" s="1"/>
  <c r="E97" i="10"/>
  <c r="E98" i="10" s="1"/>
  <c r="E99" i="10" s="1"/>
  <c r="E55" i="9"/>
  <c r="E57" i="9" s="1"/>
  <c r="E67" i="9" s="1"/>
  <c r="E68" i="9" s="1"/>
  <c r="G10" i="1"/>
  <c r="G12" i="1" s="1"/>
  <c r="H6" i="2"/>
  <c r="H24" i="2" s="1"/>
  <c r="G16" i="13"/>
  <c r="F43" i="12"/>
  <c r="F37" i="12"/>
  <c r="F39" i="12" s="1"/>
  <c r="F47" i="12"/>
  <c r="F48" i="12" s="1"/>
  <c r="F38" i="12"/>
  <c r="F44" i="12" s="1"/>
  <c r="G36" i="12"/>
  <c r="E76" i="10"/>
  <c r="E77" i="10" s="1"/>
  <c r="E78" i="10" s="1"/>
  <c r="I34" i="12"/>
  <c r="G19" i="12"/>
  <c r="F67" i="12"/>
  <c r="F68" i="12" s="1"/>
  <c r="F69" i="12" s="1"/>
  <c r="E73" i="12"/>
  <c r="E78" i="12" s="1"/>
  <c r="E68" i="12"/>
  <c r="E69" i="12" s="1"/>
  <c r="F73" i="12"/>
  <c r="F78" i="12" s="1"/>
  <c r="G66" i="12"/>
  <c r="G72" i="12" s="1"/>
  <c r="G75" i="12"/>
  <c r="G76" i="12" s="1"/>
  <c r="G71" i="12"/>
  <c r="G65" i="12"/>
  <c r="E52" i="12"/>
  <c r="E54" i="12" s="1"/>
  <c r="E10" i="12"/>
  <c r="E11" i="12" s="1"/>
  <c r="E12" i="12" s="1"/>
  <c r="F19" i="12"/>
  <c r="F21" i="12" s="1"/>
  <c r="E16" i="12"/>
  <c r="E21" i="12" s="1"/>
  <c r="G11" i="12"/>
  <c r="G12" i="12" s="1"/>
  <c r="H9" i="12"/>
  <c r="H15" i="12" s="1"/>
  <c r="H14" i="12"/>
  <c r="H18" i="12"/>
  <c r="H19" i="12" s="1"/>
  <c r="I7" i="12"/>
  <c r="H8" i="12"/>
  <c r="G21" i="12"/>
  <c r="E77" i="9"/>
  <c r="E78" i="9"/>
  <c r="E88" i="9" s="1"/>
  <c r="E89" i="9" s="1"/>
  <c r="E56" i="9"/>
  <c r="E33" i="9"/>
  <c r="E43" i="9" s="1"/>
  <c r="E44" i="9" s="1"/>
  <c r="H44" i="9" s="1"/>
  <c r="F96" i="10"/>
  <c r="E102" i="10"/>
  <c r="E103" i="10" s="1"/>
  <c r="E108" i="10" s="1"/>
  <c r="F101" i="10"/>
  <c r="F105" i="10"/>
  <c r="F106" i="10" s="1"/>
  <c r="F95" i="10"/>
  <c r="F97" i="10" s="1"/>
  <c r="F74" i="10"/>
  <c r="F84" i="10"/>
  <c r="F85" i="10" s="1"/>
  <c r="F75" i="10"/>
  <c r="E81" i="10"/>
  <c r="E82" i="10" s="1"/>
  <c r="E87" i="10" s="1"/>
  <c r="F80" i="10"/>
  <c r="G49" i="10"/>
  <c r="I42" i="10"/>
  <c r="H53" i="10"/>
  <c r="H43" i="10"/>
  <c r="E50" i="10"/>
  <c r="E51" i="10" s="1"/>
  <c r="E56" i="10" s="1"/>
  <c r="E58" i="10" s="1"/>
  <c r="E60" i="10" s="1"/>
  <c r="F44" i="10"/>
  <c r="E21" i="10"/>
  <c r="H54" i="10"/>
  <c r="G54" i="10"/>
  <c r="F16" i="10"/>
  <c r="E11" i="10"/>
  <c r="E12" i="10" s="1"/>
  <c r="G7" i="10"/>
  <c r="G9" i="10" s="1"/>
  <c r="G15" i="10" s="1"/>
  <c r="F18" i="10"/>
  <c r="F19" i="10" s="1"/>
  <c r="F8" i="10"/>
  <c r="F10" i="10"/>
  <c r="I24" i="2"/>
  <c r="E22" i="2"/>
  <c r="E26" i="2" s="1"/>
  <c r="E28" i="2" s="1"/>
  <c r="G10" i="2"/>
  <c r="G12" i="2" s="1"/>
  <c r="G16" i="2" s="1"/>
  <c r="G18" i="2" s="1"/>
  <c r="G22" i="2" s="1"/>
  <c r="G26" i="2" s="1"/>
  <c r="H13" i="2"/>
  <c r="I13" i="2" s="1"/>
  <c r="I20" i="2" s="1"/>
  <c r="H10" i="2"/>
  <c r="F22" i="2"/>
  <c r="F26" i="2" s="1"/>
  <c r="M9" i="1"/>
  <c r="M10" i="1" s="1"/>
  <c r="M12" i="1" s="1"/>
  <c r="M13" i="1" s="1"/>
  <c r="M15" i="1" s="1"/>
  <c r="M19" i="1" s="1"/>
  <c r="L10" i="1"/>
  <c r="L12" i="1" s="1"/>
  <c r="L13" i="1" s="1"/>
  <c r="L15" i="1" s="1"/>
  <c r="L19" i="1" s="1"/>
  <c r="K10" i="1"/>
  <c r="K12" i="1" s="1"/>
  <c r="K13" i="1" s="1"/>
  <c r="K15" i="1" s="1"/>
  <c r="K19" i="1" s="1"/>
  <c r="K21" i="1" s="1"/>
  <c r="L21" i="1" s="1"/>
  <c r="M21" i="1" s="1"/>
  <c r="F40" i="12" l="1"/>
  <c r="F41" i="12"/>
  <c r="E109" i="10"/>
  <c r="R98" i="10" s="1"/>
  <c r="R97" i="10" s="1"/>
  <c r="J34" i="12"/>
  <c r="F21" i="10"/>
  <c r="H11" i="13"/>
  <c r="I3" i="13"/>
  <c r="H16" i="13"/>
  <c r="G18" i="1"/>
  <c r="F45" i="12"/>
  <c r="F50" i="12" s="1"/>
  <c r="E80" i="12"/>
  <c r="E82" i="12" s="1"/>
  <c r="H36" i="12"/>
  <c r="G43" i="12"/>
  <c r="G45" i="12" s="1"/>
  <c r="G50" i="12" s="1"/>
  <c r="G37" i="12"/>
  <c r="G39" i="12" s="1"/>
  <c r="G47" i="12"/>
  <c r="G48" i="12" s="1"/>
  <c r="G38" i="12"/>
  <c r="G44" i="12" s="1"/>
  <c r="H10" i="12"/>
  <c r="D18" i="7"/>
  <c r="F18" i="7" s="1"/>
  <c r="F17" i="7" s="1"/>
  <c r="H17" i="7" s="1"/>
  <c r="D24" i="7"/>
  <c r="D25" i="7" s="1"/>
  <c r="E23" i="10"/>
  <c r="E25" i="10" s="1"/>
  <c r="H16" i="12"/>
  <c r="H21" i="12" s="1"/>
  <c r="F20" i="1"/>
  <c r="G20" i="1" s="1"/>
  <c r="G67" i="12"/>
  <c r="G68" i="12" s="1"/>
  <c r="G69" i="12" s="1"/>
  <c r="F80" i="12"/>
  <c r="F82" i="12" s="1"/>
  <c r="H75" i="12"/>
  <c r="H76" i="12" s="1"/>
  <c r="H71" i="12"/>
  <c r="H66" i="12"/>
  <c r="H72" i="12" s="1"/>
  <c r="H65" i="12"/>
  <c r="H67" i="12" s="1"/>
  <c r="G73" i="12"/>
  <c r="G78" i="12" s="1"/>
  <c r="G23" i="12"/>
  <c r="G25" i="12" s="1"/>
  <c r="E23" i="12"/>
  <c r="E25" i="12" s="1"/>
  <c r="H11" i="12"/>
  <c r="H12" i="12" s="1"/>
  <c r="J7" i="12"/>
  <c r="I8" i="12"/>
  <c r="I18" i="12"/>
  <c r="I19" i="12" s="1"/>
  <c r="I9" i="12"/>
  <c r="I15" i="12" s="1"/>
  <c r="I14" i="12"/>
  <c r="H89" i="9"/>
  <c r="H91" i="9" s="1"/>
  <c r="F76" i="10"/>
  <c r="F77" i="10" s="1"/>
  <c r="F78" i="10" s="1"/>
  <c r="E88" i="10"/>
  <c r="R75" i="10" s="1"/>
  <c r="R74" i="10" s="1"/>
  <c r="F98" i="10"/>
  <c r="F99" i="10" s="1"/>
  <c r="E110" i="10"/>
  <c r="E112" i="10" s="1"/>
  <c r="G96" i="10"/>
  <c r="F102" i="10"/>
  <c r="G101" i="10"/>
  <c r="F103" i="10"/>
  <c r="F108" i="10" s="1"/>
  <c r="G95" i="10"/>
  <c r="G105" i="10"/>
  <c r="G106" i="10" s="1"/>
  <c r="E89" i="10"/>
  <c r="E91" i="10" s="1"/>
  <c r="F81" i="10"/>
  <c r="F82" i="10" s="1"/>
  <c r="F87" i="10" s="1"/>
  <c r="G75" i="10"/>
  <c r="G76" i="10" s="1"/>
  <c r="G80" i="10"/>
  <c r="G74" i="10"/>
  <c r="G84" i="10"/>
  <c r="G85" i="10" s="1"/>
  <c r="G44" i="10"/>
  <c r="F50" i="10"/>
  <c r="F51" i="10" s="1"/>
  <c r="F56" i="10" s="1"/>
  <c r="F45" i="10"/>
  <c r="J42" i="10"/>
  <c r="I43" i="10"/>
  <c r="I53" i="10"/>
  <c r="I54" i="10" s="1"/>
  <c r="H49" i="10"/>
  <c r="I49" i="10" s="1"/>
  <c r="J49" i="10" s="1"/>
  <c r="E22" i="10"/>
  <c r="D32" i="10" s="1"/>
  <c r="D31" i="10" s="1"/>
  <c r="E57" i="10"/>
  <c r="D67" i="10" s="1"/>
  <c r="D66" i="10" s="1"/>
  <c r="F11" i="10"/>
  <c r="F12" i="10" s="1"/>
  <c r="H7" i="10"/>
  <c r="G8" i="10"/>
  <c r="G10" i="10" s="1"/>
  <c r="G11" i="10" s="1"/>
  <c r="G12" i="10" s="1"/>
  <c r="G14" i="10"/>
  <c r="G18" i="10"/>
  <c r="G19" i="10" s="1"/>
  <c r="H24" i="7"/>
  <c r="H39" i="7" s="1"/>
  <c r="J21" i="7"/>
  <c r="H37" i="7" s="1"/>
  <c r="H20" i="2"/>
  <c r="H12" i="2"/>
  <c r="H16" i="2" s="1"/>
  <c r="H18" i="2" s="1"/>
  <c r="H22" i="2" s="1"/>
  <c r="H26" i="2" s="1"/>
  <c r="I12" i="2"/>
  <c r="I16" i="2" s="1"/>
  <c r="I18" i="2" s="1"/>
  <c r="I22" i="2" s="1"/>
  <c r="I26" i="2" s="1"/>
  <c r="F28" i="2"/>
  <c r="G28" i="2" s="1"/>
  <c r="H38" i="12" l="1"/>
  <c r="H44" i="12" s="1"/>
  <c r="I36" i="12"/>
  <c r="H37" i="12"/>
  <c r="H47" i="12"/>
  <c r="H48" i="12" s="1"/>
  <c r="H39" i="12"/>
  <c r="H40" i="12" s="1"/>
  <c r="H41" i="12" s="1"/>
  <c r="H43" i="12"/>
  <c r="H45" i="12" s="1"/>
  <c r="G97" i="10"/>
  <c r="G98" i="10" s="1"/>
  <c r="G99" i="10" s="1"/>
  <c r="H23" i="12"/>
  <c r="H25" i="12" s="1"/>
  <c r="K34" i="12"/>
  <c r="I11" i="13"/>
  <c r="I16" i="13"/>
  <c r="G40" i="12"/>
  <c r="G41" i="12" s="1"/>
  <c r="G52" i="12" s="1"/>
  <c r="G54" i="12" s="1"/>
  <c r="D11" i="13"/>
  <c r="F52" i="12"/>
  <c r="F54" i="12" s="1"/>
  <c r="H28" i="2"/>
  <c r="I28" i="2" s="1"/>
  <c r="D16" i="13"/>
  <c r="G80" i="12"/>
  <c r="G82" i="12" s="1"/>
  <c r="H68" i="12"/>
  <c r="H69" i="12" s="1"/>
  <c r="H73" i="12"/>
  <c r="H78" i="12" s="1"/>
  <c r="I71" i="12"/>
  <c r="I65" i="12"/>
  <c r="I66" i="12"/>
  <c r="I72" i="12" s="1"/>
  <c r="I75" i="12"/>
  <c r="I76" i="12" s="1"/>
  <c r="I10" i="12"/>
  <c r="I16" i="12"/>
  <c r="K7" i="12"/>
  <c r="J8" i="12"/>
  <c r="J10" i="12" s="1"/>
  <c r="J18" i="12"/>
  <c r="J19" i="12" s="1"/>
  <c r="J9" i="12"/>
  <c r="J15" i="12" s="1"/>
  <c r="J14" i="12"/>
  <c r="J16" i="12" s="1"/>
  <c r="I11" i="12"/>
  <c r="I12" i="12" s="1"/>
  <c r="I23" i="12" s="1"/>
  <c r="I25" i="12" s="1"/>
  <c r="I21" i="12"/>
  <c r="F89" i="10"/>
  <c r="F91" i="10" s="1"/>
  <c r="F110" i="10"/>
  <c r="F112" i="10" s="1"/>
  <c r="H95" i="10"/>
  <c r="H105" i="10"/>
  <c r="H106" i="10" s="1"/>
  <c r="H101" i="10"/>
  <c r="G102" i="10"/>
  <c r="G103" i="10" s="1"/>
  <c r="G108" i="10" s="1"/>
  <c r="H96" i="10"/>
  <c r="G81" i="10"/>
  <c r="G82" i="10" s="1"/>
  <c r="G87" i="10" s="1"/>
  <c r="H75" i="10"/>
  <c r="G77" i="10"/>
  <c r="G78" i="10" s="1"/>
  <c r="H74" i="10"/>
  <c r="H84" i="10"/>
  <c r="H85" i="10" s="1"/>
  <c r="H80" i="10"/>
  <c r="F46" i="10"/>
  <c r="F47" i="10" s="1"/>
  <c r="F58" i="10" s="1"/>
  <c r="F60" i="10" s="1"/>
  <c r="K42" i="10"/>
  <c r="J53" i="10"/>
  <c r="J54" i="10" s="1"/>
  <c r="J43" i="10"/>
  <c r="H44" i="10"/>
  <c r="G50" i="10"/>
  <c r="G51" i="10" s="1"/>
  <c r="G56" i="10" s="1"/>
  <c r="G45" i="10"/>
  <c r="F23" i="10"/>
  <c r="F25" i="10" s="1"/>
  <c r="H14" i="10"/>
  <c r="G16" i="10"/>
  <c r="H8" i="10"/>
  <c r="H18" i="10"/>
  <c r="H19" i="10" s="1"/>
  <c r="H9" i="10"/>
  <c r="I7" i="10"/>
  <c r="L32" i="7"/>
  <c r="F24" i="7"/>
  <c r="H50" i="12" l="1"/>
  <c r="H52" i="12"/>
  <c r="H54" i="12" s="1"/>
  <c r="J36" i="12"/>
  <c r="I43" i="12"/>
  <c r="I38" i="12"/>
  <c r="I44" i="12" s="1"/>
  <c r="I47" i="12"/>
  <c r="I48" i="12" s="1"/>
  <c r="I37" i="12"/>
  <c r="I39" i="12" s="1"/>
  <c r="I40" i="12" s="1"/>
  <c r="I41" i="12" s="1"/>
  <c r="H97" i="10"/>
  <c r="L34" i="12"/>
  <c r="I67" i="12"/>
  <c r="I73" i="12"/>
  <c r="I78" i="12" s="1"/>
  <c r="H80" i="12"/>
  <c r="H82" i="12" s="1"/>
  <c r="I68" i="12"/>
  <c r="I69" i="12" s="1"/>
  <c r="J65" i="12"/>
  <c r="J66" i="12"/>
  <c r="J72" i="12" s="1"/>
  <c r="J75" i="12"/>
  <c r="J76" i="12" s="1"/>
  <c r="J71" i="12"/>
  <c r="J21" i="12"/>
  <c r="J11" i="12"/>
  <c r="J12" i="12" s="1"/>
  <c r="J23" i="12" s="1"/>
  <c r="J25" i="12" s="1"/>
  <c r="K14" i="12"/>
  <c r="L7" i="12"/>
  <c r="K8" i="12"/>
  <c r="K18" i="12"/>
  <c r="K19" i="12" s="1"/>
  <c r="K9" i="12"/>
  <c r="K15" i="12" s="1"/>
  <c r="H76" i="10"/>
  <c r="H98" i="10"/>
  <c r="H99" i="10" s="1"/>
  <c r="G110" i="10"/>
  <c r="G112" i="10" s="1"/>
  <c r="H103" i="10"/>
  <c r="H108" i="10" s="1"/>
  <c r="I101" i="10"/>
  <c r="H102" i="10"/>
  <c r="I96" i="10"/>
  <c r="I105" i="10"/>
  <c r="I106" i="10" s="1"/>
  <c r="I95" i="10"/>
  <c r="H77" i="10"/>
  <c r="H78" i="10" s="1"/>
  <c r="G89" i="10"/>
  <c r="G91" i="10" s="1"/>
  <c r="I80" i="10"/>
  <c r="I84" i="10"/>
  <c r="I85" i="10" s="1"/>
  <c r="I74" i="10"/>
  <c r="I75" i="10"/>
  <c r="H81" i="10"/>
  <c r="H82" i="10" s="1"/>
  <c r="H87" i="10" s="1"/>
  <c r="L42" i="10"/>
  <c r="K53" i="10"/>
  <c r="K54" i="10" s="1"/>
  <c r="K43" i="10"/>
  <c r="G46" i="10"/>
  <c r="G47" i="10" s="1"/>
  <c r="G58" i="10" s="1"/>
  <c r="G60" i="10" s="1"/>
  <c r="H10" i="10"/>
  <c r="H11" i="10" s="1"/>
  <c r="I44" i="10"/>
  <c r="H50" i="10"/>
  <c r="H51" i="10" s="1"/>
  <c r="H56" i="10" s="1"/>
  <c r="H45" i="10"/>
  <c r="H46" i="10" s="1"/>
  <c r="H47" i="10" s="1"/>
  <c r="G21" i="10"/>
  <c r="G23" i="10" s="1"/>
  <c r="G25" i="10" s="1"/>
  <c r="K49" i="10"/>
  <c r="J7" i="10"/>
  <c r="I8" i="10"/>
  <c r="I18" i="10"/>
  <c r="I19" i="10" s="1"/>
  <c r="I14" i="10"/>
  <c r="I9" i="10"/>
  <c r="H15" i="10"/>
  <c r="H16" i="10" s="1"/>
  <c r="H21" i="10" s="1"/>
  <c r="M24" i="7"/>
  <c r="F25" i="7"/>
  <c r="H41" i="7" s="1"/>
  <c r="I45" i="12" l="1"/>
  <c r="I50" i="12" s="1"/>
  <c r="I52" i="12" s="1"/>
  <c r="I54" i="12" s="1"/>
  <c r="H58" i="10"/>
  <c r="H60" i="10" s="1"/>
  <c r="M34" i="12"/>
  <c r="K36" i="12"/>
  <c r="J43" i="12"/>
  <c r="J45" i="12" s="1"/>
  <c r="J50" i="12" s="1"/>
  <c r="J37" i="12"/>
  <c r="J39" i="12" s="1"/>
  <c r="J47" i="12"/>
  <c r="J48" i="12" s="1"/>
  <c r="J38" i="12"/>
  <c r="J44" i="12" s="1"/>
  <c r="I80" i="12"/>
  <c r="I82" i="12" s="1"/>
  <c r="J67" i="12"/>
  <c r="J68" i="12"/>
  <c r="J69" i="12" s="1"/>
  <c r="K66" i="12"/>
  <c r="K72" i="12" s="1"/>
  <c r="K65" i="12"/>
  <c r="K75" i="12"/>
  <c r="K76" i="12" s="1"/>
  <c r="K71" i="12"/>
  <c r="J73" i="12"/>
  <c r="J78" i="12" s="1"/>
  <c r="K10" i="12"/>
  <c r="K16" i="12"/>
  <c r="K21" i="12" s="1"/>
  <c r="L9" i="12"/>
  <c r="L15" i="12" s="1"/>
  <c r="L14" i="12"/>
  <c r="L18" i="12"/>
  <c r="L19" i="12" s="1"/>
  <c r="M7" i="12"/>
  <c r="L8" i="12"/>
  <c r="I97" i="10"/>
  <c r="I98" i="10" s="1"/>
  <c r="I99" i="10" s="1"/>
  <c r="I76" i="10"/>
  <c r="H110" i="10"/>
  <c r="H112" i="10" s="1"/>
  <c r="J105" i="10"/>
  <c r="J106" i="10" s="1"/>
  <c r="J95" i="10"/>
  <c r="I102" i="10"/>
  <c r="I103" i="10" s="1"/>
  <c r="I108" i="10" s="1"/>
  <c r="J96" i="10"/>
  <c r="J101" i="10"/>
  <c r="I77" i="10"/>
  <c r="I78" i="10" s="1"/>
  <c r="H89" i="10"/>
  <c r="H91" i="10" s="1"/>
  <c r="I81" i="10"/>
  <c r="I82" i="10" s="1"/>
  <c r="I87" i="10" s="1"/>
  <c r="J75" i="10"/>
  <c r="J84" i="10"/>
  <c r="J85" i="10" s="1"/>
  <c r="J74" i="10"/>
  <c r="J76" i="10" s="1"/>
  <c r="J80" i="10"/>
  <c r="I10" i="10"/>
  <c r="I11" i="10" s="1"/>
  <c r="I12" i="10" s="1"/>
  <c r="H12" i="10"/>
  <c r="H23" i="10" s="1"/>
  <c r="H25" i="10" s="1"/>
  <c r="J14" i="10"/>
  <c r="L49" i="10"/>
  <c r="J44" i="10"/>
  <c r="I50" i="10"/>
  <c r="I51" i="10" s="1"/>
  <c r="I56" i="10" s="1"/>
  <c r="I45" i="10"/>
  <c r="I46" i="10" s="1"/>
  <c r="I47" i="10" s="1"/>
  <c r="M42" i="10"/>
  <c r="L43" i="10"/>
  <c r="L53" i="10"/>
  <c r="L54" i="10" s="1"/>
  <c r="J8" i="10"/>
  <c r="K7" i="10"/>
  <c r="J18" i="10"/>
  <c r="J19" i="10" s="1"/>
  <c r="J9" i="10"/>
  <c r="I15" i="10"/>
  <c r="I16" i="10" s="1"/>
  <c r="I21" i="10" s="1"/>
  <c r="J40" i="12" l="1"/>
  <c r="J41" i="12" s="1"/>
  <c r="J52" i="12" s="1"/>
  <c r="J54" i="12" s="1"/>
  <c r="N34" i="12"/>
  <c r="K47" i="12"/>
  <c r="K48" i="12" s="1"/>
  <c r="K43" i="12"/>
  <c r="L36" i="12"/>
  <c r="K38" i="12"/>
  <c r="K44" i="12" s="1"/>
  <c r="K37" i="12"/>
  <c r="K73" i="12"/>
  <c r="K67" i="12"/>
  <c r="K68" i="12" s="1"/>
  <c r="K69" i="12" s="1"/>
  <c r="J80" i="12"/>
  <c r="J82" i="12" s="1"/>
  <c r="K78" i="12"/>
  <c r="L75" i="12"/>
  <c r="L76" i="12" s="1"/>
  <c r="L71" i="12"/>
  <c r="L66" i="12"/>
  <c r="L72" i="12" s="1"/>
  <c r="L65" i="12"/>
  <c r="N7" i="12"/>
  <c r="O7" i="12" s="1"/>
  <c r="M8" i="12"/>
  <c r="M18" i="12"/>
  <c r="M19" i="12" s="1"/>
  <c r="M9" i="12"/>
  <c r="M15" i="12" s="1"/>
  <c r="M14" i="12"/>
  <c r="K11" i="12"/>
  <c r="K12" i="12" s="1"/>
  <c r="K23" i="12" s="1"/>
  <c r="K25" i="12" s="1"/>
  <c r="L10" i="12"/>
  <c r="L16" i="12"/>
  <c r="L21" i="12" s="1"/>
  <c r="J97" i="10"/>
  <c r="J98" i="10"/>
  <c r="J99" i="10" s="1"/>
  <c r="I110" i="10"/>
  <c r="I112" i="10" s="1"/>
  <c r="K96" i="10"/>
  <c r="J102" i="10"/>
  <c r="J103" i="10" s="1"/>
  <c r="J108" i="10" s="1"/>
  <c r="K95" i="10"/>
  <c r="K105" i="10"/>
  <c r="K106" i="10" s="1"/>
  <c r="K101" i="10"/>
  <c r="I89" i="10"/>
  <c r="I91" i="10" s="1"/>
  <c r="J77" i="10"/>
  <c r="J78" i="10" s="1"/>
  <c r="J81" i="10"/>
  <c r="K75" i="10"/>
  <c r="K76" i="10" s="1"/>
  <c r="J82" i="10"/>
  <c r="J87" i="10" s="1"/>
  <c r="K80" i="10"/>
  <c r="K74" i="10"/>
  <c r="K84" i="10"/>
  <c r="K85" i="10" s="1"/>
  <c r="I58" i="10"/>
  <c r="I60" i="10" s="1"/>
  <c r="J10" i="10"/>
  <c r="J11" i="10" s="1"/>
  <c r="J12" i="10" s="1"/>
  <c r="J50" i="10"/>
  <c r="J51" i="10" s="1"/>
  <c r="J56" i="10" s="1"/>
  <c r="K44" i="10"/>
  <c r="J45" i="10"/>
  <c r="J46" i="10" s="1"/>
  <c r="J47" i="10" s="1"/>
  <c r="N42" i="10"/>
  <c r="M53" i="10"/>
  <c r="M54" i="10" s="1"/>
  <c r="M43" i="10"/>
  <c r="M49" i="10"/>
  <c r="I23" i="10"/>
  <c r="I25" i="10" s="1"/>
  <c r="J15" i="10"/>
  <c r="J16" i="10" s="1"/>
  <c r="K9" i="10"/>
  <c r="K18" i="10"/>
  <c r="K19" i="10" s="1"/>
  <c r="L7" i="10"/>
  <c r="K8" i="10"/>
  <c r="K14" i="10"/>
  <c r="L47" i="12" l="1"/>
  <c r="L48" i="12" s="1"/>
  <c r="L37" i="12"/>
  <c r="L38" i="12"/>
  <c r="L44" i="12" s="1"/>
  <c r="L43" i="12"/>
  <c r="L45" i="12" s="1"/>
  <c r="L50" i="12" s="1"/>
  <c r="M36" i="12"/>
  <c r="L39" i="12"/>
  <c r="K45" i="12"/>
  <c r="K50" i="12" s="1"/>
  <c r="J89" i="10"/>
  <c r="J91" i="10" s="1"/>
  <c r="K39" i="12"/>
  <c r="K40" i="12" s="1"/>
  <c r="K41" i="12" s="1"/>
  <c r="K80" i="12"/>
  <c r="K82" i="12" s="1"/>
  <c r="L67" i="12"/>
  <c r="L68" i="12" s="1"/>
  <c r="L69" i="12" s="1"/>
  <c r="L73" i="12"/>
  <c r="L78" i="12" s="1"/>
  <c r="M75" i="12"/>
  <c r="M76" i="12" s="1"/>
  <c r="M65" i="12"/>
  <c r="M66" i="12"/>
  <c r="M72" i="12" s="1"/>
  <c r="M71" i="12"/>
  <c r="M10" i="12"/>
  <c r="O18" i="12"/>
  <c r="O8" i="12"/>
  <c r="O9" i="12"/>
  <c r="O15" i="12" s="1"/>
  <c r="O14" i="12" s="1"/>
  <c r="O16" i="12" s="1"/>
  <c r="M11" i="12"/>
  <c r="M12" i="12" s="1"/>
  <c r="L11" i="12"/>
  <c r="L12" i="12" s="1"/>
  <c r="L23" i="12" s="1"/>
  <c r="L25" i="12" s="1"/>
  <c r="M16" i="12"/>
  <c r="M21" i="12" s="1"/>
  <c r="N8" i="12"/>
  <c r="N18" i="12"/>
  <c r="N19" i="12" s="1"/>
  <c r="N9" i="12"/>
  <c r="N15" i="12" s="1"/>
  <c r="N14" i="12"/>
  <c r="K97" i="10"/>
  <c r="J110" i="10"/>
  <c r="J112" i="10" s="1"/>
  <c r="K98" i="10"/>
  <c r="K99" i="10" s="1"/>
  <c r="L101" i="10"/>
  <c r="K102" i="10"/>
  <c r="K103" i="10" s="1"/>
  <c r="K108" i="10" s="1"/>
  <c r="L96" i="10"/>
  <c r="L95" i="10"/>
  <c r="L97" i="10" s="1"/>
  <c r="L105" i="10"/>
  <c r="L106" i="10" s="1"/>
  <c r="K77" i="10"/>
  <c r="K78" i="10" s="1"/>
  <c r="K81" i="10"/>
  <c r="K82" i="10" s="1"/>
  <c r="K87" i="10" s="1"/>
  <c r="L75" i="10"/>
  <c r="L80" i="10"/>
  <c r="L74" i="10"/>
  <c r="L84" i="10"/>
  <c r="L85" i="10" s="1"/>
  <c r="J58" i="10"/>
  <c r="J60" i="10" s="1"/>
  <c r="N43" i="10"/>
  <c r="N53" i="10"/>
  <c r="N54" i="10" s="1"/>
  <c r="L44" i="10"/>
  <c r="K50" i="10"/>
  <c r="K51" i="10" s="1"/>
  <c r="K56" i="10" s="1"/>
  <c r="K45" i="10"/>
  <c r="N49" i="10"/>
  <c r="J21" i="10"/>
  <c r="J23" i="10" s="1"/>
  <c r="J25" i="10" s="1"/>
  <c r="O42" i="10"/>
  <c r="L14" i="10"/>
  <c r="M7" i="10"/>
  <c r="L18" i="10"/>
  <c r="L19" i="10" s="1"/>
  <c r="L8" i="10"/>
  <c r="L9" i="10"/>
  <c r="K15" i="10"/>
  <c r="K16" i="10" s="1"/>
  <c r="K21" i="10" s="1"/>
  <c r="K10" i="10"/>
  <c r="K11" i="10" s="1"/>
  <c r="K12" i="10" s="1"/>
  <c r="L40" i="12" l="1"/>
  <c r="L41" i="12"/>
  <c r="L52" i="12" s="1"/>
  <c r="L54" i="12" s="1"/>
  <c r="N16" i="12"/>
  <c r="M38" i="12"/>
  <c r="M44" i="12" s="1"/>
  <c r="M37" i="12"/>
  <c r="M43" i="12"/>
  <c r="M39" i="12"/>
  <c r="M40" i="12" s="1"/>
  <c r="M41" i="12" s="1"/>
  <c r="M47" i="12"/>
  <c r="M48" i="12" s="1"/>
  <c r="N36" i="12"/>
  <c r="K52" i="12"/>
  <c r="K54" i="12" s="1"/>
  <c r="L80" i="12"/>
  <c r="L82" i="12" s="1"/>
  <c r="M67" i="12"/>
  <c r="N65" i="12"/>
  <c r="N66" i="12"/>
  <c r="N72" i="12" s="1"/>
  <c r="N75" i="12"/>
  <c r="N76" i="12" s="1"/>
  <c r="N71" i="12"/>
  <c r="M73" i="12"/>
  <c r="M78" i="12" s="1"/>
  <c r="O10" i="12"/>
  <c r="O11" i="12" s="1"/>
  <c r="O12" i="12" s="1"/>
  <c r="N21" i="12"/>
  <c r="O19" i="12"/>
  <c r="O21" i="12" s="1"/>
  <c r="N10" i="12"/>
  <c r="N11" i="12" s="1"/>
  <c r="M23" i="12"/>
  <c r="M25" i="12" s="1"/>
  <c r="L76" i="10"/>
  <c r="L77" i="10" s="1"/>
  <c r="L78" i="10" s="1"/>
  <c r="K110" i="10"/>
  <c r="K112" i="10" s="1"/>
  <c r="L98" i="10"/>
  <c r="L99" i="10" s="1"/>
  <c r="L102" i="10"/>
  <c r="M96" i="10"/>
  <c r="M105" i="10"/>
  <c r="M106" i="10" s="1"/>
  <c r="M95" i="10"/>
  <c r="L103" i="10"/>
  <c r="L108" i="10" s="1"/>
  <c r="M101" i="10"/>
  <c r="K89" i="10"/>
  <c r="K91" i="10" s="1"/>
  <c r="M84" i="10"/>
  <c r="M85" i="10" s="1"/>
  <c r="M74" i="10"/>
  <c r="M76" i="10" s="1"/>
  <c r="M80" i="10"/>
  <c r="M75" i="10"/>
  <c r="L81" i="10"/>
  <c r="L82" i="10" s="1"/>
  <c r="L87" i="10" s="1"/>
  <c r="L10" i="10"/>
  <c r="L11" i="10" s="1"/>
  <c r="L12" i="10" s="1"/>
  <c r="K46" i="10"/>
  <c r="K47" i="10" s="1"/>
  <c r="K58" i="10" s="1"/>
  <c r="K60" i="10" s="1"/>
  <c r="M44" i="10"/>
  <c r="L50" i="10"/>
  <c r="L51" i="10" s="1"/>
  <c r="L56" i="10" s="1"/>
  <c r="L45" i="10"/>
  <c r="O43" i="10"/>
  <c r="O53" i="10"/>
  <c r="O54" i="10" s="1"/>
  <c r="O56" i="10" s="1"/>
  <c r="K23" i="10"/>
  <c r="K25" i="10" s="1"/>
  <c r="L15" i="10"/>
  <c r="L16" i="10" s="1"/>
  <c r="L21" i="10" s="1"/>
  <c r="M9" i="10"/>
  <c r="M8" i="10"/>
  <c r="M10" i="10" s="1"/>
  <c r="M11" i="10" s="1"/>
  <c r="M12" i="10" s="1"/>
  <c r="M18" i="10"/>
  <c r="M19" i="10" s="1"/>
  <c r="N7" i="10"/>
  <c r="M14" i="10"/>
  <c r="M45" i="12" l="1"/>
  <c r="M50" i="12" s="1"/>
  <c r="M52" i="12"/>
  <c r="M54" i="12" s="1"/>
  <c r="O36" i="12"/>
  <c r="N43" i="12"/>
  <c r="N38" i="12"/>
  <c r="N44" i="12" s="1"/>
  <c r="N37" i="12"/>
  <c r="N39" i="12" s="1"/>
  <c r="N47" i="12"/>
  <c r="N48" i="12" s="1"/>
  <c r="N67" i="12"/>
  <c r="N68" i="12" s="1"/>
  <c r="N69" i="12" s="1"/>
  <c r="N73" i="12"/>
  <c r="N78" i="12"/>
  <c r="M68" i="12"/>
  <c r="M69" i="12" s="1"/>
  <c r="M80" i="12" s="1"/>
  <c r="M82" i="12" s="1"/>
  <c r="O66" i="12"/>
  <c r="O72" i="12" s="1"/>
  <c r="O71" i="12" s="1"/>
  <c r="O73" i="12" s="1"/>
  <c r="O75" i="12"/>
  <c r="O76" i="12" s="1"/>
  <c r="O78" i="12" s="1"/>
  <c r="O65" i="12"/>
  <c r="N12" i="12"/>
  <c r="N23" i="12" s="1"/>
  <c r="N25" i="12" s="1"/>
  <c r="D27" i="12" s="1"/>
  <c r="O23" i="12"/>
  <c r="N24" i="12" s="1"/>
  <c r="L110" i="10"/>
  <c r="L112" i="10" s="1"/>
  <c r="M97" i="10"/>
  <c r="M98" i="10" s="1"/>
  <c r="M99" i="10" s="1"/>
  <c r="N101" i="10"/>
  <c r="N96" i="10"/>
  <c r="M102" i="10"/>
  <c r="M103" i="10" s="1"/>
  <c r="M108" i="10" s="1"/>
  <c r="N105" i="10"/>
  <c r="N106" i="10" s="1"/>
  <c r="O94" i="10"/>
  <c r="N95" i="10"/>
  <c r="M77" i="10"/>
  <c r="M78" i="10" s="1"/>
  <c r="L89" i="10"/>
  <c r="L91" i="10" s="1"/>
  <c r="N75" i="10"/>
  <c r="M81" i="10"/>
  <c r="M82" i="10" s="1"/>
  <c r="M87" i="10" s="1"/>
  <c r="O73" i="10"/>
  <c r="N74" i="10"/>
  <c r="N84" i="10"/>
  <c r="N85" i="10" s="1"/>
  <c r="N80" i="10"/>
  <c r="N44" i="10"/>
  <c r="M50" i="10"/>
  <c r="M51" i="10" s="1"/>
  <c r="M56" i="10" s="1"/>
  <c r="M45" i="10"/>
  <c r="M46" i="10" s="1"/>
  <c r="M47" i="10" s="1"/>
  <c r="M58" i="10" s="1"/>
  <c r="M60" i="10" s="1"/>
  <c r="L46" i="10"/>
  <c r="L47" i="10"/>
  <c r="L58" i="10" s="1"/>
  <c r="L60" i="10" s="1"/>
  <c r="O44" i="10"/>
  <c r="O45" i="10" s="1"/>
  <c r="L23" i="10"/>
  <c r="L25" i="10" s="1"/>
  <c r="N14" i="10"/>
  <c r="N9" i="10"/>
  <c r="M15" i="10"/>
  <c r="M16" i="10" s="1"/>
  <c r="O7" i="10"/>
  <c r="N8" i="10"/>
  <c r="N18" i="10"/>
  <c r="N19" i="10" s="1"/>
  <c r="N40" i="12" l="1"/>
  <c r="N41" i="12" s="1"/>
  <c r="N52" i="12" s="1"/>
  <c r="N45" i="12"/>
  <c r="N50" i="12" s="1"/>
  <c r="O37" i="12"/>
  <c r="O38" i="12"/>
  <c r="O39" i="12"/>
  <c r="O47" i="12"/>
  <c r="O48" i="12" s="1"/>
  <c r="N97" i="10"/>
  <c r="N98" i="10" s="1"/>
  <c r="N99" i="10" s="1"/>
  <c r="N80" i="12"/>
  <c r="O67" i="12"/>
  <c r="N76" i="10"/>
  <c r="M110" i="10"/>
  <c r="M112" i="10" s="1"/>
  <c r="O96" i="10"/>
  <c r="N102" i="10"/>
  <c r="N103" i="10" s="1"/>
  <c r="N108" i="10" s="1"/>
  <c r="O95" i="10"/>
  <c r="O105" i="10"/>
  <c r="O106" i="10" s="1"/>
  <c r="O108" i="10" s="1"/>
  <c r="M89" i="10"/>
  <c r="M91" i="10" s="1"/>
  <c r="O74" i="10"/>
  <c r="O84" i="10"/>
  <c r="O85" i="10" s="1"/>
  <c r="O87" i="10" s="1"/>
  <c r="N77" i="10"/>
  <c r="N78" i="10" s="1"/>
  <c r="N81" i="10"/>
  <c r="N82" i="10" s="1"/>
  <c r="N87" i="10" s="1"/>
  <c r="O75" i="10"/>
  <c r="O76" i="10" s="1"/>
  <c r="O9" i="10"/>
  <c r="N50" i="10"/>
  <c r="N51" i="10" s="1"/>
  <c r="N56" i="10" s="1"/>
  <c r="N45" i="10"/>
  <c r="O18" i="10"/>
  <c r="O19" i="10" s="1"/>
  <c r="O21" i="10" s="1"/>
  <c r="M21" i="10"/>
  <c r="M23" i="10" s="1"/>
  <c r="M25" i="10" s="1"/>
  <c r="O46" i="10"/>
  <c r="O47" i="10" s="1"/>
  <c r="N10" i="10"/>
  <c r="N15" i="10"/>
  <c r="N16" i="10" s="1"/>
  <c r="N21" i="10" s="1"/>
  <c r="O8" i="10"/>
  <c r="O10" i="10" s="1"/>
  <c r="O40" i="12" l="1"/>
  <c r="O41" i="12" s="1"/>
  <c r="O52" i="12" s="1"/>
  <c r="N53" i="12" s="1"/>
  <c r="N54" i="12" s="1"/>
  <c r="D56" i="12" s="1"/>
  <c r="D59" i="12" s="1"/>
  <c r="O43" i="12"/>
  <c r="O45" i="12" s="1"/>
  <c r="O50" i="12" s="1"/>
  <c r="O44" i="12"/>
  <c r="O68" i="12"/>
  <c r="O69" i="12" s="1"/>
  <c r="O80" i="12" s="1"/>
  <c r="N81" i="12" s="1"/>
  <c r="N82" i="12" s="1"/>
  <c r="O97" i="10"/>
  <c r="O98" i="10" s="1"/>
  <c r="O99" i="10" s="1"/>
  <c r="N110" i="10"/>
  <c r="O77" i="10"/>
  <c r="O78" i="10" s="1"/>
  <c r="N89" i="10"/>
  <c r="O11" i="10"/>
  <c r="O12" i="10" s="1"/>
  <c r="N46" i="10"/>
  <c r="N47" i="10"/>
  <c r="N58" i="10" s="1"/>
  <c r="O58" i="10"/>
  <c r="N59" i="10" s="1"/>
  <c r="O57" i="10"/>
  <c r="E67" i="10" s="1"/>
  <c r="E66" i="10" s="1"/>
  <c r="N11" i="10"/>
  <c r="N12" i="10" s="1"/>
  <c r="N60" i="10" l="1"/>
  <c r="D84" i="12"/>
  <c r="O110" i="10"/>
  <c r="O109" i="10"/>
  <c r="S98" i="10" s="1"/>
  <c r="S97" i="10" s="1"/>
  <c r="O89" i="10"/>
  <c r="N90" i="10" s="1"/>
  <c r="N91" i="10" s="1"/>
  <c r="D91" i="10" s="1"/>
  <c r="O88" i="10"/>
  <c r="S75" i="10" s="1"/>
  <c r="S74" i="10" s="1"/>
  <c r="D60" i="10"/>
  <c r="N23" i="10"/>
  <c r="N111" i="10" l="1"/>
  <c r="N112" i="10" s="1"/>
  <c r="D112" i="10" s="1"/>
  <c r="R111" i="10" s="1"/>
  <c r="S111" i="10" s="1"/>
  <c r="O23" i="10"/>
  <c r="N24" i="10" s="1"/>
  <c r="N25" i="10" s="1"/>
  <c r="D25" i="10" s="1"/>
  <c r="H65" i="10" s="1"/>
  <c r="O22" i="10"/>
  <c r="E32" i="10" s="1"/>
  <c r="E31" i="10" s="1"/>
</calcChain>
</file>

<file path=xl/sharedStrings.xml><?xml version="1.0" encoding="utf-8"?>
<sst xmlns="http://schemas.openxmlformats.org/spreadsheetml/2006/main" count="437" uniqueCount="132">
  <si>
    <t>Year</t>
  </si>
  <si>
    <t>NI</t>
  </si>
  <si>
    <t>NWC</t>
  </si>
  <si>
    <t>Dep</t>
  </si>
  <si>
    <t>CapEx</t>
  </si>
  <si>
    <t>NetCapEx</t>
  </si>
  <si>
    <t>RI</t>
  </si>
  <si>
    <t>FCF</t>
  </si>
  <si>
    <t>OCF</t>
  </si>
  <si>
    <t>Dividends</t>
  </si>
  <si>
    <t>Cash Balance</t>
  </si>
  <si>
    <t>PreDebt RI</t>
  </si>
  <si>
    <t>Revenues</t>
  </si>
  <si>
    <t>ChangeNWC</t>
  </si>
  <si>
    <t>Debt</t>
  </si>
  <si>
    <t>DP Ratio</t>
  </si>
  <si>
    <t>CFFA</t>
  </si>
  <si>
    <t>CFFF</t>
  </si>
  <si>
    <t>Total CF</t>
  </si>
  <si>
    <t>Change in Cash</t>
  </si>
  <si>
    <t>%NWC</t>
  </si>
  <si>
    <t>NI%</t>
  </si>
  <si>
    <t>Capital Raising</t>
  </si>
  <si>
    <t>SEO</t>
  </si>
  <si>
    <t>BV</t>
  </si>
  <si>
    <t>/Share</t>
  </si>
  <si>
    <t>E</t>
  </si>
  <si>
    <t>ROE</t>
  </si>
  <si>
    <t>MV</t>
  </si>
  <si>
    <t>D</t>
  </si>
  <si>
    <t>Div. Payout</t>
  </si>
  <si>
    <t>COC</t>
  </si>
  <si>
    <t>Note: COC = NI/MV of Equity</t>
  </si>
  <si>
    <t>MV/Share</t>
  </si>
  <si>
    <t>C</t>
  </si>
  <si>
    <t>OA</t>
  </si>
  <si>
    <t>Total</t>
  </si>
  <si>
    <t>Before Announcement</t>
  </si>
  <si>
    <t>At Announcement</t>
  </si>
  <si>
    <t>II of Project</t>
  </si>
  <si>
    <t>Perpetual NI</t>
  </si>
  <si>
    <t>=NI(800)/R</t>
  </si>
  <si>
    <t>NPV</t>
  </si>
  <si>
    <t>total</t>
  </si>
  <si>
    <t>$/Share</t>
  </si>
  <si>
    <t>At Issuance and Purchase</t>
  </si>
  <si>
    <t>Share Issuance</t>
  </si>
  <si>
    <t>Required Cap</t>
  </si>
  <si>
    <t>Shares Required</t>
  </si>
  <si>
    <t>Total Shares after Issuance</t>
  </si>
  <si>
    <t>NPV Investment</t>
  </si>
  <si>
    <t>NPVInvestment</t>
  </si>
  <si>
    <t>Equity</t>
  </si>
  <si>
    <t>P/E ratio</t>
  </si>
  <si>
    <t>Price</t>
  </si>
  <si>
    <t>Earnings</t>
  </si>
  <si>
    <t>P/E Ratio</t>
  </si>
  <si>
    <t>ch15, q1</t>
  </si>
  <si>
    <t>MV Before</t>
  </si>
  <si>
    <t>MV After</t>
  </si>
  <si>
    <t>Equity Raised</t>
  </si>
  <si>
    <t>Total Equity</t>
  </si>
  <si>
    <t>a</t>
  </si>
  <si>
    <t>b</t>
  </si>
  <si>
    <t>Old Shares</t>
  </si>
  <si>
    <t>New Shares</t>
  </si>
  <si>
    <t>Rights needed</t>
  </si>
  <si>
    <t>c</t>
  </si>
  <si>
    <t>stock price before</t>
  </si>
  <si>
    <t>stock price after</t>
  </si>
  <si>
    <t>d</t>
  </si>
  <si>
    <t>Difference, pre vs. post</t>
  </si>
  <si>
    <t>q2</t>
  </si>
  <si>
    <t>Req Cap</t>
  </si>
  <si>
    <t>m</t>
  </si>
  <si>
    <t>Shares Outstanding</t>
  </si>
  <si>
    <t>Share Price</t>
  </si>
  <si>
    <t>MV of E</t>
  </si>
  <si>
    <t>q9</t>
  </si>
  <si>
    <t>INCOMPLETE</t>
  </si>
  <si>
    <t>NPV, Inv</t>
  </si>
  <si>
    <t>ROC</t>
  </si>
  <si>
    <t>II</t>
  </si>
  <si>
    <t>CFs</t>
  </si>
  <si>
    <t>After Issuance</t>
  </si>
  <si>
    <t>Shares Issued</t>
  </si>
  <si>
    <t>$/share</t>
  </si>
  <si>
    <t>PE</t>
  </si>
  <si>
    <t>Total NI</t>
  </si>
  <si>
    <t>EPS</t>
  </si>
  <si>
    <t>New</t>
  </si>
  <si>
    <t>Old</t>
  </si>
  <si>
    <t>BV/Share</t>
  </si>
  <si>
    <t>M/B</t>
  </si>
  <si>
    <t>q15</t>
  </si>
  <si>
    <t>Pre-Ex $</t>
  </si>
  <si>
    <t>Rights Req</t>
  </si>
  <si>
    <t>Cost to buy outright</t>
  </si>
  <si>
    <t>M&amp;A, Q3</t>
  </si>
  <si>
    <t>Grumman</t>
  </si>
  <si>
    <t>COGS</t>
  </si>
  <si>
    <t>Depreciation</t>
  </si>
  <si>
    <t>EBIT</t>
  </si>
  <si>
    <t>Tax</t>
  </si>
  <si>
    <t>FCFE</t>
  </si>
  <si>
    <t>RIR</t>
  </si>
  <si>
    <t>Eg</t>
  </si>
  <si>
    <t>q5</t>
  </si>
  <si>
    <t>Novell</t>
  </si>
  <si>
    <t>ReInvestment</t>
  </si>
  <si>
    <t>PVCF</t>
  </si>
  <si>
    <t>Re</t>
  </si>
  <si>
    <t>Pre</t>
  </si>
  <si>
    <t>Post</t>
  </si>
  <si>
    <t>Beta</t>
  </si>
  <si>
    <t>WordPerfect</t>
  </si>
  <si>
    <t>q7</t>
  </si>
  <si>
    <t>G</t>
  </si>
  <si>
    <t>Rd</t>
  </si>
  <si>
    <t>Reinvestment</t>
  </si>
  <si>
    <t>Northrop</t>
  </si>
  <si>
    <t>NoSynergy</t>
  </si>
  <si>
    <t>Synergy</t>
  </si>
  <si>
    <t>Diff</t>
  </si>
  <si>
    <t>COGs</t>
  </si>
  <si>
    <t>PV of CFs</t>
  </si>
  <si>
    <t>Value of Firm</t>
  </si>
  <si>
    <t>Value w/o Synergy</t>
  </si>
  <si>
    <t>Value w/ Synergy</t>
  </si>
  <si>
    <t>y</t>
  </si>
  <si>
    <t>ReInv</t>
  </si>
  <si>
    <t>PV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</si>
</sst>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0" borderId="0" xfId="0" quotePrefix="1"/>
    <xf numFmtId="0" fontId="2" fillId="0" borderId="0" xfId="0" applyFont="1"/>
    <xf numFmtId="164" fontId="0" fillId="0" borderId="0" xfId="1" applyFont="1"/>
    <xf numFmtId="164" fontId="0" fillId="0" borderId="0" xfId="0" applyNumberForma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84F0-95FC-427C-AD46-4AB8B40D6CA4}">
  <dimension ref="A1:M21"/>
  <sheetViews>
    <sheetView workbookViewId="0">
      <selection activeCell="I22" sqref="I22"/>
    </sheetView>
  </sheetViews>
  <sheetFormatPr defaultRowHeight="15" x14ac:dyDescent="0.25"/>
  <cols>
    <col min="9" max="9" width="10.42578125" bestFit="1" customWidth="1"/>
  </cols>
  <sheetData>
    <row r="1" spans="1:13" x14ac:dyDescent="0.25">
      <c r="A1">
        <v>2</v>
      </c>
    </row>
    <row r="3" spans="1:13" x14ac:dyDescent="0.25">
      <c r="C3" t="s">
        <v>0</v>
      </c>
      <c r="D3">
        <v>0</v>
      </c>
      <c r="E3">
        <v>1</v>
      </c>
      <c r="F3">
        <v>2</v>
      </c>
      <c r="G3">
        <v>3</v>
      </c>
      <c r="I3" t="s">
        <v>0</v>
      </c>
      <c r="J3">
        <v>0</v>
      </c>
      <c r="K3">
        <v>1</v>
      </c>
      <c r="L3">
        <v>2</v>
      </c>
      <c r="M3">
        <v>3</v>
      </c>
    </row>
    <row r="5" spans="1:13" x14ac:dyDescent="0.25">
      <c r="C5" t="s">
        <v>1</v>
      </c>
      <c r="D5">
        <v>100</v>
      </c>
      <c r="E5">
        <f>D5*1.1</f>
        <v>110.00000000000001</v>
      </c>
      <c r="F5">
        <f>E5*1.1</f>
        <v>121.00000000000003</v>
      </c>
      <c r="G5">
        <f>F5*1.1</f>
        <v>133.10000000000005</v>
      </c>
      <c r="I5" t="s">
        <v>1</v>
      </c>
      <c r="J5">
        <v>100</v>
      </c>
      <c r="K5">
        <f>J5*1.1</f>
        <v>110.00000000000001</v>
      </c>
      <c r="L5">
        <f>K5*1.1</f>
        <v>121.00000000000003</v>
      </c>
      <c r="M5">
        <f>L5*1.1</f>
        <v>133.10000000000005</v>
      </c>
    </row>
    <row r="7" spans="1:13" x14ac:dyDescent="0.25">
      <c r="C7" t="s">
        <v>2</v>
      </c>
      <c r="D7">
        <v>10</v>
      </c>
      <c r="E7">
        <f>D7</f>
        <v>10</v>
      </c>
      <c r="F7">
        <f>E7</f>
        <v>10</v>
      </c>
      <c r="G7">
        <f>F7</f>
        <v>10</v>
      </c>
      <c r="I7" t="s">
        <v>2</v>
      </c>
      <c r="J7">
        <v>10</v>
      </c>
      <c r="K7">
        <f>J7</f>
        <v>10</v>
      </c>
      <c r="L7">
        <f>K7</f>
        <v>10</v>
      </c>
      <c r="M7">
        <f>L7</f>
        <v>10</v>
      </c>
    </row>
    <row r="8" spans="1:13" x14ac:dyDescent="0.25">
      <c r="C8" t="s">
        <v>3</v>
      </c>
      <c r="D8">
        <v>50</v>
      </c>
      <c r="E8">
        <f>D8*1.08</f>
        <v>54</v>
      </c>
      <c r="F8">
        <f>E8*1.08</f>
        <v>58.320000000000007</v>
      </c>
      <c r="G8">
        <f>F8*1.08</f>
        <v>62.985600000000012</v>
      </c>
      <c r="I8" t="s">
        <v>3</v>
      </c>
      <c r="J8">
        <v>50</v>
      </c>
      <c r="K8">
        <f>J8*1.08</f>
        <v>54</v>
      </c>
      <c r="L8">
        <f>K8*1.08</f>
        <v>58.320000000000007</v>
      </c>
      <c r="M8">
        <f>L8*1.08</f>
        <v>62.985600000000012</v>
      </c>
    </row>
    <row r="9" spans="1:13" x14ac:dyDescent="0.25">
      <c r="C9" t="s">
        <v>4</v>
      </c>
      <c r="D9">
        <v>60</v>
      </c>
      <c r="E9">
        <f>D9</f>
        <v>60</v>
      </c>
      <c r="F9">
        <f>E9</f>
        <v>60</v>
      </c>
      <c r="G9">
        <f>F9</f>
        <v>60</v>
      </c>
      <c r="I9" t="s">
        <v>4</v>
      </c>
      <c r="J9">
        <v>60</v>
      </c>
      <c r="K9">
        <f>J9</f>
        <v>60</v>
      </c>
      <c r="L9">
        <f>K9</f>
        <v>60</v>
      </c>
      <c r="M9">
        <f>L9</f>
        <v>60</v>
      </c>
    </row>
    <row r="10" spans="1:13" x14ac:dyDescent="0.25">
      <c r="C10" t="s">
        <v>5</v>
      </c>
      <c r="D10">
        <f>D9-D8</f>
        <v>10</v>
      </c>
      <c r="E10">
        <f>E9-E8</f>
        <v>6</v>
      </c>
      <c r="F10">
        <f>F9-F8</f>
        <v>1.6799999999999926</v>
      </c>
      <c r="G10">
        <f>G9-G8</f>
        <v>-2.9856000000000122</v>
      </c>
      <c r="I10" t="s">
        <v>5</v>
      </c>
      <c r="J10">
        <f>J9-J8</f>
        <v>10</v>
      </c>
      <c r="K10">
        <f>K9-K8</f>
        <v>6</v>
      </c>
      <c r="L10">
        <f>L9-L8</f>
        <v>1.6799999999999926</v>
      </c>
      <c r="M10">
        <f>M9-M8</f>
        <v>-2.9856000000000122</v>
      </c>
    </row>
    <row r="12" spans="1:13" x14ac:dyDescent="0.25">
      <c r="C12" t="s">
        <v>6</v>
      </c>
      <c r="D12">
        <f>D10+D7</f>
        <v>20</v>
      </c>
      <c r="E12">
        <f>E10+E7</f>
        <v>16</v>
      </c>
      <c r="F12">
        <f>F10+F7</f>
        <v>11.679999999999993</v>
      </c>
      <c r="G12">
        <f>G10+G7</f>
        <v>7.0143999999999878</v>
      </c>
      <c r="I12" t="s">
        <v>11</v>
      </c>
      <c r="J12">
        <f>J10+J7</f>
        <v>20</v>
      </c>
      <c r="K12">
        <f>K10+K7</f>
        <v>16</v>
      </c>
      <c r="L12">
        <f>L10+L7</f>
        <v>11.679999999999993</v>
      </c>
      <c r="M12">
        <f>M10+M7</f>
        <v>7.0143999999999878</v>
      </c>
    </row>
    <row r="13" spans="1:13" x14ac:dyDescent="0.25">
      <c r="I13" t="s">
        <v>6</v>
      </c>
      <c r="J13">
        <f>J12*0.8</f>
        <v>16</v>
      </c>
      <c r="K13">
        <f>K12*0.8</f>
        <v>12.8</v>
      </c>
      <c r="L13">
        <f>L12*0.8</f>
        <v>9.3439999999999941</v>
      </c>
      <c r="M13">
        <f>M12*0.8</f>
        <v>5.6115199999999907</v>
      </c>
    </row>
    <row r="14" spans="1:13" x14ac:dyDescent="0.25">
      <c r="C14" t="s">
        <v>8</v>
      </c>
      <c r="D14">
        <f>D5-D12</f>
        <v>80</v>
      </c>
      <c r="E14">
        <f>E5-E12</f>
        <v>94.000000000000014</v>
      </c>
      <c r="F14">
        <f>F5-F12</f>
        <v>109.32000000000004</v>
      </c>
      <c r="G14">
        <f>G5-G12</f>
        <v>126.08560000000006</v>
      </c>
    </row>
    <row r="15" spans="1:13" x14ac:dyDescent="0.25">
      <c r="I15" t="s">
        <v>8</v>
      </c>
      <c r="J15">
        <f>J5-J13</f>
        <v>84</v>
      </c>
      <c r="K15">
        <f>K5-K13</f>
        <v>97.200000000000017</v>
      </c>
      <c r="L15">
        <f>L5-L13</f>
        <v>111.65600000000003</v>
      </c>
      <c r="M15">
        <f>M5-M13</f>
        <v>127.48848000000007</v>
      </c>
    </row>
    <row r="16" spans="1:13" x14ac:dyDescent="0.25">
      <c r="C16" t="s">
        <v>9</v>
      </c>
      <c r="D16">
        <f>D5*0.6</f>
        <v>60</v>
      </c>
      <c r="E16">
        <f>E5*0.6</f>
        <v>66</v>
      </c>
      <c r="F16">
        <f>F5*0.6</f>
        <v>72.600000000000009</v>
      </c>
      <c r="G16">
        <f>G5*0.6</f>
        <v>79.860000000000028</v>
      </c>
    </row>
    <row r="17" spans="3:13" x14ac:dyDescent="0.25">
      <c r="I17" t="s">
        <v>9</v>
      </c>
      <c r="J17">
        <v>60</v>
      </c>
      <c r="K17">
        <v>66</v>
      </c>
      <c r="L17">
        <v>72.600000000000009</v>
      </c>
      <c r="M17">
        <v>79.860000000000028</v>
      </c>
    </row>
    <row r="18" spans="3:13" x14ac:dyDescent="0.25">
      <c r="C18" t="s">
        <v>7</v>
      </c>
      <c r="D18">
        <f>D14-D16</f>
        <v>20</v>
      </c>
      <c r="E18">
        <f>E14-E16</f>
        <v>28.000000000000014</v>
      </c>
      <c r="F18">
        <f>F14-F16</f>
        <v>36.720000000000027</v>
      </c>
      <c r="G18">
        <f>G14-G16</f>
        <v>46.225600000000028</v>
      </c>
    </row>
    <row r="19" spans="3:13" x14ac:dyDescent="0.25">
      <c r="I19" t="s">
        <v>7</v>
      </c>
      <c r="J19">
        <f>J15-J17</f>
        <v>24</v>
      </c>
      <c r="K19">
        <f>K15-K17</f>
        <v>31.200000000000017</v>
      </c>
      <c r="L19">
        <f>L15-L17</f>
        <v>39.056000000000026</v>
      </c>
      <c r="M19">
        <f>M15-M17</f>
        <v>47.628480000000039</v>
      </c>
    </row>
    <row r="20" spans="3:13" x14ac:dyDescent="0.25">
      <c r="C20" t="s">
        <v>10</v>
      </c>
      <c r="D20">
        <f>50</f>
        <v>50</v>
      </c>
      <c r="E20">
        <f>D20+E18</f>
        <v>78.000000000000014</v>
      </c>
      <c r="F20">
        <f>E20+F18</f>
        <v>114.72000000000004</v>
      </c>
      <c r="G20">
        <f>F20+G18</f>
        <v>160.94560000000007</v>
      </c>
    </row>
    <row r="21" spans="3:13" x14ac:dyDescent="0.25">
      <c r="I21" t="s">
        <v>10</v>
      </c>
      <c r="J21">
        <v>50</v>
      </c>
      <c r="K21">
        <f>J21+K19</f>
        <v>81.200000000000017</v>
      </c>
      <c r="L21">
        <f>K21+L19</f>
        <v>120.25600000000004</v>
      </c>
      <c r="M21">
        <f>L21+M19</f>
        <v>167.88448000000008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6A32-43EA-494F-AFF4-50CD3FD94CC3}">
  <dimension ref="A1:I28"/>
  <sheetViews>
    <sheetView tabSelected="1" workbookViewId="0"/>
  </sheetViews>
  <sheetFormatPr defaultRowHeight="15" x14ac:dyDescent="0.25"/>
  <cols>
    <col min="3" max="3" width="12" bestFit="1" customWidth="1"/>
  </cols>
  <sheetData>
    <row r="1" spans="1:9" x14ac:dyDescent="0.25">
      <c r="A1">
        <v>3</v>
      </c>
    </row>
    <row r="3" spans="1:9" x14ac:dyDescent="0.25">
      <c r="C3" t="s">
        <v>0</v>
      </c>
      <c r="D3">
        <v>2011</v>
      </c>
      <c r="E3">
        <f>D3+1</f>
        <v>2012</v>
      </c>
      <c r="F3">
        <f>E3+1</f>
        <v>2013</v>
      </c>
      <c r="G3">
        <f>F3+1</f>
        <v>2014</v>
      </c>
      <c r="H3">
        <f>G3+1</f>
        <v>2015</v>
      </c>
      <c r="I3">
        <f>H3+1</f>
        <v>2016</v>
      </c>
    </row>
    <row r="5" spans="1:9" x14ac:dyDescent="0.25">
      <c r="C5" t="s">
        <v>12</v>
      </c>
      <c r="D5">
        <v>1000</v>
      </c>
      <c r="E5">
        <v>1100</v>
      </c>
      <c r="F5">
        <v>1200</v>
      </c>
      <c r="G5">
        <f>F5*1.2</f>
        <v>1440</v>
      </c>
      <c r="H5">
        <f>G5*1.2</f>
        <v>1728</v>
      </c>
      <c r="I5">
        <f>H5*1.2</f>
        <v>2073.6</v>
      </c>
    </row>
    <row r="6" spans="1:9" x14ac:dyDescent="0.25">
      <c r="C6" t="s">
        <v>1</v>
      </c>
      <c r="D6">
        <v>100</v>
      </c>
      <c r="E6">
        <v>110</v>
      </c>
      <c r="F6">
        <v>120</v>
      </c>
      <c r="G6">
        <f>G5*G7</f>
        <v>144</v>
      </c>
      <c r="H6">
        <f>H5*H7</f>
        <v>172.8</v>
      </c>
      <c r="I6">
        <f>I5*I7</f>
        <v>207.36</v>
      </c>
    </row>
    <row r="7" spans="1:9" x14ac:dyDescent="0.25">
      <c r="C7" t="s">
        <v>21</v>
      </c>
      <c r="D7">
        <f>D6/D5</f>
        <v>0.1</v>
      </c>
      <c r="E7">
        <f>E6/E5</f>
        <v>0.1</v>
      </c>
      <c r="F7">
        <f>F6/F5</f>
        <v>0.1</v>
      </c>
      <c r="G7">
        <v>0.1</v>
      </c>
      <c r="H7">
        <v>0.1</v>
      </c>
      <c r="I7">
        <v>0.1</v>
      </c>
    </row>
    <row r="8" spans="1:9" x14ac:dyDescent="0.25">
      <c r="C8" t="s">
        <v>3</v>
      </c>
      <c r="D8">
        <v>40</v>
      </c>
      <c r="E8">
        <v>45</v>
      </c>
      <c r="F8">
        <v>50</v>
      </c>
      <c r="G8">
        <f t="shared" ref="G8:I9" si="0">F8*1.1</f>
        <v>55.000000000000007</v>
      </c>
      <c r="H8">
        <f t="shared" si="0"/>
        <v>60.500000000000014</v>
      </c>
      <c r="I8">
        <f t="shared" si="0"/>
        <v>66.550000000000026</v>
      </c>
    </row>
    <row r="9" spans="1:9" x14ac:dyDescent="0.25">
      <c r="C9" t="s">
        <v>4</v>
      </c>
      <c r="D9">
        <v>50</v>
      </c>
      <c r="E9">
        <v>60</v>
      </c>
      <c r="F9">
        <v>70</v>
      </c>
      <c r="G9">
        <f t="shared" si="0"/>
        <v>77</v>
      </c>
      <c r="H9">
        <f t="shared" si="0"/>
        <v>84.7</v>
      </c>
      <c r="I9">
        <f t="shared" si="0"/>
        <v>93.170000000000016</v>
      </c>
    </row>
    <row r="10" spans="1:9" x14ac:dyDescent="0.25">
      <c r="C10" t="s">
        <v>2</v>
      </c>
      <c r="D10">
        <v>10</v>
      </c>
      <c r="E10">
        <v>30</v>
      </c>
      <c r="F10">
        <v>60</v>
      </c>
      <c r="G10">
        <f>G5*G11</f>
        <v>144</v>
      </c>
      <c r="H10">
        <f>H5*H11</f>
        <v>172.8</v>
      </c>
      <c r="I10">
        <f>I5*I11</f>
        <v>207.36</v>
      </c>
    </row>
    <row r="11" spans="1:9" x14ac:dyDescent="0.25">
      <c r="C11" t="s">
        <v>20</v>
      </c>
      <c r="D11">
        <f>D10/D5</f>
        <v>0.01</v>
      </c>
      <c r="E11">
        <f>E10/E5</f>
        <v>2.7272727272727271E-2</v>
      </c>
      <c r="F11">
        <f>F10/F5</f>
        <v>0.05</v>
      </c>
      <c r="G11">
        <f>0.1</f>
        <v>0.1</v>
      </c>
      <c r="H11">
        <f>0.1</f>
        <v>0.1</v>
      </c>
      <c r="I11">
        <f>0.1</f>
        <v>0.1</v>
      </c>
    </row>
    <row r="12" spans="1:9" x14ac:dyDescent="0.25">
      <c r="C12" t="s">
        <v>13</v>
      </c>
      <c r="D12">
        <v>10</v>
      </c>
      <c r="E12">
        <v>20</v>
      </c>
      <c r="F12">
        <v>30</v>
      </c>
      <c r="G12">
        <f>G10-F10</f>
        <v>84</v>
      </c>
      <c r="H12">
        <f>H10-G10</f>
        <v>28.800000000000011</v>
      </c>
      <c r="I12">
        <f>I10-H10</f>
        <v>34.56</v>
      </c>
    </row>
    <row r="13" spans="1:9" x14ac:dyDescent="0.25">
      <c r="C13" t="s">
        <v>14</v>
      </c>
      <c r="D13">
        <v>10</v>
      </c>
      <c r="E13">
        <v>15</v>
      </c>
      <c r="F13">
        <v>75</v>
      </c>
      <c r="G13">
        <f>F13-25</f>
        <v>50</v>
      </c>
      <c r="H13">
        <f>G13-25</f>
        <v>25</v>
      </c>
      <c r="I13">
        <f>H13-25</f>
        <v>0</v>
      </c>
    </row>
    <row r="14" spans="1:9" x14ac:dyDescent="0.25">
      <c r="C14" t="s">
        <v>15</v>
      </c>
      <c r="D14" s="1">
        <v>0</v>
      </c>
      <c r="E14" s="1">
        <v>0.4</v>
      </c>
      <c r="F14" s="1">
        <v>0.5</v>
      </c>
      <c r="G14" s="1">
        <f>F14</f>
        <v>0.5</v>
      </c>
      <c r="H14" s="1">
        <f>G14</f>
        <v>0.5</v>
      </c>
      <c r="I14" s="1">
        <f>H14</f>
        <v>0.5</v>
      </c>
    </row>
    <row r="16" spans="1:9" x14ac:dyDescent="0.25">
      <c r="C16" t="s">
        <v>6</v>
      </c>
      <c r="D16">
        <f t="shared" ref="D16:I16" si="1">D9+D12-D8</f>
        <v>20</v>
      </c>
      <c r="E16">
        <f t="shared" si="1"/>
        <v>35</v>
      </c>
      <c r="F16">
        <f t="shared" si="1"/>
        <v>50</v>
      </c>
      <c r="G16">
        <f t="shared" si="1"/>
        <v>106</v>
      </c>
      <c r="H16">
        <f t="shared" si="1"/>
        <v>53</v>
      </c>
      <c r="I16">
        <f t="shared" si="1"/>
        <v>61.179999999999993</v>
      </c>
    </row>
    <row r="18" spans="3:9" x14ac:dyDescent="0.25">
      <c r="C18" t="s">
        <v>16</v>
      </c>
      <c r="D18">
        <f t="shared" ref="D18:I18" si="2">D6-D16</f>
        <v>80</v>
      </c>
      <c r="E18">
        <f t="shared" si="2"/>
        <v>75</v>
      </c>
      <c r="F18">
        <f t="shared" si="2"/>
        <v>70</v>
      </c>
      <c r="G18">
        <f t="shared" si="2"/>
        <v>38</v>
      </c>
      <c r="H18">
        <f t="shared" si="2"/>
        <v>119.80000000000001</v>
      </c>
      <c r="I18">
        <f t="shared" si="2"/>
        <v>146.18</v>
      </c>
    </row>
    <row r="20" spans="3:9" x14ac:dyDescent="0.25">
      <c r="C20" t="s">
        <v>17</v>
      </c>
      <c r="D20">
        <f>D13</f>
        <v>10</v>
      </c>
      <c r="E20">
        <f>E13-D13</f>
        <v>5</v>
      </c>
      <c r="F20">
        <f>F13-E13</f>
        <v>60</v>
      </c>
      <c r="G20">
        <f>G13-F13</f>
        <v>-25</v>
      </c>
      <c r="H20">
        <f>H13-G13</f>
        <v>-25</v>
      </c>
      <c r="I20">
        <f>I13-H13</f>
        <v>-25</v>
      </c>
    </row>
    <row r="22" spans="3:9" x14ac:dyDescent="0.25">
      <c r="C22" t="s">
        <v>18</v>
      </c>
      <c r="D22">
        <f t="shared" ref="D22:I22" si="3">D18+D20</f>
        <v>90</v>
      </c>
      <c r="E22">
        <f t="shared" si="3"/>
        <v>80</v>
      </c>
      <c r="F22">
        <f t="shared" si="3"/>
        <v>130</v>
      </c>
      <c r="G22">
        <f t="shared" si="3"/>
        <v>13</v>
      </c>
      <c r="H22">
        <f t="shared" si="3"/>
        <v>94.800000000000011</v>
      </c>
      <c r="I22">
        <f t="shared" si="3"/>
        <v>121.18</v>
      </c>
    </row>
    <row r="24" spans="3:9" x14ac:dyDescent="0.25">
      <c r="C24" t="s">
        <v>9</v>
      </c>
      <c r="D24">
        <f t="shared" ref="D24:I24" si="4">D6*D14</f>
        <v>0</v>
      </c>
      <c r="E24">
        <f t="shared" si="4"/>
        <v>44</v>
      </c>
      <c r="F24">
        <f t="shared" si="4"/>
        <v>60</v>
      </c>
      <c r="G24">
        <f t="shared" si="4"/>
        <v>72</v>
      </c>
      <c r="H24">
        <f t="shared" si="4"/>
        <v>86.4</v>
      </c>
      <c r="I24">
        <f t="shared" si="4"/>
        <v>103.68</v>
      </c>
    </row>
    <row r="26" spans="3:9" x14ac:dyDescent="0.25">
      <c r="C26" t="s">
        <v>19</v>
      </c>
      <c r="D26">
        <f t="shared" ref="D26:I26" si="5">D22-D24</f>
        <v>90</v>
      </c>
      <c r="E26">
        <f t="shared" si="5"/>
        <v>36</v>
      </c>
      <c r="F26">
        <f t="shared" si="5"/>
        <v>70</v>
      </c>
      <c r="G26">
        <f t="shared" si="5"/>
        <v>-59</v>
      </c>
      <c r="H26">
        <f t="shared" si="5"/>
        <v>8.4000000000000057</v>
      </c>
      <c r="I26">
        <f t="shared" si="5"/>
        <v>17.5</v>
      </c>
    </row>
    <row r="28" spans="3:9" x14ac:dyDescent="0.25">
      <c r="C28" t="s">
        <v>10</v>
      </c>
      <c r="D28">
        <f>D26</f>
        <v>90</v>
      </c>
      <c r="E28">
        <f>D28+E26</f>
        <v>126</v>
      </c>
      <c r="F28">
        <f>E28+F26</f>
        <v>196</v>
      </c>
      <c r="G28">
        <f>F28+G26</f>
        <v>137</v>
      </c>
      <c r="H28">
        <f>G28+H26</f>
        <v>145.4</v>
      </c>
      <c r="I28">
        <f>H28+I26</f>
        <v>162.9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9A54-10B3-4BD0-89E8-646BB5BBD648}">
  <dimension ref="A1:L44"/>
  <sheetViews>
    <sheetView workbookViewId="0">
      <selection activeCell="G42" sqref="G42"/>
    </sheetView>
  </sheetViews>
  <sheetFormatPr defaultRowHeight="15" x14ac:dyDescent="0.25"/>
  <cols>
    <col min="3" max="3" width="24.85546875" bestFit="1" customWidth="1"/>
    <col min="7" max="7" width="21.5703125" bestFit="1" customWidth="1"/>
  </cols>
  <sheetData>
    <row r="1" spans="1:10" x14ac:dyDescent="0.25">
      <c r="A1" t="s">
        <v>22</v>
      </c>
    </row>
    <row r="3" spans="1:10" x14ac:dyDescent="0.25">
      <c r="A3" t="s">
        <v>23</v>
      </c>
    </row>
    <row r="4" spans="1:10" x14ac:dyDescent="0.25">
      <c r="D4" t="s">
        <v>25</v>
      </c>
      <c r="E4" t="s">
        <v>26</v>
      </c>
      <c r="F4" t="s">
        <v>29</v>
      </c>
    </row>
    <row r="5" spans="1:10" x14ac:dyDescent="0.25">
      <c r="C5" t="s">
        <v>24</v>
      </c>
      <c r="D5">
        <v>100</v>
      </c>
      <c r="F5">
        <v>0</v>
      </c>
    </row>
    <row r="6" spans="1:10" x14ac:dyDescent="0.25">
      <c r="I6" t="s">
        <v>32</v>
      </c>
    </row>
    <row r="7" spans="1:10" x14ac:dyDescent="0.25">
      <c r="C7" t="s">
        <v>28</v>
      </c>
      <c r="D7">
        <v>80</v>
      </c>
      <c r="F7">
        <v>0</v>
      </c>
    </row>
    <row r="9" spans="1:10" x14ac:dyDescent="0.25">
      <c r="C9" t="s">
        <v>1</v>
      </c>
      <c r="D9">
        <v>8</v>
      </c>
    </row>
    <row r="10" spans="1:10" x14ac:dyDescent="0.25">
      <c r="G10" t="s">
        <v>37</v>
      </c>
    </row>
    <row r="11" spans="1:10" x14ac:dyDescent="0.25">
      <c r="C11" t="s">
        <v>27</v>
      </c>
      <c r="D11">
        <f>D9/D5</f>
        <v>0.08</v>
      </c>
    </row>
    <row r="12" spans="1:10" x14ac:dyDescent="0.25">
      <c r="G12" t="s">
        <v>24</v>
      </c>
    </row>
    <row r="13" spans="1:10" x14ac:dyDescent="0.25">
      <c r="C13" t="s">
        <v>31</v>
      </c>
      <c r="D13">
        <f>D9/D7</f>
        <v>0.1</v>
      </c>
      <c r="G13" t="s">
        <v>34</v>
      </c>
      <c r="H13">
        <v>0</v>
      </c>
      <c r="I13" t="s">
        <v>29</v>
      </c>
      <c r="J13">
        <v>0</v>
      </c>
    </row>
    <row r="14" spans="1:10" x14ac:dyDescent="0.25">
      <c r="G14" t="s">
        <v>35</v>
      </c>
      <c r="H14">
        <f>H15-H13</f>
        <v>100000</v>
      </c>
      <c r="I14" t="s">
        <v>26</v>
      </c>
      <c r="J14">
        <f>J15</f>
        <v>100000</v>
      </c>
    </row>
    <row r="15" spans="1:10" x14ac:dyDescent="0.25">
      <c r="C15" t="s">
        <v>30</v>
      </c>
      <c r="D15" s="1">
        <v>1</v>
      </c>
      <c r="G15" t="s">
        <v>36</v>
      </c>
      <c r="H15">
        <v>100000</v>
      </c>
      <c r="I15" t="s">
        <v>36</v>
      </c>
      <c r="J15">
        <v>100000</v>
      </c>
    </row>
    <row r="17" spans="3:12" x14ac:dyDescent="0.25">
      <c r="G17" t="s">
        <v>28</v>
      </c>
      <c r="K17" t="s">
        <v>44</v>
      </c>
      <c r="L17">
        <f>J19/1000</f>
        <v>80</v>
      </c>
    </row>
    <row r="18" spans="3:12" x14ac:dyDescent="0.25">
      <c r="C18" t="s">
        <v>39</v>
      </c>
      <c r="D18">
        <v>10000</v>
      </c>
      <c r="G18" t="s">
        <v>34</v>
      </c>
      <c r="H18">
        <v>0</v>
      </c>
      <c r="I18" t="s">
        <v>29</v>
      </c>
      <c r="J18">
        <v>0</v>
      </c>
    </row>
    <row r="19" spans="3:12" x14ac:dyDescent="0.25">
      <c r="G19" t="s">
        <v>35</v>
      </c>
      <c r="H19">
        <f>H20-H18</f>
        <v>80000</v>
      </c>
      <c r="I19" t="s">
        <v>26</v>
      </c>
      <c r="J19">
        <f>J20</f>
        <v>80000</v>
      </c>
    </row>
    <row r="20" spans="3:12" x14ac:dyDescent="0.25">
      <c r="C20" t="s">
        <v>40</v>
      </c>
      <c r="D20">
        <f>800/0.1</f>
        <v>8000</v>
      </c>
      <c r="E20" s="2" t="s">
        <v>41</v>
      </c>
      <c r="G20" t="s">
        <v>36</v>
      </c>
      <c r="H20">
        <v>80000</v>
      </c>
      <c r="I20" t="s">
        <v>36</v>
      </c>
      <c r="J20">
        <v>80000</v>
      </c>
    </row>
    <row r="22" spans="3:12" x14ac:dyDescent="0.25">
      <c r="C22" t="s">
        <v>42</v>
      </c>
      <c r="D22">
        <f>D18-D20</f>
        <v>2000</v>
      </c>
    </row>
    <row r="23" spans="3:12" x14ac:dyDescent="0.25">
      <c r="G23" t="s">
        <v>38</v>
      </c>
    </row>
    <row r="25" spans="3:12" x14ac:dyDescent="0.25">
      <c r="G25" t="s">
        <v>28</v>
      </c>
    </row>
    <row r="26" spans="3:12" x14ac:dyDescent="0.25">
      <c r="C26" s="3" t="s">
        <v>46</v>
      </c>
      <c r="G26" t="s">
        <v>34</v>
      </c>
      <c r="H26">
        <v>0</v>
      </c>
      <c r="I26" t="s">
        <v>29</v>
      </c>
      <c r="J26">
        <v>0</v>
      </c>
    </row>
    <row r="27" spans="3:12" x14ac:dyDescent="0.25">
      <c r="G27" t="s">
        <v>35</v>
      </c>
      <c r="H27">
        <v>80000</v>
      </c>
      <c r="I27" t="s">
        <v>26</v>
      </c>
      <c r="J27">
        <f>J29</f>
        <v>78000</v>
      </c>
      <c r="K27" t="s">
        <v>44</v>
      </c>
      <c r="L27">
        <f>J29/1000</f>
        <v>78</v>
      </c>
    </row>
    <row r="28" spans="3:12" x14ac:dyDescent="0.25">
      <c r="C28" t="s">
        <v>47</v>
      </c>
      <c r="D28">
        <v>10000</v>
      </c>
      <c r="G28" t="s">
        <v>50</v>
      </c>
      <c r="H28">
        <v>-2000</v>
      </c>
    </row>
    <row r="29" spans="3:12" x14ac:dyDescent="0.25">
      <c r="G29" t="s">
        <v>36</v>
      </c>
      <c r="H29">
        <f>SUM(H27:H28)</f>
        <v>78000</v>
      </c>
      <c r="I29" t="s">
        <v>43</v>
      </c>
      <c r="J29">
        <f>H29</f>
        <v>78000</v>
      </c>
    </row>
    <row r="30" spans="3:12" x14ac:dyDescent="0.25">
      <c r="C30" t="s">
        <v>44</v>
      </c>
      <c r="D30">
        <v>78</v>
      </c>
    </row>
    <row r="32" spans="3:12" x14ac:dyDescent="0.25">
      <c r="C32" t="s">
        <v>48</v>
      </c>
      <c r="D32">
        <f>D28/D30</f>
        <v>128.2051282051282</v>
      </c>
      <c r="G32" t="s">
        <v>45</v>
      </c>
    </row>
    <row r="34" spans="3:12" x14ac:dyDescent="0.25">
      <c r="C34" t="s">
        <v>49</v>
      </c>
      <c r="D34">
        <f>D32+1000</f>
        <v>1128.2051282051282</v>
      </c>
      <c r="G34" t="s">
        <v>28</v>
      </c>
    </row>
    <row r="35" spans="3:12" x14ac:dyDescent="0.25">
      <c r="G35" t="s">
        <v>34</v>
      </c>
      <c r="H35">
        <v>0</v>
      </c>
      <c r="I35" t="s">
        <v>29</v>
      </c>
      <c r="J35">
        <v>0</v>
      </c>
    </row>
    <row r="36" spans="3:12" x14ac:dyDescent="0.25">
      <c r="G36" t="s">
        <v>35</v>
      </c>
      <c r="H36">
        <v>90000</v>
      </c>
      <c r="I36" t="s">
        <v>26</v>
      </c>
      <c r="J36">
        <f>J38</f>
        <v>88000</v>
      </c>
      <c r="K36" t="s">
        <v>44</v>
      </c>
      <c r="L36">
        <f>J38/D34</f>
        <v>78</v>
      </c>
    </row>
    <row r="37" spans="3:12" x14ac:dyDescent="0.25">
      <c r="G37" t="s">
        <v>50</v>
      </c>
      <c r="H37">
        <v>-2000</v>
      </c>
    </row>
    <row r="38" spans="3:12" x14ac:dyDescent="0.25">
      <c r="C38" s="3" t="s">
        <v>53</v>
      </c>
      <c r="G38" t="s">
        <v>36</v>
      </c>
      <c r="H38">
        <f>SUM(H36:H37)</f>
        <v>88000</v>
      </c>
      <c r="I38" t="s">
        <v>43</v>
      </c>
      <c r="J38">
        <f>H38</f>
        <v>88000</v>
      </c>
    </row>
    <row r="40" spans="3:12" x14ac:dyDescent="0.25">
      <c r="C40" t="s">
        <v>54</v>
      </c>
      <c r="D40">
        <f>D30</f>
        <v>78</v>
      </c>
      <c r="G40" t="s">
        <v>24</v>
      </c>
    </row>
    <row r="41" spans="3:12" x14ac:dyDescent="0.25">
      <c r="G41" t="s">
        <v>35</v>
      </c>
      <c r="H41">
        <v>110000</v>
      </c>
      <c r="I41" t="s">
        <v>29</v>
      </c>
      <c r="J41">
        <v>0</v>
      </c>
    </row>
    <row r="42" spans="3:12" x14ac:dyDescent="0.25">
      <c r="C42" t="s">
        <v>55</v>
      </c>
      <c r="D42">
        <f>(800+8000)/D34</f>
        <v>7.8</v>
      </c>
      <c r="G42" t="s">
        <v>51</v>
      </c>
      <c r="H42">
        <v>0</v>
      </c>
      <c r="I42" t="s">
        <v>52</v>
      </c>
      <c r="J42">
        <f>J43</f>
        <v>110000</v>
      </c>
      <c r="K42" t="s">
        <v>44</v>
      </c>
      <c r="L42">
        <f>J42/D34</f>
        <v>97.5</v>
      </c>
    </row>
    <row r="43" spans="3:12" x14ac:dyDescent="0.25">
      <c r="G43" t="s">
        <v>36</v>
      </c>
      <c r="H43">
        <f>SUM(H41:H42)</f>
        <v>110000</v>
      </c>
      <c r="I43" t="s">
        <v>36</v>
      </c>
      <c r="J43">
        <f>H43</f>
        <v>110000</v>
      </c>
    </row>
    <row r="44" spans="3:12" x14ac:dyDescent="0.25">
      <c r="C44" t="s">
        <v>56</v>
      </c>
      <c r="D44">
        <f>D40/D42</f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709C-5BBF-4363-BED0-7FF6066E3DE3}">
  <dimension ref="A1:E26"/>
  <sheetViews>
    <sheetView workbookViewId="0">
      <selection activeCell="D18" sqref="D18"/>
    </sheetView>
  </sheetViews>
  <sheetFormatPr defaultRowHeight="15" x14ac:dyDescent="0.25"/>
  <cols>
    <col min="4" max="4" width="25.140625" bestFit="1" customWidth="1"/>
    <col min="5" max="5" width="14.28515625" bestFit="1" customWidth="1"/>
  </cols>
  <sheetData>
    <row r="1" spans="1:5" x14ac:dyDescent="0.25">
      <c r="A1" t="s">
        <v>57</v>
      </c>
    </row>
    <row r="3" spans="1:5" x14ac:dyDescent="0.25">
      <c r="C3" s="3" t="s">
        <v>62</v>
      </c>
      <c r="D3" t="s">
        <v>58</v>
      </c>
    </row>
    <row r="5" spans="1:5" x14ac:dyDescent="0.25">
      <c r="D5" t="s">
        <v>26</v>
      </c>
      <c r="E5" s="4">
        <f>400000*73</f>
        <v>29200000</v>
      </c>
    </row>
    <row r="7" spans="1:5" x14ac:dyDescent="0.25">
      <c r="D7" t="s">
        <v>59</v>
      </c>
    </row>
    <row r="9" spans="1:5" x14ac:dyDescent="0.25">
      <c r="D9" t="s">
        <v>60</v>
      </c>
      <c r="E9" s="4">
        <f>50000*65</f>
        <v>3250000</v>
      </c>
    </row>
    <row r="11" spans="1:5" x14ac:dyDescent="0.25">
      <c r="D11" t="s">
        <v>61</v>
      </c>
      <c r="E11" s="5">
        <f>E9+E5</f>
        <v>32450000</v>
      </c>
    </row>
    <row r="14" spans="1:5" x14ac:dyDescent="0.25">
      <c r="C14" s="3" t="s">
        <v>63</v>
      </c>
      <c r="D14" t="s">
        <v>64</v>
      </c>
      <c r="E14">
        <v>400000</v>
      </c>
    </row>
    <row r="16" spans="1:5" x14ac:dyDescent="0.25">
      <c r="D16" t="s">
        <v>65</v>
      </c>
      <c r="E16">
        <v>50000</v>
      </c>
    </row>
    <row r="18" spans="3:5" x14ac:dyDescent="0.25">
      <c r="D18" t="s">
        <v>66</v>
      </c>
      <c r="E18">
        <f>E14/E16</f>
        <v>8</v>
      </c>
    </row>
    <row r="21" spans="3:5" x14ac:dyDescent="0.25">
      <c r="C21" s="3" t="s">
        <v>67</v>
      </c>
      <c r="D21" t="s">
        <v>68</v>
      </c>
      <c r="E21">
        <f>73</f>
        <v>73</v>
      </c>
    </row>
    <row r="23" spans="3:5" x14ac:dyDescent="0.25">
      <c r="D23" t="s">
        <v>69</v>
      </c>
      <c r="E23" s="5">
        <f>E11/450000</f>
        <v>72.111111111111114</v>
      </c>
    </row>
    <row r="26" spans="3:5" x14ac:dyDescent="0.25">
      <c r="C26" s="3" t="s">
        <v>70</v>
      </c>
      <c r="D26" t="s">
        <v>71</v>
      </c>
      <c r="E26" s="5">
        <f>E21-E23</f>
        <v>0.88888888888888573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2C85-F4DF-46CF-8335-1AA841A3040D}">
  <dimension ref="A1:G9"/>
  <sheetViews>
    <sheetView workbookViewId="0">
      <selection activeCell="G2" sqref="G2"/>
    </sheetView>
  </sheetViews>
  <sheetFormatPr defaultRowHeight="15" x14ac:dyDescent="0.25"/>
  <cols>
    <col min="3" max="3" width="18.42578125" bestFit="1" customWidth="1"/>
  </cols>
  <sheetData>
    <row r="1" spans="1:7" x14ac:dyDescent="0.25">
      <c r="A1" t="s">
        <v>72</v>
      </c>
    </row>
    <row r="2" spans="1:7" x14ac:dyDescent="0.25">
      <c r="G2" s="3" t="s">
        <v>79</v>
      </c>
    </row>
    <row r="3" spans="1:7" x14ac:dyDescent="0.25">
      <c r="C3" t="s">
        <v>73</v>
      </c>
      <c r="D3">
        <v>30</v>
      </c>
      <c r="E3" t="s">
        <v>74</v>
      </c>
    </row>
    <row r="5" spans="1:7" x14ac:dyDescent="0.25">
      <c r="C5" t="s">
        <v>75</v>
      </c>
      <c r="D5">
        <v>3.9</v>
      </c>
      <c r="E5" t="s">
        <v>74</v>
      </c>
    </row>
    <row r="7" spans="1:7" x14ac:dyDescent="0.25">
      <c r="C7" t="s">
        <v>76</v>
      </c>
      <c r="D7">
        <v>48</v>
      </c>
    </row>
    <row r="9" spans="1:7" x14ac:dyDescent="0.25">
      <c r="C9" t="s">
        <v>77</v>
      </c>
      <c r="D9">
        <f>D5*D7</f>
        <v>187.2</v>
      </c>
      <c r="E9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F9A1-4A70-4D6E-923F-F78D116FD519}">
  <dimension ref="A1:M41"/>
  <sheetViews>
    <sheetView workbookViewId="0">
      <selection activeCell="L3" sqref="L3"/>
    </sheetView>
  </sheetViews>
  <sheetFormatPr defaultRowHeight="15" x14ac:dyDescent="0.25"/>
  <sheetData>
    <row r="1" spans="1:13" x14ac:dyDescent="0.25">
      <c r="A1" t="s">
        <v>78</v>
      </c>
    </row>
    <row r="3" spans="1:13" x14ac:dyDescent="0.25">
      <c r="C3" t="s">
        <v>37</v>
      </c>
      <c r="I3" t="s">
        <v>31</v>
      </c>
      <c r="J3" s="6">
        <f>J10/F10</f>
        <v>2.0645161290322581E-2</v>
      </c>
      <c r="L3">
        <f>45*J3</f>
        <v>0.92903225806451617</v>
      </c>
    </row>
    <row r="4" spans="1:13" x14ac:dyDescent="0.25">
      <c r="I4" t="s">
        <v>81</v>
      </c>
    </row>
    <row r="5" spans="1:13" x14ac:dyDescent="0.25">
      <c r="C5" t="s">
        <v>24</v>
      </c>
    </row>
    <row r="6" spans="1:13" x14ac:dyDescent="0.25">
      <c r="C6" t="s">
        <v>35</v>
      </c>
      <c r="D6">
        <f>D7</f>
        <v>35</v>
      </c>
      <c r="E6" t="s">
        <v>26</v>
      </c>
      <c r="F6">
        <f>7*5</f>
        <v>35</v>
      </c>
      <c r="G6" t="s">
        <v>44</v>
      </c>
      <c r="H6">
        <f>F6/5</f>
        <v>7</v>
      </c>
    </row>
    <row r="7" spans="1:13" x14ac:dyDescent="0.25">
      <c r="C7" t="s">
        <v>36</v>
      </c>
      <c r="D7">
        <f>F7</f>
        <v>35</v>
      </c>
      <c r="E7" t="s">
        <v>36</v>
      </c>
      <c r="F7">
        <f>F6</f>
        <v>35</v>
      </c>
    </row>
    <row r="9" spans="1:13" x14ac:dyDescent="0.25">
      <c r="C9" t="s">
        <v>28</v>
      </c>
    </row>
    <row r="10" spans="1:13" x14ac:dyDescent="0.25">
      <c r="C10" t="s">
        <v>35</v>
      </c>
      <c r="D10">
        <f>D11</f>
        <v>155</v>
      </c>
      <c r="E10" t="s">
        <v>26</v>
      </c>
      <c r="F10">
        <f>31*5</f>
        <v>155</v>
      </c>
      <c r="G10" t="s">
        <v>44</v>
      </c>
      <c r="H10">
        <f>F10/5</f>
        <v>31</v>
      </c>
      <c r="I10" t="s">
        <v>1</v>
      </c>
      <c r="J10">
        <v>3.2</v>
      </c>
      <c r="L10" t="s">
        <v>87</v>
      </c>
      <c r="M10">
        <f>H10/(J10/5)</f>
        <v>48.4375</v>
      </c>
    </row>
    <row r="11" spans="1:13" x14ac:dyDescent="0.25">
      <c r="C11" t="s">
        <v>36</v>
      </c>
      <c r="D11">
        <f>F11</f>
        <v>155</v>
      </c>
      <c r="E11" t="s">
        <v>36</v>
      </c>
      <c r="F11">
        <f>F10</f>
        <v>155</v>
      </c>
    </row>
    <row r="12" spans="1:13" x14ac:dyDescent="0.25">
      <c r="I12" t="s">
        <v>82</v>
      </c>
      <c r="J12">
        <v>-45</v>
      </c>
    </row>
    <row r="13" spans="1:13" x14ac:dyDescent="0.25">
      <c r="C13" t="s">
        <v>38</v>
      </c>
    </row>
    <row r="14" spans="1:13" x14ac:dyDescent="0.25">
      <c r="I14" t="s">
        <v>83</v>
      </c>
      <c r="J14">
        <f>0.9/J3</f>
        <v>43.59375</v>
      </c>
    </row>
    <row r="15" spans="1:13" x14ac:dyDescent="0.25">
      <c r="C15" t="s">
        <v>28</v>
      </c>
    </row>
    <row r="16" spans="1:13" x14ac:dyDescent="0.25">
      <c r="C16" t="s">
        <v>35</v>
      </c>
      <c r="D16">
        <v>155</v>
      </c>
      <c r="I16" t="s">
        <v>42</v>
      </c>
      <c r="J16">
        <f>J14+J12</f>
        <v>-1.40625</v>
      </c>
    </row>
    <row r="17" spans="3:13" x14ac:dyDescent="0.25">
      <c r="C17" t="s">
        <v>80</v>
      </c>
      <c r="D17">
        <f>J16</f>
        <v>-1.40625</v>
      </c>
      <c r="E17" t="s">
        <v>26</v>
      </c>
      <c r="F17">
        <f>F18</f>
        <v>153.59375</v>
      </c>
      <c r="G17" t="s">
        <v>44</v>
      </c>
      <c r="H17">
        <f>F17/5</f>
        <v>30.71875</v>
      </c>
    </row>
    <row r="18" spans="3:13" x14ac:dyDescent="0.25">
      <c r="C18" t="s">
        <v>36</v>
      </c>
      <c r="D18">
        <f>SUM(D16:D17)</f>
        <v>153.59375</v>
      </c>
      <c r="E18" t="s">
        <v>36</v>
      </c>
      <c r="F18">
        <f>D18</f>
        <v>153.59375</v>
      </c>
    </row>
    <row r="20" spans="3:13" x14ac:dyDescent="0.25">
      <c r="C20" t="s">
        <v>84</v>
      </c>
    </row>
    <row r="21" spans="3:13" x14ac:dyDescent="0.25">
      <c r="I21" t="s">
        <v>85</v>
      </c>
      <c r="J21">
        <f>45/H17</f>
        <v>1.4649033570701933</v>
      </c>
      <c r="K21" t="s">
        <v>74</v>
      </c>
    </row>
    <row r="22" spans="3:13" x14ac:dyDescent="0.25">
      <c r="C22" t="s">
        <v>28</v>
      </c>
    </row>
    <row r="23" spans="3:13" x14ac:dyDescent="0.25">
      <c r="C23" t="s">
        <v>35</v>
      </c>
      <c r="D23">
        <f>D16+45</f>
        <v>200</v>
      </c>
    </row>
    <row r="24" spans="3:13" x14ac:dyDescent="0.25">
      <c r="C24" t="s">
        <v>80</v>
      </c>
      <c r="D24">
        <f>D17</f>
        <v>-1.40625</v>
      </c>
      <c r="E24" t="s">
        <v>26</v>
      </c>
      <c r="F24">
        <f>F17+(J21*H17)</f>
        <v>198.59375</v>
      </c>
      <c r="G24" t="s">
        <v>86</v>
      </c>
      <c r="H24">
        <f>H17</f>
        <v>30.71875</v>
      </c>
      <c r="L24" t="s">
        <v>87</v>
      </c>
      <c r="M24">
        <f>F24/(J10+0.9)</f>
        <v>48.437499999999993</v>
      </c>
    </row>
    <row r="25" spans="3:13" x14ac:dyDescent="0.25">
      <c r="C25" t="s">
        <v>36</v>
      </c>
      <c r="D25">
        <f>SUM(D23:D24)</f>
        <v>198.59375</v>
      </c>
      <c r="E25" t="s">
        <v>36</v>
      </c>
      <c r="F25">
        <f>F24</f>
        <v>198.59375</v>
      </c>
    </row>
    <row r="29" spans="3:13" x14ac:dyDescent="0.25">
      <c r="C29" t="s">
        <v>91</v>
      </c>
      <c r="G29" t="s">
        <v>90</v>
      </c>
    </row>
    <row r="31" spans="3:13" x14ac:dyDescent="0.25">
      <c r="G31" t="s">
        <v>24</v>
      </c>
    </row>
    <row r="32" spans="3:13" x14ac:dyDescent="0.25">
      <c r="C32" t="s">
        <v>92</v>
      </c>
      <c r="D32">
        <v>7</v>
      </c>
      <c r="G32" t="s">
        <v>35</v>
      </c>
      <c r="H32">
        <f>35+45</f>
        <v>80</v>
      </c>
      <c r="I32" t="s">
        <v>26</v>
      </c>
      <c r="J32">
        <f>J33</f>
        <v>80</v>
      </c>
      <c r="K32" t="s">
        <v>92</v>
      </c>
      <c r="L32">
        <f>J32/(5+J21)</f>
        <v>12.374508261211645</v>
      </c>
    </row>
    <row r="33" spans="3:10" x14ac:dyDescent="0.25">
      <c r="G33" t="s">
        <v>36</v>
      </c>
      <c r="H33">
        <f>H32</f>
        <v>80</v>
      </c>
      <c r="I33" t="s">
        <v>36</v>
      </c>
      <c r="J33">
        <f>H33</f>
        <v>80</v>
      </c>
    </row>
    <row r="35" spans="3:10" x14ac:dyDescent="0.25">
      <c r="C35" t="s">
        <v>88</v>
      </c>
      <c r="D35">
        <v>3.2</v>
      </c>
      <c r="G35" t="s">
        <v>88</v>
      </c>
      <c r="H35">
        <f>3.2+0.9</f>
        <v>4.1000000000000005</v>
      </c>
    </row>
    <row r="37" spans="3:10" x14ac:dyDescent="0.25">
      <c r="C37" t="s">
        <v>89</v>
      </c>
      <c r="D37">
        <f>D35/5</f>
        <v>0.64</v>
      </c>
      <c r="G37" t="s">
        <v>89</v>
      </c>
      <c r="H37">
        <f>H35/(5+J21)</f>
        <v>0.63419354838709685</v>
      </c>
    </row>
    <row r="39" spans="3:10" x14ac:dyDescent="0.25">
      <c r="C39" t="s">
        <v>33</v>
      </c>
      <c r="D39">
        <f>H10</f>
        <v>31</v>
      </c>
      <c r="G39" t="s">
        <v>33</v>
      </c>
      <c r="H39">
        <f>H24</f>
        <v>30.71875</v>
      </c>
    </row>
    <row r="41" spans="3:10" x14ac:dyDescent="0.25">
      <c r="C41" t="s">
        <v>93</v>
      </c>
      <c r="D41">
        <f>F11/F7</f>
        <v>4.4285714285714288</v>
      </c>
      <c r="G41" t="s">
        <v>93</v>
      </c>
      <c r="H41">
        <f>F25/J33</f>
        <v>2.482421875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065B-8736-48D4-8179-D0F32EFF48D7}">
  <dimension ref="A1:F12"/>
  <sheetViews>
    <sheetView workbookViewId="0">
      <selection activeCell="C12" sqref="C12"/>
    </sheetView>
  </sheetViews>
  <sheetFormatPr defaultRowHeight="15" x14ac:dyDescent="0.25"/>
  <cols>
    <col min="3" max="3" width="10.28515625" bestFit="1" customWidth="1"/>
  </cols>
  <sheetData>
    <row r="1" spans="1:6" x14ac:dyDescent="0.25">
      <c r="A1" t="s">
        <v>94</v>
      </c>
    </row>
    <row r="3" spans="1:6" x14ac:dyDescent="0.25">
      <c r="C3" t="s">
        <v>95</v>
      </c>
      <c r="D3">
        <v>56</v>
      </c>
    </row>
    <row r="5" spans="1:6" x14ac:dyDescent="0.25">
      <c r="C5" t="s">
        <v>96</v>
      </c>
      <c r="D5">
        <v>4</v>
      </c>
    </row>
    <row r="8" spans="1:6" x14ac:dyDescent="0.25">
      <c r="C8" t="s">
        <v>97</v>
      </c>
      <c r="E8">
        <f>12+31</f>
        <v>43</v>
      </c>
      <c r="F8">
        <f>E8-49</f>
        <v>-6</v>
      </c>
    </row>
    <row r="12" spans="1:6" x14ac:dyDescent="0.25">
      <c r="C12">
        <f>56-49</f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86A3-F2C5-439A-83E8-350457F928DA}">
  <dimension ref="A1:H91"/>
  <sheetViews>
    <sheetView zoomScaleNormal="100" workbookViewId="0">
      <selection activeCell="G92" sqref="G92"/>
    </sheetView>
  </sheetViews>
  <sheetFormatPr defaultRowHeight="15" x14ac:dyDescent="0.25"/>
  <cols>
    <col min="3" max="3" width="12.42578125" bestFit="1" customWidth="1"/>
    <col min="7" max="7" width="10.5703125" bestFit="1" customWidth="1"/>
  </cols>
  <sheetData>
    <row r="1" spans="1:8" x14ac:dyDescent="0.25">
      <c r="A1" t="s">
        <v>98</v>
      </c>
    </row>
    <row r="3" spans="1:8" x14ac:dyDescent="0.25">
      <c r="C3" t="s">
        <v>99</v>
      </c>
    </row>
    <row r="5" spans="1:8" x14ac:dyDescent="0.25">
      <c r="C5" t="s">
        <v>0</v>
      </c>
      <c r="D5">
        <v>0</v>
      </c>
      <c r="E5">
        <v>1</v>
      </c>
      <c r="G5" t="s">
        <v>31</v>
      </c>
      <c r="H5">
        <f>H10*(1300/1550)+H11*(250/1550)*(0.65)</f>
        <v>0.11375</v>
      </c>
    </row>
    <row r="6" spans="1:8" x14ac:dyDescent="0.25">
      <c r="G6" t="s">
        <v>81</v>
      </c>
    </row>
    <row r="7" spans="1:8" x14ac:dyDescent="0.25">
      <c r="C7" t="s">
        <v>12</v>
      </c>
      <c r="D7">
        <v>3125</v>
      </c>
      <c r="E7">
        <f>D7*1.05</f>
        <v>3281.25</v>
      </c>
      <c r="G7" t="s">
        <v>105</v>
      </c>
    </row>
    <row r="8" spans="1:8" x14ac:dyDescent="0.25">
      <c r="C8" t="s">
        <v>100</v>
      </c>
      <c r="D8">
        <f>D7*0.89</f>
        <v>2781.25</v>
      </c>
      <c r="E8">
        <f>E7*0.89</f>
        <v>2920.3125</v>
      </c>
      <c r="G8" t="s">
        <v>106</v>
      </c>
      <c r="H8">
        <v>0.05</v>
      </c>
    </row>
    <row r="9" spans="1:8" x14ac:dyDescent="0.25">
      <c r="C9" t="s">
        <v>101</v>
      </c>
      <c r="D9">
        <v>74</v>
      </c>
      <c r="E9">
        <f>(D9/D7)*E7</f>
        <v>77.7</v>
      </c>
    </row>
    <row r="10" spans="1:8" x14ac:dyDescent="0.25">
      <c r="C10" t="s">
        <v>102</v>
      </c>
      <c r="D10">
        <f>D7-SUM(D8:D9)</f>
        <v>269.75</v>
      </c>
      <c r="E10">
        <f>E7-SUM(E8:E9)</f>
        <v>283.23750000000018</v>
      </c>
      <c r="G10" t="s">
        <v>111</v>
      </c>
      <c r="H10">
        <f>0.07+0.055</f>
        <v>0.125</v>
      </c>
    </row>
    <row r="11" spans="1:8" x14ac:dyDescent="0.25">
      <c r="C11" t="s">
        <v>103</v>
      </c>
      <c r="D11">
        <f>D10*0.35</f>
        <v>94.412499999999994</v>
      </c>
      <c r="E11">
        <f>E10*0.35</f>
        <v>99.133125000000064</v>
      </c>
      <c r="G11" t="s">
        <v>118</v>
      </c>
      <c r="H11">
        <f>0.085</f>
        <v>8.5000000000000006E-2</v>
      </c>
    </row>
    <row r="12" spans="1:8" x14ac:dyDescent="0.25">
      <c r="C12" t="s">
        <v>1</v>
      </c>
      <c r="D12">
        <f>D10-D11</f>
        <v>175.33750000000001</v>
      </c>
      <c r="E12">
        <f>E10-E11</f>
        <v>184.10437500000012</v>
      </c>
    </row>
    <row r="14" spans="1:8" x14ac:dyDescent="0.25">
      <c r="C14" t="s">
        <v>4</v>
      </c>
      <c r="D14">
        <v>0</v>
      </c>
      <c r="E14">
        <v>0</v>
      </c>
    </row>
    <row r="16" spans="1:8" x14ac:dyDescent="0.25">
      <c r="C16" t="s">
        <v>2</v>
      </c>
      <c r="D16">
        <f>0.1*D7</f>
        <v>312.5</v>
      </c>
      <c r="E16">
        <f>0.1*E7</f>
        <v>328.125</v>
      </c>
    </row>
    <row r="18" spans="3:8" x14ac:dyDescent="0.25">
      <c r="C18" t="s">
        <v>13</v>
      </c>
      <c r="E18">
        <f>E16-D16</f>
        <v>15.625</v>
      </c>
    </row>
    <row r="20" spans="3:8" x14ac:dyDescent="0.25">
      <c r="C20" t="s">
        <v>119</v>
      </c>
      <c r="E20">
        <f>E18</f>
        <v>15.625</v>
      </c>
    </row>
    <row r="22" spans="3:8" x14ac:dyDescent="0.25">
      <c r="C22" t="s">
        <v>104</v>
      </c>
      <c r="E22">
        <f>E12-E18</f>
        <v>168.47937500000012</v>
      </c>
    </row>
    <row r="23" spans="3:8" x14ac:dyDescent="0.25">
      <c r="E23">
        <f>E22/(H5-H8)</f>
        <v>2642.8137254901981</v>
      </c>
    </row>
    <row r="26" spans="3:8" x14ac:dyDescent="0.25">
      <c r="C26" t="s">
        <v>120</v>
      </c>
      <c r="D26">
        <v>0</v>
      </c>
      <c r="E26">
        <v>1</v>
      </c>
      <c r="G26" t="s">
        <v>31</v>
      </c>
      <c r="H26">
        <f>H31*(2000/2160)+H32*(160/2160)*(0.65)</f>
        <v>0.11983333333333333</v>
      </c>
    </row>
    <row r="27" spans="3:8" x14ac:dyDescent="0.25">
      <c r="G27" t="s">
        <v>81</v>
      </c>
    </row>
    <row r="28" spans="3:8" x14ac:dyDescent="0.25">
      <c r="C28" t="s">
        <v>12</v>
      </c>
      <c r="D28">
        <v>4400</v>
      </c>
      <c r="E28">
        <f>D28*1.05</f>
        <v>4620</v>
      </c>
      <c r="G28" t="s">
        <v>105</v>
      </c>
    </row>
    <row r="29" spans="3:8" x14ac:dyDescent="0.25">
      <c r="C29" t="s">
        <v>100</v>
      </c>
      <c r="D29">
        <f>D28*0.875</f>
        <v>3850</v>
      </c>
      <c r="E29">
        <f>E28*0.875</f>
        <v>4042.5</v>
      </c>
      <c r="G29" t="s">
        <v>106</v>
      </c>
      <c r="H29">
        <v>0.05</v>
      </c>
    </row>
    <row r="30" spans="3:8" x14ac:dyDescent="0.25">
      <c r="C30" t="s">
        <v>101</v>
      </c>
      <c r="D30">
        <f>200</f>
        <v>200</v>
      </c>
      <c r="E30">
        <f>(D30/D28)*E28</f>
        <v>210</v>
      </c>
    </row>
    <row r="31" spans="3:8" x14ac:dyDescent="0.25">
      <c r="C31" t="s">
        <v>102</v>
      </c>
      <c r="D31">
        <f>D28-SUM(D29:D30)</f>
        <v>350</v>
      </c>
      <c r="E31">
        <f>E28-SUM(E29:E30)</f>
        <v>367.5</v>
      </c>
      <c r="G31" t="s">
        <v>111</v>
      </c>
      <c r="H31">
        <f>0.07+0.055</f>
        <v>0.125</v>
      </c>
    </row>
    <row r="32" spans="3:8" x14ac:dyDescent="0.25">
      <c r="C32" t="s">
        <v>103</v>
      </c>
      <c r="D32">
        <f>D31*0.35</f>
        <v>122.49999999999999</v>
      </c>
      <c r="E32">
        <f>E31*0.35</f>
        <v>128.625</v>
      </c>
      <c r="G32" t="s">
        <v>118</v>
      </c>
      <c r="H32">
        <v>8.5000000000000006E-2</v>
      </c>
    </row>
    <row r="33" spans="3:8" x14ac:dyDescent="0.25">
      <c r="C33" t="s">
        <v>1</v>
      </c>
      <c r="D33">
        <f>D31-D32</f>
        <v>227.5</v>
      </c>
      <c r="E33">
        <f>E31-E32</f>
        <v>238.875</v>
      </c>
    </row>
    <row r="35" spans="3:8" x14ac:dyDescent="0.25">
      <c r="C35" t="s">
        <v>4</v>
      </c>
      <c r="D35">
        <v>0</v>
      </c>
      <c r="E35">
        <v>0</v>
      </c>
    </row>
    <row r="37" spans="3:8" x14ac:dyDescent="0.25">
      <c r="C37" t="s">
        <v>2</v>
      </c>
      <c r="D37">
        <f>0.1*D28</f>
        <v>440</v>
      </c>
      <c r="E37">
        <f>0.1*E28</f>
        <v>462</v>
      </c>
    </row>
    <row r="39" spans="3:8" x14ac:dyDescent="0.25">
      <c r="C39" t="s">
        <v>13</v>
      </c>
      <c r="E39">
        <f>E37-D37</f>
        <v>22</v>
      </c>
    </row>
    <row r="41" spans="3:8" x14ac:dyDescent="0.25">
      <c r="C41" t="s">
        <v>119</v>
      </c>
      <c r="E41">
        <f>E39</f>
        <v>22</v>
      </c>
    </row>
    <row r="43" spans="3:8" x14ac:dyDescent="0.25">
      <c r="C43" t="s">
        <v>104</v>
      </c>
      <c r="E43">
        <f>E33-E39</f>
        <v>216.875</v>
      </c>
    </row>
    <row r="44" spans="3:8" x14ac:dyDescent="0.25">
      <c r="E44">
        <f>E43/(H26-H29)</f>
        <v>3105.6085918854415</v>
      </c>
      <c r="G44" t="s">
        <v>121</v>
      </c>
      <c r="H44">
        <f>E44+E23</f>
        <v>5748.42231737564</v>
      </c>
    </row>
    <row r="48" spans="3:8" x14ac:dyDescent="0.25">
      <c r="C48" t="s">
        <v>99</v>
      </c>
    </row>
    <row r="50" spans="3:8" x14ac:dyDescent="0.25">
      <c r="C50" t="s">
        <v>0</v>
      </c>
      <c r="D50">
        <v>0</v>
      </c>
      <c r="E50">
        <v>1</v>
      </c>
      <c r="G50" t="s">
        <v>31</v>
      </c>
      <c r="H50">
        <f>H55*(1300/1550)+H56*(250/1550)*(0.65)</f>
        <v>0.11375</v>
      </c>
    </row>
    <row r="51" spans="3:8" x14ac:dyDescent="0.25">
      <c r="G51" t="s">
        <v>81</v>
      </c>
    </row>
    <row r="52" spans="3:8" x14ac:dyDescent="0.25">
      <c r="C52" t="s">
        <v>12</v>
      </c>
      <c r="D52">
        <v>3125</v>
      </c>
      <c r="E52">
        <f>D52*1.05</f>
        <v>3281.25</v>
      </c>
      <c r="G52" t="s">
        <v>105</v>
      </c>
    </row>
    <row r="53" spans="3:8" x14ac:dyDescent="0.25">
      <c r="C53" t="s">
        <v>100</v>
      </c>
      <c r="D53">
        <f>D52*0.86</f>
        <v>2687.5</v>
      </c>
      <c r="E53">
        <f>E52*0.86</f>
        <v>2821.875</v>
      </c>
      <c r="G53" t="s">
        <v>106</v>
      </c>
      <c r="H53">
        <v>0.05</v>
      </c>
    </row>
    <row r="54" spans="3:8" x14ac:dyDescent="0.25">
      <c r="C54" t="s">
        <v>101</v>
      </c>
      <c r="D54">
        <v>74</v>
      </c>
      <c r="E54">
        <f>(D54/D52)*E52</f>
        <v>77.7</v>
      </c>
    </row>
    <row r="55" spans="3:8" x14ac:dyDescent="0.25">
      <c r="C55" t="s">
        <v>102</v>
      </c>
      <c r="D55">
        <f>D52-SUM(D53:D54)</f>
        <v>363.5</v>
      </c>
      <c r="E55">
        <f>E52-SUM(E53:E54)</f>
        <v>381.67500000000018</v>
      </c>
      <c r="G55" t="s">
        <v>111</v>
      </c>
      <c r="H55">
        <f>0.07+0.055</f>
        <v>0.125</v>
      </c>
    </row>
    <row r="56" spans="3:8" x14ac:dyDescent="0.25">
      <c r="C56" t="s">
        <v>103</v>
      </c>
      <c r="D56">
        <f>D55*0.35</f>
        <v>127.22499999999999</v>
      </c>
      <c r="E56">
        <f>E55*0.35</f>
        <v>133.58625000000006</v>
      </c>
      <c r="G56" t="s">
        <v>118</v>
      </c>
      <c r="H56">
        <f>0.085</f>
        <v>8.5000000000000006E-2</v>
      </c>
    </row>
    <row r="57" spans="3:8" x14ac:dyDescent="0.25">
      <c r="C57" t="s">
        <v>1</v>
      </c>
      <c r="D57">
        <f>D55-D56</f>
        <v>236.27500000000001</v>
      </c>
      <c r="E57">
        <f>E55-E56</f>
        <v>248.08875000000012</v>
      </c>
    </row>
    <row r="59" spans="3:8" x14ac:dyDescent="0.25">
      <c r="C59" t="s">
        <v>4</v>
      </c>
      <c r="D59">
        <v>0</v>
      </c>
      <c r="E59">
        <v>0</v>
      </c>
    </row>
    <row r="61" spans="3:8" x14ac:dyDescent="0.25">
      <c r="C61" t="s">
        <v>2</v>
      </c>
      <c r="D61">
        <f>0.1*D52</f>
        <v>312.5</v>
      </c>
      <c r="E61">
        <f>0.1*E52</f>
        <v>328.125</v>
      </c>
    </row>
    <row r="63" spans="3:8" x14ac:dyDescent="0.25">
      <c r="C63" t="s">
        <v>13</v>
      </c>
      <c r="E63">
        <f>E61-D61</f>
        <v>15.625</v>
      </c>
    </row>
    <row r="65" spans="3:8" x14ac:dyDescent="0.25">
      <c r="C65" t="s">
        <v>119</v>
      </c>
      <c r="E65">
        <f>E63</f>
        <v>15.625</v>
      </c>
    </row>
    <row r="67" spans="3:8" x14ac:dyDescent="0.25">
      <c r="C67" t="s">
        <v>104</v>
      </c>
      <c r="E67">
        <f>E57-E63</f>
        <v>232.46375000000012</v>
      </c>
    </row>
    <row r="68" spans="3:8" x14ac:dyDescent="0.25">
      <c r="E68">
        <f>E67/(H50-H53)</f>
        <v>3646.4901960784332</v>
      </c>
    </row>
    <row r="71" spans="3:8" x14ac:dyDescent="0.25">
      <c r="C71" t="s">
        <v>120</v>
      </c>
      <c r="D71">
        <v>0</v>
      </c>
      <c r="E71">
        <v>1</v>
      </c>
      <c r="G71" t="s">
        <v>31</v>
      </c>
      <c r="H71">
        <f>H76*(2000/2160)+H77*(160/2160)*(0.65)</f>
        <v>0.11983333333333333</v>
      </c>
    </row>
    <row r="72" spans="3:8" x14ac:dyDescent="0.25">
      <c r="G72" t="s">
        <v>81</v>
      </c>
    </row>
    <row r="73" spans="3:8" x14ac:dyDescent="0.25">
      <c r="C73" t="s">
        <v>12</v>
      </c>
      <c r="D73">
        <v>4400</v>
      </c>
      <c r="E73">
        <f>D73*1.05</f>
        <v>4620</v>
      </c>
      <c r="G73" t="s">
        <v>105</v>
      </c>
    </row>
    <row r="74" spans="3:8" x14ac:dyDescent="0.25">
      <c r="C74" t="s">
        <v>100</v>
      </c>
      <c r="D74">
        <f>D73*0.86</f>
        <v>3784</v>
      </c>
      <c r="E74">
        <f>E73*0.86</f>
        <v>3973.2</v>
      </c>
      <c r="G74" t="s">
        <v>106</v>
      </c>
      <c r="H74">
        <v>0.05</v>
      </c>
    </row>
    <row r="75" spans="3:8" x14ac:dyDescent="0.25">
      <c r="C75" t="s">
        <v>101</v>
      </c>
      <c r="D75">
        <f>200</f>
        <v>200</v>
      </c>
      <c r="E75">
        <f>(D75/D73)*E73</f>
        <v>210</v>
      </c>
    </row>
    <row r="76" spans="3:8" x14ac:dyDescent="0.25">
      <c r="C76" t="s">
        <v>102</v>
      </c>
      <c r="D76">
        <f>D73-SUM(D74:D75)</f>
        <v>416</v>
      </c>
      <c r="E76">
        <f>E73-SUM(E74:E75)</f>
        <v>436.80000000000018</v>
      </c>
      <c r="G76" t="s">
        <v>111</v>
      </c>
      <c r="H76">
        <f>0.07+0.055</f>
        <v>0.125</v>
      </c>
    </row>
    <row r="77" spans="3:8" x14ac:dyDescent="0.25">
      <c r="C77" t="s">
        <v>103</v>
      </c>
      <c r="D77">
        <f>D76*0.35</f>
        <v>145.6</v>
      </c>
      <c r="E77">
        <f>E76*0.35</f>
        <v>152.88000000000005</v>
      </c>
      <c r="G77" t="s">
        <v>118</v>
      </c>
      <c r="H77">
        <v>8.5000000000000006E-2</v>
      </c>
    </row>
    <row r="78" spans="3:8" x14ac:dyDescent="0.25">
      <c r="C78" t="s">
        <v>1</v>
      </c>
      <c r="D78">
        <f>D76-D77</f>
        <v>270.39999999999998</v>
      </c>
      <c r="E78">
        <f>E76-E77</f>
        <v>283.92000000000013</v>
      </c>
    </row>
    <row r="80" spans="3:8" x14ac:dyDescent="0.25">
      <c r="C80" t="s">
        <v>4</v>
      </c>
      <c r="D80">
        <v>0</v>
      </c>
      <c r="E80">
        <v>0</v>
      </c>
    </row>
    <row r="82" spans="3:8" x14ac:dyDescent="0.25">
      <c r="C82" t="s">
        <v>2</v>
      </c>
      <c r="D82">
        <f>0.1*D73</f>
        <v>440</v>
      </c>
      <c r="E82">
        <f>0.1*E73</f>
        <v>462</v>
      </c>
    </row>
    <row r="84" spans="3:8" x14ac:dyDescent="0.25">
      <c r="C84" t="s">
        <v>13</v>
      </c>
      <c r="E84">
        <f>E82-D82</f>
        <v>22</v>
      </c>
    </row>
    <row r="86" spans="3:8" x14ac:dyDescent="0.25">
      <c r="C86" t="s">
        <v>119</v>
      </c>
      <c r="E86">
        <f>E84</f>
        <v>22</v>
      </c>
    </row>
    <row r="88" spans="3:8" x14ac:dyDescent="0.25">
      <c r="C88" t="s">
        <v>104</v>
      </c>
      <c r="E88">
        <f>E78-E84</f>
        <v>261.92000000000013</v>
      </c>
    </row>
    <row r="89" spans="3:8" x14ac:dyDescent="0.25">
      <c r="E89">
        <f>E88/(H71-H74)</f>
        <v>3750.6443914081165</v>
      </c>
      <c r="G89" t="s">
        <v>122</v>
      </c>
      <c r="H89">
        <f>E89+E68</f>
        <v>7397.1345874865492</v>
      </c>
    </row>
    <row r="91" spans="3:8" x14ac:dyDescent="0.25">
      <c r="G91" t="s">
        <v>123</v>
      </c>
      <c r="H91">
        <f>H89-H44</f>
        <v>1648.7122701109092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435F-2CA6-4DA2-8FCB-4511E639305E}">
  <dimension ref="A1:S113"/>
  <sheetViews>
    <sheetView zoomScale="77" workbookViewId="0">
      <selection activeCell="D112" sqref="D112"/>
    </sheetView>
  </sheetViews>
  <sheetFormatPr defaultRowHeight="15" x14ac:dyDescent="0.25"/>
  <cols>
    <col min="3" max="3" width="12.42578125" bestFit="1" customWidth="1"/>
  </cols>
  <sheetData>
    <row r="1" spans="1:15" x14ac:dyDescent="0.25">
      <c r="A1" t="s">
        <v>107</v>
      </c>
    </row>
    <row r="3" spans="1:15" x14ac:dyDescent="0.25">
      <c r="C3" t="s">
        <v>108</v>
      </c>
    </row>
    <row r="5" spans="1:15" x14ac:dyDescent="0.25">
      <c r="C5" t="s">
        <v>0</v>
      </c>
      <c r="D5">
        <v>0</v>
      </c>
      <c r="E5">
        <f>D5+1</f>
        <v>1</v>
      </c>
      <c r="F5">
        <f t="shared" ref="F5:O5" si="0">E5+1</f>
        <v>2</v>
      </c>
      <c r="G5">
        <f t="shared" si="0"/>
        <v>3</v>
      </c>
      <c r="H5">
        <f t="shared" si="0"/>
        <v>4</v>
      </c>
      <c r="I5">
        <f t="shared" si="0"/>
        <v>5</v>
      </c>
      <c r="J5">
        <f t="shared" si="0"/>
        <v>6</v>
      </c>
      <c r="K5">
        <f t="shared" si="0"/>
        <v>7</v>
      </c>
      <c r="L5">
        <f t="shared" si="0"/>
        <v>8</v>
      </c>
      <c r="M5">
        <f t="shared" si="0"/>
        <v>9</v>
      </c>
      <c r="N5">
        <f t="shared" si="0"/>
        <v>10</v>
      </c>
      <c r="O5">
        <f t="shared" si="0"/>
        <v>11</v>
      </c>
    </row>
    <row r="7" spans="1:15" x14ac:dyDescent="0.25">
      <c r="C7" t="s">
        <v>12</v>
      </c>
      <c r="D7">
        <v>1200</v>
      </c>
      <c r="E7">
        <f>D7*1.25</f>
        <v>1500</v>
      </c>
      <c r="F7">
        <f t="shared" ref="F7:N7" si="1">E7*1.25</f>
        <v>1875</v>
      </c>
      <c r="G7">
        <f t="shared" si="1"/>
        <v>2343.75</v>
      </c>
      <c r="H7">
        <f t="shared" si="1"/>
        <v>2929.6875</v>
      </c>
      <c r="I7">
        <f t="shared" si="1"/>
        <v>3662.109375</v>
      </c>
      <c r="J7">
        <f t="shared" si="1"/>
        <v>4577.63671875</v>
      </c>
      <c r="K7">
        <f t="shared" si="1"/>
        <v>5722.0458984375</v>
      </c>
      <c r="L7">
        <f t="shared" si="1"/>
        <v>7152.557373046875</v>
      </c>
      <c r="M7">
        <f t="shared" si="1"/>
        <v>8940.6967163085938</v>
      </c>
      <c r="N7">
        <f t="shared" si="1"/>
        <v>11175.870895385742</v>
      </c>
      <c r="O7">
        <f>N7*1.06</f>
        <v>11846.423149108887</v>
      </c>
    </row>
    <row r="8" spans="1:15" x14ac:dyDescent="0.25">
      <c r="C8" t="s">
        <v>100</v>
      </c>
      <c r="D8">
        <f>D7*0.57</f>
        <v>683.99999999999989</v>
      </c>
      <c r="E8">
        <f>E7*0.57</f>
        <v>854.99999999999989</v>
      </c>
      <c r="F8">
        <f t="shared" ref="F8:O8" si="2">F7*0.57</f>
        <v>1068.75</v>
      </c>
      <c r="G8">
        <f t="shared" si="2"/>
        <v>1335.9374999999998</v>
      </c>
      <c r="H8">
        <f t="shared" si="2"/>
        <v>1669.9218749999998</v>
      </c>
      <c r="I8">
        <f t="shared" si="2"/>
        <v>2087.40234375</v>
      </c>
      <c r="J8">
        <f t="shared" si="2"/>
        <v>2609.2529296875</v>
      </c>
      <c r="K8">
        <f t="shared" si="2"/>
        <v>3261.5661621093745</v>
      </c>
      <c r="L8">
        <f t="shared" si="2"/>
        <v>4076.9577026367183</v>
      </c>
      <c r="M8">
        <f t="shared" si="2"/>
        <v>5096.1971282958984</v>
      </c>
      <c r="N8">
        <f t="shared" si="2"/>
        <v>6370.2464103698721</v>
      </c>
      <c r="O8">
        <f t="shared" si="2"/>
        <v>6752.4611949920645</v>
      </c>
    </row>
    <row r="9" spans="1:15" x14ac:dyDescent="0.25">
      <c r="C9" t="s">
        <v>101</v>
      </c>
      <c r="D9">
        <v>42</v>
      </c>
      <c r="E9">
        <f>(D9/D7)*E7</f>
        <v>52.500000000000007</v>
      </c>
      <c r="F9">
        <f t="shared" ref="F9:N9" si="3">(E9/E7)*F7</f>
        <v>65.625</v>
      </c>
      <c r="G9">
        <f t="shared" si="3"/>
        <v>82.031250000000014</v>
      </c>
      <c r="H9">
        <f t="shared" si="3"/>
        <v>102.53906250000001</v>
      </c>
      <c r="I9">
        <f t="shared" si="3"/>
        <v>128.173828125</v>
      </c>
      <c r="J9">
        <f t="shared" si="3"/>
        <v>160.21728515625003</v>
      </c>
      <c r="K9">
        <f t="shared" si="3"/>
        <v>200.27160644531253</v>
      </c>
      <c r="L9">
        <f t="shared" si="3"/>
        <v>250.33950805664065</v>
      </c>
      <c r="M9">
        <f t="shared" si="3"/>
        <v>312.92438507080084</v>
      </c>
      <c r="N9">
        <f t="shared" si="3"/>
        <v>391.15548133850103</v>
      </c>
      <c r="O9">
        <f>(N9/N7)*O7</f>
        <v>414.62481021881109</v>
      </c>
    </row>
    <row r="10" spans="1:15" x14ac:dyDescent="0.25">
      <c r="C10" t="s">
        <v>102</v>
      </c>
      <c r="D10">
        <f>D7-SUM(D8:D9)</f>
        <v>474.00000000000011</v>
      </c>
      <c r="E10">
        <f>E7-SUM(E8:E9)</f>
        <v>592.50000000000011</v>
      </c>
      <c r="F10">
        <f t="shared" ref="F10:N10" si="4">F7-SUM(F8:F9)</f>
        <v>740.625</v>
      </c>
      <c r="G10">
        <f t="shared" si="4"/>
        <v>925.78125000000023</v>
      </c>
      <c r="H10">
        <f t="shared" si="4"/>
        <v>1157.2265625000002</v>
      </c>
      <c r="I10">
        <f t="shared" si="4"/>
        <v>1446.533203125</v>
      </c>
      <c r="J10">
        <f t="shared" si="4"/>
        <v>1808.16650390625</v>
      </c>
      <c r="K10">
        <f t="shared" si="4"/>
        <v>2260.208129882813</v>
      </c>
      <c r="L10">
        <f t="shared" si="4"/>
        <v>2825.2601623535156</v>
      </c>
      <c r="M10">
        <f t="shared" si="4"/>
        <v>3531.5752029418945</v>
      </c>
      <c r="N10">
        <f t="shared" si="4"/>
        <v>4414.4690036773691</v>
      </c>
      <c r="O10">
        <f>O7-SUM(O8:O9)</f>
        <v>4679.3371438980112</v>
      </c>
    </row>
    <row r="11" spans="1:15" x14ac:dyDescent="0.25">
      <c r="C11" t="s">
        <v>103</v>
      </c>
      <c r="D11">
        <f>D10*0.35</f>
        <v>165.90000000000003</v>
      </c>
      <c r="E11">
        <f>E10*0.35</f>
        <v>207.37500000000003</v>
      </c>
      <c r="F11">
        <f t="shared" ref="F11:N11" si="5">F10*0.35</f>
        <v>259.21875</v>
      </c>
      <c r="G11">
        <f t="shared" si="5"/>
        <v>324.02343750000006</v>
      </c>
      <c r="H11">
        <f t="shared" si="5"/>
        <v>405.02929687500006</v>
      </c>
      <c r="I11">
        <f t="shared" si="5"/>
        <v>506.28662109374994</v>
      </c>
      <c r="J11">
        <f t="shared" si="5"/>
        <v>632.8582763671875</v>
      </c>
      <c r="K11">
        <f t="shared" si="5"/>
        <v>791.07284545898449</v>
      </c>
      <c r="L11">
        <f t="shared" si="5"/>
        <v>988.84105682373036</v>
      </c>
      <c r="M11">
        <f t="shared" si="5"/>
        <v>1236.0513210296631</v>
      </c>
      <c r="N11">
        <f t="shared" si="5"/>
        <v>1545.0641512870791</v>
      </c>
      <c r="O11">
        <f>O10*0.35</f>
        <v>1637.7680003643038</v>
      </c>
    </row>
    <row r="12" spans="1:15" x14ac:dyDescent="0.25">
      <c r="C12" t="s">
        <v>1</v>
      </c>
      <c r="D12">
        <f>D10-D11</f>
        <v>308.10000000000008</v>
      </c>
      <c r="E12">
        <f>E10-E11</f>
        <v>385.12500000000011</v>
      </c>
      <c r="F12">
        <f t="shared" ref="F12:N12" si="6">F10-F11</f>
        <v>481.40625</v>
      </c>
      <c r="G12">
        <f t="shared" si="6"/>
        <v>601.75781250000023</v>
      </c>
      <c r="H12">
        <f t="shared" si="6"/>
        <v>752.19726562500023</v>
      </c>
      <c r="I12">
        <f t="shared" si="6"/>
        <v>940.24658203125</v>
      </c>
      <c r="J12">
        <f t="shared" si="6"/>
        <v>1175.3082275390625</v>
      </c>
      <c r="K12">
        <f t="shared" si="6"/>
        <v>1469.1352844238286</v>
      </c>
      <c r="L12">
        <f t="shared" si="6"/>
        <v>1836.4191055297852</v>
      </c>
      <c r="M12">
        <f t="shared" si="6"/>
        <v>2295.5238819122314</v>
      </c>
      <c r="N12">
        <f t="shared" si="6"/>
        <v>2869.4048523902902</v>
      </c>
      <c r="O12">
        <f>O10-O11</f>
        <v>3041.5691435337076</v>
      </c>
    </row>
    <row r="14" spans="1:15" x14ac:dyDescent="0.25">
      <c r="C14" t="s">
        <v>4</v>
      </c>
      <c r="D14">
        <f>75</f>
        <v>75</v>
      </c>
      <c r="E14">
        <f>(D14/D7)*E7</f>
        <v>93.75</v>
      </c>
      <c r="F14">
        <f t="shared" ref="F14:N14" si="7">(E14/E7)*F7</f>
        <v>117.1875</v>
      </c>
      <c r="G14">
        <f t="shared" si="7"/>
        <v>146.484375</v>
      </c>
      <c r="H14">
        <f t="shared" si="7"/>
        <v>183.10546875</v>
      </c>
      <c r="I14">
        <f t="shared" si="7"/>
        <v>228.8818359375</v>
      </c>
      <c r="J14">
        <f t="shared" si="7"/>
        <v>286.102294921875</v>
      </c>
      <c r="K14">
        <f t="shared" si="7"/>
        <v>357.62786865234375</v>
      </c>
      <c r="L14">
        <f t="shared" si="7"/>
        <v>447.03483581542969</v>
      </c>
      <c r="M14">
        <f t="shared" si="7"/>
        <v>558.79354476928711</v>
      </c>
      <c r="N14">
        <f t="shared" si="7"/>
        <v>698.49193096160889</v>
      </c>
    </row>
    <row r="15" spans="1:15" x14ac:dyDescent="0.25">
      <c r="C15" t="s">
        <v>3</v>
      </c>
      <c r="D15">
        <v>42</v>
      </c>
      <c r="E15">
        <f>E9</f>
        <v>52.500000000000007</v>
      </c>
      <c r="F15">
        <f t="shared" ref="F15:N15" si="8">F9</f>
        <v>65.625</v>
      </c>
      <c r="G15">
        <f t="shared" si="8"/>
        <v>82.031250000000014</v>
      </c>
      <c r="H15">
        <f t="shared" si="8"/>
        <v>102.53906250000001</v>
      </c>
      <c r="I15">
        <f t="shared" si="8"/>
        <v>128.173828125</v>
      </c>
      <c r="J15">
        <f t="shared" si="8"/>
        <v>160.21728515625003</v>
      </c>
      <c r="K15">
        <f t="shared" si="8"/>
        <v>200.27160644531253</v>
      </c>
      <c r="L15">
        <f t="shared" si="8"/>
        <v>250.33950805664065</v>
      </c>
      <c r="M15">
        <f t="shared" si="8"/>
        <v>312.92438507080084</v>
      </c>
      <c r="N15">
        <f t="shared" si="8"/>
        <v>391.15548133850103</v>
      </c>
    </row>
    <row r="16" spans="1:15" x14ac:dyDescent="0.25">
      <c r="C16" t="s">
        <v>5</v>
      </c>
      <c r="D16">
        <f>D14-D15</f>
        <v>33</v>
      </c>
      <c r="E16">
        <f>E14-E15</f>
        <v>41.249999999999993</v>
      </c>
      <c r="F16">
        <f t="shared" ref="F16:N16" si="9">F14-F15</f>
        <v>51.5625</v>
      </c>
      <c r="G16">
        <f t="shared" si="9"/>
        <v>64.453124999999986</v>
      </c>
      <c r="H16">
        <f t="shared" si="9"/>
        <v>80.566406249999986</v>
      </c>
      <c r="I16">
        <f t="shared" si="9"/>
        <v>100.7080078125</v>
      </c>
      <c r="J16">
        <f t="shared" si="9"/>
        <v>125.88500976562497</v>
      </c>
      <c r="K16">
        <f t="shared" si="9"/>
        <v>157.35626220703122</v>
      </c>
      <c r="L16">
        <f t="shared" si="9"/>
        <v>196.69532775878903</v>
      </c>
      <c r="M16">
        <f t="shared" si="9"/>
        <v>245.86915969848627</v>
      </c>
      <c r="N16">
        <f t="shared" si="9"/>
        <v>307.33644962310785</v>
      </c>
      <c r="O16">
        <v>0</v>
      </c>
    </row>
    <row r="18" spans="3:15" x14ac:dyDescent="0.25">
      <c r="C18" t="s">
        <v>2</v>
      </c>
      <c r="D18">
        <f>D7*0.4</f>
        <v>480</v>
      </c>
      <c r="E18">
        <f>E7*0.4</f>
        <v>600</v>
      </c>
      <c r="F18">
        <f t="shared" ref="F18:N18" si="10">F7*0.4</f>
        <v>750</v>
      </c>
      <c r="G18">
        <f t="shared" si="10"/>
        <v>937.5</v>
      </c>
      <c r="H18">
        <f t="shared" si="10"/>
        <v>1171.875</v>
      </c>
      <c r="I18">
        <f t="shared" si="10"/>
        <v>1464.84375</v>
      </c>
      <c r="J18">
        <f t="shared" si="10"/>
        <v>1831.0546875</v>
      </c>
      <c r="K18">
        <f t="shared" si="10"/>
        <v>2288.818359375</v>
      </c>
      <c r="L18">
        <f t="shared" si="10"/>
        <v>2861.02294921875</v>
      </c>
      <c r="M18">
        <f t="shared" si="10"/>
        <v>3576.2786865234375</v>
      </c>
      <c r="N18">
        <f t="shared" si="10"/>
        <v>4470.3483581542969</v>
      </c>
      <c r="O18">
        <f>O7*0.4</f>
        <v>4738.5692596435547</v>
      </c>
    </row>
    <row r="19" spans="3:15" x14ac:dyDescent="0.25">
      <c r="C19" t="s">
        <v>13</v>
      </c>
      <c r="E19">
        <f>E18-D18</f>
        <v>120</v>
      </c>
      <c r="F19">
        <f t="shared" ref="F19:O19" si="11">F18-E18</f>
        <v>150</v>
      </c>
      <c r="G19">
        <f t="shared" si="11"/>
        <v>187.5</v>
      </c>
      <c r="H19">
        <f t="shared" si="11"/>
        <v>234.375</v>
      </c>
      <c r="I19">
        <f t="shared" si="11"/>
        <v>292.96875</v>
      </c>
      <c r="J19">
        <f t="shared" si="11"/>
        <v>366.2109375</v>
      </c>
      <c r="K19">
        <f t="shared" si="11"/>
        <v>457.763671875</v>
      </c>
      <c r="L19">
        <f t="shared" si="11"/>
        <v>572.20458984375</v>
      </c>
      <c r="M19">
        <f t="shared" si="11"/>
        <v>715.2557373046875</v>
      </c>
      <c r="N19">
        <f t="shared" si="11"/>
        <v>894.06967163085938</v>
      </c>
      <c r="O19">
        <f t="shared" si="11"/>
        <v>268.22090148925781</v>
      </c>
    </row>
    <row r="21" spans="3:15" x14ac:dyDescent="0.25">
      <c r="C21" t="s">
        <v>109</v>
      </c>
      <c r="E21">
        <f>E19+E16</f>
        <v>161.25</v>
      </c>
      <c r="F21">
        <f t="shared" ref="F21:O21" si="12">F19+F16</f>
        <v>201.5625</v>
      </c>
      <c r="G21">
        <f t="shared" si="12"/>
        <v>251.953125</v>
      </c>
      <c r="H21">
        <f t="shared" si="12"/>
        <v>314.94140625</v>
      </c>
      <c r="I21">
        <f t="shared" si="12"/>
        <v>393.6767578125</v>
      </c>
      <c r="J21">
        <f t="shared" si="12"/>
        <v>492.095947265625</v>
      </c>
      <c r="K21">
        <f t="shared" si="12"/>
        <v>615.11993408203125</v>
      </c>
      <c r="L21">
        <f t="shared" si="12"/>
        <v>768.89991760253906</v>
      </c>
      <c r="M21">
        <f t="shared" si="12"/>
        <v>961.12489700317383</v>
      </c>
      <c r="N21">
        <f t="shared" si="12"/>
        <v>1201.4061212539673</v>
      </c>
      <c r="O21">
        <f t="shared" si="12"/>
        <v>268.22090148925781</v>
      </c>
    </row>
    <row r="22" spans="3:15" x14ac:dyDescent="0.25">
      <c r="E22">
        <f>E21/E12</f>
        <v>0.41869522882181098</v>
      </c>
      <c r="O22">
        <f>O21/O12</f>
        <v>8.8185041612316481E-2</v>
      </c>
    </row>
    <row r="23" spans="3:15" x14ac:dyDescent="0.25">
      <c r="C23" t="s">
        <v>7</v>
      </c>
      <c r="E23">
        <f>E12-E21</f>
        <v>223.87500000000011</v>
      </c>
      <c r="F23">
        <f t="shared" ref="F23:N23" si="13">F12-F21</f>
        <v>279.84375</v>
      </c>
      <c r="G23">
        <f t="shared" si="13"/>
        <v>349.80468750000023</v>
      </c>
      <c r="H23">
        <f t="shared" si="13"/>
        <v>437.25585937500023</v>
      </c>
      <c r="I23">
        <f t="shared" si="13"/>
        <v>546.56982421875</v>
      </c>
      <c r="J23">
        <f t="shared" si="13"/>
        <v>683.2122802734375</v>
      </c>
      <c r="K23">
        <f t="shared" si="13"/>
        <v>854.01535034179733</v>
      </c>
      <c r="L23">
        <f t="shared" si="13"/>
        <v>1067.5191879272461</v>
      </c>
      <c r="M23">
        <f t="shared" si="13"/>
        <v>1334.3989849090576</v>
      </c>
      <c r="N23">
        <f t="shared" si="13"/>
        <v>1667.9987311363229</v>
      </c>
      <c r="O23">
        <f>O12-O21</f>
        <v>2773.3482420444498</v>
      </c>
    </row>
    <row r="24" spans="3:15" x14ac:dyDescent="0.25">
      <c r="N24">
        <f>O23/(E30-E33)</f>
        <v>39338.272936800699</v>
      </c>
    </row>
    <row r="25" spans="3:15" x14ac:dyDescent="0.25">
      <c r="C25" t="s">
        <v>110</v>
      </c>
      <c r="D25">
        <f>SUM(E25:N25)</f>
        <v>12663.950568639892</v>
      </c>
      <c r="E25">
        <f>E23/(1+$D$30)^E5</f>
        <v>194.71624266144823</v>
      </c>
      <c r="F25">
        <f t="shared" ref="F25:M25" si="14">F23/(1+$D$30)^F5</f>
        <v>211.69411030816278</v>
      </c>
      <c r="G25">
        <f t="shared" si="14"/>
        <v>230.15232692777005</v>
      </c>
      <c r="H25">
        <f t="shared" si="14"/>
        <v>250.21996839287894</v>
      </c>
      <c r="I25">
        <f>I23/(1+$D$30)^I5</f>
        <v>272.03736507162296</v>
      </c>
      <c r="J25">
        <f t="shared" si="14"/>
        <v>295.75708313940305</v>
      </c>
      <c r="K25">
        <f t="shared" si="14"/>
        <v>321.54499145401519</v>
      </c>
      <c r="L25">
        <f t="shared" si="14"/>
        <v>349.58142145468042</v>
      </c>
      <c r="M25">
        <f t="shared" si="14"/>
        <v>380.06242819599959</v>
      </c>
      <c r="N25">
        <f>(N23+N24)/(1+$D$30)^N5</f>
        <v>10158.184631033912</v>
      </c>
    </row>
    <row r="26" spans="3:15" x14ac:dyDescent="0.25">
      <c r="D26">
        <v>12059</v>
      </c>
    </row>
    <row r="28" spans="3:15" x14ac:dyDescent="0.25">
      <c r="D28" t="s">
        <v>112</v>
      </c>
      <c r="E28" t="s">
        <v>113</v>
      </c>
    </row>
    <row r="29" spans="3:15" x14ac:dyDescent="0.25">
      <c r="C29" t="s">
        <v>114</v>
      </c>
      <c r="D29">
        <v>1.45</v>
      </c>
      <c r="E29">
        <v>1.1000000000000001</v>
      </c>
      <c r="I29">
        <f>D26+D61</f>
        <v>13613</v>
      </c>
    </row>
    <row r="30" spans="3:15" x14ac:dyDescent="0.25">
      <c r="C30" t="s">
        <v>31</v>
      </c>
      <c r="D30">
        <f>0.07+D29*0.055</f>
        <v>0.14974999999999999</v>
      </c>
      <c r="E30">
        <f>0.07+E29*0.055</f>
        <v>0.1305</v>
      </c>
    </row>
    <row r="31" spans="3:15" x14ac:dyDescent="0.25">
      <c r="C31" t="s">
        <v>81</v>
      </c>
      <c r="D31">
        <f>D33/D32</f>
        <v>0.59709302325581415</v>
      </c>
      <c r="E31">
        <f>E33/E32</f>
        <v>0.68038750000000026</v>
      </c>
    </row>
    <row r="32" spans="3:15" x14ac:dyDescent="0.25">
      <c r="C32" t="s">
        <v>105</v>
      </c>
      <c r="D32">
        <f>E22</f>
        <v>0.41869522882181098</v>
      </c>
      <c r="E32">
        <f>O22</f>
        <v>8.8185041612316481E-2</v>
      </c>
    </row>
    <row r="33" spans="3:15" x14ac:dyDescent="0.25">
      <c r="C33" t="s">
        <v>106</v>
      </c>
      <c r="D33">
        <v>0.25</v>
      </c>
      <c r="E33">
        <v>0.06</v>
      </c>
    </row>
    <row r="38" spans="3:15" x14ac:dyDescent="0.25">
      <c r="C38" t="s">
        <v>115</v>
      </c>
    </row>
    <row r="40" spans="3:15" x14ac:dyDescent="0.25">
      <c r="C40" t="s">
        <v>0</v>
      </c>
      <c r="D40">
        <v>0</v>
      </c>
      <c r="E40">
        <f>D40+1</f>
        <v>1</v>
      </c>
      <c r="F40">
        <f t="shared" ref="F40:O40" si="15">E40+1</f>
        <v>2</v>
      </c>
      <c r="G40">
        <f t="shared" si="15"/>
        <v>3</v>
      </c>
      <c r="H40">
        <f t="shared" si="15"/>
        <v>4</v>
      </c>
      <c r="I40">
        <f t="shared" si="15"/>
        <v>5</v>
      </c>
      <c r="J40">
        <f t="shared" si="15"/>
        <v>6</v>
      </c>
      <c r="K40">
        <f t="shared" si="15"/>
        <v>7</v>
      </c>
      <c r="L40">
        <f t="shared" si="15"/>
        <v>8</v>
      </c>
      <c r="M40">
        <f t="shared" si="15"/>
        <v>9</v>
      </c>
      <c r="N40">
        <f t="shared" si="15"/>
        <v>10</v>
      </c>
      <c r="O40">
        <f t="shared" si="15"/>
        <v>11</v>
      </c>
    </row>
    <row r="42" spans="3:15" x14ac:dyDescent="0.25">
      <c r="C42" t="s">
        <v>12</v>
      </c>
      <c r="D42">
        <v>600</v>
      </c>
      <c r="E42">
        <f>D42*1.15</f>
        <v>690</v>
      </c>
      <c r="F42">
        <f t="shared" ref="F42:N42" si="16">E42*1.15</f>
        <v>793.49999999999989</v>
      </c>
      <c r="G42">
        <f t="shared" si="16"/>
        <v>912.52499999999975</v>
      </c>
      <c r="H42">
        <f t="shared" si="16"/>
        <v>1049.4037499999997</v>
      </c>
      <c r="I42">
        <f t="shared" si="16"/>
        <v>1206.8143124999997</v>
      </c>
      <c r="J42">
        <f t="shared" si="16"/>
        <v>1387.8364593749995</v>
      </c>
      <c r="K42">
        <f t="shared" si="16"/>
        <v>1596.0119282812493</v>
      </c>
      <c r="L42">
        <f t="shared" si="16"/>
        <v>1835.4137175234366</v>
      </c>
      <c r="M42">
        <f t="shared" si="16"/>
        <v>2110.7257751519519</v>
      </c>
      <c r="N42">
        <f t="shared" si="16"/>
        <v>2427.3346414247444</v>
      </c>
      <c r="O42">
        <f>N42*1.06</f>
        <v>2572.9747199102294</v>
      </c>
    </row>
    <row r="43" spans="3:15" x14ac:dyDescent="0.25">
      <c r="C43" t="s">
        <v>100</v>
      </c>
      <c r="D43">
        <f>D42*0.75</f>
        <v>450</v>
      </c>
      <c r="E43">
        <f>E42*0.75</f>
        <v>517.5</v>
      </c>
      <c r="F43">
        <f t="shared" ref="F43:O43" si="17">F42*0.75</f>
        <v>595.12499999999989</v>
      </c>
      <c r="G43">
        <f t="shared" si="17"/>
        <v>684.39374999999984</v>
      </c>
      <c r="H43">
        <f t="shared" si="17"/>
        <v>787.05281249999985</v>
      </c>
      <c r="I43">
        <f t="shared" si="17"/>
        <v>905.11073437499977</v>
      </c>
      <c r="J43">
        <f t="shared" si="17"/>
        <v>1040.8773445312497</v>
      </c>
      <c r="K43">
        <f t="shared" si="17"/>
        <v>1197.008946210937</v>
      </c>
      <c r="L43">
        <f t="shared" si="17"/>
        <v>1376.5602881425775</v>
      </c>
      <c r="M43">
        <f t="shared" si="17"/>
        <v>1583.0443313639639</v>
      </c>
      <c r="N43">
        <f t="shared" si="17"/>
        <v>1820.5009810685583</v>
      </c>
      <c r="O43">
        <f t="shared" si="17"/>
        <v>1929.731039932672</v>
      </c>
    </row>
    <row r="44" spans="3:15" x14ac:dyDescent="0.25">
      <c r="C44" t="s">
        <v>101</v>
      </c>
      <c r="D44">
        <f>25</f>
        <v>25</v>
      </c>
      <c r="E44">
        <f>(D44/D42)*E42</f>
        <v>28.75</v>
      </c>
      <c r="F44">
        <f t="shared" ref="F44:N44" si="18">(E44/E42)*F42</f>
        <v>33.062499999999993</v>
      </c>
      <c r="G44">
        <f t="shared" si="18"/>
        <v>38.021874999999987</v>
      </c>
      <c r="H44">
        <f t="shared" si="18"/>
        <v>43.725156249999984</v>
      </c>
      <c r="I44">
        <f t="shared" si="18"/>
        <v>50.283929687499985</v>
      </c>
      <c r="J44">
        <f t="shared" si="18"/>
        <v>57.826519140624981</v>
      </c>
      <c r="K44">
        <f t="shared" si="18"/>
        <v>66.500497011718721</v>
      </c>
      <c r="L44">
        <f t="shared" si="18"/>
        <v>76.475571563476521</v>
      </c>
      <c r="M44">
        <f t="shared" si="18"/>
        <v>87.946907297997996</v>
      </c>
      <c r="N44">
        <f t="shared" si="18"/>
        <v>101.13894339269768</v>
      </c>
      <c r="O44">
        <f>(N44/N42)*O42</f>
        <v>107.20727999625956</v>
      </c>
    </row>
    <row r="45" spans="3:15" x14ac:dyDescent="0.25">
      <c r="C45" t="s">
        <v>102</v>
      </c>
      <c r="D45">
        <f>D42-SUM(D43:D44)</f>
        <v>125</v>
      </c>
      <c r="E45">
        <f>E42-SUM(E43:E44)</f>
        <v>143.75</v>
      </c>
      <c r="F45">
        <f t="shared" ref="F45:N45" si="19">F42-SUM(F43:F44)</f>
        <v>165.3125</v>
      </c>
      <c r="G45">
        <f t="shared" si="19"/>
        <v>190.10937499999989</v>
      </c>
      <c r="H45">
        <f t="shared" si="19"/>
        <v>218.62578124999993</v>
      </c>
      <c r="I45">
        <f t="shared" si="19"/>
        <v>251.41964843749997</v>
      </c>
      <c r="J45">
        <f t="shared" si="19"/>
        <v>289.13259570312493</v>
      </c>
      <c r="K45">
        <f t="shared" si="19"/>
        <v>332.50248505859372</v>
      </c>
      <c r="L45">
        <f t="shared" si="19"/>
        <v>382.37785781738262</v>
      </c>
      <c r="M45">
        <f t="shared" si="19"/>
        <v>439.73453648998998</v>
      </c>
      <c r="N45">
        <f t="shared" si="19"/>
        <v>505.69471696348842</v>
      </c>
      <c r="O45">
        <f>O42-SUM(O43:O44)</f>
        <v>536.03639998129779</v>
      </c>
    </row>
    <row r="46" spans="3:15" x14ac:dyDescent="0.25">
      <c r="C46" t="s">
        <v>103</v>
      </c>
      <c r="D46">
        <f>D45*0.35</f>
        <v>43.75</v>
      </c>
      <c r="E46">
        <f>E45*0.35</f>
        <v>50.3125</v>
      </c>
      <c r="F46">
        <f t="shared" ref="F46:N46" si="20">F45*0.35</f>
        <v>57.859374999999993</v>
      </c>
      <c r="G46">
        <f t="shared" si="20"/>
        <v>66.538281249999955</v>
      </c>
      <c r="H46">
        <f t="shared" si="20"/>
        <v>76.519023437499968</v>
      </c>
      <c r="I46">
        <f t="shared" si="20"/>
        <v>87.996876953124982</v>
      </c>
      <c r="J46">
        <f t="shared" si="20"/>
        <v>101.19640849609372</v>
      </c>
      <c r="K46">
        <f t="shared" si="20"/>
        <v>116.37586977050779</v>
      </c>
      <c r="L46">
        <f t="shared" si="20"/>
        <v>133.83225023608392</v>
      </c>
      <c r="M46">
        <f t="shared" si="20"/>
        <v>153.90708777149649</v>
      </c>
      <c r="N46">
        <f t="shared" si="20"/>
        <v>176.99315093722095</v>
      </c>
      <c r="O46">
        <f>O45*0.35</f>
        <v>187.61273999345423</v>
      </c>
    </row>
    <row r="47" spans="3:15" x14ac:dyDescent="0.25">
      <c r="C47" t="s">
        <v>1</v>
      </c>
      <c r="D47">
        <f>D45-D46</f>
        <v>81.25</v>
      </c>
      <c r="E47">
        <f>E45-E46</f>
        <v>93.4375</v>
      </c>
      <c r="F47">
        <f t="shared" ref="F47:N47" si="21">F45-F46</f>
        <v>107.453125</v>
      </c>
      <c r="G47">
        <f t="shared" si="21"/>
        <v>123.57109374999993</v>
      </c>
      <c r="H47">
        <f t="shared" si="21"/>
        <v>142.10675781249995</v>
      </c>
      <c r="I47">
        <f t="shared" si="21"/>
        <v>163.42277148437501</v>
      </c>
      <c r="J47">
        <f t="shared" si="21"/>
        <v>187.9361872070312</v>
      </c>
      <c r="K47">
        <f t="shared" si="21"/>
        <v>216.12661528808593</v>
      </c>
      <c r="L47">
        <f t="shared" si="21"/>
        <v>248.5456075812987</v>
      </c>
      <c r="M47">
        <f t="shared" si="21"/>
        <v>285.82744871849349</v>
      </c>
      <c r="N47">
        <f t="shared" si="21"/>
        <v>328.70156602626747</v>
      </c>
      <c r="O47">
        <f>O45-O46</f>
        <v>348.42365998784356</v>
      </c>
    </row>
    <row r="49" spans="3:15" x14ac:dyDescent="0.25">
      <c r="C49" t="s">
        <v>4</v>
      </c>
      <c r="D49">
        <f>40</f>
        <v>40</v>
      </c>
      <c r="E49">
        <f>(D49/D42)*E42</f>
        <v>46</v>
      </c>
      <c r="F49">
        <f t="shared" ref="F49:N49" si="22">(E49/E42)*F42</f>
        <v>52.899999999999991</v>
      </c>
      <c r="G49">
        <f t="shared" si="22"/>
        <v>60.83499999999998</v>
      </c>
      <c r="H49">
        <f t="shared" si="22"/>
        <v>69.960249999999974</v>
      </c>
      <c r="I49">
        <f t="shared" si="22"/>
        <v>80.454287499999978</v>
      </c>
      <c r="J49">
        <f t="shared" si="22"/>
        <v>92.52243062499997</v>
      </c>
      <c r="K49">
        <f t="shared" si="22"/>
        <v>106.40079521874995</v>
      </c>
      <c r="L49">
        <f t="shared" si="22"/>
        <v>122.36091450156243</v>
      </c>
      <c r="M49">
        <f t="shared" si="22"/>
        <v>140.7150516767968</v>
      </c>
      <c r="N49">
        <f t="shared" si="22"/>
        <v>161.82230942831629</v>
      </c>
    </row>
    <row r="50" spans="3:15" x14ac:dyDescent="0.25">
      <c r="C50" t="s">
        <v>3</v>
      </c>
      <c r="D50">
        <f>D44</f>
        <v>25</v>
      </c>
      <c r="E50">
        <f>E44</f>
        <v>28.75</v>
      </c>
      <c r="F50">
        <f t="shared" ref="F50:N50" si="23">F44</f>
        <v>33.062499999999993</v>
      </c>
      <c r="G50">
        <f t="shared" si="23"/>
        <v>38.021874999999987</v>
      </c>
      <c r="H50">
        <f t="shared" si="23"/>
        <v>43.725156249999984</v>
      </c>
      <c r="I50">
        <f t="shared" si="23"/>
        <v>50.283929687499985</v>
      </c>
      <c r="J50">
        <f t="shared" si="23"/>
        <v>57.826519140624981</v>
      </c>
      <c r="K50">
        <f t="shared" si="23"/>
        <v>66.500497011718721</v>
      </c>
      <c r="L50">
        <f t="shared" si="23"/>
        <v>76.475571563476521</v>
      </c>
      <c r="M50">
        <f t="shared" si="23"/>
        <v>87.946907297997996</v>
      </c>
      <c r="N50">
        <f t="shared" si="23"/>
        <v>101.13894339269768</v>
      </c>
    </row>
    <row r="51" spans="3:15" x14ac:dyDescent="0.25">
      <c r="C51" t="s">
        <v>5</v>
      </c>
      <c r="D51">
        <f>D49-D50</f>
        <v>15</v>
      </c>
      <c r="E51">
        <f>E49-E50</f>
        <v>17.25</v>
      </c>
      <c r="F51">
        <f t="shared" ref="F51:N51" si="24">F49-F50</f>
        <v>19.837499999999999</v>
      </c>
      <c r="G51">
        <f t="shared" si="24"/>
        <v>22.813124999999992</v>
      </c>
      <c r="H51">
        <f t="shared" si="24"/>
        <v>26.23509374999999</v>
      </c>
      <c r="I51">
        <f t="shared" si="24"/>
        <v>30.170357812499994</v>
      </c>
      <c r="J51">
        <f t="shared" si="24"/>
        <v>34.695911484374989</v>
      </c>
      <c r="K51">
        <f t="shared" si="24"/>
        <v>39.900298207031227</v>
      </c>
      <c r="L51">
        <f t="shared" si="24"/>
        <v>45.885342938085913</v>
      </c>
      <c r="M51">
        <f t="shared" si="24"/>
        <v>52.768144378798809</v>
      </c>
      <c r="N51">
        <f t="shared" si="24"/>
        <v>60.683366035618604</v>
      </c>
      <c r="O51">
        <v>0</v>
      </c>
    </row>
    <row r="53" spans="3:15" x14ac:dyDescent="0.25">
      <c r="C53" t="s">
        <v>2</v>
      </c>
      <c r="D53">
        <f>D42*0.3</f>
        <v>180</v>
      </c>
      <c r="E53">
        <f>E42*0.3</f>
        <v>207</v>
      </c>
      <c r="F53">
        <f t="shared" ref="F53:O53" si="25">F42*0.3</f>
        <v>238.04999999999995</v>
      </c>
      <c r="G53">
        <f t="shared" si="25"/>
        <v>273.75749999999994</v>
      </c>
      <c r="H53">
        <f t="shared" si="25"/>
        <v>314.82112499999988</v>
      </c>
      <c r="I53">
        <f t="shared" si="25"/>
        <v>362.04429374999989</v>
      </c>
      <c r="J53">
        <f t="shared" si="25"/>
        <v>416.35093781249986</v>
      </c>
      <c r="K53">
        <f t="shared" si="25"/>
        <v>478.80357848437478</v>
      </c>
      <c r="L53">
        <f t="shared" si="25"/>
        <v>550.62411525703101</v>
      </c>
      <c r="M53">
        <f t="shared" si="25"/>
        <v>633.21773254558559</v>
      </c>
      <c r="N53">
        <f t="shared" si="25"/>
        <v>728.20039242742325</v>
      </c>
      <c r="O53">
        <f t="shared" si="25"/>
        <v>771.89241597306875</v>
      </c>
    </row>
    <row r="54" spans="3:15" x14ac:dyDescent="0.25">
      <c r="C54" t="s">
        <v>13</v>
      </c>
      <c r="E54">
        <f>E53-D53</f>
        <v>27</v>
      </c>
      <c r="F54">
        <f t="shared" ref="F54" si="26">F53-E53</f>
        <v>31.049999999999955</v>
      </c>
      <c r="G54">
        <f t="shared" ref="G54" si="27">G53-F53</f>
        <v>35.707499999999982</v>
      </c>
      <c r="H54">
        <f t="shared" ref="H54" si="28">H53-G53</f>
        <v>41.063624999999945</v>
      </c>
      <c r="I54">
        <f t="shared" ref="I54" si="29">I53-H53</f>
        <v>47.223168750000013</v>
      </c>
      <c r="J54">
        <f t="shared" ref="J54" si="30">J53-I53</f>
        <v>54.30664406249997</v>
      </c>
      <c r="K54">
        <f t="shared" ref="K54" si="31">K53-J53</f>
        <v>62.452640671874917</v>
      </c>
      <c r="L54">
        <f t="shared" ref="L54" si="32">L53-K53</f>
        <v>71.820536772656226</v>
      </c>
      <c r="M54">
        <f t="shared" ref="M54" si="33">M53-L53</f>
        <v>82.593617288554583</v>
      </c>
      <c r="N54">
        <f t="shared" ref="N54" si="34">N53-M53</f>
        <v>94.982659881837662</v>
      </c>
      <c r="O54">
        <f t="shared" ref="O54" si="35">O53-N53</f>
        <v>43.692023545645498</v>
      </c>
    </row>
    <row r="56" spans="3:15" x14ac:dyDescent="0.25">
      <c r="C56" t="s">
        <v>109</v>
      </c>
      <c r="E56">
        <f>E54+E51</f>
        <v>44.25</v>
      </c>
      <c r="F56">
        <f t="shared" ref="F56:O56" si="36">F54+F51</f>
        <v>50.887499999999953</v>
      </c>
      <c r="G56">
        <f t="shared" si="36"/>
        <v>58.520624999999974</v>
      </c>
      <c r="H56">
        <f t="shared" si="36"/>
        <v>67.298718749999935</v>
      </c>
      <c r="I56">
        <f t="shared" si="36"/>
        <v>77.3935265625</v>
      </c>
      <c r="J56">
        <f t="shared" si="36"/>
        <v>89.002555546874959</v>
      </c>
      <c r="K56">
        <f t="shared" si="36"/>
        <v>102.35293887890614</v>
      </c>
      <c r="L56">
        <f t="shared" si="36"/>
        <v>117.70587971074214</v>
      </c>
      <c r="M56">
        <f t="shared" si="36"/>
        <v>135.36176166735339</v>
      </c>
      <c r="N56">
        <f t="shared" si="36"/>
        <v>155.66602591745627</v>
      </c>
      <c r="O56">
        <f t="shared" si="36"/>
        <v>43.692023545645498</v>
      </c>
    </row>
    <row r="57" spans="3:15" x14ac:dyDescent="0.25">
      <c r="E57">
        <f>E56/E47</f>
        <v>0.47357859531772573</v>
      </c>
      <c r="O57">
        <f>O56/O47</f>
        <v>0.12539912917271434</v>
      </c>
    </row>
    <row r="58" spans="3:15" x14ac:dyDescent="0.25">
      <c r="C58" t="s">
        <v>7</v>
      </c>
      <c r="E58">
        <f>E47-E56</f>
        <v>49.1875</v>
      </c>
      <c r="F58">
        <f t="shared" ref="F58:N58" si="37">F47-F56</f>
        <v>56.565625000000047</v>
      </c>
      <c r="G58">
        <f t="shared" si="37"/>
        <v>65.050468749999965</v>
      </c>
      <c r="H58">
        <f t="shared" si="37"/>
        <v>74.808039062500015</v>
      </c>
      <c r="I58">
        <f t="shared" si="37"/>
        <v>86.029244921875005</v>
      </c>
      <c r="J58">
        <f t="shared" si="37"/>
        <v>98.933631660156237</v>
      </c>
      <c r="K58">
        <f t="shared" si="37"/>
        <v>113.77367640917979</v>
      </c>
      <c r="L58">
        <f t="shared" si="37"/>
        <v>130.83972787055654</v>
      </c>
      <c r="M58">
        <f t="shared" si="37"/>
        <v>150.46568705114009</v>
      </c>
      <c r="N58">
        <f t="shared" si="37"/>
        <v>173.0355401088112</v>
      </c>
      <c r="O58">
        <f>O47-O56</f>
        <v>304.73163644219807</v>
      </c>
    </row>
    <row r="59" spans="3:15" x14ac:dyDescent="0.25">
      <c r="N59">
        <f>O58/(E65-E68)</f>
        <v>4322.4345594638016</v>
      </c>
    </row>
    <row r="60" spans="3:15" x14ac:dyDescent="0.25">
      <c r="C60" t="s">
        <v>110</v>
      </c>
      <c r="D60">
        <f>SUM(E60:N60)</f>
        <v>1630.4723343274163</v>
      </c>
      <c r="E60">
        <f>E58/(1+$D$65)^E40</f>
        <v>43.194291986827665</v>
      </c>
      <c r="F60">
        <f>F58/(1+$D$65)^F40</f>
        <v>43.621019350034558</v>
      </c>
      <c r="G60">
        <f t="shared" ref="G60:M60" si="38">G58/(1+$D$65)^G40</f>
        <v>44.05196246106668</v>
      </c>
      <c r="H60">
        <f t="shared" si="38"/>
        <v>44.487162968365944</v>
      </c>
      <c r="I60">
        <f t="shared" si="38"/>
        <v>44.92666293182949</v>
      </c>
      <c r="J60">
        <f t="shared" si="38"/>
        <v>45.370504826874992</v>
      </c>
      <c r="K60">
        <f t="shared" si="38"/>
        <v>45.8187315485456</v>
      </c>
      <c r="L60">
        <f t="shared" si="38"/>
        <v>46.271386415655194</v>
      </c>
      <c r="M60">
        <f t="shared" si="38"/>
        <v>46.728513174975632</v>
      </c>
      <c r="N60">
        <f>(N58+N59)/(1+D65)^N40</f>
        <v>1226.0020986632405</v>
      </c>
    </row>
    <row r="61" spans="3:15" x14ac:dyDescent="0.25">
      <c r="D61">
        <v>1554</v>
      </c>
    </row>
    <row r="63" spans="3:15" x14ac:dyDescent="0.25">
      <c r="D63" t="s">
        <v>112</v>
      </c>
      <c r="E63" t="s">
        <v>113</v>
      </c>
    </row>
    <row r="64" spans="3:15" x14ac:dyDescent="0.25">
      <c r="C64" t="s">
        <v>114</v>
      </c>
      <c r="D64">
        <v>1.25</v>
      </c>
      <c r="E64">
        <v>1.1000000000000001</v>
      </c>
    </row>
    <row r="65" spans="3:19" x14ac:dyDescent="0.25">
      <c r="C65" t="s">
        <v>31</v>
      </c>
      <c r="D65">
        <f>0.07+D64*0.055</f>
        <v>0.13875000000000001</v>
      </c>
      <c r="E65">
        <f>0.07+E64*0.055</f>
        <v>0.1305</v>
      </c>
      <c r="H65">
        <f>D60+D25</f>
        <v>14294.422902967308</v>
      </c>
    </row>
    <row r="66" spans="3:19" x14ac:dyDescent="0.25">
      <c r="C66" t="s">
        <v>81</v>
      </c>
      <c r="D66">
        <f>D68/D67</f>
        <v>0.31673728813559321</v>
      </c>
      <c r="E66">
        <f>E68/E67</f>
        <v>0.47847222222222119</v>
      </c>
    </row>
    <row r="67" spans="3:19" x14ac:dyDescent="0.25">
      <c r="C67" t="s">
        <v>105</v>
      </c>
      <c r="D67">
        <f>E57</f>
        <v>0.47357859531772573</v>
      </c>
      <c r="E67">
        <f>O57</f>
        <v>0.12539912917271434</v>
      </c>
    </row>
    <row r="68" spans="3:19" x14ac:dyDescent="0.25">
      <c r="C68" t="s">
        <v>106</v>
      </c>
      <c r="D68">
        <v>0.15</v>
      </c>
      <c r="E68">
        <v>0.06</v>
      </c>
    </row>
    <row r="71" spans="3:19" x14ac:dyDescent="0.25">
      <c r="C71" t="s">
        <v>0</v>
      </c>
      <c r="D71">
        <v>0</v>
      </c>
      <c r="E71">
        <f>D71+1</f>
        <v>1</v>
      </c>
      <c r="F71">
        <f t="shared" ref="F71:O71" si="39">E71+1</f>
        <v>2</v>
      </c>
      <c r="G71">
        <f t="shared" si="39"/>
        <v>3</v>
      </c>
      <c r="H71">
        <f t="shared" si="39"/>
        <v>4</v>
      </c>
      <c r="I71">
        <f t="shared" si="39"/>
        <v>5</v>
      </c>
      <c r="J71">
        <f t="shared" si="39"/>
        <v>6</v>
      </c>
      <c r="K71">
        <f t="shared" si="39"/>
        <v>7</v>
      </c>
      <c r="L71">
        <f t="shared" si="39"/>
        <v>8</v>
      </c>
      <c r="M71">
        <f t="shared" si="39"/>
        <v>9</v>
      </c>
      <c r="N71">
        <f t="shared" si="39"/>
        <v>10</v>
      </c>
      <c r="O71">
        <f t="shared" si="39"/>
        <v>11</v>
      </c>
      <c r="R71" t="s">
        <v>112</v>
      </c>
      <c r="S71" t="s">
        <v>113</v>
      </c>
    </row>
    <row r="72" spans="3:19" x14ac:dyDescent="0.25">
      <c r="Q72" t="s">
        <v>114</v>
      </c>
      <c r="R72">
        <v>1.45</v>
      </c>
      <c r="S72">
        <v>1.1000000000000001</v>
      </c>
    </row>
    <row r="73" spans="3:19" x14ac:dyDescent="0.25">
      <c r="C73" t="s">
        <v>12</v>
      </c>
      <c r="D73">
        <v>1200</v>
      </c>
      <c r="E73">
        <f>D73*1.24</f>
        <v>1488</v>
      </c>
      <c r="F73">
        <f t="shared" ref="F73:N73" si="40">E73*1.24</f>
        <v>1845.12</v>
      </c>
      <c r="G73">
        <f t="shared" si="40"/>
        <v>2287.9487999999997</v>
      </c>
      <c r="H73">
        <f t="shared" si="40"/>
        <v>2837.0565119999997</v>
      </c>
      <c r="I73">
        <f t="shared" si="40"/>
        <v>3517.9500748799996</v>
      </c>
      <c r="J73">
        <f t="shared" si="40"/>
        <v>4362.2580928511998</v>
      </c>
      <c r="K73">
        <f t="shared" si="40"/>
        <v>5409.2000351354873</v>
      </c>
      <c r="L73">
        <f t="shared" si="40"/>
        <v>6707.4080435680044</v>
      </c>
      <c r="M73">
        <f t="shared" si="40"/>
        <v>8317.1859740243253</v>
      </c>
      <c r="N73">
        <f t="shared" si="40"/>
        <v>10313.310607790163</v>
      </c>
      <c r="O73">
        <f>N73*1.06</f>
        <v>10932.109244257574</v>
      </c>
      <c r="Q73" t="s">
        <v>31</v>
      </c>
      <c r="R73">
        <f>0.07+R72*0.055</f>
        <v>0.14974999999999999</v>
      </c>
      <c r="S73">
        <f>0.07+S72*0.055</f>
        <v>0.1305</v>
      </c>
    </row>
    <row r="74" spans="3:19" x14ac:dyDescent="0.25">
      <c r="C74" t="s">
        <v>100</v>
      </c>
      <c r="D74">
        <f>D73*0.57</f>
        <v>683.99999999999989</v>
      </c>
      <c r="E74">
        <f>E73*0.57</f>
        <v>848.16</v>
      </c>
      <c r="F74">
        <f t="shared" ref="F74" si="41">F73*0.57</f>
        <v>1051.7183999999997</v>
      </c>
      <c r="G74">
        <f t="shared" ref="G74" si="42">G73*0.57</f>
        <v>1304.1308159999996</v>
      </c>
      <c r="H74">
        <f t="shared" ref="H74" si="43">H73*0.57</f>
        <v>1617.1222118399996</v>
      </c>
      <c r="I74">
        <f t="shared" ref="I74" si="44">I73*0.57</f>
        <v>2005.2315426815996</v>
      </c>
      <c r="J74">
        <f t="shared" ref="J74" si="45">J73*0.57</f>
        <v>2486.4871129251837</v>
      </c>
      <c r="K74">
        <f t="shared" ref="K74" si="46">K73*0.57</f>
        <v>3083.2440200272276</v>
      </c>
      <c r="L74">
        <f t="shared" ref="L74" si="47">L73*0.57</f>
        <v>3823.2225848337621</v>
      </c>
      <c r="M74">
        <f t="shared" ref="M74" si="48">M73*0.57</f>
        <v>4740.7960051938653</v>
      </c>
      <c r="N74">
        <f t="shared" ref="N74" si="49">N73*0.57</f>
        <v>5878.5870464403924</v>
      </c>
      <c r="O74">
        <f t="shared" ref="O74" si="50">O73*0.57</f>
        <v>6231.3022692268169</v>
      </c>
      <c r="Q74" t="s">
        <v>81</v>
      </c>
      <c r="R74">
        <f>R76/R75</f>
        <v>0.61177940046118362</v>
      </c>
      <c r="S74">
        <f>S76/S75</f>
        <v>0.68038749999999859</v>
      </c>
    </row>
    <row r="75" spans="3:19" x14ac:dyDescent="0.25">
      <c r="C75" t="s">
        <v>101</v>
      </c>
      <c r="D75">
        <v>42</v>
      </c>
      <c r="E75">
        <f>(D75/D73)*E73</f>
        <v>52.080000000000005</v>
      </c>
      <c r="F75">
        <f t="shared" ref="F75:N75" si="51">(E75/E73)*F73</f>
        <v>64.5792</v>
      </c>
      <c r="G75">
        <f t="shared" si="51"/>
        <v>80.078207999999989</v>
      </c>
      <c r="H75">
        <f t="shared" si="51"/>
        <v>99.296977920000003</v>
      </c>
      <c r="I75">
        <f t="shared" si="51"/>
        <v>123.1282526208</v>
      </c>
      <c r="J75">
        <f t="shared" si="51"/>
        <v>152.67903324979201</v>
      </c>
      <c r="K75">
        <f t="shared" si="51"/>
        <v>189.32200122974209</v>
      </c>
      <c r="L75">
        <f t="shared" si="51"/>
        <v>234.75928152488018</v>
      </c>
      <c r="M75">
        <f t="shared" si="51"/>
        <v>291.10150909085144</v>
      </c>
      <c r="N75">
        <f t="shared" si="51"/>
        <v>360.96587127265576</v>
      </c>
      <c r="O75">
        <f>(N75/N73)*O73</f>
        <v>382.62382354901513</v>
      </c>
      <c r="Q75" t="s">
        <v>105</v>
      </c>
      <c r="R75">
        <f>E88</f>
        <v>0.4086440305305149</v>
      </c>
      <c r="S75">
        <f>O88</f>
        <v>8.8185041612316689E-2</v>
      </c>
    </row>
    <row r="76" spans="3:19" x14ac:dyDescent="0.25">
      <c r="C76" t="s">
        <v>102</v>
      </c>
      <c r="D76">
        <f>D73-SUM(D74:D75)</f>
        <v>474.00000000000011</v>
      </c>
      <c r="E76">
        <f>E73-SUM(E74:E75)</f>
        <v>587.76</v>
      </c>
      <c r="F76">
        <f t="shared" ref="F76" si="52">F73-SUM(F74:F75)</f>
        <v>728.82240000000024</v>
      </c>
      <c r="G76">
        <f t="shared" ref="G76" si="53">G73-SUM(G74:G75)</f>
        <v>903.73977600000012</v>
      </c>
      <c r="H76">
        <f t="shared" ref="H76" si="54">H73-SUM(H74:H75)</f>
        <v>1120.63732224</v>
      </c>
      <c r="I76">
        <f t="shared" ref="I76" si="55">I73-SUM(I74:I75)</f>
        <v>1389.5902795776001</v>
      </c>
      <c r="J76">
        <f t="shared" ref="J76" si="56">J73-SUM(J74:J75)</f>
        <v>1723.0919466762239</v>
      </c>
      <c r="K76">
        <f t="shared" ref="K76" si="57">K73-SUM(K74:K75)</f>
        <v>2136.6340138785176</v>
      </c>
      <c r="L76">
        <f t="shared" ref="L76" si="58">L73-SUM(L74:L75)</f>
        <v>2649.4261772093623</v>
      </c>
      <c r="M76">
        <f t="shared" ref="M76" si="59">M73-SUM(M74:M75)</f>
        <v>3285.2884597396087</v>
      </c>
      <c r="N76">
        <f t="shared" ref="N76" si="60">N73-SUM(N74:N75)</f>
        <v>4073.7576900771146</v>
      </c>
      <c r="O76">
        <f>O73-SUM(O74:O75)</f>
        <v>4318.1831514817413</v>
      </c>
      <c r="Q76" t="s">
        <v>106</v>
      </c>
      <c r="R76">
        <v>0.25</v>
      </c>
      <c r="S76">
        <v>0.06</v>
      </c>
    </row>
    <row r="77" spans="3:19" x14ac:dyDescent="0.25">
      <c r="C77" t="s">
        <v>103</v>
      </c>
      <c r="D77">
        <f>D76*0.35</f>
        <v>165.90000000000003</v>
      </c>
      <c r="E77">
        <f>E76*0.35</f>
        <v>205.71599999999998</v>
      </c>
      <c r="F77">
        <f t="shared" ref="F77" si="61">F76*0.35</f>
        <v>255.08784000000006</v>
      </c>
      <c r="G77">
        <f t="shared" ref="G77" si="62">G76*0.35</f>
        <v>316.30892160000002</v>
      </c>
      <c r="H77">
        <f t="shared" ref="H77" si="63">H76*0.35</f>
        <v>392.22306278399998</v>
      </c>
      <c r="I77">
        <f t="shared" ref="I77" si="64">I76*0.35</f>
        <v>486.35659785216001</v>
      </c>
      <c r="J77">
        <f t="shared" ref="J77" si="65">J76*0.35</f>
        <v>603.08218133667833</v>
      </c>
      <c r="K77">
        <f t="shared" ref="K77" si="66">K76*0.35</f>
        <v>747.82190485748117</v>
      </c>
      <c r="L77">
        <f t="shared" ref="L77" si="67">L76*0.35</f>
        <v>927.29916202327672</v>
      </c>
      <c r="M77">
        <f t="shared" ref="M77" si="68">M76*0.35</f>
        <v>1149.850960908863</v>
      </c>
      <c r="N77">
        <f t="shared" ref="N77" si="69">N76*0.35</f>
        <v>1425.81519152699</v>
      </c>
      <c r="O77">
        <f>O76*0.35</f>
        <v>1511.3641030186093</v>
      </c>
    </row>
    <row r="78" spans="3:19" x14ac:dyDescent="0.25">
      <c r="C78" t="s">
        <v>1</v>
      </c>
      <c r="D78">
        <f>D76-D77</f>
        <v>308.10000000000008</v>
      </c>
      <c r="E78">
        <f>E76-E77</f>
        <v>382.04399999999998</v>
      </c>
      <c r="F78">
        <f t="shared" ref="F78" si="70">F76-F77</f>
        <v>473.73456000000022</v>
      </c>
      <c r="G78">
        <f t="shared" ref="G78" si="71">G76-G77</f>
        <v>587.43085440000004</v>
      </c>
      <c r="H78">
        <f t="shared" ref="H78" si="72">H76-H77</f>
        <v>728.41425945600008</v>
      </c>
      <c r="I78">
        <f t="shared" ref="I78" si="73">I76-I77</f>
        <v>903.23368172544008</v>
      </c>
      <c r="J78">
        <f t="shared" ref="J78" si="74">J76-J77</f>
        <v>1120.0097653395455</v>
      </c>
      <c r="K78">
        <f t="shared" ref="K78" si="75">K76-K77</f>
        <v>1388.8121090210366</v>
      </c>
      <c r="L78">
        <f t="shared" ref="L78" si="76">L76-L77</f>
        <v>1722.1270151860856</v>
      </c>
      <c r="M78">
        <f t="shared" ref="M78" si="77">M76-M77</f>
        <v>2135.4374988307454</v>
      </c>
      <c r="N78">
        <f t="shared" ref="N78" si="78">N76-N77</f>
        <v>2647.9424985501246</v>
      </c>
      <c r="O78">
        <f>O76-O77</f>
        <v>2806.8190484631323</v>
      </c>
    </row>
    <row r="80" spans="3:19" x14ac:dyDescent="0.25">
      <c r="C80" t="s">
        <v>4</v>
      </c>
      <c r="D80">
        <f>75</f>
        <v>75</v>
      </c>
      <c r="E80">
        <f>(D80/D73)*E73</f>
        <v>93</v>
      </c>
      <c r="F80">
        <f t="shared" ref="F80:N80" si="79">(E80/E73)*F73</f>
        <v>115.32</v>
      </c>
      <c r="G80">
        <f t="shared" si="79"/>
        <v>142.99679999999998</v>
      </c>
      <c r="H80">
        <f t="shared" si="79"/>
        <v>177.31603199999998</v>
      </c>
      <c r="I80">
        <f t="shared" si="79"/>
        <v>219.87187967999998</v>
      </c>
      <c r="J80">
        <f t="shared" si="79"/>
        <v>272.64113080319999</v>
      </c>
      <c r="K80">
        <f t="shared" si="79"/>
        <v>338.07500219596795</v>
      </c>
      <c r="L80">
        <f t="shared" si="79"/>
        <v>419.21300272300027</v>
      </c>
      <c r="M80">
        <f t="shared" si="79"/>
        <v>519.82412337652033</v>
      </c>
      <c r="N80">
        <f t="shared" si="79"/>
        <v>644.58191298688519</v>
      </c>
    </row>
    <row r="81" spans="3:19" x14ac:dyDescent="0.25">
      <c r="C81" t="s">
        <v>3</v>
      </c>
      <c r="D81">
        <v>42</v>
      </c>
      <c r="E81">
        <f>E75</f>
        <v>52.080000000000005</v>
      </c>
      <c r="F81">
        <f t="shared" ref="F81:N81" si="80">F75</f>
        <v>64.5792</v>
      </c>
      <c r="G81">
        <f t="shared" si="80"/>
        <v>80.078207999999989</v>
      </c>
      <c r="H81">
        <f t="shared" si="80"/>
        <v>99.296977920000003</v>
      </c>
      <c r="I81">
        <f t="shared" si="80"/>
        <v>123.1282526208</v>
      </c>
      <c r="J81">
        <f t="shared" si="80"/>
        <v>152.67903324979201</v>
      </c>
      <c r="K81">
        <f t="shared" si="80"/>
        <v>189.32200122974209</v>
      </c>
      <c r="L81">
        <f t="shared" si="80"/>
        <v>234.75928152488018</v>
      </c>
      <c r="M81">
        <f t="shared" si="80"/>
        <v>291.10150909085144</v>
      </c>
      <c r="N81">
        <f t="shared" si="80"/>
        <v>360.96587127265576</v>
      </c>
    </row>
    <row r="82" spans="3:19" x14ac:dyDescent="0.25">
      <c r="C82" t="s">
        <v>5</v>
      </c>
      <c r="D82">
        <f>D80-D81</f>
        <v>33</v>
      </c>
      <c r="E82">
        <f>E80-E81</f>
        <v>40.919999999999995</v>
      </c>
      <c r="F82">
        <f t="shared" ref="F82" si="81">F80-F81</f>
        <v>50.740799999999993</v>
      </c>
      <c r="G82">
        <f t="shared" ref="G82" si="82">G80-G81</f>
        <v>62.91859199999999</v>
      </c>
      <c r="H82">
        <f t="shared" ref="H82" si="83">H80-H81</f>
        <v>78.019054079999975</v>
      </c>
      <c r="I82">
        <f t="shared" ref="I82" si="84">I80-I81</f>
        <v>96.74362705919998</v>
      </c>
      <c r="J82">
        <f t="shared" ref="J82" si="85">J80-J81</f>
        <v>119.96209755340797</v>
      </c>
      <c r="K82">
        <f t="shared" ref="K82" si="86">K80-K81</f>
        <v>148.75300096622587</v>
      </c>
      <c r="L82">
        <f t="shared" ref="L82" si="87">L80-L81</f>
        <v>184.45372119812009</v>
      </c>
      <c r="M82">
        <f t="shared" ref="M82" si="88">M80-M81</f>
        <v>228.7226142856689</v>
      </c>
      <c r="N82">
        <f t="shared" ref="N82" si="89">N80-N81</f>
        <v>283.61604171422942</v>
      </c>
      <c r="O82">
        <v>0</v>
      </c>
    </row>
    <row r="84" spans="3:19" x14ac:dyDescent="0.25">
      <c r="C84" t="s">
        <v>2</v>
      </c>
      <c r="D84">
        <f>D73*0.4</f>
        <v>480</v>
      </c>
      <c r="E84">
        <f>E73*0.4</f>
        <v>595.20000000000005</v>
      </c>
      <c r="F84">
        <f t="shared" ref="F84:N84" si="90">F73*0.4</f>
        <v>738.048</v>
      </c>
      <c r="G84">
        <f t="shared" si="90"/>
        <v>915.17951999999991</v>
      </c>
      <c r="H84">
        <f t="shared" si="90"/>
        <v>1134.8226047999999</v>
      </c>
      <c r="I84">
        <f t="shared" si="90"/>
        <v>1407.180029952</v>
      </c>
      <c r="J84">
        <f t="shared" si="90"/>
        <v>1744.9032371404801</v>
      </c>
      <c r="K84">
        <f t="shared" si="90"/>
        <v>2163.680014054195</v>
      </c>
      <c r="L84">
        <f t="shared" si="90"/>
        <v>2682.9632174272019</v>
      </c>
      <c r="M84">
        <f t="shared" si="90"/>
        <v>3326.8743896097303</v>
      </c>
      <c r="N84">
        <f t="shared" si="90"/>
        <v>4125.3242431160652</v>
      </c>
      <c r="O84">
        <f>O73*0.4</f>
        <v>4372.8436977030296</v>
      </c>
    </row>
    <row r="85" spans="3:19" x14ac:dyDescent="0.25">
      <c r="C85" t="s">
        <v>13</v>
      </c>
      <c r="E85">
        <f>E84-D84</f>
        <v>115.20000000000005</v>
      </c>
      <c r="F85">
        <f t="shared" ref="F85" si="91">F84-E84</f>
        <v>142.84799999999996</v>
      </c>
      <c r="G85">
        <f t="shared" ref="G85" si="92">G84-F84</f>
        <v>177.13151999999991</v>
      </c>
      <c r="H85">
        <f t="shared" ref="H85" si="93">H84-G84</f>
        <v>219.6430848</v>
      </c>
      <c r="I85">
        <f t="shared" ref="I85" si="94">I84-H84</f>
        <v>272.35742515200013</v>
      </c>
      <c r="J85">
        <f t="shared" ref="J85" si="95">J84-I84</f>
        <v>337.72320718848005</v>
      </c>
      <c r="K85">
        <f t="shared" ref="K85" si="96">K84-J84</f>
        <v>418.77677691371491</v>
      </c>
      <c r="L85">
        <f t="shared" ref="L85" si="97">L84-K84</f>
        <v>519.28320337300693</v>
      </c>
      <c r="M85">
        <f t="shared" ref="M85" si="98">M84-L84</f>
        <v>643.91117218252839</v>
      </c>
      <c r="N85">
        <f t="shared" ref="N85" si="99">N84-M84</f>
        <v>798.44985350633488</v>
      </c>
      <c r="O85">
        <f t="shared" ref="O85" si="100">O84-N84</f>
        <v>247.51945458696446</v>
      </c>
    </row>
    <row r="87" spans="3:19" x14ac:dyDescent="0.25">
      <c r="C87" t="s">
        <v>109</v>
      </c>
      <c r="E87">
        <f>E85+E82</f>
        <v>156.12000000000003</v>
      </c>
      <c r="F87">
        <f t="shared" ref="F87:O87" si="101">F85+F82</f>
        <v>193.58879999999994</v>
      </c>
      <c r="G87">
        <f t="shared" si="101"/>
        <v>240.0501119999999</v>
      </c>
      <c r="H87">
        <f t="shared" si="101"/>
        <v>297.66213887999999</v>
      </c>
      <c r="I87">
        <f t="shared" si="101"/>
        <v>369.10105221120011</v>
      </c>
      <c r="J87">
        <f t="shared" si="101"/>
        <v>457.68530474188799</v>
      </c>
      <c r="K87">
        <f t="shared" si="101"/>
        <v>567.52977787994075</v>
      </c>
      <c r="L87">
        <f t="shared" si="101"/>
        <v>703.73692457112702</v>
      </c>
      <c r="M87">
        <f t="shared" si="101"/>
        <v>872.63378646819729</v>
      </c>
      <c r="N87">
        <f t="shared" si="101"/>
        <v>1082.0658952205642</v>
      </c>
      <c r="O87">
        <f t="shared" si="101"/>
        <v>247.51945458696446</v>
      </c>
    </row>
    <row r="88" spans="3:19" x14ac:dyDescent="0.25">
      <c r="E88">
        <f>E87/E78</f>
        <v>0.4086440305305149</v>
      </c>
      <c r="O88">
        <f>O87/O78</f>
        <v>8.8185041612316689E-2</v>
      </c>
    </row>
    <row r="89" spans="3:19" x14ac:dyDescent="0.25">
      <c r="C89" t="s">
        <v>7</v>
      </c>
      <c r="E89">
        <f>E78-E87</f>
        <v>225.92399999999995</v>
      </c>
      <c r="F89">
        <f t="shared" ref="F89:N89" si="102">F78-F87</f>
        <v>280.14576000000028</v>
      </c>
      <c r="G89">
        <f t="shared" si="102"/>
        <v>347.38074240000014</v>
      </c>
      <c r="H89">
        <f t="shared" si="102"/>
        <v>430.7521205760001</v>
      </c>
      <c r="I89">
        <f t="shared" si="102"/>
        <v>534.13262951423997</v>
      </c>
      <c r="J89">
        <f t="shared" si="102"/>
        <v>662.32446059765755</v>
      </c>
      <c r="K89">
        <f t="shared" si="102"/>
        <v>821.28233114109582</v>
      </c>
      <c r="L89">
        <f t="shared" si="102"/>
        <v>1018.3900906149586</v>
      </c>
      <c r="M89">
        <f t="shared" si="102"/>
        <v>1262.8037123625481</v>
      </c>
      <c r="N89">
        <f t="shared" si="102"/>
        <v>1565.8766033295603</v>
      </c>
      <c r="O89">
        <f>O78-O87</f>
        <v>2559.2995938761678</v>
      </c>
    </row>
    <row r="90" spans="3:19" x14ac:dyDescent="0.25">
      <c r="N90">
        <f>O89/(S73-S76)</f>
        <v>36302.121898952733</v>
      </c>
    </row>
    <row r="91" spans="3:19" x14ac:dyDescent="0.25">
      <c r="C91" t="s">
        <v>110</v>
      </c>
      <c r="D91">
        <f>SUM(E91:N91)</f>
        <v>11819.186311656407</v>
      </c>
      <c r="E91">
        <f>E89/(1+$D$30)^E71</f>
        <v>196.49836921069792</v>
      </c>
      <c r="F91">
        <f t="shared" ref="F91:H91" si="103">F89/(1+$D$30)^F71</f>
        <v>211.92257257774796</v>
      </c>
      <c r="G91">
        <f t="shared" si="103"/>
        <v>228.55750380205026</v>
      </c>
      <c r="H91">
        <f t="shared" si="103"/>
        <v>246.49819936033251</v>
      </c>
      <c r="I91">
        <f>I89/(1+$D$30)^I71</f>
        <v>265.8471556484559</v>
      </c>
      <c r="J91">
        <f t="shared" ref="J91:M91" si="104">J89/(1+$D$30)^J71</f>
        <v>286.71491455019378</v>
      </c>
      <c r="K91">
        <f t="shared" si="104"/>
        <v>309.22069497042008</v>
      </c>
      <c r="L91">
        <f t="shared" si="104"/>
        <v>333.49307394070087</v>
      </c>
      <c r="M91">
        <f t="shared" si="104"/>
        <v>359.67072118849217</v>
      </c>
      <c r="N91">
        <f>(N89+N90)/(1+$D$30)^N71</f>
        <v>9380.7631064073157</v>
      </c>
    </row>
    <row r="92" spans="3:19" x14ac:dyDescent="0.25">
      <c r="D92">
        <v>12059</v>
      </c>
    </row>
    <row r="94" spans="3:19" x14ac:dyDescent="0.25">
      <c r="C94" t="s">
        <v>12</v>
      </c>
      <c r="D94">
        <v>600</v>
      </c>
      <c r="E94">
        <f>D94*1.24</f>
        <v>744</v>
      </c>
      <c r="F94">
        <f t="shared" ref="F94:N94" si="105">E94*1.24</f>
        <v>922.56</v>
      </c>
      <c r="G94">
        <f t="shared" si="105"/>
        <v>1143.9743999999998</v>
      </c>
      <c r="H94">
        <f t="shared" si="105"/>
        <v>1418.5282559999998</v>
      </c>
      <c r="I94">
        <f t="shared" si="105"/>
        <v>1758.9750374399998</v>
      </c>
      <c r="J94">
        <f t="shared" si="105"/>
        <v>2181.1290464255999</v>
      </c>
      <c r="K94">
        <f t="shared" si="105"/>
        <v>2704.6000175677436</v>
      </c>
      <c r="L94">
        <f t="shared" si="105"/>
        <v>3353.7040217840022</v>
      </c>
      <c r="M94">
        <f t="shared" si="105"/>
        <v>4158.5929870121627</v>
      </c>
      <c r="N94">
        <f t="shared" si="105"/>
        <v>5156.6553038950815</v>
      </c>
      <c r="O94">
        <f>N94*1.06</f>
        <v>5466.0546221287868</v>
      </c>
      <c r="R94" t="s">
        <v>112</v>
      </c>
      <c r="S94" t="s">
        <v>113</v>
      </c>
    </row>
    <row r="95" spans="3:19" x14ac:dyDescent="0.25">
      <c r="C95" t="s">
        <v>100</v>
      </c>
      <c r="D95">
        <f>D94*0.75</f>
        <v>450</v>
      </c>
      <c r="E95">
        <f>E94*0.75</f>
        <v>558</v>
      </c>
      <c r="F95">
        <f t="shared" ref="F95" si="106">F94*0.75</f>
        <v>691.92</v>
      </c>
      <c r="G95">
        <f t="shared" ref="G95" si="107">G94*0.75</f>
        <v>857.98079999999982</v>
      </c>
      <c r="H95">
        <f t="shared" ref="H95" si="108">H94*0.75</f>
        <v>1063.8961919999999</v>
      </c>
      <c r="I95">
        <f t="shared" ref="I95" si="109">I94*0.75</f>
        <v>1319.2312780799998</v>
      </c>
      <c r="J95">
        <f t="shared" ref="J95" si="110">J94*0.75</f>
        <v>1635.8467848191999</v>
      </c>
      <c r="K95">
        <f t="shared" ref="K95" si="111">K94*0.75</f>
        <v>2028.4500131758077</v>
      </c>
      <c r="L95">
        <f t="shared" ref="L95" si="112">L94*0.75</f>
        <v>2515.2780163380016</v>
      </c>
      <c r="M95">
        <f t="shared" ref="M95" si="113">M94*0.75</f>
        <v>3118.9447402591222</v>
      </c>
      <c r="N95">
        <f t="shared" ref="N95" si="114">N94*0.75</f>
        <v>3867.4914779213113</v>
      </c>
      <c r="O95">
        <f t="shared" ref="O95" si="115">O94*0.75</f>
        <v>4099.5409665965899</v>
      </c>
      <c r="Q95" t="s">
        <v>114</v>
      </c>
      <c r="R95">
        <v>1.25</v>
      </c>
      <c r="S95">
        <v>1.1000000000000001</v>
      </c>
    </row>
    <row r="96" spans="3:19" x14ac:dyDescent="0.25">
      <c r="C96" t="s">
        <v>101</v>
      </c>
      <c r="D96">
        <f>25</f>
        <v>25</v>
      </c>
      <c r="E96">
        <f>(D96/D94)*E94</f>
        <v>31</v>
      </c>
      <c r="F96">
        <f t="shared" ref="F96:N96" si="116">(E96/E94)*F94</f>
        <v>38.44</v>
      </c>
      <c r="G96">
        <f t="shared" si="116"/>
        <v>47.665599999999991</v>
      </c>
      <c r="H96">
        <f t="shared" si="116"/>
        <v>59.105343999999988</v>
      </c>
      <c r="I96">
        <f t="shared" si="116"/>
        <v>73.290626559999993</v>
      </c>
      <c r="J96">
        <f t="shared" si="116"/>
        <v>90.88037693439999</v>
      </c>
      <c r="K96">
        <f t="shared" si="116"/>
        <v>112.69166739865598</v>
      </c>
      <c r="L96">
        <f t="shared" si="116"/>
        <v>139.73766757433341</v>
      </c>
      <c r="M96">
        <f t="shared" si="116"/>
        <v>173.27470779217344</v>
      </c>
      <c r="N96">
        <f t="shared" si="116"/>
        <v>214.86063766229506</v>
      </c>
      <c r="O96">
        <f>(N96/N94)*O94</f>
        <v>227.75227592203277</v>
      </c>
      <c r="Q96" t="s">
        <v>31</v>
      </c>
      <c r="R96">
        <f>0.07+R95*0.055</f>
        <v>0.13875000000000001</v>
      </c>
      <c r="S96">
        <f>0.07+S95*0.055</f>
        <v>0.1305</v>
      </c>
    </row>
    <row r="97" spans="3:19" x14ac:dyDescent="0.25">
      <c r="C97" t="s">
        <v>102</v>
      </c>
      <c r="D97">
        <f>D94-SUM(D95:D96)</f>
        <v>125</v>
      </c>
      <c r="E97">
        <f>E94-SUM(E95:E96)</f>
        <v>155</v>
      </c>
      <c r="F97">
        <f t="shared" ref="F97" si="117">F94-SUM(F95:F96)</f>
        <v>192.20000000000005</v>
      </c>
      <c r="G97">
        <f t="shared" ref="G97" si="118">G94-SUM(G95:G96)</f>
        <v>238.32799999999997</v>
      </c>
      <c r="H97">
        <f t="shared" ref="H97" si="119">H94-SUM(H95:H96)</f>
        <v>295.52671999999984</v>
      </c>
      <c r="I97">
        <f t="shared" ref="I97" si="120">I94-SUM(I95:I96)</f>
        <v>366.45313280000005</v>
      </c>
      <c r="J97">
        <f t="shared" ref="J97" si="121">J94-SUM(J95:J96)</f>
        <v>454.40188467200005</v>
      </c>
      <c r="K97">
        <f t="shared" ref="K97" si="122">K94-SUM(K95:K96)</f>
        <v>563.45833699327977</v>
      </c>
      <c r="L97">
        <f t="shared" ref="L97" si="123">L94-SUM(L95:L96)</f>
        <v>698.68833787166704</v>
      </c>
      <c r="M97">
        <f t="shared" ref="M97" si="124">M94-SUM(M95:M96)</f>
        <v>866.37353896086688</v>
      </c>
      <c r="N97">
        <f t="shared" ref="N97" si="125">N94-SUM(N95:N96)</f>
        <v>1074.303188311475</v>
      </c>
      <c r="O97">
        <f>O94-SUM(O95:O96)</f>
        <v>1138.7613796101641</v>
      </c>
      <c r="Q97" t="s">
        <v>81</v>
      </c>
      <c r="R97">
        <f>R99/R98</f>
        <v>0.39126213592233011</v>
      </c>
      <c r="S97">
        <f>S99/S98</f>
        <v>0.47847222222222185</v>
      </c>
    </row>
    <row r="98" spans="3:19" x14ac:dyDescent="0.25">
      <c r="C98" t="s">
        <v>103</v>
      </c>
      <c r="D98">
        <f>D97*0.35</f>
        <v>43.75</v>
      </c>
      <c r="E98">
        <f>E97*0.35</f>
        <v>54.25</v>
      </c>
      <c r="F98">
        <f t="shared" ref="F98" si="126">F97*0.35</f>
        <v>67.27000000000001</v>
      </c>
      <c r="G98">
        <f t="shared" ref="G98" si="127">G97*0.35</f>
        <v>83.414799999999985</v>
      </c>
      <c r="H98">
        <f t="shared" ref="H98" si="128">H97*0.35</f>
        <v>103.43435199999993</v>
      </c>
      <c r="I98">
        <f t="shared" ref="I98" si="129">I97*0.35</f>
        <v>128.25859648000002</v>
      </c>
      <c r="J98">
        <f t="shared" ref="J98" si="130">J97*0.35</f>
        <v>159.0406596352</v>
      </c>
      <c r="K98">
        <f t="shared" ref="K98" si="131">K97*0.35</f>
        <v>197.2104179476479</v>
      </c>
      <c r="L98">
        <f t="shared" ref="L98" si="132">L97*0.35</f>
        <v>244.54091825508345</v>
      </c>
      <c r="M98">
        <f t="shared" ref="M98" si="133">M97*0.35</f>
        <v>303.23073863630339</v>
      </c>
      <c r="N98">
        <f t="shared" ref="N98" si="134">N97*0.35</f>
        <v>376.00611590901622</v>
      </c>
      <c r="O98">
        <f>O97*0.35</f>
        <v>398.56648286355744</v>
      </c>
      <c r="Q98" t="s">
        <v>105</v>
      </c>
      <c r="R98">
        <f>E109</f>
        <v>0.61339950372208429</v>
      </c>
      <c r="S98">
        <f>O109</f>
        <v>0.12539912917271417</v>
      </c>
    </row>
    <row r="99" spans="3:19" x14ac:dyDescent="0.25">
      <c r="C99" t="s">
        <v>1</v>
      </c>
      <c r="D99">
        <f>D97-D98</f>
        <v>81.25</v>
      </c>
      <c r="E99">
        <f>E97-E98</f>
        <v>100.75</v>
      </c>
      <c r="F99">
        <f t="shared" ref="F99" si="135">F97-F98</f>
        <v>124.93000000000004</v>
      </c>
      <c r="G99">
        <f t="shared" ref="G99" si="136">G97-G98</f>
        <v>154.91319999999999</v>
      </c>
      <c r="H99">
        <f t="shared" ref="H99" si="137">H97-H98</f>
        <v>192.09236799999991</v>
      </c>
      <c r="I99">
        <f t="shared" ref="I99" si="138">I97-I98</f>
        <v>238.19453632000003</v>
      </c>
      <c r="J99">
        <f t="shared" ref="J99" si="139">J97-J98</f>
        <v>295.36122503680008</v>
      </c>
      <c r="K99">
        <f t="shared" ref="K99" si="140">K97-K98</f>
        <v>366.24791904563187</v>
      </c>
      <c r="L99">
        <f t="shared" ref="L99" si="141">L97-L98</f>
        <v>454.14741961658359</v>
      </c>
      <c r="M99">
        <f t="shared" ref="M99" si="142">M97-M98</f>
        <v>563.1428003245635</v>
      </c>
      <c r="N99">
        <f t="shared" ref="N99" si="143">N97-N98</f>
        <v>698.29707240245875</v>
      </c>
      <c r="O99">
        <f>O97-O98</f>
        <v>740.19489674660667</v>
      </c>
      <c r="Q99" t="s">
        <v>106</v>
      </c>
      <c r="R99">
        <v>0.24</v>
      </c>
      <c r="S99">
        <v>0.06</v>
      </c>
    </row>
    <row r="101" spans="3:19" x14ac:dyDescent="0.25">
      <c r="C101" t="s">
        <v>4</v>
      </c>
      <c r="D101">
        <f>40</f>
        <v>40</v>
      </c>
      <c r="E101">
        <f>(D101/D94)*E94</f>
        <v>49.6</v>
      </c>
      <c r="F101">
        <f t="shared" ref="F101:N101" si="144">(E101/E94)*F94</f>
        <v>61.503999999999998</v>
      </c>
      <c r="G101">
        <f t="shared" si="144"/>
        <v>76.264959999999988</v>
      </c>
      <c r="H101">
        <f t="shared" si="144"/>
        <v>94.568550399999992</v>
      </c>
      <c r="I101">
        <f t="shared" si="144"/>
        <v>117.26500249599998</v>
      </c>
      <c r="J101">
        <f t="shared" si="144"/>
        <v>145.40860309503998</v>
      </c>
      <c r="K101">
        <f t="shared" si="144"/>
        <v>180.30666783784957</v>
      </c>
      <c r="L101">
        <f t="shared" si="144"/>
        <v>223.58026811893347</v>
      </c>
      <c r="M101">
        <f t="shared" si="144"/>
        <v>277.23953246747749</v>
      </c>
      <c r="N101">
        <f t="shared" si="144"/>
        <v>343.7770202596721</v>
      </c>
    </row>
    <row r="102" spans="3:19" x14ac:dyDescent="0.25">
      <c r="C102" t="s">
        <v>3</v>
      </c>
      <c r="D102">
        <f>D96</f>
        <v>25</v>
      </c>
      <c r="E102">
        <f>E96</f>
        <v>31</v>
      </c>
      <c r="F102">
        <f t="shared" ref="F102:N102" si="145">F96</f>
        <v>38.44</v>
      </c>
      <c r="G102">
        <f t="shared" si="145"/>
        <v>47.665599999999991</v>
      </c>
      <c r="H102">
        <f t="shared" si="145"/>
        <v>59.105343999999988</v>
      </c>
      <c r="I102">
        <f t="shared" si="145"/>
        <v>73.290626559999993</v>
      </c>
      <c r="J102">
        <f t="shared" si="145"/>
        <v>90.88037693439999</v>
      </c>
      <c r="K102">
        <f t="shared" si="145"/>
        <v>112.69166739865598</v>
      </c>
      <c r="L102">
        <f t="shared" si="145"/>
        <v>139.73766757433341</v>
      </c>
      <c r="M102">
        <f t="shared" si="145"/>
        <v>173.27470779217344</v>
      </c>
      <c r="N102">
        <f t="shared" si="145"/>
        <v>214.86063766229506</v>
      </c>
    </row>
    <row r="103" spans="3:19" x14ac:dyDescent="0.25">
      <c r="C103" t="s">
        <v>5</v>
      </c>
      <c r="D103">
        <f>D101-D102</f>
        <v>15</v>
      </c>
      <c r="E103">
        <f>E101-E102</f>
        <v>18.600000000000001</v>
      </c>
      <c r="F103">
        <f t="shared" ref="F103" si="146">F101-F102</f>
        <v>23.064</v>
      </c>
      <c r="G103">
        <f t="shared" ref="G103" si="147">G101-G102</f>
        <v>28.599359999999997</v>
      </c>
      <c r="H103">
        <f t="shared" ref="H103" si="148">H101-H102</f>
        <v>35.463206400000004</v>
      </c>
      <c r="I103">
        <f t="shared" ref="I103" si="149">I101-I102</f>
        <v>43.974375935999987</v>
      </c>
      <c r="J103">
        <f t="shared" ref="J103" si="150">J101-J102</f>
        <v>54.528226160639989</v>
      </c>
      <c r="K103">
        <f t="shared" ref="K103" si="151">K101-K102</f>
        <v>67.615000439193594</v>
      </c>
      <c r="L103">
        <f t="shared" ref="L103" si="152">L101-L102</f>
        <v>83.84260054460006</v>
      </c>
      <c r="M103">
        <f t="shared" ref="M103" si="153">M101-M102</f>
        <v>103.96482467530404</v>
      </c>
      <c r="N103">
        <f t="shared" ref="N103" si="154">N101-N102</f>
        <v>128.91638259737704</v>
      </c>
      <c r="O103">
        <v>0</v>
      </c>
    </row>
    <row r="105" spans="3:19" x14ac:dyDescent="0.25">
      <c r="C105" t="s">
        <v>2</v>
      </c>
      <c r="D105">
        <f>D94*0.3</f>
        <v>180</v>
      </c>
      <c r="E105">
        <f>E94*0.3</f>
        <v>223.2</v>
      </c>
      <c r="F105">
        <f t="shared" ref="F105:O105" si="155">F94*0.3</f>
        <v>276.76799999999997</v>
      </c>
      <c r="G105">
        <f t="shared" si="155"/>
        <v>343.19231999999994</v>
      </c>
      <c r="H105">
        <f t="shared" si="155"/>
        <v>425.55847679999994</v>
      </c>
      <c r="I105">
        <f t="shared" si="155"/>
        <v>527.6925112319999</v>
      </c>
      <c r="J105">
        <f t="shared" si="155"/>
        <v>654.33871392767992</v>
      </c>
      <c r="K105">
        <f t="shared" si="155"/>
        <v>811.38000527032307</v>
      </c>
      <c r="L105">
        <f t="shared" si="155"/>
        <v>1006.1112065352006</v>
      </c>
      <c r="M105">
        <f t="shared" si="155"/>
        <v>1247.5778961036488</v>
      </c>
      <c r="N105">
        <f t="shared" si="155"/>
        <v>1546.9965911685244</v>
      </c>
      <c r="O105">
        <f t="shared" si="155"/>
        <v>1639.816386638636</v>
      </c>
    </row>
    <row r="106" spans="3:19" x14ac:dyDescent="0.25">
      <c r="C106" t="s">
        <v>13</v>
      </c>
      <c r="E106">
        <f>E105-D105</f>
        <v>43.199999999999989</v>
      </c>
      <c r="F106">
        <f t="shared" ref="F106" si="156">F105-E105</f>
        <v>53.567999999999984</v>
      </c>
      <c r="G106">
        <f t="shared" ref="G106" si="157">G105-F105</f>
        <v>66.424319999999966</v>
      </c>
      <c r="H106">
        <f t="shared" ref="H106" si="158">H105-G105</f>
        <v>82.366156799999999</v>
      </c>
      <c r="I106">
        <f t="shared" ref="I106" si="159">I105-H105</f>
        <v>102.13403443199996</v>
      </c>
      <c r="J106">
        <f t="shared" ref="J106" si="160">J105-I105</f>
        <v>126.64620269568002</v>
      </c>
      <c r="K106">
        <f t="shared" ref="K106" si="161">K105-J105</f>
        <v>157.04129134264315</v>
      </c>
      <c r="L106">
        <f t="shared" ref="L106" si="162">L105-K105</f>
        <v>194.73120126487754</v>
      </c>
      <c r="M106">
        <f t="shared" ref="M106" si="163">M105-L105</f>
        <v>241.46668956844815</v>
      </c>
      <c r="N106">
        <f t="shared" ref="N106" si="164">N105-M105</f>
        <v>299.41869506487569</v>
      </c>
      <c r="O106">
        <f t="shared" ref="O106" si="165">O105-N105</f>
        <v>92.819795470111558</v>
      </c>
    </row>
    <row r="108" spans="3:19" x14ac:dyDescent="0.25">
      <c r="C108" t="s">
        <v>109</v>
      </c>
      <c r="E108">
        <f>E106+E103</f>
        <v>61.79999999999999</v>
      </c>
      <c r="F108">
        <f t="shared" ref="F108:O108" si="166">F106+F103</f>
        <v>76.631999999999977</v>
      </c>
      <c r="G108">
        <f t="shared" si="166"/>
        <v>95.023679999999956</v>
      </c>
      <c r="H108">
        <f t="shared" si="166"/>
        <v>117.8293632</v>
      </c>
      <c r="I108">
        <f t="shared" si="166"/>
        <v>146.10841036799997</v>
      </c>
      <c r="J108">
        <f t="shared" si="166"/>
        <v>181.17442885631999</v>
      </c>
      <c r="K108">
        <f t="shared" si="166"/>
        <v>224.65629178183673</v>
      </c>
      <c r="L108">
        <f t="shared" si="166"/>
        <v>278.57380180947757</v>
      </c>
      <c r="M108">
        <f t="shared" si="166"/>
        <v>345.43151424375219</v>
      </c>
      <c r="N108">
        <f t="shared" si="166"/>
        <v>428.33507766225273</v>
      </c>
      <c r="O108">
        <f t="shared" si="166"/>
        <v>92.819795470111558</v>
      </c>
    </row>
    <row r="109" spans="3:19" x14ac:dyDescent="0.25">
      <c r="E109">
        <f>E108/E99</f>
        <v>0.61339950372208429</v>
      </c>
      <c r="O109">
        <f>O108/O99</f>
        <v>0.12539912917271417</v>
      </c>
    </row>
    <row r="110" spans="3:19" x14ac:dyDescent="0.25">
      <c r="C110" t="s">
        <v>7</v>
      </c>
      <c r="E110">
        <f>E99-E108</f>
        <v>38.95000000000001</v>
      </c>
      <c r="F110">
        <f t="shared" ref="F110:N110" si="167">F99-F108</f>
        <v>48.298000000000059</v>
      </c>
      <c r="G110">
        <f t="shared" si="167"/>
        <v>59.889520000000033</v>
      </c>
      <c r="H110">
        <f t="shared" si="167"/>
        <v>74.263004799999905</v>
      </c>
      <c r="I110">
        <f t="shared" si="167"/>
        <v>92.08612595200006</v>
      </c>
      <c r="J110">
        <f t="shared" si="167"/>
        <v>114.18679618048009</v>
      </c>
      <c r="K110">
        <f t="shared" si="167"/>
        <v>141.59162726379515</v>
      </c>
      <c r="L110">
        <f t="shared" si="167"/>
        <v>175.57361780710602</v>
      </c>
      <c r="M110">
        <f t="shared" si="167"/>
        <v>217.71128608081131</v>
      </c>
      <c r="N110">
        <f t="shared" si="167"/>
        <v>269.96199474020602</v>
      </c>
      <c r="O110">
        <f>O99-O108</f>
        <v>647.37510127649512</v>
      </c>
    </row>
    <row r="111" spans="3:19" x14ac:dyDescent="0.25">
      <c r="N111">
        <f>O110/(S96-S99)</f>
        <v>9182.6255500212064</v>
      </c>
      <c r="R111">
        <f>D112+D91</f>
        <v>14840.440825849277</v>
      </c>
      <c r="S111">
        <f>R111-D60-D25</f>
        <v>546.01792288196884</v>
      </c>
    </row>
    <row r="112" spans="3:19" x14ac:dyDescent="0.25">
      <c r="C112" t="s">
        <v>110</v>
      </c>
      <c r="D112">
        <f>SUM(E112:N112)</f>
        <v>3021.2545141928695</v>
      </c>
      <c r="E112">
        <f>E110/(1+$R$96)^E71</f>
        <v>34.204171240395183</v>
      </c>
      <c r="F112">
        <f t="shared" ref="F112:M112" si="168">F110/(1+$R$96)^F71</f>
        <v>37.245376367148246</v>
      </c>
      <c r="G112">
        <f t="shared" si="168"/>
        <v>40.556985023283247</v>
      </c>
      <c r="H112">
        <f t="shared" si="168"/>
        <v>44.16303967409101</v>
      </c>
      <c r="I112">
        <f t="shared" si="168"/>
        <v>48.089720479361546</v>
      </c>
      <c r="J112">
        <f t="shared" si="168"/>
        <v>52.365535362817404</v>
      </c>
      <c r="K112">
        <f t="shared" si="168"/>
        <v>57.021526981245678</v>
      </c>
      <c r="L112">
        <f t="shared" si="168"/>
        <v>62.091498095933837</v>
      </c>
      <c r="M112">
        <f t="shared" si="168"/>
        <v>67.612256982619456</v>
      </c>
      <c r="N112">
        <f>(N110+N111)/(1+$R$96)^N71</f>
        <v>2577.9044039859737</v>
      </c>
    </row>
    <row r="113" spans="4:4" x14ac:dyDescent="0.25">
      <c r="D113">
        <v>1554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9115-6A73-40D1-8EC8-22C28B1E355C}">
  <dimension ref="A1:N7"/>
  <sheetViews>
    <sheetView workbookViewId="0">
      <selection activeCell="M3" sqref="M3"/>
    </sheetView>
  </sheetViews>
  <sheetFormatPr defaultRowHeight="15" x14ac:dyDescent="0.25"/>
  <sheetData>
    <row r="1" spans="1:14" x14ac:dyDescent="0.25">
      <c r="A1" t="s">
        <v>116</v>
      </c>
    </row>
    <row r="2" spans="1:14" x14ac:dyDescent="0.25">
      <c r="M2" t="s">
        <v>112</v>
      </c>
      <c r="N2" t="s">
        <v>113</v>
      </c>
    </row>
    <row r="3" spans="1:14" x14ac:dyDescent="0.25">
      <c r="C3" t="s">
        <v>0</v>
      </c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L3" t="s">
        <v>31</v>
      </c>
      <c r="M3">
        <v>0.1207</v>
      </c>
    </row>
    <row r="4" spans="1:14" x14ac:dyDescent="0.25">
      <c r="L4" t="s">
        <v>81</v>
      </c>
      <c r="M4">
        <v>0.08</v>
      </c>
      <c r="N4">
        <f>N6/N5</f>
        <v>0.12</v>
      </c>
    </row>
    <row r="5" spans="1:14" x14ac:dyDescent="0.25">
      <c r="C5" t="s">
        <v>89</v>
      </c>
      <c r="D5">
        <v>2.5</v>
      </c>
      <c r="L5" t="s">
        <v>105</v>
      </c>
      <c r="M5">
        <v>0.5</v>
      </c>
      <c r="N5">
        <f>M5</f>
        <v>0.5</v>
      </c>
    </row>
    <row r="6" spans="1:14" x14ac:dyDescent="0.25">
      <c r="L6" t="s">
        <v>117</v>
      </c>
      <c r="M6">
        <f>M4*M5</f>
        <v>0.04</v>
      </c>
      <c r="N6">
        <v>0.06</v>
      </c>
    </row>
    <row r="7" spans="1:14" x14ac:dyDescent="0.25">
      <c r="C7" t="s">
        <v>9</v>
      </c>
      <c r="D7">
        <f>D5*0.5</f>
        <v>1.25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F924-ECCF-4148-8ED9-7BF6DA82F4AC}">
  <dimension ref="A1:O86"/>
  <sheetViews>
    <sheetView topLeftCell="A22" workbookViewId="0">
      <selection activeCell="L85" sqref="L85"/>
    </sheetView>
  </sheetViews>
  <sheetFormatPr defaultRowHeight="15" x14ac:dyDescent="0.25"/>
  <cols>
    <col min="3" max="3" width="17.85546875" bestFit="1" customWidth="1"/>
  </cols>
  <sheetData>
    <row r="1" spans="1:15" x14ac:dyDescent="0.25">
      <c r="A1" t="s">
        <v>107</v>
      </c>
    </row>
    <row r="3" spans="1:15" x14ac:dyDescent="0.25">
      <c r="C3" t="s">
        <v>108</v>
      </c>
    </row>
    <row r="5" spans="1:15" x14ac:dyDescent="0.25">
      <c r="C5" t="s">
        <v>0</v>
      </c>
      <c r="D5">
        <v>0</v>
      </c>
      <c r="E5">
        <f>D5+1</f>
        <v>1</v>
      </c>
      <c r="F5">
        <f t="shared" ref="F5:N5" si="0">E5+1</f>
        <v>2</v>
      </c>
      <c r="G5">
        <f t="shared" si="0"/>
        <v>3</v>
      </c>
      <c r="H5">
        <f t="shared" si="0"/>
        <v>4</v>
      </c>
      <c r="I5">
        <f t="shared" si="0"/>
        <v>5</v>
      </c>
      <c r="J5">
        <f t="shared" si="0"/>
        <v>6</v>
      </c>
      <c r="K5">
        <f t="shared" si="0"/>
        <v>7</v>
      </c>
      <c r="L5">
        <f t="shared" si="0"/>
        <v>8</v>
      </c>
      <c r="M5">
        <f t="shared" si="0"/>
        <v>9</v>
      </c>
      <c r="N5">
        <f t="shared" si="0"/>
        <v>10</v>
      </c>
    </row>
    <row r="7" spans="1:15" x14ac:dyDescent="0.25">
      <c r="B7">
        <v>1.25</v>
      </c>
      <c r="C7" t="s">
        <v>12</v>
      </c>
      <c r="D7">
        <v>1200</v>
      </c>
      <c r="E7">
        <f>D7*$B$7</f>
        <v>1500</v>
      </c>
      <c r="F7">
        <f t="shared" ref="F7:N7" si="1">E7*$B$7</f>
        <v>1875</v>
      </c>
      <c r="G7">
        <f t="shared" si="1"/>
        <v>2343.75</v>
      </c>
      <c r="H7">
        <f t="shared" si="1"/>
        <v>2929.6875</v>
      </c>
      <c r="I7">
        <f t="shared" si="1"/>
        <v>3662.109375</v>
      </c>
      <c r="J7">
        <f t="shared" si="1"/>
        <v>4577.63671875</v>
      </c>
      <c r="K7">
        <f t="shared" si="1"/>
        <v>5722.0458984375</v>
      </c>
      <c r="L7">
        <f t="shared" si="1"/>
        <v>7152.557373046875</v>
      </c>
      <c r="M7">
        <f t="shared" si="1"/>
        <v>8940.6967163085938</v>
      </c>
      <c r="N7">
        <f t="shared" si="1"/>
        <v>11175.870895385742</v>
      </c>
      <c r="O7">
        <f>N7*1.06</f>
        <v>11846.423149108887</v>
      </c>
    </row>
    <row r="8" spans="1:15" x14ac:dyDescent="0.25">
      <c r="B8">
        <v>0.56999999999999995</v>
      </c>
      <c r="C8" t="s">
        <v>124</v>
      </c>
      <c r="D8">
        <f>D7*$B$8</f>
        <v>683.99999999999989</v>
      </c>
      <c r="E8">
        <f>E7*$B$8</f>
        <v>854.99999999999989</v>
      </c>
      <c r="F8">
        <f t="shared" ref="F8:O8" si="2">F7*$B$8</f>
        <v>1068.75</v>
      </c>
      <c r="G8">
        <f t="shared" si="2"/>
        <v>1335.9374999999998</v>
      </c>
      <c r="H8">
        <f t="shared" si="2"/>
        <v>1669.9218749999998</v>
      </c>
      <c r="I8">
        <f t="shared" si="2"/>
        <v>2087.40234375</v>
      </c>
      <c r="J8">
        <f t="shared" si="2"/>
        <v>2609.2529296875</v>
      </c>
      <c r="K8">
        <f t="shared" si="2"/>
        <v>3261.5661621093745</v>
      </c>
      <c r="L8">
        <f t="shared" si="2"/>
        <v>4076.9577026367183</v>
      </c>
      <c r="M8">
        <f t="shared" si="2"/>
        <v>5096.1971282958984</v>
      </c>
      <c r="N8">
        <f t="shared" si="2"/>
        <v>6370.2464103698721</v>
      </c>
      <c r="O8">
        <f t="shared" si="2"/>
        <v>6752.4611949920645</v>
      </c>
    </row>
    <row r="9" spans="1:15" x14ac:dyDescent="0.25">
      <c r="B9">
        <f>D9/D7</f>
        <v>3.5000000000000003E-2</v>
      </c>
      <c r="C9" t="s">
        <v>3</v>
      </c>
      <c r="D9">
        <v>42</v>
      </c>
      <c r="E9">
        <f>E7*$B$9</f>
        <v>52.500000000000007</v>
      </c>
      <c r="F9">
        <f t="shared" ref="F9:N9" si="3">F7*$B$9</f>
        <v>65.625</v>
      </c>
      <c r="G9">
        <f t="shared" si="3"/>
        <v>82.031250000000014</v>
      </c>
      <c r="H9">
        <f t="shared" si="3"/>
        <v>102.53906250000001</v>
      </c>
      <c r="I9">
        <f t="shared" si="3"/>
        <v>128.173828125</v>
      </c>
      <c r="J9">
        <f t="shared" si="3"/>
        <v>160.21728515625003</v>
      </c>
      <c r="K9">
        <f t="shared" si="3"/>
        <v>200.27160644531253</v>
      </c>
      <c r="L9">
        <f t="shared" si="3"/>
        <v>250.33950805664065</v>
      </c>
      <c r="M9">
        <f t="shared" si="3"/>
        <v>312.92438507080084</v>
      </c>
      <c r="N9">
        <f t="shared" si="3"/>
        <v>391.15548133850103</v>
      </c>
      <c r="O9">
        <f t="shared" ref="O9" si="4">O7*$B$9</f>
        <v>414.62481021881109</v>
      </c>
    </row>
    <row r="10" spans="1:15" x14ac:dyDescent="0.25">
      <c r="C10" t="s">
        <v>102</v>
      </c>
      <c r="D10">
        <f>D7-D8-D9</f>
        <v>474.00000000000011</v>
      </c>
      <c r="E10">
        <f>E7-E8-E9</f>
        <v>592.50000000000011</v>
      </c>
      <c r="F10">
        <f t="shared" ref="F10:O10" si="5">F7-F8-F9</f>
        <v>740.625</v>
      </c>
      <c r="G10">
        <f t="shared" si="5"/>
        <v>925.78125000000023</v>
      </c>
      <c r="H10">
        <f t="shared" si="5"/>
        <v>1157.2265625000002</v>
      </c>
      <c r="I10">
        <f t="shared" si="5"/>
        <v>1446.533203125</v>
      </c>
      <c r="J10">
        <f t="shared" si="5"/>
        <v>1808.16650390625</v>
      </c>
      <c r="K10">
        <f t="shared" si="5"/>
        <v>2260.208129882813</v>
      </c>
      <c r="L10">
        <f t="shared" si="5"/>
        <v>2825.2601623535161</v>
      </c>
      <c r="M10">
        <f t="shared" si="5"/>
        <v>3531.5752029418945</v>
      </c>
      <c r="N10">
        <f t="shared" si="5"/>
        <v>4414.4690036773691</v>
      </c>
      <c r="O10">
        <f t="shared" si="5"/>
        <v>4679.3371438980112</v>
      </c>
    </row>
    <row r="11" spans="1:15" x14ac:dyDescent="0.25">
      <c r="B11">
        <v>0.35</v>
      </c>
      <c r="C11" t="s">
        <v>103</v>
      </c>
      <c r="D11">
        <f>D10*$B$11</f>
        <v>165.90000000000003</v>
      </c>
      <c r="E11">
        <f>E10*$B$11</f>
        <v>207.37500000000003</v>
      </c>
      <c r="F11">
        <f t="shared" ref="F11:O11" si="6">F10*$B$11</f>
        <v>259.21875</v>
      </c>
      <c r="G11">
        <f t="shared" si="6"/>
        <v>324.02343750000006</v>
      </c>
      <c r="H11">
        <f t="shared" si="6"/>
        <v>405.02929687500006</v>
      </c>
      <c r="I11">
        <f t="shared" si="6"/>
        <v>506.28662109374994</v>
      </c>
      <c r="J11">
        <f t="shared" si="6"/>
        <v>632.8582763671875</v>
      </c>
      <c r="K11">
        <f t="shared" si="6"/>
        <v>791.07284545898449</v>
      </c>
      <c r="L11">
        <f t="shared" si="6"/>
        <v>988.84105682373058</v>
      </c>
      <c r="M11">
        <f t="shared" si="6"/>
        <v>1236.0513210296631</v>
      </c>
      <c r="N11">
        <f t="shared" si="6"/>
        <v>1545.0641512870791</v>
      </c>
      <c r="O11">
        <f t="shared" si="6"/>
        <v>1637.7680003643038</v>
      </c>
    </row>
    <row r="12" spans="1:15" x14ac:dyDescent="0.25">
      <c r="C12" t="s">
        <v>1</v>
      </c>
      <c r="D12">
        <f>D10-D11</f>
        <v>308.10000000000008</v>
      </c>
      <c r="E12">
        <f>E10-E11</f>
        <v>385.12500000000011</v>
      </c>
      <c r="F12">
        <f t="shared" ref="F12:O12" si="7">F10-F11</f>
        <v>481.40625</v>
      </c>
      <c r="G12">
        <f t="shared" si="7"/>
        <v>601.75781250000023</v>
      </c>
      <c r="H12">
        <f t="shared" si="7"/>
        <v>752.19726562500023</v>
      </c>
      <c r="I12">
        <f t="shared" si="7"/>
        <v>940.24658203125</v>
      </c>
      <c r="J12">
        <f t="shared" si="7"/>
        <v>1175.3082275390625</v>
      </c>
      <c r="K12">
        <f t="shared" si="7"/>
        <v>1469.1352844238286</v>
      </c>
      <c r="L12">
        <f t="shared" si="7"/>
        <v>1836.4191055297856</v>
      </c>
      <c r="M12">
        <f t="shared" si="7"/>
        <v>2295.5238819122314</v>
      </c>
      <c r="N12">
        <f t="shared" si="7"/>
        <v>2869.4048523902902</v>
      </c>
      <c r="O12">
        <f t="shared" si="7"/>
        <v>3041.5691435337076</v>
      </c>
    </row>
    <row r="14" spans="1:15" x14ac:dyDescent="0.25">
      <c r="B14">
        <f>D14/D7</f>
        <v>6.25E-2</v>
      </c>
      <c r="C14" t="s">
        <v>4</v>
      </c>
      <c r="D14">
        <v>75</v>
      </c>
      <c r="E14">
        <f>E7*$B$14</f>
        <v>93.75</v>
      </c>
      <c r="F14">
        <f t="shared" ref="F14:N14" si="8">F7*$B$14</f>
        <v>117.1875</v>
      </c>
      <c r="G14">
        <f t="shared" si="8"/>
        <v>146.484375</v>
      </c>
      <c r="H14">
        <f t="shared" si="8"/>
        <v>183.10546875</v>
      </c>
      <c r="I14">
        <f t="shared" si="8"/>
        <v>228.8818359375</v>
      </c>
      <c r="J14">
        <f t="shared" si="8"/>
        <v>286.102294921875</v>
      </c>
      <c r="K14">
        <f t="shared" si="8"/>
        <v>357.62786865234375</v>
      </c>
      <c r="L14">
        <f t="shared" si="8"/>
        <v>447.03483581542969</v>
      </c>
      <c r="M14">
        <f t="shared" si="8"/>
        <v>558.79354476928711</v>
      </c>
      <c r="N14">
        <f t="shared" si="8"/>
        <v>698.49193096160889</v>
      </c>
      <c r="O14">
        <f>O15</f>
        <v>414.62481021881109</v>
      </c>
    </row>
    <row r="15" spans="1:15" x14ac:dyDescent="0.25">
      <c r="C15" t="s">
        <v>3</v>
      </c>
      <c r="D15">
        <f>D9</f>
        <v>42</v>
      </c>
      <c r="E15">
        <f>E9</f>
        <v>52.500000000000007</v>
      </c>
      <c r="F15">
        <f t="shared" ref="F15:N15" si="9">F9</f>
        <v>65.625</v>
      </c>
      <c r="G15">
        <f t="shared" si="9"/>
        <v>82.031250000000014</v>
      </c>
      <c r="H15">
        <f t="shared" si="9"/>
        <v>102.53906250000001</v>
      </c>
      <c r="I15">
        <f t="shared" si="9"/>
        <v>128.173828125</v>
      </c>
      <c r="J15">
        <f t="shared" si="9"/>
        <v>160.21728515625003</v>
      </c>
      <c r="K15">
        <f t="shared" si="9"/>
        <v>200.27160644531253</v>
      </c>
      <c r="L15">
        <f t="shared" si="9"/>
        <v>250.33950805664065</v>
      </c>
      <c r="M15">
        <f t="shared" si="9"/>
        <v>312.92438507080084</v>
      </c>
      <c r="N15">
        <f t="shared" si="9"/>
        <v>391.15548133850103</v>
      </c>
      <c r="O15">
        <f>O9</f>
        <v>414.62481021881109</v>
      </c>
    </row>
    <row r="16" spans="1:15" x14ac:dyDescent="0.25">
      <c r="C16" t="s">
        <v>5</v>
      </c>
      <c r="D16">
        <f>D14-D15</f>
        <v>33</v>
      </c>
      <c r="E16">
        <f>E14-E15</f>
        <v>41.249999999999993</v>
      </c>
      <c r="F16">
        <f t="shared" ref="F16:O16" si="10">F14-F15</f>
        <v>51.5625</v>
      </c>
      <c r="G16">
        <f t="shared" si="10"/>
        <v>64.453124999999986</v>
      </c>
      <c r="H16">
        <f t="shared" si="10"/>
        <v>80.566406249999986</v>
      </c>
      <c r="I16">
        <f t="shared" si="10"/>
        <v>100.7080078125</v>
      </c>
      <c r="J16">
        <f t="shared" si="10"/>
        <v>125.88500976562497</v>
      </c>
      <c r="K16">
        <f t="shared" si="10"/>
        <v>157.35626220703122</v>
      </c>
      <c r="L16">
        <f t="shared" si="10"/>
        <v>196.69532775878903</v>
      </c>
      <c r="M16">
        <f t="shared" si="10"/>
        <v>245.86915969848627</v>
      </c>
      <c r="N16">
        <f t="shared" si="10"/>
        <v>307.33644962310785</v>
      </c>
      <c r="O16">
        <f t="shared" si="10"/>
        <v>0</v>
      </c>
    </row>
    <row r="18" spans="2:15" x14ac:dyDescent="0.25">
      <c r="B18">
        <v>0.4</v>
      </c>
      <c r="C18" t="s">
        <v>2</v>
      </c>
      <c r="D18">
        <f>D7*$B$18</f>
        <v>480</v>
      </c>
      <c r="E18">
        <f>E7*$B$18</f>
        <v>600</v>
      </c>
      <c r="F18">
        <f t="shared" ref="F18:O18" si="11">F7*$B$18</f>
        <v>750</v>
      </c>
      <c r="G18">
        <f t="shared" si="11"/>
        <v>937.5</v>
      </c>
      <c r="H18">
        <f t="shared" si="11"/>
        <v>1171.875</v>
      </c>
      <c r="I18">
        <f t="shared" si="11"/>
        <v>1464.84375</v>
      </c>
      <c r="J18">
        <f t="shared" si="11"/>
        <v>1831.0546875</v>
      </c>
      <c r="K18">
        <f t="shared" si="11"/>
        <v>2288.818359375</v>
      </c>
      <c r="L18">
        <f t="shared" si="11"/>
        <v>2861.02294921875</v>
      </c>
      <c r="M18">
        <f t="shared" si="11"/>
        <v>3576.2786865234375</v>
      </c>
      <c r="N18">
        <f t="shared" si="11"/>
        <v>4470.3483581542969</v>
      </c>
      <c r="O18">
        <f t="shared" si="11"/>
        <v>4738.5692596435547</v>
      </c>
    </row>
    <row r="19" spans="2:15" x14ac:dyDescent="0.25">
      <c r="C19" t="s">
        <v>13</v>
      </c>
      <c r="E19">
        <f>E18-D18</f>
        <v>120</v>
      </c>
      <c r="F19">
        <f t="shared" ref="F19:O19" si="12">F18-E18</f>
        <v>150</v>
      </c>
      <c r="G19">
        <f t="shared" si="12"/>
        <v>187.5</v>
      </c>
      <c r="H19">
        <f t="shared" si="12"/>
        <v>234.375</v>
      </c>
      <c r="I19">
        <f t="shared" si="12"/>
        <v>292.96875</v>
      </c>
      <c r="J19">
        <f t="shared" si="12"/>
        <v>366.2109375</v>
      </c>
      <c r="K19">
        <f t="shared" si="12"/>
        <v>457.763671875</v>
      </c>
      <c r="L19">
        <f t="shared" si="12"/>
        <v>572.20458984375</v>
      </c>
      <c r="M19">
        <f t="shared" si="12"/>
        <v>715.2557373046875</v>
      </c>
      <c r="N19">
        <f t="shared" si="12"/>
        <v>894.06967163085938</v>
      </c>
      <c r="O19">
        <f t="shared" si="12"/>
        <v>268.22090148925781</v>
      </c>
    </row>
    <row r="21" spans="2:15" x14ac:dyDescent="0.25">
      <c r="C21" t="s">
        <v>119</v>
      </c>
      <c r="D21">
        <f>D19+D16</f>
        <v>33</v>
      </c>
      <c r="E21">
        <f>E19+E16</f>
        <v>161.25</v>
      </c>
      <c r="F21">
        <f t="shared" ref="F21:O21" si="13">F19+F16</f>
        <v>201.5625</v>
      </c>
      <c r="G21">
        <f t="shared" si="13"/>
        <v>251.953125</v>
      </c>
      <c r="H21">
        <f t="shared" si="13"/>
        <v>314.94140625</v>
      </c>
      <c r="I21">
        <f t="shared" si="13"/>
        <v>393.6767578125</v>
      </c>
      <c r="J21">
        <f t="shared" si="13"/>
        <v>492.095947265625</v>
      </c>
      <c r="K21">
        <f t="shared" si="13"/>
        <v>615.11993408203125</v>
      </c>
      <c r="L21">
        <f t="shared" si="13"/>
        <v>768.89991760253906</v>
      </c>
      <c r="M21">
        <f t="shared" si="13"/>
        <v>961.12489700317383</v>
      </c>
      <c r="N21">
        <f t="shared" si="13"/>
        <v>1201.4061212539673</v>
      </c>
      <c r="O21">
        <f t="shared" si="13"/>
        <v>268.22090148925781</v>
      </c>
    </row>
    <row r="23" spans="2:15" x14ac:dyDescent="0.25">
      <c r="C23" t="s">
        <v>7</v>
      </c>
      <c r="D23">
        <f>D12-D21</f>
        <v>275.10000000000008</v>
      </c>
      <c r="E23">
        <f>E12-E21</f>
        <v>223.87500000000011</v>
      </c>
      <c r="F23">
        <f t="shared" ref="F23:O23" si="14">F12-F21</f>
        <v>279.84375</v>
      </c>
      <c r="G23">
        <f t="shared" si="14"/>
        <v>349.80468750000023</v>
      </c>
      <c r="H23">
        <f t="shared" si="14"/>
        <v>437.25585937500023</v>
      </c>
      <c r="I23">
        <f t="shared" si="14"/>
        <v>546.56982421875</v>
      </c>
      <c r="J23">
        <f t="shared" si="14"/>
        <v>683.2122802734375</v>
      </c>
      <c r="K23">
        <f t="shared" si="14"/>
        <v>854.01535034179733</v>
      </c>
      <c r="L23">
        <f t="shared" si="14"/>
        <v>1067.5191879272465</v>
      </c>
      <c r="M23">
        <f t="shared" si="14"/>
        <v>1334.3989849090576</v>
      </c>
      <c r="N23">
        <f t="shared" si="14"/>
        <v>1667.9987311363229</v>
      </c>
      <c r="O23">
        <f t="shared" si="14"/>
        <v>2773.3482420444498</v>
      </c>
    </row>
    <row r="24" spans="2:15" x14ac:dyDescent="0.25">
      <c r="N24">
        <f>O23/(M28-M29)</f>
        <v>39338.272936800699</v>
      </c>
    </row>
    <row r="25" spans="2:15" x14ac:dyDescent="0.25">
      <c r="C25" t="s">
        <v>125</v>
      </c>
      <c r="E25">
        <f>SUM(E23:E24)/(1+$L$28)^E5</f>
        <v>194.71624266144823</v>
      </c>
      <c r="F25">
        <f t="shared" ref="F25:N25" si="15">SUM(F23:F24)/(1+$L$28)^F5</f>
        <v>211.69411030816278</v>
      </c>
      <c r="G25">
        <f t="shared" si="15"/>
        <v>230.15232692777005</v>
      </c>
      <c r="H25">
        <f t="shared" si="15"/>
        <v>250.21996839287894</v>
      </c>
      <c r="I25">
        <f t="shared" si="15"/>
        <v>272.03736507162296</v>
      </c>
      <c r="J25">
        <f t="shared" si="15"/>
        <v>295.75708313940305</v>
      </c>
      <c r="K25">
        <f t="shared" si="15"/>
        <v>321.54499145401519</v>
      </c>
      <c r="L25">
        <f t="shared" si="15"/>
        <v>349.58142145468059</v>
      </c>
      <c r="M25">
        <f t="shared" si="15"/>
        <v>380.06242819599959</v>
      </c>
      <c r="N25">
        <f t="shared" si="15"/>
        <v>10158.184631033912</v>
      </c>
    </row>
    <row r="27" spans="2:15" x14ac:dyDescent="0.25">
      <c r="C27" t="s">
        <v>126</v>
      </c>
      <c r="D27">
        <f>SUM(E25:N25)</f>
        <v>12663.950568639893</v>
      </c>
    </row>
    <row r="28" spans="2:15" x14ac:dyDescent="0.25">
      <c r="K28" t="s">
        <v>31</v>
      </c>
      <c r="L28">
        <f>0.07+1.45*0.055</f>
        <v>0.14974999999999999</v>
      </c>
      <c r="M28">
        <f>0.07+1.1*0.055</f>
        <v>0.1305</v>
      </c>
    </row>
    <row r="29" spans="2:15" x14ac:dyDescent="0.25">
      <c r="K29" t="s">
        <v>106</v>
      </c>
      <c r="L29">
        <v>0.25</v>
      </c>
      <c r="M29">
        <v>0.06</v>
      </c>
    </row>
    <row r="32" spans="2:15" x14ac:dyDescent="0.25">
      <c r="C32" t="s">
        <v>115</v>
      </c>
    </row>
    <row r="34" spans="2:15" x14ac:dyDescent="0.25">
      <c r="C34" t="s">
        <v>0</v>
      </c>
      <c r="D34">
        <v>0</v>
      </c>
      <c r="E34">
        <f>D34+1</f>
        <v>1</v>
      </c>
      <c r="F34">
        <f t="shared" ref="F34:N34" si="16">E34+1</f>
        <v>2</v>
      </c>
      <c r="G34">
        <f t="shared" si="16"/>
        <v>3</v>
      </c>
      <c r="H34">
        <f t="shared" si="16"/>
        <v>4</v>
      </c>
      <c r="I34">
        <f t="shared" si="16"/>
        <v>5</v>
      </c>
      <c r="J34">
        <f t="shared" si="16"/>
        <v>6</v>
      </c>
      <c r="K34">
        <f t="shared" si="16"/>
        <v>7</v>
      </c>
      <c r="L34">
        <f t="shared" si="16"/>
        <v>8</v>
      </c>
      <c r="M34">
        <f t="shared" si="16"/>
        <v>9</v>
      </c>
      <c r="N34">
        <f t="shared" si="16"/>
        <v>10</v>
      </c>
    </row>
    <row r="36" spans="2:15" x14ac:dyDescent="0.25">
      <c r="B36">
        <v>1.1499999999999999</v>
      </c>
      <c r="C36" t="s">
        <v>12</v>
      </c>
      <c r="D36">
        <v>600</v>
      </c>
      <c r="E36">
        <f>D36*$B$36</f>
        <v>690</v>
      </c>
      <c r="F36">
        <f t="shared" ref="F36:N36" si="17">E36*$B$36</f>
        <v>793.49999999999989</v>
      </c>
      <c r="G36">
        <f t="shared" si="17"/>
        <v>912.52499999999975</v>
      </c>
      <c r="H36">
        <f t="shared" si="17"/>
        <v>1049.4037499999997</v>
      </c>
      <c r="I36">
        <f t="shared" si="17"/>
        <v>1206.8143124999997</v>
      </c>
      <c r="J36">
        <f t="shared" si="17"/>
        <v>1387.8364593749995</v>
      </c>
      <c r="K36">
        <f t="shared" si="17"/>
        <v>1596.0119282812493</v>
      </c>
      <c r="L36">
        <f t="shared" si="17"/>
        <v>1835.4137175234366</v>
      </c>
      <c r="M36">
        <f t="shared" si="17"/>
        <v>2110.7257751519519</v>
      </c>
      <c r="N36">
        <f t="shared" si="17"/>
        <v>2427.3346414247444</v>
      </c>
      <c r="O36">
        <f>N36*1.06</f>
        <v>2572.9747199102294</v>
      </c>
    </row>
    <row r="37" spans="2:15" x14ac:dyDescent="0.25">
      <c r="B37">
        <v>0.75</v>
      </c>
      <c r="C37" t="s">
        <v>124</v>
      </c>
      <c r="D37">
        <f>D36*$B$37</f>
        <v>450</v>
      </c>
      <c r="E37">
        <f>E36*$B$37</f>
        <v>517.5</v>
      </c>
      <c r="F37">
        <f t="shared" ref="F37:O37" si="18">F36*$B$37</f>
        <v>595.12499999999989</v>
      </c>
      <c r="G37">
        <f t="shared" si="18"/>
        <v>684.39374999999984</v>
      </c>
      <c r="H37">
        <f t="shared" si="18"/>
        <v>787.05281249999985</v>
      </c>
      <c r="I37">
        <f t="shared" si="18"/>
        <v>905.11073437499977</v>
      </c>
      <c r="J37">
        <f t="shared" si="18"/>
        <v>1040.8773445312497</v>
      </c>
      <c r="K37">
        <f t="shared" si="18"/>
        <v>1197.008946210937</v>
      </c>
      <c r="L37">
        <f t="shared" si="18"/>
        <v>1376.5602881425775</v>
      </c>
      <c r="M37">
        <f t="shared" si="18"/>
        <v>1583.0443313639639</v>
      </c>
      <c r="N37">
        <f t="shared" si="18"/>
        <v>1820.5009810685583</v>
      </c>
      <c r="O37">
        <f t="shared" si="18"/>
        <v>1929.731039932672</v>
      </c>
    </row>
    <row r="38" spans="2:15" x14ac:dyDescent="0.25">
      <c r="B38">
        <v>4.1666666666666664E-2</v>
      </c>
      <c r="C38" t="s">
        <v>3</v>
      </c>
      <c r="D38">
        <f>$B$38*D36</f>
        <v>25</v>
      </c>
      <c r="E38">
        <f>$B$38*E36</f>
        <v>28.75</v>
      </c>
      <c r="F38">
        <f t="shared" ref="F38:N38" si="19">$B$38*F36</f>
        <v>33.062499999999993</v>
      </c>
      <c r="G38">
        <f t="shared" si="19"/>
        <v>38.021874999999987</v>
      </c>
      <c r="H38">
        <f t="shared" si="19"/>
        <v>43.725156249999984</v>
      </c>
      <c r="I38">
        <f t="shared" si="19"/>
        <v>50.283929687499985</v>
      </c>
      <c r="J38">
        <f t="shared" si="19"/>
        <v>57.826519140624981</v>
      </c>
      <c r="K38">
        <f t="shared" si="19"/>
        <v>66.500497011718721</v>
      </c>
      <c r="L38">
        <f t="shared" si="19"/>
        <v>76.475571563476521</v>
      </c>
      <c r="M38">
        <f t="shared" si="19"/>
        <v>87.946907297997996</v>
      </c>
      <c r="N38">
        <f t="shared" si="19"/>
        <v>101.13894339269768</v>
      </c>
      <c r="O38">
        <f t="shared" ref="O38" si="20">$B$38*O36</f>
        <v>107.20727999625956</v>
      </c>
    </row>
    <row r="39" spans="2:15" x14ac:dyDescent="0.25">
      <c r="C39" t="s">
        <v>102</v>
      </c>
      <c r="D39">
        <f>D36-D37-D38</f>
        <v>125</v>
      </c>
      <c r="E39">
        <f>E36-E37-E38</f>
        <v>143.75</v>
      </c>
      <c r="F39">
        <f t="shared" ref="F39:O39" si="21">F36-F37-F38</f>
        <v>165.3125</v>
      </c>
      <c r="G39">
        <f t="shared" si="21"/>
        <v>190.10937499999991</v>
      </c>
      <c r="H39">
        <f t="shared" si="21"/>
        <v>218.62578124999987</v>
      </c>
      <c r="I39">
        <f t="shared" si="21"/>
        <v>251.41964843749994</v>
      </c>
      <c r="J39">
        <f t="shared" si="21"/>
        <v>289.13259570312482</v>
      </c>
      <c r="K39">
        <f t="shared" si="21"/>
        <v>332.50248505859361</v>
      </c>
      <c r="L39">
        <f t="shared" si="21"/>
        <v>382.37785781738256</v>
      </c>
      <c r="M39">
        <f t="shared" si="21"/>
        <v>439.73453648998998</v>
      </c>
      <c r="N39">
        <f t="shared" si="21"/>
        <v>505.69471696348842</v>
      </c>
      <c r="O39">
        <f t="shared" si="21"/>
        <v>536.03639998129779</v>
      </c>
    </row>
    <row r="40" spans="2:15" x14ac:dyDescent="0.25">
      <c r="B40">
        <v>0.35</v>
      </c>
      <c r="C40" t="s">
        <v>103</v>
      </c>
      <c r="D40">
        <f>D39*$B$40</f>
        <v>43.75</v>
      </c>
      <c r="E40">
        <f>E39*$B$40</f>
        <v>50.3125</v>
      </c>
      <c r="F40">
        <f t="shared" ref="F40:O40" si="22">F39*$B$40</f>
        <v>57.859374999999993</v>
      </c>
      <c r="G40">
        <f t="shared" si="22"/>
        <v>66.538281249999969</v>
      </c>
      <c r="H40">
        <f t="shared" si="22"/>
        <v>76.519023437499953</v>
      </c>
      <c r="I40">
        <f t="shared" si="22"/>
        <v>87.996876953124982</v>
      </c>
      <c r="J40">
        <f t="shared" si="22"/>
        <v>101.19640849609368</v>
      </c>
      <c r="K40">
        <f t="shared" si="22"/>
        <v>116.37586977050775</v>
      </c>
      <c r="L40">
        <f t="shared" si="22"/>
        <v>133.83225023608389</v>
      </c>
      <c r="M40">
        <f t="shared" si="22"/>
        <v>153.90708777149649</v>
      </c>
      <c r="N40">
        <f t="shared" si="22"/>
        <v>176.99315093722095</v>
      </c>
      <c r="O40">
        <f t="shared" si="22"/>
        <v>187.61273999345423</v>
      </c>
    </row>
    <row r="41" spans="2:15" x14ac:dyDescent="0.25">
      <c r="C41" t="s">
        <v>1</v>
      </c>
      <c r="D41">
        <f>D39-D40</f>
        <v>81.25</v>
      </c>
      <c r="E41">
        <f>E39-E40</f>
        <v>93.4375</v>
      </c>
      <c r="F41">
        <f t="shared" ref="F41:O41" si="23">F39-F40</f>
        <v>107.453125</v>
      </c>
      <c r="G41">
        <f t="shared" si="23"/>
        <v>123.57109374999995</v>
      </c>
      <c r="H41">
        <f t="shared" si="23"/>
        <v>142.10675781249992</v>
      </c>
      <c r="I41">
        <f t="shared" si="23"/>
        <v>163.42277148437495</v>
      </c>
      <c r="J41">
        <f t="shared" si="23"/>
        <v>187.93618720703114</v>
      </c>
      <c r="K41">
        <f t="shared" si="23"/>
        <v>216.12661528808587</v>
      </c>
      <c r="L41">
        <f t="shared" si="23"/>
        <v>248.54560758129867</v>
      </c>
      <c r="M41">
        <f t="shared" si="23"/>
        <v>285.82744871849349</v>
      </c>
      <c r="N41">
        <f t="shared" si="23"/>
        <v>328.70156602626747</v>
      </c>
      <c r="O41">
        <f t="shared" si="23"/>
        <v>348.42365998784356</v>
      </c>
    </row>
    <row r="43" spans="2:15" x14ac:dyDescent="0.25">
      <c r="B43">
        <v>6.6666666666666666E-2</v>
      </c>
      <c r="C43" t="s">
        <v>4</v>
      </c>
      <c r="D43">
        <f>$B$43*D36</f>
        <v>40</v>
      </c>
      <c r="E43">
        <f>$B$43*E36</f>
        <v>46</v>
      </c>
      <c r="F43">
        <f t="shared" ref="F43:N43" si="24">$B$43*F36</f>
        <v>52.899999999999991</v>
      </c>
      <c r="G43">
        <f t="shared" si="24"/>
        <v>60.83499999999998</v>
      </c>
      <c r="H43">
        <f t="shared" si="24"/>
        <v>69.960249999999974</v>
      </c>
      <c r="I43">
        <f t="shared" si="24"/>
        <v>80.454287499999978</v>
      </c>
      <c r="J43">
        <f t="shared" si="24"/>
        <v>92.52243062499997</v>
      </c>
      <c r="K43">
        <f t="shared" si="24"/>
        <v>106.40079521874995</v>
      </c>
      <c r="L43">
        <f t="shared" si="24"/>
        <v>122.36091450156243</v>
      </c>
      <c r="M43">
        <f t="shared" si="24"/>
        <v>140.7150516767968</v>
      </c>
      <c r="N43">
        <f t="shared" si="24"/>
        <v>161.82230942831629</v>
      </c>
      <c r="O43">
        <f>O38</f>
        <v>107.20727999625956</v>
      </c>
    </row>
    <row r="44" spans="2:15" x14ac:dyDescent="0.25">
      <c r="C44" t="s">
        <v>3</v>
      </c>
      <c r="D44">
        <f>D38</f>
        <v>25</v>
      </c>
      <c r="E44">
        <f>E38</f>
        <v>28.75</v>
      </c>
      <c r="F44">
        <f t="shared" ref="F44:N44" si="25">F38</f>
        <v>33.062499999999993</v>
      </c>
      <c r="G44">
        <f t="shared" si="25"/>
        <v>38.021874999999987</v>
      </c>
      <c r="H44">
        <f t="shared" si="25"/>
        <v>43.725156249999984</v>
      </c>
      <c r="I44">
        <f t="shared" si="25"/>
        <v>50.283929687499985</v>
      </c>
      <c r="J44">
        <f t="shared" si="25"/>
        <v>57.826519140624981</v>
      </c>
      <c r="K44">
        <f t="shared" si="25"/>
        <v>66.500497011718721</v>
      </c>
      <c r="L44">
        <f t="shared" si="25"/>
        <v>76.475571563476521</v>
      </c>
      <c r="M44">
        <f t="shared" si="25"/>
        <v>87.946907297997996</v>
      </c>
      <c r="N44">
        <f t="shared" si="25"/>
        <v>101.13894339269768</v>
      </c>
      <c r="O44">
        <f>O38</f>
        <v>107.20727999625956</v>
      </c>
    </row>
    <row r="45" spans="2:15" x14ac:dyDescent="0.25">
      <c r="C45" t="s">
        <v>5</v>
      </c>
      <c r="D45">
        <f>D43-D44</f>
        <v>15</v>
      </c>
      <c r="E45">
        <f>E43-E44</f>
        <v>17.25</v>
      </c>
      <c r="F45">
        <f t="shared" ref="F45:O45" si="26">F43-F44</f>
        <v>19.837499999999999</v>
      </c>
      <c r="G45">
        <f t="shared" si="26"/>
        <v>22.813124999999992</v>
      </c>
      <c r="H45">
        <f t="shared" si="26"/>
        <v>26.23509374999999</v>
      </c>
      <c r="I45">
        <f t="shared" si="26"/>
        <v>30.170357812499994</v>
      </c>
      <c r="J45">
        <f t="shared" si="26"/>
        <v>34.695911484374989</v>
      </c>
      <c r="K45">
        <f t="shared" si="26"/>
        <v>39.900298207031227</v>
      </c>
      <c r="L45">
        <f t="shared" si="26"/>
        <v>45.885342938085913</v>
      </c>
      <c r="M45">
        <f t="shared" si="26"/>
        <v>52.768144378798809</v>
      </c>
      <c r="N45">
        <f t="shared" si="26"/>
        <v>60.683366035618604</v>
      </c>
      <c r="O45">
        <f t="shared" si="26"/>
        <v>0</v>
      </c>
    </row>
    <row r="47" spans="2:15" x14ac:dyDescent="0.25">
      <c r="B47">
        <v>0.3</v>
      </c>
      <c r="C47" t="s">
        <v>2</v>
      </c>
      <c r="D47">
        <f>$B$47*D36</f>
        <v>180</v>
      </c>
      <c r="E47">
        <f>$B$47*E36</f>
        <v>207</v>
      </c>
      <c r="F47">
        <f t="shared" ref="F47:N47" si="27">$B$47*F36</f>
        <v>238.04999999999995</v>
      </c>
      <c r="G47">
        <f t="shared" si="27"/>
        <v>273.75749999999994</v>
      </c>
      <c r="H47">
        <f t="shared" si="27"/>
        <v>314.82112499999988</v>
      </c>
      <c r="I47">
        <f t="shared" si="27"/>
        <v>362.04429374999989</v>
      </c>
      <c r="J47">
        <f t="shared" si="27"/>
        <v>416.35093781249986</v>
      </c>
      <c r="K47">
        <f t="shared" si="27"/>
        <v>478.80357848437478</v>
      </c>
      <c r="L47">
        <f t="shared" si="27"/>
        <v>550.62411525703101</v>
      </c>
      <c r="M47">
        <f t="shared" si="27"/>
        <v>633.21773254558559</v>
      </c>
      <c r="N47">
        <f t="shared" si="27"/>
        <v>728.20039242742325</v>
      </c>
      <c r="O47">
        <f t="shared" ref="O47" si="28">$B$47*O36</f>
        <v>771.89241597306875</v>
      </c>
    </row>
    <row r="48" spans="2:15" x14ac:dyDescent="0.25">
      <c r="C48" t="s">
        <v>13</v>
      </c>
      <c r="E48">
        <f>E47-D47</f>
        <v>27</v>
      </c>
      <c r="F48">
        <f t="shared" ref="F48:O48" si="29">F47-E47</f>
        <v>31.049999999999955</v>
      </c>
      <c r="G48">
        <f t="shared" si="29"/>
        <v>35.707499999999982</v>
      </c>
      <c r="H48">
        <f t="shared" si="29"/>
        <v>41.063624999999945</v>
      </c>
      <c r="I48">
        <f t="shared" si="29"/>
        <v>47.223168750000013</v>
      </c>
      <c r="J48">
        <f t="shared" si="29"/>
        <v>54.30664406249997</v>
      </c>
      <c r="K48">
        <f t="shared" si="29"/>
        <v>62.452640671874917</v>
      </c>
      <c r="L48">
        <f t="shared" si="29"/>
        <v>71.820536772656226</v>
      </c>
      <c r="M48">
        <f t="shared" si="29"/>
        <v>82.593617288554583</v>
      </c>
      <c r="N48">
        <f t="shared" si="29"/>
        <v>94.982659881837662</v>
      </c>
      <c r="O48">
        <f t="shared" si="29"/>
        <v>43.692023545645498</v>
      </c>
    </row>
    <row r="50" spans="2:15" x14ac:dyDescent="0.25">
      <c r="C50" t="s">
        <v>119</v>
      </c>
      <c r="D50">
        <f>D45+D48</f>
        <v>15</v>
      </c>
      <c r="E50">
        <f>E45+E48</f>
        <v>44.25</v>
      </c>
      <c r="F50">
        <f t="shared" ref="F50:O50" si="30">F45+F48</f>
        <v>50.887499999999953</v>
      </c>
      <c r="G50">
        <f t="shared" si="30"/>
        <v>58.520624999999974</v>
      </c>
      <c r="H50">
        <f t="shared" si="30"/>
        <v>67.298718749999935</v>
      </c>
      <c r="I50">
        <f t="shared" si="30"/>
        <v>77.3935265625</v>
      </c>
      <c r="J50">
        <f t="shared" si="30"/>
        <v>89.002555546874959</v>
      </c>
      <c r="K50">
        <f t="shared" si="30"/>
        <v>102.35293887890614</v>
      </c>
      <c r="L50">
        <f t="shared" si="30"/>
        <v>117.70587971074214</v>
      </c>
      <c r="M50">
        <f t="shared" si="30"/>
        <v>135.36176166735339</v>
      </c>
      <c r="N50">
        <f t="shared" si="30"/>
        <v>155.66602591745627</v>
      </c>
      <c r="O50">
        <f t="shared" si="30"/>
        <v>43.692023545645498</v>
      </c>
    </row>
    <row r="52" spans="2:15" x14ac:dyDescent="0.25">
      <c r="C52" t="s">
        <v>7</v>
      </c>
      <c r="D52">
        <f>D41-D50</f>
        <v>66.25</v>
      </c>
      <c r="E52">
        <f>E41-E50</f>
        <v>49.1875</v>
      </c>
      <c r="F52">
        <f t="shared" ref="F52:O52" si="31">F41-F50</f>
        <v>56.565625000000047</v>
      </c>
      <c r="G52">
        <f t="shared" si="31"/>
        <v>65.050468749999965</v>
      </c>
      <c r="H52">
        <f t="shared" si="31"/>
        <v>74.808039062499986</v>
      </c>
      <c r="I52">
        <f t="shared" si="31"/>
        <v>86.029244921874948</v>
      </c>
      <c r="J52">
        <f t="shared" si="31"/>
        <v>98.93363166015618</v>
      </c>
      <c r="K52">
        <f t="shared" si="31"/>
        <v>113.77367640917973</v>
      </c>
      <c r="L52">
        <f t="shared" si="31"/>
        <v>130.83972787055654</v>
      </c>
      <c r="M52">
        <f t="shared" si="31"/>
        <v>150.46568705114009</v>
      </c>
      <c r="N52">
        <f t="shared" si="31"/>
        <v>173.0355401088112</v>
      </c>
      <c r="O52">
        <f t="shared" si="31"/>
        <v>304.73163644219807</v>
      </c>
    </row>
    <row r="53" spans="2:15" x14ac:dyDescent="0.25">
      <c r="N53">
        <f>O52/(L55-L56)</f>
        <v>4322.4345594638016</v>
      </c>
    </row>
    <row r="54" spans="2:15" x14ac:dyDescent="0.25">
      <c r="C54" t="s">
        <v>125</v>
      </c>
      <c r="E54">
        <f>SUM(E52:E53)/(1+$K$55)^E34</f>
        <v>43.194291986827665</v>
      </c>
      <c r="F54">
        <f t="shared" ref="F54:N54" si="32">SUM(F52:F53)/(1+$K$55)^F34</f>
        <v>43.621019350034558</v>
      </c>
      <c r="G54">
        <f t="shared" si="32"/>
        <v>44.05196246106668</v>
      </c>
      <c r="H54">
        <f t="shared" si="32"/>
        <v>44.487162968365929</v>
      </c>
      <c r="I54">
        <f t="shared" si="32"/>
        <v>44.926662931829462</v>
      </c>
      <c r="J54">
        <f t="shared" si="32"/>
        <v>45.370504826874971</v>
      </c>
      <c r="K54">
        <f t="shared" si="32"/>
        <v>45.818731548545578</v>
      </c>
      <c r="L54">
        <f t="shared" si="32"/>
        <v>46.271386415655194</v>
      </c>
      <c r="M54">
        <f t="shared" si="32"/>
        <v>46.728513174975632</v>
      </c>
      <c r="N54">
        <f t="shared" si="32"/>
        <v>1226.0020986632405</v>
      </c>
    </row>
    <row r="55" spans="2:15" x14ac:dyDescent="0.25">
      <c r="J55" t="s">
        <v>31</v>
      </c>
      <c r="K55">
        <f>0.07+1.25*0.055</f>
        <v>0.13875000000000001</v>
      </c>
      <c r="L55">
        <f>0.07+1.1*0.055</f>
        <v>0.1305</v>
      </c>
    </row>
    <row r="56" spans="2:15" x14ac:dyDescent="0.25">
      <c r="C56" t="s">
        <v>126</v>
      </c>
      <c r="D56">
        <f>SUM(E54:N54)</f>
        <v>1630.4723343274163</v>
      </c>
      <c r="J56" t="s">
        <v>106</v>
      </c>
      <c r="K56">
        <v>0.15</v>
      </c>
      <c r="L56">
        <v>0.06</v>
      </c>
    </row>
    <row r="59" spans="2:15" x14ac:dyDescent="0.25">
      <c r="C59" t="s">
        <v>127</v>
      </c>
      <c r="D59">
        <f>D56+D27</f>
        <v>14294.42290296731</v>
      </c>
    </row>
    <row r="62" spans="2:15" x14ac:dyDescent="0.25">
      <c r="C62" t="s">
        <v>0</v>
      </c>
      <c r="D62">
        <v>0</v>
      </c>
      <c r="E62">
        <f>D62+1</f>
        <v>1</v>
      </c>
      <c r="F62">
        <f t="shared" ref="F62:N62" si="33">E62+1</f>
        <v>2</v>
      </c>
      <c r="G62">
        <f t="shared" si="33"/>
        <v>3</v>
      </c>
      <c r="H62">
        <f t="shared" si="33"/>
        <v>4</v>
      </c>
      <c r="I62">
        <f t="shared" si="33"/>
        <v>5</v>
      </c>
      <c r="J62">
        <f t="shared" si="33"/>
        <v>6</v>
      </c>
      <c r="K62">
        <f t="shared" si="33"/>
        <v>7</v>
      </c>
      <c r="L62">
        <f t="shared" si="33"/>
        <v>8</v>
      </c>
      <c r="M62">
        <f t="shared" si="33"/>
        <v>9</v>
      </c>
      <c r="N62">
        <f t="shared" si="33"/>
        <v>10</v>
      </c>
    </row>
    <row r="64" spans="2:15" x14ac:dyDescent="0.25">
      <c r="B64">
        <v>1.24</v>
      </c>
      <c r="C64" t="s">
        <v>12</v>
      </c>
      <c r="D64">
        <v>1200</v>
      </c>
      <c r="E64">
        <f>D64*$B$64</f>
        <v>1488</v>
      </c>
      <c r="F64">
        <f t="shared" ref="F64:O64" si="34">E64*$B$64</f>
        <v>1845.12</v>
      </c>
      <c r="G64">
        <f t="shared" si="34"/>
        <v>2287.9487999999997</v>
      </c>
      <c r="H64">
        <f t="shared" si="34"/>
        <v>2837.0565119999997</v>
      </c>
      <c r="I64">
        <f t="shared" si="34"/>
        <v>3517.9500748799996</v>
      </c>
      <c r="J64">
        <f t="shared" si="34"/>
        <v>4362.2580928511998</v>
      </c>
      <c r="K64">
        <f t="shared" si="34"/>
        <v>5409.2000351354873</v>
      </c>
      <c r="L64">
        <f t="shared" si="34"/>
        <v>6707.4080435680044</v>
      </c>
      <c r="M64">
        <f t="shared" si="34"/>
        <v>8317.1859740243253</v>
      </c>
      <c r="N64">
        <f t="shared" si="34"/>
        <v>10313.310607790163</v>
      </c>
      <c r="O64">
        <f t="shared" si="34"/>
        <v>12788.505153659802</v>
      </c>
    </row>
    <row r="65" spans="2:15" x14ac:dyDescent="0.25">
      <c r="C65" t="s">
        <v>124</v>
      </c>
      <c r="D65">
        <f>D64*$B$8</f>
        <v>683.99999999999989</v>
      </c>
      <c r="E65">
        <f>E64*$B$8</f>
        <v>848.16</v>
      </c>
      <c r="F65">
        <f t="shared" ref="F65" si="35">F64*$B$8</f>
        <v>1051.7183999999997</v>
      </c>
      <c r="G65">
        <f t="shared" ref="G65" si="36">G64*$B$8</f>
        <v>1304.1308159999996</v>
      </c>
      <c r="H65">
        <f t="shared" ref="H65" si="37">H64*$B$8</f>
        <v>1617.1222118399996</v>
      </c>
      <c r="I65">
        <f t="shared" ref="I65" si="38">I64*$B$8</f>
        <v>2005.2315426815996</v>
      </c>
      <c r="J65">
        <f t="shared" ref="J65" si="39">J64*$B$8</f>
        <v>2486.4871129251837</v>
      </c>
      <c r="K65">
        <f t="shared" ref="K65" si="40">K64*$B$8</f>
        <v>3083.2440200272276</v>
      </c>
      <c r="L65">
        <f t="shared" ref="L65" si="41">L64*$B$8</f>
        <v>3823.2225848337621</v>
      </c>
      <c r="M65">
        <f t="shared" ref="M65" si="42">M64*$B$8</f>
        <v>4740.7960051938653</v>
      </c>
      <c r="N65">
        <f t="shared" ref="N65" si="43">N64*$B$8</f>
        <v>5878.5870464403924</v>
      </c>
      <c r="O65">
        <f t="shared" ref="O65" si="44">O64*$B$8</f>
        <v>7289.4479375860865</v>
      </c>
    </row>
    <row r="66" spans="2:15" x14ac:dyDescent="0.25">
      <c r="C66" t="s">
        <v>3</v>
      </c>
      <c r="D66">
        <v>42</v>
      </c>
      <c r="E66">
        <f>E64*$B$9</f>
        <v>52.080000000000005</v>
      </c>
      <c r="F66">
        <f t="shared" ref="F66:O66" si="45">F64*$B$9</f>
        <v>64.5792</v>
      </c>
      <c r="G66">
        <f t="shared" si="45"/>
        <v>80.078207999999989</v>
      </c>
      <c r="H66">
        <f t="shared" si="45"/>
        <v>99.296977920000003</v>
      </c>
      <c r="I66">
        <f t="shared" si="45"/>
        <v>123.1282526208</v>
      </c>
      <c r="J66">
        <f t="shared" si="45"/>
        <v>152.67903324979201</v>
      </c>
      <c r="K66">
        <f t="shared" si="45"/>
        <v>189.32200122974209</v>
      </c>
      <c r="L66">
        <f t="shared" si="45"/>
        <v>234.75928152488018</v>
      </c>
      <c r="M66">
        <f t="shared" si="45"/>
        <v>291.10150909085144</v>
      </c>
      <c r="N66">
        <f t="shared" si="45"/>
        <v>360.96587127265576</v>
      </c>
      <c r="O66">
        <f t="shared" si="45"/>
        <v>447.59768037809312</v>
      </c>
    </row>
    <row r="67" spans="2:15" x14ac:dyDescent="0.25">
      <c r="C67" t="s">
        <v>102</v>
      </c>
      <c r="D67">
        <f>D64-D65-D66</f>
        <v>474.00000000000011</v>
      </c>
      <c r="E67">
        <f>E64-E65-E66</f>
        <v>587.76</v>
      </c>
      <c r="F67">
        <f t="shared" ref="F67" si="46">F64-F65-F66</f>
        <v>728.82240000000013</v>
      </c>
      <c r="G67">
        <f t="shared" ref="G67" si="47">G64-G65-G66</f>
        <v>903.73977600000001</v>
      </c>
      <c r="H67">
        <f t="shared" ref="H67" si="48">H64-H65-H66</f>
        <v>1120.63732224</v>
      </c>
      <c r="I67">
        <f t="shared" ref="I67" si="49">I64-I65-I66</f>
        <v>1389.5902795776001</v>
      </c>
      <c r="J67">
        <f t="shared" ref="J67" si="50">J64-J65-J66</f>
        <v>1723.0919466762241</v>
      </c>
      <c r="K67">
        <f t="shared" ref="K67" si="51">K64-K65-K66</f>
        <v>2136.6340138785176</v>
      </c>
      <c r="L67">
        <f t="shared" ref="L67" si="52">L64-L65-L66</f>
        <v>2649.4261772093623</v>
      </c>
      <c r="M67">
        <f t="shared" ref="M67" si="53">M64-M65-M66</f>
        <v>3285.2884597396087</v>
      </c>
      <c r="N67">
        <f t="shared" ref="N67" si="54">N64-N65-N66</f>
        <v>4073.7576900771146</v>
      </c>
      <c r="O67">
        <f t="shared" ref="O67" si="55">O64-O65-O66</f>
        <v>5051.4595356956224</v>
      </c>
    </row>
    <row r="68" spans="2:15" x14ac:dyDescent="0.25">
      <c r="B68">
        <v>0.35</v>
      </c>
      <c r="C68" t="s">
        <v>103</v>
      </c>
      <c r="D68">
        <f>D67*$B$11</f>
        <v>165.90000000000003</v>
      </c>
      <c r="E68">
        <f>E67*$B$11</f>
        <v>205.71599999999998</v>
      </c>
      <c r="F68">
        <f t="shared" ref="F68" si="56">F67*$B$11</f>
        <v>255.08784000000003</v>
      </c>
      <c r="G68">
        <f t="shared" ref="G68" si="57">G67*$B$11</f>
        <v>316.30892159999996</v>
      </c>
      <c r="H68">
        <f t="shared" ref="H68" si="58">H67*$B$11</f>
        <v>392.22306278399998</v>
      </c>
      <c r="I68">
        <f t="shared" ref="I68" si="59">I67*$B$11</f>
        <v>486.35659785216001</v>
      </c>
      <c r="J68">
        <f t="shared" ref="J68" si="60">J67*$B$11</f>
        <v>603.08218133667845</v>
      </c>
      <c r="K68">
        <f t="shared" ref="K68" si="61">K67*$B$11</f>
        <v>747.82190485748117</v>
      </c>
      <c r="L68">
        <f t="shared" ref="L68" si="62">L67*$B$11</f>
        <v>927.29916202327672</v>
      </c>
      <c r="M68">
        <f t="shared" ref="M68" si="63">M67*$B$11</f>
        <v>1149.850960908863</v>
      </c>
      <c r="N68">
        <f t="shared" ref="N68" si="64">N67*$B$11</f>
        <v>1425.81519152699</v>
      </c>
      <c r="O68">
        <f t="shared" ref="O68" si="65">O67*$B$11</f>
        <v>1768.0108374934678</v>
      </c>
    </row>
    <row r="69" spans="2:15" x14ac:dyDescent="0.25">
      <c r="C69" t="s">
        <v>1</v>
      </c>
      <c r="D69">
        <f>D67-D68</f>
        <v>308.10000000000008</v>
      </c>
      <c r="E69">
        <f>E67-E68</f>
        <v>382.04399999999998</v>
      </c>
      <c r="F69">
        <f t="shared" ref="F69" si="66">F67-F68</f>
        <v>473.7345600000001</v>
      </c>
      <c r="G69">
        <f t="shared" ref="G69" si="67">G67-G68</f>
        <v>587.43085440000004</v>
      </c>
      <c r="H69">
        <f t="shared" ref="H69" si="68">H67-H68</f>
        <v>728.41425945600008</v>
      </c>
      <c r="I69">
        <f t="shared" ref="I69" si="69">I67-I68</f>
        <v>903.23368172544008</v>
      </c>
      <c r="J69">
        <f t="shared" ref="J69" si="70">J67-J68</f>
        <v>1120.0097653395455</v>
      </c>
      <c r="K69">
        <f t="shared" ref="K69" si="71">K67-K68</f>
        <v>1388.8121090210366</v>
      </c>
      <c r="L69">
        <f t="shared" ref="L69" si="72">L67-L68</f>
        <v>1722.1270151860856</v>
      </c>
      <c r="M69">
        <f t="shared" ref="M69" si="73">M67-M68</f>
        <v>2135.4374988307454</v>
      </c>
      <c r="N69">
        <f t="shared" ref="N69" si="74">N67-N68</f>
        <v>2647.9424985501246</v>
      </c>
      <c r="O69">
        <f t="shared" ref="O69" si="75">O67-O68</f>
        <v>3283.4486982021544</v>
      </c>
    </row>
    <row r="71" spans="2:15" x14ac:dyDescent="0.25">
      <c r="C71" t="s">
        <v>4</v>
      </c>
      <c r="D71">
        <v>75</v>
      </c>
      <c r="E71">
        <f>E64*$B$14</f>
        <v>93</v>
      </c>
      <c r="F71">
        <f t="shared" ref="F71:N71" si="76">F64*$B$14</f>
        <v>115.32</v>
      </c>
      <c r="G71">
        <f t="shared" si="76"/>
        <v>142.99679999999998</v>
      </c>
      <c r="H71">
        <f t="shared" si="76"/>
        <v>177.31603199999998</v>
      </c>
      <c r="I71">
        <f t="shared" si="76"/>
        <v>219.87187967999998</v>
      </c>
      <c r="J71">
        <f t="shared" si="76"/>
        <v>272.64113080319999</v>
      </c>
      <c r="K71">
        <f t="shared" si="76"/>
        <v>338.07500219596795</v>
      </c>
      <c r="L71">
        <f t="shared" si="76"/>
        <v>419.21300272300027</v>
      </c>
      <c r="M71">
        <f t="shared" si="76"/>
        <v>519.82412337652033</v>
      </c>
      <c r="N71">
        <f t="shared" si="76"/>
        <v>644.58191298688519</v>
      </c>
      <c r="O71">
        <f>O72</f>
        <v>447.59768037809312</v>
      </c>
    </row>
    <row r="72" spans="2:15" x14ac:dyDescent="0.25">
      <c r="C72" t="s">
        <v>3</v>
      </c>
      <c r="D72">
        <f>D66</f>
        <v>42</v>
      </c>
      <c r="E72">
        <f>E66</f>
        <v>52.080000000000005</v>
      </c>
      <c r="F72">
        <f t="shared" ref="F72:N72" si="77">F66</f>
        <v>64.5792</v>
      </c>
      <c r="G72">
        <f t="shared" si="77"/>
        <v>80.078207999999989</v>
      </c>
      <c r="H72">
        <f t="shared" si="77"/>
        <v>99.296977920000003</v>
      </c>
      <c r="I72">
        <f t="shared" si="77"/>
        <v>123.1282526208</v>
      </c>
      <c r="J72">
        <f t="shared" si="77"/>
        <v>152.67903324979201</v>
      </c>
      <c r="K72">
        <f t="shared" si="77"/>
        <v>189.32200122974209</v>
      </c>
      <c r="L72">
        <f t="shared" si="77"/>
        <v>234.75928152488018</v>
      </c>
      <c r="M72">
        <f t="shared" si="77"/>
        <v>291.10150909085144</v>
      </c>
      <c r="N72">
        <f t="shared" si="77"/>
        <v>360.96587127265576</v>
      </c>
      <c r="O72">
        <f>O66</f>
        <v>447.59768037809312</v>
      </c>
    </row>
    <row r="73" spans="2:15" x14ac:dyDescent="0.25">
      <c r="C73" t="s">
        <v>5</v>
      </c>
      <c r="D73">
        <f>D71-D72</f>
        <v>33</v>
      </c>
      <c r="E73">
        <f>E71-E72</f>
        <v>40.919999999999995</v>
      </c>
      <c r="F73">
        <f t="shared" ref="F73" si="78">F71-F72</f>
        <v>50.740799999999993</v>
      </c>
      <c r="G73">
        <f t="shared" ref="G73" si="79">G71-G72</f>
        <v>62.91859199999999</v>
      </c>
      <c r="H73">
        <f t="shared" ref="H73" si="80">H71-H72</f>
        <v>78.019054079999975</v>
      </c>
      <c r="I73">
        <f t="shared" ref="I73" si="81">I71-I72</f>
        <v>96.74362705919998</v>
      </c>
      <c r="J73">
        <f t="shared" ref="J73" si="82">J71-J72</f>
        <v>119.96209755340797</v>
      </c>
      <c r="K73">
        <f t="shared" ref="K73" si="83">K71-K72</f>
        <v>148.75300096622587</v>
      </c>
      <c r="L73">
        <f t="shared" ref="L73" si="84">L71-L72</f>
        <v>184.45372119812009</v>
      </c>
      <c r="M73">
        <f t="shared" ref="M73" si="85">M71-M72</f>
        <v>228.7226142856689</v>
      </c>
      <c r="N73">
        <f t="shared" ref="N73" si="86">N71-N72</f>
        <v>283.61604171422942</v>
      </c>
      <c r="O73">
        <f t="shared" ref="O73" si="87">O71-O72</f>
        <v>0</v>
      </c>
    </row>
    <row r="75" spans="2:15" x14ac:dyDescent="0.25">
      <c r="C75" t="s">
        <v>2</v>
      </c>
      <c r="D75">
        <f>D64*$B$18</f>
        <v>480</v>
      </c>
      <c r="E75">
        <f>E64*$B$18</f>
        <v>595.20000000000005</v>
      </c>
      <c r="F75">
        <f t="shared" ref="F75:O75" si="88">F64*$B$18</f>
        <v>738.048</v>
      </c>
      <c r="G75">
        <f t="shared" si="88"/>
        <v>915.17951999999991</v>
      </c>
      <c r="H75">
        <f t="shared" si="88"/>
        <v>1134.8226047999999</v>
      </c>
      <c r="I75">
        <f t="shared" si="88"/>
        <v>1407.180029952</v>
      </c>
      <c r="J75">
        <f t="shared" si="88"/>
        <v>1744.9032371404801</v>
      </c>
      <c r="K75">
        <f t="shared" si="88"/>
        <v>2163.680014054195</v>
      </c>
      <c r="L75">
        <f t="shared" si="88"/>
        <v>2682.9632174272019</v>
      </c>
      <c r="M75">
        <f t="shared" si="88"/>
        <v>3326.8743896097303</v>
      </c>
      <c r="N75">
        <f t="shared" si="88"/>
        <v>4125.3242431160652</v>
      </c>
      <c r="O75">
        <f t="shared" si="88"/>
        <v>5115.4020614639212</v>
      </c>
    </row>
    <row r="76" spans="2:15" x14ac:dyDescent="0.25">
      <c r="C76" t="s">
        <v>13</v>
      </c>
      <c r="E76">
        <f>E75-D75</f>
        <v>115.20000000000005</v>
      </c>
      <c r="F76">
        <f t="shared" ref="F76" si="89">F75-E75</f>
        <v>142.84799999999996</v>
      </c>
      <c r="G76">
        <f t="shared" ref="G76" si="90">G75-F75</f>
        <v>177.13151999999991</v>
      </c>
      <c r="H76">
        <f t="shared" ref="H76" si="91">H75-G75</f>
        <v>219.6430848</v>
      </c>
      <c r="I76">
        <f t="shared" ref="I76" si="92">I75-H75</f>
        <v>272.35742515200013</v>
      </c>
      <c r="J76">
        <f t="shared" ref="J76" si="93">J75-I75</f>
        <v>337.72320718848005</v>
      </c>
      <c r="K76">
        <f t="shared" ref="K76" si="94">K75-J75</f>
        <v>418.77677691371491</v>
      </c>
      <c r="L76">
        <f t="shared" ref="L76" si="95">L75-K75</f>
        <v>519.28320337300693</v>
      </c>
      <c r="M76">
        <f t="shared" ref="M76" si="96">M75-L75</f>
        <v>643.91117218252839</v>
      </c>
      <c r="N76">
        <f t="shared" ref="N76" si="97">N75-M75</f>
        <v>798.44985350633488</v>
      </c>
      <c r="O76">
        <f t="shared" ref="O76" si="98">O75-N75</f>
        <v>990.07781834785601</v>
      </c>
    </row>
    <row r="78" spans="2:15" x14ac:dyDescent="0.25">
      <c r="C78" t="s">
        <v>119</v>
      </c>
      <c r="D78">
        <f>D76+D73</f>
        <v>33</v>
      </c>
      <c r="E78">
        <f>E76+E73</f>
        <v>156.12000000000003</v>
      </c>
      <c r="F78">
        <f t="shared" ref="F78:O78" si="99">F76+F73</f>
        <v>193.58879999999994</v>
      </c>
      <c r="G78">
        <f t="shared" si="99"/>
        <v>240.0501119999999</v>
      </c>
      <c r="H78">
        <f t="shared" si="99"/>
        <v>297.66213887999999</v>
      </c>
      <c r="I78">
        <f t="shared" si="99"/>
        <v>369.10105221120011</v>
      </c>
      <c r="J78">
        <f t="shared" si="99"/>
        <v>457.68530474188799</v>
      </c>
      <c r="K78">
        <f t="shared" si="99"/>
        <v>567.52977787994075</v>
      </c>
      <c r="L78">
        <f t="shared" si="99"/>
        <v>703.73692457112702</v>
      </c>
      <c r="M78">
        <f t="shared" si="99"/>
        <v>872.63378646819729</v>
      </c>
      <c r="N78">
        <f t="shared" si="99"/>
        <v>1082.0658952205642</v>
      </c>
      <c r="O78">
        <f t="shared" si="99"/>
        <v>990.07781834785601</v>
      </c>
    </row>
    <row r="80" spans="2:15" x14ac:dyDescent="0.25">
      <c r="C80" t="s">
        <v>7</v>
      </c>
      <c r="D80">
        <f>D69-D78</f>
        <v>275.10000000000008</v>
      </c>
      <c r="E80">
        <f>E69-E78</f>
        <v>225.92399999999995</v>
      </c>
      <c r="F80">
        <f t="shared" ref="F80:O80" si="100">F69-F78</f>
        <v>280.14576000000017</v>
      </c>
      <c r="G80">
        <f t="shared" si="100"/>
        <v>347.38074240000014</v>
      </c>
      <c r="H80">
        <f t="shared" si="100"/>
        <v>430.7521205760001</v>
      </c>
      <c r="I80">
        <f t="shared" si="100"/>
        <v>534.13262951423997</v>
      </c>
      <c r="J80">
        <f t="shared" si="100"/>
        <v>662.32446059765755</v>
      </c>
      <c r="K80">
        <f t="shared" si="100"/>
        <v>821.28233114109582</v>
      </c>
      <c r="L80">
        <f t="shared" si="100"/>
        <v>1018.3900906149586</v>
      </c>
      <c r="M80">
        <f t="shared" si="100"/>
        <v>1262.8037123625481</v>
      </c>
      <c r="N80">
        <f t="shared" si="100"/>
        <v>1565.8766033295603</v>
      </c>
      <c r="O80">
        <f t="shared" si="100"/>
        <v>2293.3708798542984</v>
      </c>
    </row>
    <row r="81" spans="3:14" x14ac:dyDescent="0.25">
      <c r="N81">
        <f>O80/(M85-M86)</f>
        <v>32530.083402188626</v>
      </c>
    </row>
    <row r="82" spans="3:14" x14ac:dyDescent="0.25">
      <c r="C82" t="s">
        <v>125</v>
      </c>
      <c r="E82">
        <f>SUM(E80:E81)/(1+$L$28)^E62</f>
        <v>196.49836921069792</v>
      </c>
      <c r="F82">
        <f t="shared" ref="F82" si="101">SUM(F80:F81)/(1+$L$28)^F62</f>
        <v>211.92257257774787</v>
      </c>
      <c r="G82">
        <f t="shared" ref="G82" si="102">SUM(G80:G81)/(1+$L$28)^G62</f>
        <v>228.55750380205026</v>
      </c>
      <c r="H82">
        <f t="shared" ref="H82" si="103">SUM(H80:H81)/(1+$L$28)^H62</f>
        <v>246.49819936033251</v>
      </c>
      <c r="I82">
        <f t="shared" ref="I82" si="104">SUM(I80:I81)/(1+$L$28)^I62</f>
        <v>265.8471556484559</v>
      </c>
      <c r="J82">
        <f t="shared" ref="J82" si="105">SUM(J80:J81)/(1+$L$28)^J62</f>
        <v>286.71491455019378</v>
      </c>
      <c r="K82">
        <f t="shared" ref="K82" si="106">SUM(K80:K81)/(1+$L$28)^K62</f>
        <v>309.22069497042008</v>
      </c>
      <c r="L82">
        <f t="shared" ref="L82" si="107">SUM(L80:L81)/(1+$L$28)^L62</f>
        <v>333.49307394070087</v>
      </c>
      <c r="M82">
        <f t="shared" ref="M82" si="108">SUM(M80:M81)/(1+$L$28)^M62</f>
        <v>359.67072118849217</v>
      </c>
      <c r="N82">
        <f>SUM(N80:N81)/(1.14975)^N62</f>
        <v>8446.3435182091125</v>
      </c>
    </row>
    <row r="84" spans="3:14" x14ac:dyDescent="0.25">
      <c r="C84" t="s">
        <v>128</v>
      </c>
      <c r="D84">
        <f>SUM(E82:N82)</f>
        <v>10884.766723458204</v>
      </c>
    </row>
    <row r="85" spans="3:14" x14ac:dyDescent="0.25">
      <c r="K85" t="s">
        <v>31</v>
      </c>
      <c r="L85">
        <f>0.07+1.45*0.055</f>
        <v>0.14974999999999999</v>
      </c>
      <c r="M85">
        <f>0.07+1.1*0.055</f>
        <v>0.1305</v>
      </c>
    </row>
    <row r="86" spans="3:14" x14ac:dyDescent="0.25">
      <c r="K86" t="s">
        <v>106</v>
      </c>
      <c r="L86">
        <v>0.24</v>
      </c>
      <c r="M86">
        <v>0.06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6A73-BBA8-477E-A7B0-60BA523A28BD}">
  <dimension ref="C3:J16"/>
  <sheetViews>
    <sheetView workbookViewId="0">
      <selection activeCell="H21" sqref="H21"/>
    </sheetView>
  </sheetViews>
  <sheetFormatPr defaultRowHeight="15" x14ac:dyDescent="0.25"/>
  <sheetData>
    <row r="3" spans="3:10" x14ac:dyDescent="0.25">
      <c r="C3" t="s">
        <v>129</v>
      </c>
      <c r="D3">
        <v>0</v>
      </c>
      <c r="E3">
        <f>D3+1</f>
        <v>1</v>
      </c>
      <c r="F3">
        <f t="shared" ref="F3:I3" si="0">E3+1</f>
        <v>2</v>
      </c>
      <c r="G3">
        <f t="shared" si="0"/>
        <v>3</v>
      </c>
      <c r="H3">
        <f t="shared" si="0"/>
        <v>4</v>
      </c>
      <c r="I3">
        <f t="shared" si="0"/>
        <v>5</v>
      </c>
    </row>
    <row r="5" spans="3:10" x14ac:dyDescent="0.25">
      <c r="C5" t="s">
        <v>1</v>
      </c>
      <c r="D5">
        <v>250</v>
      </c>
      <c r="E5">
        <f>D5*1.04</f>
        <v>260</v>
      </c>
      <c r="F5">
        <f t="shared" ref="F5:I5" si="1">E5*1.04</f>
        <v>270.40000000000003</v>
      </c>
      <c r="G5">
        <f t="shared" si="1"/>
        <v>281.21600000000007</v>
      </c>
      <c r="H5">
        <f t="shared" si="1"/>
        <v>292.46464000000009</v>
      </c>
      <c r="I5">
        <f t="shared" si="1"/>
        <v>304.16322560000009</v>
      </c>
      <c r="J5">
        <f>I5*1.06</f>
        <v>322.41301913600012</v>
      </c>
    </row>
    <row r="7" spans="3:10" x14ac:dyDescent="0.25">
      <c r="C7" t="s">
        <v>130</v>
      </c>
      <c r="D7">
        <v>125</v>
      </c>
      <c r="E7">
        <f t="shared" ref="E7:I9" si="2">D7*1.04</f>
        <v>130</v>
      </c>
      <c r="F7">
        <f t="shared" si="2"/>
        <v>135.20000000000002</v>
      </c>
      <c r="G7">
        <f t="shared" si="2"/>
        <v>140.60800000000003</v>
      </c>
      <c r="H7">
        <f t="shared" si="2"/>
        <v>146.23232000000004</v>
      </c>
      <c r="I7">
        <f t="shared" si="2"/>
        <v>152.08161280000004</v>
      </c>
      <c r="J7">
        <f t="shared" ref="J7:J9" si="3">I7*1.06</f>
        <v>161.20650956800006</v>
      </c>
    </row>
    <row r="9" spans="3:10" x14ac:dyDescent="0.25">
      <c r="C9" t="s">
        <v>7</v>
      </c>
      <c r="D9">
        <v>125</v>
      </c>
      <c r="E9">
        <f t="shared" si="2"/>
        <v>130</v>
      </c>
      <c r="F9">
        <f t="shared" si="2"/>
        <v>135.20000000000002</v>
      </c>
      <c r="G9">
        <f t="shared" si="2"/>
        <v>140.60800000000003</v>
      </c>
      <c r="H9">
        <f t="shared" si="2"/>
        <v>146.23232000000004</v>
      </c>
      <c r="I9">
        <f t="shared" si="2"/>
        <v>152.08161280000004</v>
      </c>
      <c r="J9">
        <f t="shared" si="3"/>
        <v>161.20650956800006</v>
      </c>
    </row>
    <row r="10" spans="3:10" x14ac:dyDescent="0.25">
      <c r="I10">
        <f>J9/(0.1174-0.06)</f>
        <v>2808.4757764459937</v>
      </c>
    </row>
    <row r="11" spans="3:10" x14ac:dyDescent="0.25">
      <c r="C11" t="s">
        <v>131</v>
      </c>
      <c r="D11">
        <f>SUM(E11:I11)</f>
        <v>2093.4123001068378</v>
      </c>
      <c r="E11">
        <f>SUM(E9:E10)/1.1204^E3</f>
        <v>116.02998928953944</v>
      </c>
      <c r="F11">
        <f t="shared" ref="F11:I11" si="4">SUM(F9:F10)/1.1204^F3</f>
        <v>107.70366731624512</v>
      </c>
      <c r="G11">
        <f t="shared" si="4"/>
        <v>99.974842921184347</v>
      </c>
      <c r="H11">
        <f t="shared" si="4"/>
        <v>92.800639626947273</v>
      </c>
      <c r="I11">
        <f t="shared" si="4"/>
        <v>1676.9031609529216</v>
      </c>
    </row>
    <row r="14" spans="3:10" x14ac:dyDescent="0.25">
      <c r="E14">
        <v>1.0900000000000001</v>
      </c>
      <c r="F14">
        <f>E14*1.09</f>
        <v>1.1881000000000002</v>
      </c>
      <c r="G14">
        <f>F14*1.09</f>
        <v>1.2950290000000002</v>
      </c>
      <c r="H14">
        <f>G14*1.09</f>
        <v>1.4115816100000003</v>
      </c>
      <c r="I14">
        <f>H14*1.09</f>
        <v>1.5386239549000005</v>
      </c>
    </row>
    <row r="15" spans="3:10" x14ac:dyDescent="0.25">
      <c r="I15">
        <v>221.92</v>
      </c>
    </row>
    <row r="16" spans="3:10" x14ac:dyDescent="0.25">
      <c r="D16">
        <f>SUM(E16:I16)</f>
        <v>130.53564640041077</v>
      </c>
      <c r="E16">
        <f>E14/1.12^E3</f>
        <v>0.9732142857142857</v>
      </c>
      <c r="F16">
        <f t="shared" ref="F16:G16" si="5">F14/1.12^F3</f>
        <v>0.94714604591836737</v>
      </c>
      <c r="G16">
        <f t="shared" si="5"/>
        <v>0.92177606254555378</v>
      </c>
      <c r="H16">
        <f>(H14+H15)/1.12^H3</f>
        <v>0.89708563229879801</v>
      </c>
      <c r="I16">
        <f>(I14+I15)/1.12^I3</f>
        <v>126.79642437393376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Afridi</dc:creator>
  <cp:lastModifiedBy>Haseeb Afridi</cp:lastModifiedBy>
  <dcterms:created xsi:type="dcterms:W3CDTF">2018-12-07T22:21:31Z</dcterms:created>
  <dcterms:modified xsi:type="dcterms:W3CDTF">2021-02-16T20:02:38Z</dcterms:modified>
</cp:coreProperties>
</file>