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an" sheetId="1" r:id="rId4"/>
    <sheet state="visible" name="Revenue" sheetId="2" r:id="rId5"/>
    <sheet state="visible" name="Profit and Loss" sheetId="3" r:id="rId6"/>
    <sheet state="visible" name="Balance Sheet" sheetId="4" r:id="rId7"/>
    <sheet state="visible" name="Fixed Assets" sheetId="5" r:id="rId8"/>
    <sheet state="visible" name="Free Cash Flow" sheetId="6" r:id="rId9"/>
    <sheet state="visible" name="WACC" sheetId="7" r:id="rId10"/>
    <sheet state="visible" name="DCF" sheetId="8" r:id="rId11"/>
    <sheet state="visible" name="Ratios" sheetId="9" r:id="rId12"/>
    <sheet state="visible" name="Assumptions" sheetId="10" r:id="rId13"/>
  </sheets>
  <definedNames/>
  <calcPr/>
</workbook>
</file>

<file path=xl/sharedStrings.xml><?xml version="1.0" encoding="utf-8"?>
<sst xmlns="http://schemas.openxmlformats.org/spreadsheetml/2006/main" count="189" uniqueCount="142">
  <si>
    <t>Project-</t>
  </si>
  <si>
    <t>About This Company:</t>
  </si>
  <si>
    <r>
      <rPr>
        <rFont val="Arial"/>
        <color rgb="FF000000"/>
        <sz val="14.0"/>
      </rPr>
      <t xml:space="preserve">Valuation of </t>
    </r>
    <r>
      <rPr>
        <rFont val="Arial"/>
        <b/>
        <color rgb="FF000000"/>
        <sz val="14.0"/>
      </rPr>
      <t>Titan Company Ltd</t>
    </r>
    <r>
      <rPr>
        <rFont val="Arial"/>
        <color rgb="FF000000"/>
        <sz val="14.0"/>
      </rPr>
      <t xml:space="preserve">. using 
</t>
    </r>
    <r>
      <rPr>
        <rFont val="Arial"/>
        <b/>
        <color rgb="FF000000"/>
        <sz val="14.0"/>
      </rPr>
      <t>Discounted Cash Flow (DCF)</t>
    </r>
    <r>
      <rPr>
        <rFont val="Arial"/>
        <color rgb="FF000000"/>
        <sz val="14.0"/>
      </rPr>
      <t xml:space="preserve"> Method</t>
    </r>
  </si>
  <si>
    <t xml:space="preserve">Titan Company Limited is a flagship enterprise of the Tata Group and a prominent player in India's consumer lifestyle sector. Founded in 1984 and headquartered in Bengaluru, Titan operates across multiple high-margin categories including jewelry (Tanishq, Mia), watches (Titan, Fastrack), eyewear (Titan Eye+), and emerging segments like smart wearables and fragrances. The company commands strong brand recognition and benefits from an extensive retail network across India.
As of FY2025, Titan reported revenues of over ₹60,000 crore and a consistent upward trajectory in operating and net profits. With a healthy balance sheet, strong return ratios, and a scalable business model, Titan is widely regarded as a high-quality compounder in the Indian equity market. Its dominant position in the organized jewelry segment and continued innovation make it a preferred choice among investors seeking long-term growth.
</t>
  </si>
  <si>
    <t>Objective-</t>
  </si>
  <si>
    <t>To estimate the intrinsic value of Titan using DCF methodology by forecasting Free Cash Flows to the Firm (FCFF) and discounting them at an appropriate WACC. Data from FY2020 to FY2025 used for projections until FY2030.</t>
  </si>
  <si>
    <t>Data Sources</t>
  </si>
  <si>
    <t>Screener.in</t>
  </si>
  <si>
    <t>Yahoo Finance</t>
  </si>
  <si>
    <t>Author + Project Report</t>
  </si>
  <si>
    <t>Name : Yash Pandit
Institute : IIT Kanpur</t>
  </si>
  <si>
    <t>PDF Link</t>
  </si>
  <si>
    <t>Legends</t>
  </si>
  <si>
    <t>Negetive Values</t>
  </si>
  <si>
    <t>(In Bracket)</t>
  </si>
  <si>
    <t>Constants taken from reports</t>
  </si>
  <si>
    <t>123.00 Blue</t>
  </si>
  <si>
    <t>Estimated using formulae</t>
  </si>
  <si>
    <t>123.00 Black</t>
  </si>
  <si>
    <t>Values linked from other sheets</t>
  </si>
  <si>
    <t>123.00 Green</t>
  </si>
  <si>
    <t>x</t>
  </si>
  <si>
    <t>Assumptions</t>
  </si>
  <si>
    <t>Yellow BG</t>
  </si>
  <si>
    <t>Historical Data</t>
  </si>
  <si>
    <t>Forecasted Data</t>
  </si>
  <si>
    <t>Year</t>
  </si>
  <si>
    <t>Revenue</t>
  </si>
  <si>
    <t>Growth</t>
  </si>
  <si>
    <t>Revenue has been forecasted using a consistent and justifiable growth trajectory, assuming healthy year-on-year expansion based on Titan’s past performance.</t>
  </si>
  <si>
    <t>*All numerical figures are in INR Crores unless stated otherwise</t>
  </si>
  <si>
    <t>Years</t>
  </si>
  <si>
    <t>Revenue Growth</t>
  </si>
  <si>
    <t>Operating Profit(EBIT)</t>
  </si>
  <si>
    <t>Depriciation</t>
  </si>
  <si>
    <t>EBITDA</t>
  </si>
  <si>
    <t>EBITDA Margin(%)</t>
  </si>
  <si>
    <t>EBIT Margin(%)</t>
  </si>
  <si>
    <t>Interest Expense</t>
  </si>
  <si>
    <t>Profit Before Tax</t>
  </si>
  <si>
    <t>Tax Rate</t>
  </si>
  <si>
    <t>Net Profit</t>
  </si>
  <si>
    <t>Net Profit Margin(%)</t>
  </si>
  <si>
    <t>Tax</t>
  </si>
  <si>
    <t>Assumptions/Rationale Behind the calculations</t>
  </si>
  <si>
    <t xml:space="preserve">• Revenue forecasted using consistent YoY growth  
  → Based on Titan’s historical performance  
  → Supported by strong consumer demand trends  
• EBIT margins held realistic  
  → Reflect operational leverage  
  → Assumes improving efficiencies at scale  
• Depreciation = 1.1% of forecasted revenue  
  → Based on historical % trend  
  → Scales proportionally with revenue  
• EBITDA = EBIT + Depreciation  
</t>
  </si>
  <si>
    <t xml:space="preserve">• Interest Expense assumed constant at ₹900 Cr/year  
  → Conservative estimate  
  → Assumes debt repayment/refinancing  
• Profit Before Tax (PBT) = EBIT – Interest  
• Tax Rate fixed at 25% for forecast years  
  → Based on recent policy trends  
• Net Profit = PBT × (1 – Tax Rate)  
• Tax Amount = PBT × Tax Rate  </t>
  </si>
  <si>
    <t>Equity Share Capital</t>
  </si>
  <si>
    <t>Reserves</t>
  </si>
  <si>
    <t>Net Worth</t>
  </si>
  <si>
    <t>Borrowings</t>
  </si>
  <si>
    <t>Other Liabilities</t>
  </si>
  <si>
    <t>Total Liabilities</t>
  </si>
  <si>
    <t>Fixed Assets (Net Block)</t>
  </si>
  <si>
    <t>CWIP</t>
  </si>
  <si>
    <t>Investments</t>
  </si>
  <si>
    <t>Cash and Cash Equivalents</t>
  </si>
  <si>
    <t>Other Current Assets</t>
  </si>
  <si>
    <t>Total Assets</t>
  </si>
  <si>
    <t>• Equity Share Capital is assumed constant at ₹89 Cr, reflecting no planned equity dilution.
• Reserves for forecasted years are derived from cumulative retained earnings (Net Profit from P&amp;L sheet).
• Net Worth is calculated as: Equity Share Capital + Reserves.
• Borrowings are forecasted with a ₹1,000 Cr annual decline from FY26–FY30, indicating long-term debt reduction.
• Growth in Borrowings is calculated year-on-year to track leverage and debt strategy.
• Other Liabilities are projected based on historical growth trends, scaling with business expansion and operating scale.
• Fixed Assets (Net Block) values are linked to the Fixed Assets schedule and reflect CapEx driven growth.
• CWIP is held constant at ₹1,988 Cr post-FY25, assuming completion of major capital projects.
• Investments are maintained flat at ₹1,988 Cr in forecasted years, assuming no major strategic changes.
• Cash and Cash Equivalents (C&amp;CE) are projected based on historical build-up trends and positive FCFF.
• Other Current Assets are forecasted using revenue-scaled growth to reflect working capital needs.
• Total Assets = Fixed Assets + CWIP + Investments + C&amp;CE + Other Current Assets.
• Total Liabilities = Borrowings + Other Liabilities.
• Asset = Liability check ensures balance sheet consistency is maintained across all years.</t>
  </si>
  <si>
    <t>Opening Net Block</t>
  </si>
  <si>
    <t>CapEx</t>
  </si>
  <si>
    <t>Closing Net Block</t>
  </si>
  <si>
    <t xml:space="preserve">• Opening Net Block values for FY2020–FY2025 are taken directly from
   reported data.
• Depreciation values for all years are sourced from Screener.in and 
  assumed to scale with revenue in future forecasts.
• Historical CapEx (FY2020–FY2024) is back-calculated using the formula:
  CapEx = Closing Net Block – Opening Net Block + Depreciation
• Forecasted CapEx (FY2026–FY2030) is assumed to be 2% of 
  forecasted revenue, based on historical trends and scalability.
• Closing Net Block is calculated as:
  Closing NB = Opening NB + CapEx – Depreciation
</t>
  </si>
  <si>
    <t>• Opening Net Block for each year is carried over 
   from the previous year's Closing Net Block.
• This structure reflects steady reinvestment and 
   wear-and-tear in assets over time.
• The use of revenue-scaled CapEx captures the 
   capital expansion needed to support Titan’s growth trajectory.</t>
  </si>
  <si>
    <t>EBIT</t>
  </si>
  <si>
    <t>NoPAT</t>
  </si>
  <si>
    <t>Inventory</t>
  </si>
  <si>
    <t>Total FCFF</t>
  </si>
  <si>
    <t>Trade Recievables</t>
  </si>
  <si>
    <t>Average FCFF</t>
  </si>
  <si>
    <t>Working Capital</t>
  </si>
  <si>
    <t>Change in Working Capital</t>
  </si>
  <si>
    <t>Free Cash Flow to Firm(FCFF)</t>
  </si>
  <si>
    <t>FCFF Growth(%)</t>
  </si>
  <si>
    <t>Cumulative FCFF</t>
  </si>
  <si>
    <t xml:space="preserve">• EBIT (Operating Profit) is taken from the P&amp;L sheet and reflects the core 
  operating performance before interest and tax.
• Tax Rate is based on actual historical tax rates and assumed 
   to stabilize at 25% for forecast years, considering corporate tax reforms.
• NOPAT (Net Operating Profit After Tax) is computed as:
  NOPAT = EBIT × (1 – Tax Rate)
• Depreciation values are sourced directly from Screener.in and are 
   assumed to scale proportionally with revenue in forecast years.
• CapEx for FY2020–FY2025 is back-calculated using Net Block movement.
  Forecasted CapEx (FY2026–FY2030) is assumed to be 2% of forecasted 
  revenue, representing reinvestment aligned with business expansion.
</t>
  </si>
  <si>
    <t>• Working Capital is computed as:
  Working Capital = Inventory + Trade Receivables + Other Current 
  Assets – Other Liabilities
• Change in Working Capital (ΔWC) is calculated year-on-year and 
  reflects liquidity impact due to operational asset and liability changes.
• FCFF is calculated using the formula:
  FCFF = NOPAT + Depreciation – CapEx – Change in Working Capital
• Negative FCFF in early years (e.g., FY2022) reflects aggressive 
  reinvestment or working capital build-up, while positive FCFF in later 
  years indicates improving operational cash generation.</t>
  </si>
  <si>
    <t>Metric</t>
  </si>
  <si>
    <t>Value</t>
  </si>
  <si>
    <t>Inputs Used</t>
  </si>
  <si>
    <t xml:space="preserve">Market Value of Equity </t>
  </si>
  <si>
    <t>Beta</t>
  </si>
  <si>
    <t>Total Debt(2025)</t>
  </si>
  <si>
    <t>Risk Free Rate(Rf)</t>
  </si>
  <si>
    <t>Total Debt(2024)</t>
  </si>
  <si>
    <t>Market Return(Rm)</t>
  </si>
  <si>
    <t>Cost of Debt(Rd)</t>
  </si>
  <si>
    <t xml:space="preserve"> </t>
  </si>
  <si>
    <t>Cost of Equity</t>
  </si>
  <si>
    <t>Total Capital</t>
  </si>
  <si>
    <t>Weight of Equity</t>
  </si>
  <si>
    <t>Weight of Debt</t>
  </si>
  <si>
    <t>WACC</t>
  </si>
  <si>
    <t xml:space="preserve">• Cost of Equity (Ke) is calculated using the CAPM model:
  Ke = Rf + β × (Rm − Rf) = 7% + 0.34 × (12.1% − 7%) = 8.73%
• Cost of Debt (Rd) is the average interest expense / total debt 
  based on reported financials.
• Total Debt is averaged between FY2024 and FY2025 to 
  smooth fluctuations.
• Total Capital = Market Value of Equity + Average Total Debt
</t>
  </si>
  <si>
    <t>• Weight of Equity = Equity / (Equity + Debt)
• Weight of Debt = Debt / (Equity + Debt)
• WACC is calculated using:
  WACC = (Ke × We) + (Rd × Wd × (1 − Tax Rate))
• This WACC reflects Titan’s blended cost of capital 
  considering its low leverage and high market 
  capitalization.</t>
  </si>
  <si>
    <t>FCF</t>
  </si>
  <si>
    <t>t (Number of Years ahead of base year)</t>
  </si>
  <si>
    <t>Discout Factor(1+WACC)^t</t>
  </si>
  <si>
    <t>PV OF FCF</t>
  </si>
  <si>
    <t>SENSETIVITY TABLE - ENTERPRISE VALUE</t>
  </si>
  <si>
    <t>g (Long Term Growth Rate)</t>
  </si>
  <si>
    <t>WACC(%)</t>
  </si>
  <si>
    <t>Terminal Value(Gordon Growth Model)</t>
  </si>
  <si>
    <t>Growth Rate(%)</t>
  </si>
  <si>
    <t>Present Value of TV</t>
  </si>
  <si>
    <t>Enterprise Value</t>
  </si>
  <si>
    <t>Equity Value</t>
  </si>
  <si>
    <t>Intrinsic Share Price</t>
  </si>
  <si>
    <t>SENSETIVITY TABLE - Equity Value</t>
  </si>
  <si>
    <t>SENSETIVITY TABLE - Share Price</t>
  </si>
  <si>
    <t>PROFITABILITY RATIOS</t>
  </si>
  <si>
    <t xml:space="preserve">• These ratios assess Titan’s ability to generate profits relative to revenue, assets, or equity.  
• Gross Margin, EBITDA Margin, and Net Profit Margin reveal core and bottom-line profitability.  
• ROE and ROCE measure the efficiency of capital and equity utilization.  
• A consistently high ROE/ROCE indicates strong shareholder returns and capital allocation.       </t>
  </si>
  <si>
    <t>ROE(%)</t>
  </si>
  <si>
    <t>ROCE(%)</t>
  </si>
  <si>
    <t>ROA(%)</t>
  </si>
  <si>
    <t>LIQUIDITY RATIOS</t>
  </si>
  <si>
    <t>• Liquidity ratios measure Titan’s short-term financial health and ability to meet liabilities.  
• The Current Ratio shows the coverage of short-term obligations via current assets.  
• A higher ratio (&gt;1) generally implies a comfortable liquidity position.  
• These ratios are essential in evaluating operational resilience and creditworthiness.</t>
  </si>
  <si>
    <t>Current Ratio(%)</t>
  </si>
  <si>
    <t>Quick Ratio(%)</t>
  </si>
  <si>
    <t>LEVERAGE RATIOS</t>
  </si>
  <si>
    <t xml:space="preserve">• These ratios analyze Titan’s capital structure and long-term debt sustainability.  
• Debt to Equity indicates the proportion of external vs. internal financing.  
• Interest Coverage Ratio shows Titan’s ability to service debt using EBIT.  
• Lower leverage and higher coverage suggest financial stability and lower default risk.
</t>
  </si>
  <si>
    <t>Debt to Equity(%)</t>
  </si>
  <si>
    <t>Debt to Assets(%)</t>
  </si>
  <si>
    <t>Interest Coverage Ratio</t>
  </si>
  <si>
    <t>EFFICIENCY RATIOS</t>
  </si>
  <si>
    <t xml:space="preserve">• Efficiency ratios evaluate how well Titan manages assets and operations.  
• Inventory Turnover reflects how quickly inventory is sold; higher is better.  
• Receivables Turnover shows how efficiently Titan collects from customers.  
• Asset Turnover indicates how well the company uses assets to generate sales.
</t>
  </si>
  <si>
    <t>Asset Turn Over Ratio</t>
  </si>
  <si>
    <t>Fixed Asset Turnover</t>
  </si>
  <si>
    <t>Working Capital Turnover</t>
  </si>
  <si>
    <t>Inventory Turnover Ratio</t>
  </si>
  <si>
    <t>Receivables Turnover Ratio</t>
  </si>
  <si>
    <t>PnL Sheet</t>
  </si>
  <si>
    <t>EBITDA Margin F26</t>
  </si>
  <si>
    <t>A slow, steady increase in margin assumes:
No major supply chain shocks.
Controlled cost inflation.
Gradual premiumization in jewelry and watches.</t>
  </si>
  <si>
    <t>EBITDA Margin F27</t>
  </si>
  <si>
    <t>EBITDA Margin F28</t>
  </si>
  <si>
    <t>EBITDA Margin F29</t>
  </si>
  <si>
    <t>EBITDA Margin F30</t>
  </si>
  <si>
    <t>Depriciation of Revenue</t>
  </si>
  <si>
    <t>Avg ish</t>
  </si>
  <si>
    <t xml:space="preserve">Tax Rate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</si>
</sst>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25">
    <font>
      <sz val="10.0"/>
      <color rgb="FF000000"/>
      <name val="Arial"/>
      <scheme val="minor"/>
    </font>
    <font>
      <sz val="14.0"/>
      <color theme="1"/>
      <name val="Arial"/>
      <scheme val="minor"/>
    </font>
    <font>
      <b/>
      <sz val="14.0"/>
      <color rgb="FFFFFFFF"/>
      <name val="Arial"/>
      <scheme val="minor"/>
    </font>
    <font>
      <sz val="14.0"/>
      <color rgb="FF000000"/>
      <name val="Arial"/>
      <scheme val="minor"/>
    </font>
    <font/>
    <font>
      <b/>
      <u/>
      <sz val="14.0"/>
      <color rgb="FF0000FF"/>
    </font>
    <font>
      <b/>
      <sz val="14.0"/>
      <color rgb="FF000000"/>
      <name val="Arial"/>
      <scheme val="minor"/>
    </font>
    <font>
      <b/>
      <u/>
      <sz val="12.0"/>
      <color rgb="FF0000FF"/>
    </font>
    <font>
      <b/>
      <color theme="1"/>
      <name val="Arial"/>
    </font>
    <font>
      <color theme="1"/>
      <name val="Arial"/>
    </font>
    <font>
      <b/>
      <color rgb="FF4285F4"/>
      <name val="Arial"/>
    </font>
    <font>
      <b/>
      <color rgb="FF6AA84F"/>
      <name val="Arial"/>
    </font>
    <font>
      <color theme="1"/>
      <name val="Arial"/>
      <scheme val="minor"/>
    </font>
    <font>
      <b/>
      <color theme="1"/>
      <name val="Arial"/>
      <scheme val="minor"/>
    </font>
    <font>
      <b/>
      <color rgb="FFFFFFFF"/>
      <name val="Arial"/>
      <scheme val="minor"/>
    </font>
    <font>
      <color rgb="FFFFFFFF"/>
      <name val="Arial"/>
      <scheme val="minor"/>
    </font>
    <font>
      <color rgb="FF1155CC"/>
      <name val="&quot;Inter var&quot;"/>
    </font>
    <font>
      <i/>
      <sz val="8.0"/>
      <color theme="1"/>
      <name val="Arial"/>
      <scheme val="minor"/>
    </font>
    <font>
      <color rgb="FF6AA84F"/>
      <name val="Arial"/>
      <scheme val="minor"/>
    </font>
    <font>
      <color rgb="FF1155CC"/>
      <name val="Arial"/>
      <scheme val="minor"/>
    </font>
    <font>
      <color rgb="FF22222F"/>
      <name val="&quot;Inter var&quot;"/>
    </font>
    <font>
      <sz val="11.0"/>
      <color rgb="FF22222F"/>
      <name val="&quot;Inter var&quot;"/>
    </font>
    <font>
      <sz val="11.0"/>
      <color rgb="FF1155CC"/>
      <name val="&quot;Inter var&quot;"/>
    </font>
    <font>
      <b/>
      <sz val="11.0"/>
      <color rgb="FFFFFFFF"/>
      <name val="Arial"/>
      <scheme val="minor"/>
    </font>
    <font>
      <color rgb="FF000000"/>
      <name val="Arial"/>
      <scheme val="minor"/>
    </font>
  </fonts>
  <fills count="8">
    <fill>
      <patternFill patternType="none"/>
    </fill>
    <fill>
      <patternFill patternType="lightGray"/>
    </fill>
    <fill>
      <patternFill patternType="solid">
        <fgColor rgb="FF3C78D8"/>
        <bgColor rgb="FF3C78D8"/>
      </patternFill>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93C47D"/>
        <bgColor rgb="FF93C47D"/>
      </patternFill>
    </fill>
    <fill>
      <patternFill patternType="solid">
        <fgColor rgb="FFD9D9D9"/>
        <bgColor rgb="FFD9D9D9"/>
      </patternFill>
    </fill>
  </fills>
  <borders count="64">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right style="thin">
        <color rgb="FFFFFFFF"/>
      </right>
    </border>
    <border>
      <left style="thin">
        <color rgb="FFFFFFFF"/>
      </left>
      <right style="thin">
        <color rgb="FFFFFFFF"/>
      </right>
      <bottom style="thin">
        <color rgb="FFFFFFFF"/>
      </bottom>
    </border>
    <border>
      <left style="thin">
        <color rgb="FFFFFFFF"/>
      </left>
      <top style="thin">
        <color rgb="FFFFFFFF"/>
      </top>
      <bottom style="thin">
        <color rgb="FFFFFFFF"/>
      </bottom>
    </border>
    <border>
      <left style="thin">
        <color rgb="FF000000"/>
      </left>
      <top style="thin">
        <color rgb="FF000000"/>
      </top>
    </border>
    <border>
      <top style="thin">
        <color rgb="FF000000"/>
      </top>
    </border>
    <border>
      <right style="thin">
        <color rgb="FFFFFFFF"/>
      </right>
      <top style="thin">
        <color rgb="FF000000"/>
      </top>
    </border>
    <border>
      <left style="thin">
        <color rgb="FFFFFFFF"/>
      </left>
      <top style="thin">
        <color rgb="FF000000"/>
      </top>
    </border>
    <border>
      <right style="thin">
        <color rgb="FF000000"/>
      </right>
      <top style="thin">
        <color rgb="FF000000"/>
      </top>
    </border>
    <border>
      <right style="thin">
        <color rgb="FFFFFFFF"/>
      </right>
      <top style="thin">
        <color rgb="FFFFFFFF"/>
      </top>
      <bottom style="thin">
        <color rgb="FFFFFFFF"/>
      </bottom>
    </border>
    <border>
      <left style="thin">
        <color rgb="FF000000"/>
      </left>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bottom style="thin">
        <color rgb="FFFFFFFF"/>
      </bottom>
    </border>
    <border>
      <left style="thin">
        <color rgb="FFFFFFFF"/>
      </left>
      <right style="thin">
        <color rgb="FF000000"/>
      </right>
      <bottom style="thin">
        <color rgb="FFFFFFFF"/>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000000"/>
      </right>
      <top style="thin">
        <color rgb="FFFFFFFF"/>
      </top>
      <bottom style="thin">
        <color rgb="FF000000"/>
      </bottom>
    </border>
    <border>
      <left style="thin">
        <color rgb="FF000000"/>
      </left>
      <right style="thin">
        <color rgb="FFFFFFFF"/>
      </right>
      <top style="thin">
        <color rgb="FFFFFFFF"/>
      </top>
      <bottom style="thin">
        <color rgb="FFFFFFFF"/>
      </bottom>
    </border>
    <border>
      <left style="thin">
        <color rgb="FFFFFFFF"/>
      </left>
      <right style="thin">
        <color rgb="FF000000"/>
      </right>
      <top style="thin">
        <color rgb="FFFFFFFF"/>
      </top>
      <bottom style="thin">
        <color rgb="FFFFFFFF"/>
      </bottom>
    </border>
    <border>
      <right style="thin">
        <color rgb="FF000000"/>
      </right>
      <top style="thin">
        <color rgb="FFFFFFFF"/>
      </top>
      <bottom style="thin">
        <color rgb="FFFFFFF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FFFFFF"/>
      </bottom>
    </border>
    <border>
      <top style="thin">
        <color rgb="FF000000"/>
      </top>
      <bottom style="thin">
        <color rgb="FFFFFFFF"/>
      </bottom>
    </border>
    <border>
      <right style="thin">
        <color rgb="FFFFFFFF"/>
      </right>
      <top style="thin">
        <color rgb="FF000000"/>
      </top>
      <bottom style="thin">
        <color rgb="FFFFFFFF"/>
      </bottom>
    </border>
    <border>
      <left style="thin">
        <color rgb="FFFFFFFF"/>
      </left>
      <top style="thin">
        <color rgb="FF000000"/>
      </top>
      <bottom style="thin">
        <color rgb="FFFFFFFF"/>
      </bottom>
    </border>
    <border>
      <right style="thin">
        <color rgb="FF000000"/>
      </right>
      <top style="thin">
        <color rgb="FF000000"/>
      </top>
      <bottom style="thin">
        <color rgb="FFFFFFFF"/>
      </bottom>
    </border>
    <border>
      <left style="thin">
        <color rgb="FFFFFFFF"/>
      </left>
      <top style="thin">
        <color rgb="FFFFFFFF"/>
      </top>
      <bottom style="thin">
        <color rgb="FF000000"/>
      </bottom>
    </border>
    <border>
      <left style="thin">
        <color rgb="FF000000"/>
      </left>
      <right style="thin">
        <color rgb="FF000000"/>
      </right>
      <top style="thin">
        <color rgb="FF000000"/>
      </top>
      <bottom style="thin">
        <color rgb="FF000000"/>
      </bottom>
    </border>
    <border>
      <right style="thin">
        <color rgb="FFFFFFFF"/>
      </right>
      <top style="thin">
        <color rgb="FFFFFFFF"/>
      </top>
      <bottom style="thin">
        <color rgb="FF000000"/>
      </bottom>
    </border>
    <border>
      <right style="thin">
        <color rgb="FF000000"/>
      </right>
      <bottom style="thin">
        <color rgb="FF000000"/>
      </bottom>
    </border>
    <border>
      <top style="thin">
        <color rgb="FFFFFFFF"/>
      </top>
      <bottom style="thin">
        <color rgb="FFFFFFFF"/>
      </bottom>
    </border>
    <border>
      <left style="thin">
        <color rgb="FF000000"/>
      </left>
      <right style="thin">
        <color rgb="FF000000"/>
      </right>
      <top style="thin">
        <color rgb="FF000000"/>
      </top>
      <bottom style="thin">
        <color rgb="FFFFFFFF"/>
      </bottom>
    </border>
    <border>
      <left style="thin">
        <color rgb="FF000000"/>
      </left>
      <right style="thin">
        <color rgb="FF000000"/>
      </right>
      <top style="thin">
        <color rgb="FFFFFFFF"/>
      </top>
      <bottom style="thin">
        <color rgb="FF000000"/>
      </bottom>
    </border>
    <border>
      <right style="thin">
        <color rgb="FF000000"/>
      </right>
      <top style="thin">
        <color rgb="FFFFFFFF"/>
      </top>
      <bottom style="thin">
        <color rgb="FF000000"/>
      </bottom>
    </border>
    <border>
      <left style="thin">
        <color rgb="FF000000"/>
      </left>
      <right style="thin">
        <color rgb="FFFFFFFF"/>
      </right>
      <top style="thin">
        <color rgb="FFFFFFFF"/>
      </top>
    </border>
    <border>
      <left style="thin">
        <color rgb="FFFFFFFF"/>
      </left>
      <right style="thin">
        <color rgb="FF000000"/>
      </right>
      <top style="thin">
        <color rgb="FFFFFFFF"/>
      </top>
    </border>
    <border>
      <left style="thin">
        <color rgb="FF000000"/>
      </left>
      <bottom style="thin">
        <color rgb="FF000000"/>
      </bottom>
    </border>
    <border>
      <left style="thin">
        <color rgb="FFFFFFFF"/>
      </left>
      <right style="thin">
        <color rgb="FFFFFFFF"/>
      </right>
      <bottom style="thin">
        <color rgb="FF000000"/>
      </bottom>
    </border>
    <border>
      <left style="thin">
        <color rgb="FFFFFFFF"/>
      </left>
      <right style="thin">
        <color rgb="FF000000"/>
      </right>
      <bottom style="thin">
        <color rgb="FF000000"/>
      </bottom>
    </border>
    <border>
      <left style="thin">
        <color rgb="FF000000"/>
      </left>
      <right style="thin">
        <color rgb="FFFFFFFF"/>
      </right>
      <bottom style="thin">
        <color rgb="FF000000"/>
      </bottom>
    </border>
    <border>
      <right style="thin">
        <color rgb="FFFFFFFF"/>
      </right>
      <bottom style="thin">
        <color rgb="FFFFFFFF"/>
      </bottom>
    </border>
    <border>
      <left style="thin">
        <color rgb="FF000000"/>
      </left>
      <right style="thin">
        <color rgb="FF000000"/>
      </right>
      <bottom style="thin">
        <color rgb="FFFFFFFF"/>
      </bottom>
    </border>
    <border>
      <right style="thin">
        <color rgb="FF000000"/>
      </right>
      <bottom style="thin">
        <color rgb="FFFFFFFF"/>
      </bottom>
    </border>
    <border>
      <right style="thin">
        <color rgb="FFFFFFFF"/>
      </right>
      <top style="thin">
        <color rgb="FFFFFFFF"/>
      </top>
    </border>
    <border>
      <left style="thin">
        <color rgb="FF000000"/>
      </left>
      <right style="thin">
        <color rgb="FF000000"/>
      </right>
      <top style="thin">
        <color rgb="FFFFFFFF"/>
      </top>
      <bottom style="thin">
        <color rgb="FFFFFFFF"/>
      </bottom>
    </border>
    <border>
      <right style="thin">
        <color rgb="FF000000"/>
      </right>
      <top style="thin">
        <color rgb="FFFFFFFF"/>
      </top>
    </border>
    <border>
      <left style="thin">
        <color rgb="FF000000"/>
      </left>
      <right style="thin">
        <color rgb="FF000000"/>
      </right>
      <top style="thin">
        <color rgb="FFFFFFFF"/>
      </top>
    </border>
    <border>
      <bottom style="thin">
        <color rgb="FF000000"/>
      </bottom>
    </border>
    <border>
      <left style="thin">
        <color rgb="FFFFFFFF"/>
      </left>
      <bottom style="thin">
        <color rgb="FFFFFFFF"/>
      </bottom>
    </border>
    <border>
      <left style="thin">
        <color rgb="FFFFFFFF"/>
      </left>
      <top style="thin">
        <color rgb="FFFFFFFF"/>
      </top>
    </border>
    <border>
      <left style="thin">
        <color rgb="FF000000"/>
      </left>
      <right style="thin">
        <color rgb="FF000000"/>
      </right>
      <top style="thin">
        <color rgb="FF000000"/>
      </top>
    </border>
    <border>
      <bottom style="thin">
        <color rgb="FFFFFFFF"/>
      </bottom>
    </border>
    <border>
      <left style="thin">
        <color rgb="FF000000"/>
      </left>
      <right style="thin">
        <color rgb="FF000000"/>
      </right>
    </border>
    <border>
      <right style="thin">
        <color rgb="FFFFFFFF"/>
      </right>
    </border>
    <border>
      <left style="thin">
        <color rgb="FF000000"/>
      </left>
      <right style="thin">
        <color rgb="FF000000"/>
      </right>
      <bottom style="thin">
        <color rgb="FF000000"/>
      </bottom>
    </border>
    <border>
      <right style="thin">
        <color rgb="FFFFFFFF"/>
      </right>
      <bottom style="thin">
        <color rgb="FF000000"/>
      </bottom>
    </border>
    <border>
      <left style="thin">
        <color rgb="FF000000"/>
      </left>
      <bottom style="thin">
        <color rgb="FFFFFFFF"/>
      </bottom>
    </border>
    <border>
      <top style="thin">
        <color rgb="FFFFFFFF"/>
      </top>
    </border>
    <border>
      <left style="thin">
        <color rgb="FFFFFFFF"/>
      </left>
    </border>
  </borders>
  <cellStyleXfs count="1">
    <xf borderId="0" fillId="0" fontId="0" numFmtId="0" applyAlignment="1" applyFont="1"/>
  </cellStyleXfs>
  <cellXfs count="288">
    <xf borderId="0" fillId="0" fontId="0" numFmtId="0" xfId="0" applyAlignment="1" applyFont="1">
      <alignment readingOrder="0" shrinkToFit="0" vertical="bottom" wrapText="0"/>
    </xf>
    <xf borderId="1" fillId="0" fontId="1" numFmtId="0" xfId="0" applyBorder="1" applyFont="1"/>
    <xf borderId="1" fillId="2" fontId="2" numFmtId="0" xfId="0" applyAlignment="1" applyBorder="1" applyFill="1" applyFont="1">
      <alignment readingOrder="0"/>
    </xf>
    <xf borderId="1" fillId="0" fontId="3" numFmtId="0" xfId="0" applyAlignment="1" applyBorder="1" applyFont="1">
      <alignment readingOrder="0" shrinkToFit="0" vertical="top" wrapText="1"/>
    </xf>
    <xf borderId="2" fillId="0" fontId="1" numFmtId="0" xfId="0" applyAlignment="1" applyBorder="1" applyFont="1">
      <alignment readingOrder="0" shrinkToFit="0" vertical="top" wrapText="1"/>
    </xf>
    <xf borderId="3" fillId="0" fontId="4" numFmtId="0" xfId="0" applyBorder="1" applyFont="1"/>
    <xf borderId="1" fillId="0" fontId="3" numFmtId="0" xfId="0" applyAlignment="1" applyBorder="1" applyFont="1">
      <alignment readingOrder="0" shrinkToFit="0" wrapText="1"/>
    </xf>
    <xf borderId="1" fillId="0" fontId="5" numFmtId="0" xfId="0" applyAlignment="1" applyBorder="1" applyFont="1">
      <alignment readingOrder="0" shrinkToFit="0" wrapText="1"/>
    </xf>
    <xf borderId="1" fillId="0" fontId="6" numFmtId="0" xfId="0" applyAlignment="1" applyBorder="1" applyFont="1">
      <alignment readingOrder="0" shrinkToFit="0" wrapText="1"/>
    </xf>
    <xf borderId="4" fillId="0" fontId="4" numFmtId="0" xfId="0" applyBorder="1" applyFont="1"/>
    <xf borderId="1" fillId="0" fontId="7" numFmtId="0" xfId="0" applyAlignment="1" applyBorder="1" applyFont="1">
      <alignment readingOrder="0" shrinkToFit="0" wrapText="1"/>
    </xf>
    <xf borderId="1" fillId="0" fontId="1" numFmtId="0" xfId="0" applyAlignment="1" applyBorder="1" applyFont="1">
      <alignment readingOrder="0" shrinkToFit="0" vertical="top" wrapText="1"/>
    </xf>
    <xf borderId="1" fillId="0" fontId="8" numFmtId="0" xfId="0" applyAlignment="1" applyBorder="1" applyFont="1">
      <alignment horizontal="right" vertical="bottom"/>
    </xf>
    <xf borderId="1" fillId="0" fontId="9" numFmtId="164" xfId="0" applyAlignment="1" applyBorder="1" applyFont="1" applyNumberFormat="1">
      <alignment vertical="bottom"/>
    </xf>
    <xf borderId="1" fillId="0" fontId="9" numFmtId="0" xfId="0" applyAlignment="1" applyBorder="1" applyFont="1">
      <alignment horizontal="right" vertical="bottom"/>
    </xf>
    <xf borderId="1" fillId="0" fontId="9" numFmtId="0" xfId="0" applyAlignment="1" applyBorder="1" applyFont="1">
      <alignment vertical="bottom"/>
    </xf>
    <xf borderId="1" fillId="0" fontId="8" numFmtId="0" xfId="0" applyAlignment="1" applyBorder="1" applyFont="1">
      <alignment horizontal="center" vertical="bottom"/>
    </xf>
    <xf borderId="1" fillId="0" fontId="10" numFmtId="164" xfId="0" applyAlignment="1" applyBorder="1" applyFont="1" applyNumberFormat="1">
      <alignment horizontal="center" vertical="bottom"/>
    </xf>
    <xf borderId="1" fillId="0" fontId="8" numFmtId="49" xfId="0" applyAlignment="1" applyBorder="1" applyFont="1" applyNumberFormat="1">
      <alignment horizontal="center" vertical="bottom"/>
    </xf>
    <xf borderId="1" fillId="0" fontId="11" numFmtId="49" xfId="0" applyAlignment="1" applyBorder="1" applyFont="1" applyNumberFormat="1">
      <alignment horizontal="center" vertical="bottom"/>
    </xf>
    <xf borderId="1" fillId="0" fontId="1" numFmtId="0" xfId="0" applyAlignment="1" applyBorder="1" applyFont="1">
      <alignment readingOrder="0"/>
    </xf>
    <xf borderId="1" fillId="3" fontId="8" numFmtId="164" xfId="0" applyAlignment="1" applyBorder="1" applyFill="1" applyFont="1" applyNumberFormat="1">
      <alignment horizontal="center" vertical="bottom"/>
    </xf>
    <xf borderId="1" fillId="0" fontId="12" numFmtId="0" xfId="0" applyBorder="1" applyFont="1"/>
    <xf borderId="2" fillId="0" fontId="12" numFmtId="0" xfId="0" applyBorder="1" applyFont="1"/>
    <xf borderId="5" fillId="0" fontId="12" numFmtId="0" xfId="0" applyBorder="1" applyFont="1"/>
    <xf borderId="6" fillId="4" fontId="13" numFmtId="0" xfId="0" applyAlignment="1" applyBorder="1" applyFill="1" applyFont="1">
      <alignment horizontal="center" readingOrder="0"/>
    </xf>
    <xf borderId="7" fillId="0" fontId="4" numFmtId="0" xfId="0" applyBorder="1" applyFont="1"/>
    <xf borderId="8" fillId="0" fontId="4" numFmtId="0" xfId="0" applyBorder="1" applyFont="1"/>
    <xf borderId="9" fillId="2" fontId="14" numFmtId="0" xfId="0" applyAlignment="1" applyBorder="1" applyFont="1">
      <alignment horizontal="center" readingOrder="0"/>
    </xf>
    <xf borderId="10" fillId="0" fontId="4" numFmtId="0" xfId="0" applyBorder="1" applyFont="1"/>
    <xf borderId="11" fillId="0" fontId="12" numFmtId="0" xfId="0" applyBorder="1" applyFont="1"/>
    <xf borderId="5" fillId="0" fontId="13" numFmtId="0" xfId="0" applyAlignment="1" applyBorder="1" applyFont="1">
      <alignment horizontal="right" readingOrder="0"/>
    </xf>
    <xf borderId="12" fillId="4" fontId="12" numFmtId="0" xfId="0" applyAlignment="1" applyBorder="1" applyFont="1">
      <alignment readingOrder="0"/>
    </xf>
    <xf borderId="13" fillId="4" fontId="12" numFmtId="0" xfId="0" applyBorder="1" applyFont="1"/>
    <xf borderId="13" fillId="2" fontId="15" numFmtId="0" xfId="0" applyBorder="1" applyFont="1"/>
    <xf borderId="14" fillId="2" fontId="15" numFmtId="0" xfId="0" applyBorder="1" applyFont="1"/>
    <xf borderId="15" fillId="0" fontId="16" numFmtId="3" xfId="0" applyAlignment="1" applyBorder="1" applyFont="1" applyNumberFormat="1">
      <alignment horizontal="right" readingOrder="0"/>
    </xf>
    <xf borderId="4" fillId="0" fontId="16" numFmtId="3" xfId="0" applyAlignment="1" applyBorder="1" applyFont="1" applyNumberFormat="1">
      <alignment horizontal="right" readingOrder="0"/>
    </xf>
    <xf borderId="4" fillId="0" fontId="12" numFmtId="4" xfId="0" applyBorder="1" applyFont="1" applyNumberFormat="1"/>
    <xf borderId="16" fillId="0" fontId="12" numFmtId="4" xfId="0" applyBorder="1" applyFont="1" applyNumberFormat="1"/>
    <xf borderId="17" fillId="0" fontId="12" numFmtId="0" xfId="0" applyBorder="1" applyFont="1"/>
    <xf borderId="18" fillId="0" fontId="16" numFmtId="10" xfId="0" applyAlignment="1" applyBorder="1" applyFont="1" applyNumberFormat="1">
      <alignment horizontal="right" readingOrder="0"/>
    </xf>
    <xf borderId="18" fillId="0" fontId="12" numFmtId="10" xfId="0" applyBorder="1" applyFont="1" applyNumberFormat="1"/>
    <xf borderId="19" fillId="0" fontId="12" numFmtId="10" xfId="0" applyAlignment="1" applyBorder="1" applyFont="1" applyNumberFormat="1">
      <alignment readingOrder="0"/>
    </xf>
    <xf borderId="4" fillId="0" fontId="12" numFmtId="0" xfId="0" applyBorder="1" applyFont="1"/>
    <xf borderId="1" fillId="0" fontId="12" numFmtId="0" xfId="0" applyAlignment="1" applyBorder="1" applyFont="1">
      <alignment readingOrder="0"/>
    </xf>
    <xf borderId="1" fillId="0" fontId="17" numFmtId="0" xfId="0" applyAlignment="1" applyBorder="1" applyFont="1">
      <alignment readingOrder="0"/>
    </xf>
    <xf borderId="1" fillId="0" fontId="12" numFmtId="10" xfId="0" applyBorder="1" applyFont="1" applyNumberFormat="1"/>
    <xf borderId="12" fillId="4" fontId="13" numFmtId="0" xfId="0" applyAlignment="1" applyBorder="1" applyFont="1">
      <alignment readingOrder="0"/>
    </xf>
    <xf borderId="13" fillId="4" fontId="13" numFmtId="0" xfId="0" applyBorder="1" applyFont="1"/>
    <xf borderId="13" fillId="2" fontId="14" numFmtId="0" xfId="0" applyBorder="1" applyFont="1"/>
    <xf borderId="14" fillId="2" fontId="14" numFmtId="0" xfId="0" applyBorder="1" applyFont="1"/>
    <xf borderId="5" fillId="5" fontId="13" numFmtId="0" xfId="0" applyAlignment="1" applyBorder="1" applyFill="1" applyFont="1">
      <alignment horizontal="right" readingOrder="0"/>
    </xf>
    <xf borderId="15" fillId="5" fontId="13" numFmtId="0" xfId="0" applyAlignment="1" applyBorder="1" applyFont="1">
      <alignment readingOrder="0"/>
    </xf>
    <xf borderId="4" fillId="5" fontId="13" numFmtId="0" xfId="0" applyBorder="1" applyFont="1"/>
    <xf borderId="4" fillId="5" fontId="14" numFmtId="0" xfId="0" applyBorder="1" applyFont="1"/>
    <xf borderId="16" fillId="5" fontId="14" numFmtId="0" xfId="0" applyBorder="1" applyFont="1"/>
    <xf borderId="11" fillId="5" fontId="12" numFmtId="0" xfId="0" applyBorder="1" applyFont="1"/>
    <xf borderId="1" fillId="5" fontId="12" numFmtId="0" xfId="0" applyBorder="1" applyFont="1"/>
    <xf borderId="20" fillId="0" fontId="18" numFmtId="3" xfId="0" applyBorder="1" applyFont="1" applyNumberFormat="1"/>
    <xf borderId="1" fillId="0" fontId="18" numFmtId="3" xfId="0" applyBorder="1" applyFont="1" applyNumberFormat="1"/>
    <xf borderId="1" fillId="0" fontId="18" numFmtId="4" xfId="0" applyBorder="1" applyFont="1" applyNumberFormat="1"/>
    <xf borderId="21" fillId="0" fontId="18" numFmtId="4" xfId="0" applyBorder="1" applyFont="1" applyNumberFormat="1"/>
    <xf borderId="20" fillId="0" fontId="18" numFmtId="0" xfId="0" applyBorder="1" applyFont="1"/>
    <xf borderId="1" fillId="0" fontId="18" numFmtId="10" xfId="0" applyBorder="1" applyFont="1" applyNumberFormat="1"/>
    <xf borderId="21" fillId="0" fontId="18" numFmtId="10" xfId="0" applyBorder="1" applyFont="1" applyNumberFormat="1"/>
    <xf borderId="20" fillId="0" fontId="12" numFmtId="0" xfId="0" applyBorder="1" applyFont="1"/>
    <xf borderId="21" fillId="0" fontId="12" numFmtId="0" xfId="0" applyBorder="1" applyFont="1"/>
    <xf borderId="20" fillId="0" fontId="19" numFmtId="3" xfId="0" applyAlignment="1" applyBorder="1" applyFont="1" applyNumberFormat="1">
      <alignment readingOrder="0"/>
    </xf>
    <xf borderId="1" fillId="0" fontId="19" numFmtId="3" xfId="0" applyAlignment="1" applyBorder="1" applyFont="1" applyNumberFormat="1">
      <alignment readingOrder="0"/>
    </xf>
    <xf borderId="1" fillId="0" fontId="12" numFmtId="4" xfId="0" applyBorder="1" applyFont="1" applyNumberFormat="1"/>
    <xf borderId="21" fillId="0" fontId="12" numFmtId="4" xfId="0" applyBorder="1" applyFont="1" applyNumberFormat="1"/>
    <xf borderId="20" fillId="0" fontId="19" numFmtId="0" xfId="0" applyAlignment="1" applyBorder="1" applyFont="1">
      <alignment readingOrder="0"/>
    </xf>
    <xf borderId="1" fillId="0" fontId="19" numFmtId="0" xfId="0" applyAlignment="1" applyBorder="1" applyFont="1">
      <alignment readingOrder="0"/>
    </xf>
    <xf borderId="20" fillId="0" fontId="12" numFmtId="3" xfId="0" applyAlignment="1" applyBorder="1" applyFont="1" applyNumberFormat="1">
      <alignment readingOrder="0"/>
    </xf>
    <xf borderId="1" fillId="0" fontId="12" numFmtId="3" xfId="0" applyAlignment="1" applyBorder="1" applyFont="1" applyNumberFormat="1">
      <alignment readingOrder="0"/>
    </xf>
    <xf borderId="20" fillId="0" fontId="12" numFmtId="10" xfId="0" applyAlignment="1" applyBorder="1" applyFont="1" applyNumberFormat="1">
      <alignment readingOrder="0"/>
    </xf>
    <xf borderId="1" fillId="0" fontId="12" numFmtId="10" xfId="0" applyAlignment="1" applyBorder="1" applyFont="1" applyNumberFormat="1">
      <alignment readingOrder="0"/>
    </xf>
    <xf borderId="21" fillId="0" fontId="12" numFmtId="10" xfId="0" applyAlignment="1" applyBorder="1" applyFont="1" applyNumberFormat="1">
      <alignment readingOrder="0"/>
    </xf>
    <xf borderId="20" fillId="5" fontId="16" numFmtId="3" xfId="0" applyAlignment="1" applyBorder="1" applyFont="1" applyNumberFormat="1">
      <alignment horizontal="right" readingOrder="0"/>
    </xf>
    <xf borderId="1" fillId="5" fontId="16" numFmtId="0" xfId="0" applyAlignment="1" applyBorder="1" applyFont="1">
      <alignment horizontal="right" readingOrder="0"/>
    </xf>
    <xf borderId="1" fillId="5" fontId="16" numFmtId="3" xfId="0" applyAlignment="1" applyBorder="1" applyFont="1" applyNumberFormat="1">
      <alignment horizontal="right" readingOrder="0"/>
    </xf>
    <xf borderId="1" fillId="3" fontId="9" numFmtId="164" xfId="0" applyAlignment="1" applyBorder="1" applyFont="1" applyNumberFormat="1">
      <alignment horizontal="right" vertical="bottom"/>
    </xf>
    <xf borderId="21" fillId="3" fontId="9" numFmtId="164" xfId="0" applyAlignment="1" applyBorder="1" applyFont="1" applyNumberFormat="1">
      <alignment horizontal="right" vertical="bottom"/>
    </xf>
    <xf borderId="20" fillId="0" fontId="12" numFmtId="4" xfId="0" applyBorder="1" applyFont="1" applyNumberFormat="1"/>
    <xf borderId="2" fillId="0" fontId="12" numFmtId="4" xfId="0" applyBorder="1" applyFont="1" applyNumberFormat="1"/>
    <xf borderId="20" fillId="0" fontId="20" numFmtId="9" xfId="0" applyAlignment="1" applyBorder="1" applyFont="1" applyNumberFormat="1">
      <alignment horizontal="right" readingOrder="0"/>
    </xf>
    <xf borderId="1" fillId="0" fontId="20" numFmtId="9" xfId="0" applyAlignment="1" applyBorder="1" applyFont="1" applyNumberFormat="1">
      <alignment horizontal="right" readingOrder="0"/>
    </xf>
    <xf borderId="5" fillId="0" fontId="20" numFmtId="9" xfId="0" applyAlignment="1" applyBorder="1" applyFont="1" applyNumberFormat="1">
      <alignment horizontal="right" readingOrder="0"/>
    </xf>
    <xf borderId="0" fillId="3" fontId="9" numFmtId="10" xfId="0" applyAlignment="1" applyFont="1" applyNumberFormat="1">
      <alignment horizontal="right" vertical="bottom"/>
    </xf>
    <xf borderId="22" fillId="3" fontId="9" numFmtId="10" xfId="0" applyAlignment="1" applyBorder="1" applyFont="1" applyNumberFormat="1">
      <alignment horizontal="right" vertical="bottom"/>
    </xf>
    <xf borderId="20" fillId="5" fontId="20" numFmtId="10" xfId="0" applyAlignment="1" applyBorder="1" applyFont="1" applyNumberFormat="1">
      <alignment horizontal="right" readingOrder="0"/>
    </xf>
    <xf borderId="1" fillId="5" fontId="20" numFmtId="10" xfId="0" applyAlignment="1" applyBorder="1" applyFont="1" applyNumberFormat="1">
      <alignment horizontal="right" readingOrder="0"/>
    </xf>
    <xf borderId="21" fillId="5" fontId="20" numFmtId="10" xfId="0" applyAlignment="1" applyBorder="1" applyFont="1" applyNumberFormat="1">
      <alignment horizontal="right" readingOrder="0"/>
    </xf>
    <xf borderId="17" fillId="0" fontId="12" numFmtId="4" xfId="0" applyBorder="1" applyFont="1" applyNumberFormat="1"/>
    <xf borderId="18" fillId="0" fontId="12" numFmtId="4" xfId="0" applyBorder="1" applyFont="1" applyNumberFormat="1"/>
    <xf borderId="19" fillId="0" fontId="12" numFmtId="4" xfId="0" applyBorder="1" applyFont="1" applyNumberFormat="1"/>
    <xf borderId="2" fillId="0" fontId="17" numFmtId="0" xfId="0" applyAlignment="1" applyBorder="1" applyFont="1">
      <alignment readingOrder="0"/>
    </xf>
    <xf borderId="23" fillId="6" fontId="13" numFmtId="0" xfId="0" applyAlignment="1" applyBorder="1" applyFill="1" applyFont="1">
      <alignment horizontal="center" readingOrder="0"/>
    </xf>
    <xf borderId="24" fillId="0" fontId="4" numFmtId="0" xfId="0" applyBorder="1" applyFont="1"/>
    <xf borderId="25" fillId="0" fontId="4" numFmtId="0" xfId="0" applyBorder="1" applyFont="1"/>
    <xf borderId="17" fillId="0" fontId="12" numFmtId="0" xfId="0" applyAlignment="1" applyBorder="1" applyFont="1">
      <alignment readingOrder="0"/>
    </xf>
    <xf borderId="18" fillId="0" fontId="12" numFmtId="0" xfId="0" applyBorder="1" applyFont="1"/>
    <xf borderId="18" fillId="0" fontId="12" numFmtId="0" xfId="0" applyAlignment="1" applyBorder="1" applyFont="1">
      <alignment readingOrder="0" vertical="top"/>
    </xf>
    <xf borderId="19" fillId="0" fontId="12" numFmtId="0" xfId="0" applyBorder="1" applyFont="1"/>
    <xf borderId="26" fillId="4" fontId="13" numFmtId="0" xfId="0" applyAlignment="1" applyBorder="1" applyFont="1">
      <alignment horizontal="center" readingOrder="0"/>
    </xf>
    <xf borderId="27" fillId="0" fontId="4" numFmtId="0" xfId="0" applyBorder="1" applyFont="1"/>
    <xf borderId="28" fillId="0" fontId="4" numFmtId="0" xfId="0" applyBorder="1" applyFont="1"/>
    <xf borderId="29" fillId="2" fontId="14" numFmtId="0" xfId="0" applyAlignment="1" applyBorder="1" applyFont="1">
      <alignment horizontal="center" readingOrder="0"/>
    </xf>
    <xf borderId="30" fillId="0" fontId="4" numFmtId="0" xfId="0" applyBorder="1" applyFont="1"/>
    <xf borderId="17" fillId="4" fontId="13" numFmtId="0" xfId="0" applyAlignment="1" applyBorder="1" applyFont="1">
      <alignment readingOrder="0"/>
    </xf>
    <xf borderId="18" fillId="4" fontId="13" numFmtId="0" xfId="0" applyBorder="1" applyFont="1"/>
    <xf borderId="18" fillId="2" fontId="14" numFmtId="0" xfId="0" applyBorder="1" applyFont="1"/>
    <xf borderId="19" fillId="2" fontId="14" numFmtId="0" xfId="0" applyBorder="1" applyFont="1"/>
    <xf borderId="15" fillId="5" fontId="16" numFmtId="0" xfId="0" applyAlignment="1" applyBorder="1" applyFont="1">
      <alignment horizontal="right" readingOrder="0"/>
    </xf>
    <xf borderId="4" fillId="5" fontId="16" numFmtId="0" xfId="0" applyAlignment="1" applyBorder="1" applyFont="1">
      <alignment horizontal="right" readingOrder="0"/>
    </xf>
    <xf borderId="16" fillId="5" fontId="16" numFmtId="0" xfId="0" applyAlignment="1" applyBorder="1" applyFont="1">
      <alignment horizontal="right" readingOrder="0"/>
    </xf>
    <xf borderId="11" fillId="5" fontId="20" numFmtId="0" xfId="0" applyAlignment="1" applyBorder="1" applyFont="1">
      <alignment horizontal="right" readingOrder="0"/>
    </xf>
    <xf borderId="1" fillId="0" fontId="12" numFmtId="3" xfId="0" applyBorder="1" applyFont="1" applyNumberFormat="1"/>
    <xf borderId="21" fillId="0" fontId="12" numFmtId="3" xfId="0" applyBorder="1" applyFont="1" applyNumberFormat="1"/>
    <xf borderId="20" fillId="0" fontId="12" numFmtId="3" xfId="0" applyBorder="1" applyFont="1" applyNumberFormat="1"/>
    <xf borderId="20" fillId="5" fontId="20" numFmtId="3" xfId="0" applyAlignment="1" applyBorder="1" applyFont="1" applyNumberFormat="1">
      <alignment horizontal="right" readingOrder="0"/>
    </xf>
    <xf borderId="1" fillId="5" fontId="20" numFmtId="3" xfId="0" applyAlignment="1" applyBorder="1" applyFont="1" applyNumberFormat="1">
      <alignment horizontal="right" readingOrder="0"/>
    </xf>
    <xf borderId="20" fillId="0" fontId="18" numFmtId="4" xfId="0" applyBorder="1" applyFont="1" applyNumberFormat="1"/>
    <xf borderId="20" fillId="5" fontId="16" numFmtId="0" xfId="0" applyAlignment="1" applyBorder="1" applyFont="1">
      <alignment horizontal="right" readingOrder="0"/>
    </xf>
    <xf borderId="1" fillId="5" fontId="12" numFmtId="10" xfId="0" applyBorder="1" applyFont="1" applyNumberFormat="1"/>
    <xf borderId="21" fillId="5" fontId="12" numFmtId="10" xfId="0" applyBorder="1" applyFont="1" applyNumberFormat="1"/>
    <xf borderId="1" fillId="3" fontId="20" numFmtId="3" xfId="0" applyAlignment="1" applyBorder="1" applyFont="1" applyNumberFormat="1">
      <alignment horizontal="right" readingOrder="0"/>
    </xf>
    <xf borderId="21" fillId="3" fontId="20" numFmtId="3" xfId="0" applyAlignment="1" applyBorder="1" applyFont="1" applyNumberFormat="1">
      <alignment horizontal="right" readingOrder="0"/>
    </xf>
    <xf borderId="21" fillId="0" fontId="12" numFmtId="0" xfId="0" applyAlignment="1" applyBorder="1" applyFont="1">
      <alignment readingOrder="0"/>
    </xf>
    <xf borderId="3" fillId="0" fontId="12" numFmtId="0" xfId="0" applyBorder="1" applyFont="1"/>
    <xf borderId="23" fillId="0" fontId="12" numFmtId="0" xfId="0" applyAlignment="1" applyBorder="1" applyFont="1">
      <alignment readingOrder="0"/>
    </xf>
    <xf borderId="11" fillId="0" fontId="12" numFmtId="0" xfId="0" applyAlignment="1" applyBorder="1" applyFont="1">
      <alignment readingOrder="0"/>
    </xf>
    <xf borderId="4" fillId="0" fontId="12" numFmtId="0" xfId="0" applyAlignment="1" applyBorder="1" applyFont="1">
      <alignment readingOrder="0"/>
    </xf>
    <xf borderId="15" fillId="0" fontId="19" numFmtId="4" xfId="0" applyAlignment="1" applyBorder="1" applyFont="1" applyNumberFormat="1">
      <alignment readingOrder="0"/>
    </xf>
    <xf borderId="4" fillId="0" fontId="19" numFmtId="4" xfId="0" applyAlignment="1" applyBorder="1" applyFont="1" applyNumberFormat="1">
      <alignment readingOrder="0"/>
    </xf>
    <xf borderId="4" fillId="0" fontId="12" numFmtId="4" xfId="0" applyAlignment="1" applyBorder="1" applyFont="1" applyNumberFormat="1">
      <alignment readingOrder="0"/>
    </xf>
    <xf borderId="16" fillId="0" fontId="12" numFmtId="4" xfId="0" applyAlignment="1" applyBorder="1" applyFont="1" applyNumberFormat="1">
      <alignment readingOrder="0"/>
    </xf>
    <xf borderId="17" fillId="0" fontId="19" numFmtId="4" xfId="0" applyAlignment="1" applyBorder="1" applyFont="1" applyNumberFormat="1">
      <alignment readingOrder="0"/>
    </xf>
    <xf borderId="18" fillId="0" fontId="19" numFmtId="4" xfId="0" applyAlignment="1" applyBorder="1" applyFont="1" applyNumberFormat="1">
      <alignment readingOrder="0"/>
    </xf>
    <xf borderId="31" fillId="0" fontId="12" numFmtId="0" xfId="0" applyAlignment="1" applyBorder="1" applyFont="1">
      <alignment readingOrder="0" vertical="top"/>
    </xf>
    <xf borderId="32" fillId="0" fontId="12" numFmtId="0" xfId="0" applyBorder="1" applyFont="1"/>
    <xf borderId="33" fillId="0" fontId="12" numFmtId="0" xfId="0" applyBorder="1" applyFont="1"/>
    <xf borderId="34" fillId="0" fontId="12" numFmtId="0" xfId="0" applyBorder="1" applyFont="1"/>
    <xf borderId="15" fillId="0" fontId="13" numFmtId="0" xfId="0" applyAlignment="1" applyBorder="1" applyFont="1">
      <alignment readingOrder="0"/>
    </xf>
    <xf borderId="4" fillId="0" fontId="13" numFmtId="0" xfId="0" applyBorder="1" applyFont="1"/>
    <xf borderId="4" fillId="0" fontId="14" numFmtId="0" xfId="0" applyBorder="1" applyFont="1"/>
    <xf borderId="16" fillId="0" fontId="14" numFmtId="0" xfId="0" applyBorder="1" applyFont="1"/>
    <xf borderId="20" fillId="0" fontId="18" numFmtId="9" xfId="0" applyBorder="1" applyFont="1" applyNumberFormat="1"/>
    <xf borderId="1" fillId="0" fontId="18" numFmtId="9" xfId="0" applyBorder="1" applyFont="1" applyNumberFormat="1"/>
    <xf borderId="1" fillId="0" fontId="18" numFmtId="0" xfId="0" applyBorder="1" applyFont="1"/>
    <xf borderId="1" fillId="3" fontId="12" numFmtId="4" xfId="0" applyBorder="1" applyFont="1" applyNumberFormat="1"/>
    <xf borderId="21" fillId="3" fontId="12" numFmtId="4" xfId="0" applyBorder="1" applyFont="1" applyNumberFormat="1"/>
    <xf borderId="35" fillId="0" fontId="12" numFmtId="0" xfId="0" applyBorder="1" applyFont="1"/>
    <xf borderId="36" fillId="2" fontId="14" numFmtId="0" xfId="0" applyAlignment="1" applyBorder="1" applyFont="1">
      <alignment horizontal="right"/>
    </xf>
    <xf borderId="30" fillId="0" fontId="12" numFmtId="4" xfId="0" applyBorder="1" applyFont="1" applyNumberFormat="1"/>
    <xf borderId="37" fillId="2" fontId="14" numFmtId="0" xfId="0" applyAlignment="1" applyBorder="1" applyFont="1">
      <alignment horizontal="right"/>
    </xf>
    <xf borderId="38" fillId="0" fontId="12" numFmtId="4" xfId="0" applyBorder="1" applyFont="1" applyNumberFormat="1"/>
    <xf borderId="20" fillId="0" fontId="12" numFmtId="0" xfId="0" applyAlignment="1" applyBorder="1" applyFont="1">
      <alignment readingOrder="0"/>
    </xf>
    <xf borderId="39" fillId="0" fontId="12" numFmtId="0" xfId="0" applyAlignment="1" applyBorder="1" applyFont="1">
      <alignment readingOrder="0"/>
    </xf>
    <xf borderId="40" fillId="0" fontId="12" numFmtId="4" xfId="0" applyBorder="1" applyFont="1" applyNumberFormat="1"/>
    <xf borderId="39" fillId="6" fontId="12" numFmtId="4" xfId="0" applyBorder="1" applyFont="1" applyNumberFormat="1"/>
    <xf borderId="2" fillId="6" fontId="12" numFmtId="4" xfId="0" applyBorder="1" applyFont="1" applyNumberFormat="1"/>
    <xf borderId="40" fillId="6" fontId="12" numFmtId="4" xfId="0" applyBorder="1" applyFont="1" applyNumberFormat="1"/>
    <xf borderId="21" fillId="0" fontId="12" numFmtId="10" xfId="0" applyBorder="1" applyFont="1" applyNumberFormat="1"/>
    <xf borderId="41" fillId="0" fontId="12" numFmtId="4" xfId="0" applyBorder="1" applyFont="1" applyNumberFormat="1"/>
    <xf borderId="42" fillId="0" fontId="12" numFmtId="4" xfId="0" applyBorder="1" applyFont="1" applyNumberFormat="1"/>
    <xf borderId="43" fillId="0" fontId="12" numFmtId="4" xfId="0" applyBorder="1" applyFont="1" applyNumberFormat="1"/>
    <xf borderId="4" fillId="0" fontId="21" numFmtId="3" xfId="0" applyAlignment="1" applyBorder="1" applyFont="1" applyNumberFormat="1">
      <alignment horizontal="right" readingOrder="0"/>
    </xf>
    <xf borderId="5" fillId="0" fontId="12" numFmtId="0" xfId="0" applyAlignment="1" applyBorder="1" applyFont="1">
      <alignment readingOrder="0"/>
    </xf>
    <xf borderId="1" fillId="0" fontId="13" numFmtId="0" xfId="0" applyAlignment="1" applyBorder="1" applyFont="1">
      <alignment horizontal="center" readingOrder="0"/>
    </xf>
    <xf borderId="44" fillId="0" fontId="12" numFmtId="0" xfId="0" applyAlignment="1" applyBorder="1" applyFont="1">
      <alignment readingOrder="0"/>
    </xf>
    <xf borderId="42" fillId="0" fontId="12" numFmtId="0" xfId="0" applyBorder="1" applyFont="1"/>
    <xf borderId="42" fillId="0" fontId="12" numFmtId="0" xfId="0" applyAlignment="1" applyBorder="1" applyFont="1">
      <alignment readingOrder="0" vertical="top"/>
    </xf>
    <xf borderId="43" fillId="0" fontId="12" numFmtId="0" xfId="0" applyBorder="1" applyFont="1"/>
    <xf borderId="45" fillId="0" fontId="12" numFmtId="0" xfId="0" applyBorder="1" applyFont="1"/>
    <xf borderId="32" fillId="7" fontId="13" numFmtId="0" xfId="0" applyAlignment="1" applyBorder="1" applyFill="1" applyFont="1">
      <alignment horizontal="right" readingOrder="0"/>
    </xf>
    <xf borderId="25" fillId="2" fontId="14" numFmtId="0" xfId="0" applyAlignment="1" applyBorder="1" applyFont="1">
      <alignment horizontal="right"/>
    </xf>
    <xf borderId="32" fillId="7" fontId="13" numFmtId="0" xfId="0" applyAlignment="1" applyBorder="1" applyFont="1">
      <alignment readingOrder="0"/>
    </xf>
    <xf borderId="46" fillId="0" fontId="13" numFmtId="0" xfId="0" applyAlignment="1" applyBorder="1" applyFont="1">
      <alignment horizontal="right" readingOrder="0"/>
    </xf>
    <xf borderId="47" fillId="0" fontId="16" numFmtId="4" xfId="0" applyAlignment="1" applyBorder="1" applyFont="1" applyNumberFormat="1">
      <alignment horizontal="right" readingOrder="0"/>
    </xf>
    <xf borderId="48" fillId="0" fontId="12" numFmtId="0" xfId="0" applyBorder="1" applyFont="1"/>
    <xf borderId="46" fillId="0" fontId="13" numFmtId="0" xfId="0" applyAlignment="1" applyBorder="1" applyFont="1">
      <alignment readingOrder="0"/>
    </xf>
    <xf borderId="47" fillId="0" fontId="19" numFmtId="0" xfId="0" applyAlignment="1" applyBorder="1" applyFont="1">
      <alignment readingOrder="0"/>
    </xf>
    <xf borderId="49" fillId="0" fontId="13" numFmtId="0" xfId="0" applyAlignment="1" applyBorder="1" applyFont="1">
      <alignment horizontal="right" readingOrder="0"/>
    </xf>
    <xf borderId="22" fillId="0" fontId="16" numFmtId="4" xfId="0" applyAlignment="1" applyBorder="1" applyFont="1" applyNumberFormat="1">
      <alignment horizontal="right" readingOrder="0"/>
    </xf>
    <xf borderId="50" fillId="0" fontId="12" numFmtId="1" xfId="0" applyAlignment="1" applyBorder="1" applyFont="1" applyNumberFormat="1">
      <alignment horizontal="center" vertical="center"/>
    </xf>
    <xf borderId="49" fillId="0" fontId="13" numFmtId="0" xfId="0" applyAlignment="1" applyBorder="1" applyFont="1">
      <alignment readingOrder="0"/>
    </xf>
    <xf borderId="22" fillId="0" fontId="19" numFmtId="10" xfId="0" applyAlignment="1" applyBorder="1" applyFont="1" applyNumberFormat="1">
      <alignment readingOrder="0"/>
    </xf>
    <xf borderId="22" fillId="0" fontId="22" numFmtId="4" xfId="0" applyAlignment="1" applyBorder="1" applyFont="1" applyNumberFormat="1">
      <alignment horizontal="right" readingOrder="0"/>
    </xf>
    <xf borderId="47" fillId="0" fontId="4" numFmtId="0" xfId="0" applyBorder="1" applyFont="1"/>
    <xf borderId="37" fillId="0" fontId="13" numFmtId="0" xfId="0" applyAlignment="1" applyBorder="1" applyFont="1">
      <alignment readingOrder="0"/>
    </xf>
    <xf borderId="38" fillId="0" fontId="19" numFmtId="10" xfId="0" applyAlignment="1" applyBorder="1" applyFont="1" applyNumberFormat="1">
      <alignment readingOrder="0"/>
    </xf>
    <xf borderId="1" fillId="0" fontId="12" numFmtId="164" xfId="0" applyAlignment="1" applyBorder="1" applyFont="1" applyNumberFormat="1">
      <alignment readingOrder="0"/>
    </xf>
    <xf borderId="22" fillId="5" fontId="20" numFmtId="10" xfId="0" applyBorder="1" applyFont="1" applyNumberFormat="1"/>
    <xf borderId="22" fillId="0" fontId="19" numFmtId="9" xfId="0" applyAlignment="1" applyBorder="1" applyFont="1" applyNumberFormat="1">
      <alignment readingOrder="0"/>
    </xf>
    <xf borderId="22" fillId="0" fontId="12" numFmtId="0" xfId="0" applyBorder="1" applyFont="1"/>
    <xf borderId="22" fillId="0" fontId="12" numFmtId="10" xfId="0" applyBorder="1" applyFont="1" applyNumberFormat="1"/>
    <xf borderId="22" fillId="0" fontId="12" numFmtId="4" xfId="0" applyBorder="1" applyFont="1" applyNumberFormat="1"/>
    <xf borderId="51" fillId="0" fontId="13" numFmtId="0" xfId="0" applyAlignment="1" applyBorder="1" applyFont="1">
      <alignment horizontal="right" readingOrder="0"/>
    </xf>
    <xf borderId="50" fillId="0" fontId="12" numFmtId="4" xfId="0" applyBorder="1" applyFont="1" applyNumberFormat="1"/>
    <xf borderId="32" fillId="6" fontId="13" numFmtId="0" xfId="0" applyAlignment="1" applyBorder="1" applyFont="1">
      <alignment horizontal="right" readingOrder="0"/>
    </xf>
    <xf borderId="25" fillId="6" fontId="12" numFmtId="10" xfId="0" applyBorder="1" applyFont="1" applyNumberFormat="1"/>
    <xf borderId="52" fillId="0" fontId="12" numFmtId="0" xfId="0" applyBorder="1" applyFont="1"/>
    <xf borderId="32" fillId="2" fontId="15" numFmtId="10" xfId="0" applyAlignment="1" applyBorder="1" applyFont="1" applyNumberFormat="1">
      <alignment horizontal="right" readingOrder="0"/>
    </xf>
    <xf borderId="1" fillId="0" fontId="12" numFmtId="10" xfId="0" applyAlignment="1" applyBorder="1" applyFont="1" applyNumberFormat="1">
      <alignment horizontal="center"/>
    </xf>
    <xf borderId="15" fillId="0" fontId="18" numFmtId="4" xfId="0" applyBorder="1" applyFont="1" applyNumberFormat="1"/>
    <xf borderId="4" fillId="0" fontId="18" numFmtId="4" xfId="0" applyBorder="1" applyFont="1" applyNumberFormat="1"/>
    <xf borderId="16" fillId="0" fontId="18" numFmtId="4" xfId="0" applyBorder="1" applyFont="1" applyNumberFormat="1"/>
    <xf borderId="1" fillId="0" fontId="13" numFmtId="0" xfId="0" applyAlignment="1" applyBorder="1" applyFont="1">
      <alignment horizontal="right" readingOrder="0"/>
    </xf>
    <xf borderId="36" fillId="7" fontId="13" numFmtId="0" xfId="0" applyAlignment="1" applyBorder="1" applyFont="1">
      <alignment horizontal="right" readingOrder="0"/>
    </xf>
    <xf borderId="30" fillId="2" fontId="14" numFmtId="0" xfId="0" applyAlignment="1" applyBorder="1" applyFont="1">
      <alignment horizontal="right"/>
    </xf>
    <xf borderId="35" fillId="0" fontId="13" numFmtId="0" xfId="0" applyAlignment="1" applyBorder="1" applyFont="1">
      <alignment horizontal="center" readingOrder="0"/>
    </xf>
    <xf borderId="35" fillId="0" fontId="4" numFmtId="0" xfId="0" applyBorder="1" applyFont="1"/>
    <xf borderId="11" fillId="0" fontId="4" numFmtId="0" xfId="0" applyBorder="1" applyFont="1"/>
    <xf borderId="22" fillId="3" fontId="12" numFmtId="10" xfId="0" applyAlignment="1" applyBorder="1" applyFont="1" applyNumberFormat="1">
      <alignment readingOrder="0"/>
    </xf>
    <xf borderId="6" fillId="0" fontId="12" numFmtId="0" xfId="0" applyBorder="1" applyFont="1"/>
    <xf borderId="53" fillId="0" fontId="12" numFmtId="0" xfId="0" applyBorder="1" applyFont="1"/>
    <xf borderId="23" fillId="2" fontId="14" numFmtId="0" xfId="0" applyAlignment="1" applyBorder="1" applyFont="1">
      <alignment horizontal="center"/>
    </xf>
    <xf borderId="5" fillId="0" fontId="14" numFmtId="0" xfId="0" applyAlignment="1" applyBorder="1" applyFont="1">
      <alignment horizontal="center"/>
    </xf>
    <xf borderId="22" fillId="0" fontId="12" numFmtId="10" xfId="0" applyAlignment="1" applyBorder="1" applyFont="1" applyNumberFormat="1">
      <alignment readingOrder="0"/>
    </xf>
    <xf borderId="39" fillId="0" fontId="12" numFmtId="0" xfId="0" applyBorder="1" applyFont="1"/>
    <xf borderId="54" fillId="0" fontId="12" numFmtId="0" xfId="0" applyBorder="1" applyFont="1"/>
    <xf borderId="32" fillId="2" fontId="15" numFmtId="10" xfId="0" applyAlignment="1" applyBorder="1" applyFont="1" applyNumberFormat="1">
      <alignment readingOrder="0"/>
    </xf>
    <xf borderId="32" fillId="2" fontId="23" numFmtId="10" xfId="0" applyAlignment="1" applyBorder="1" applyFont="1" applyNumberFormat="1">
      <alignment readingOrder="0"/>
    </xf>
    <xf borderId="23" fillId="2" fontId="15" numFmtId="10" xfId="0" applyAlignment="1" applyBorder="1" applyFont="1" applyNumberFormat="1">
      <alignment readingOrder="0"/>
    </xf>
    <xf borderId="1" fillId="0" fontId="15" numFmtId="10" xfId="0" applyAlignment="1" applyBorder="1" applyFont="1" applyNumberFormat="1">
      <alignment readingOrder="0"/>
    </xf>
    <xf borderId="49" fillId="6" fontId="13" numFmtId="0" xfId="0" applyAlignment="1" applyBorder="1" applyFont="1">
      <alignment horizontal="right" readingOrder="0"/>
    </xf>
    <xf borderId="22" fillId="6" fontId="12" numFmtId="4" xfId="0" applyBorder="1" applyFont="1" applyNumberFormat="1"/>
    <xf borderId="55" fillId="4" fontId="13" numFmtId="0" xfId="0" applyAlignment="1" applyBorder="1" applyFont="1">
      <alignment vertical="center"/>
    </xf>
    <xf borderId="32" fillId="4" fontId="12" numFmtId="10" xfId="0" applyAlignment="1" applyBorder="1" applyFont="1" applyNumberFormat="1">
      <alignment horizontal="center" readingOrder="0"/>
    </xf>
    <xf borderId="45" fillId="0" fontId="12" numFmtId="4" xfId="0" applyBorder="1" applyFont="1" applyNumberFormat="1"/>
    <xf borderId="56" fillId="0" fontId="12" numFmtId="4" xfId="0" applyBorder="1" applyFont="1" applyNumberFormat="1"/>
    <xf borderId="48" fillId="0" fontId="13" numFmtId="0" xfId="0" applyAlignment="1" applyBorder="1" applyFont="1">
      <alignment vertical="center"/>
    </xf>
    <xf borderId="1" fillId="0" fontId="12" numFmtId="10" xfId="0" applyAlignment="1" applyBorder="1" applyFont="1" applyNumberFormat="1">
      <alignment horizontal="center" readingOrder="0"/>
    </xf>
    <xf borderId="57" fillId="0" fontId="4" numFmtId="0" xfId="0" applyBorder="1" applyFont="1"/>
    <xf borderId="58" fillId="0" fontId="4" numFmtId="0" xfId="0" applyBorder="1" applyFont="1"/>
    <xf borderId="32" fillId="4" fontId="13" numFmtId="10" xfId="0" applyAlignment="1" applyBorder="1" applyFont="1" applyNumberFormat="1">
      <alignment horizontal="center" readingOrder="0"/>
    </xf>
    <xf borderId="45" fillId="0" fontId="13" numFmtId="4" xfId="0" applyBorder="1" applyFont="1" applyNumberFormat="1"/>
    <xf borderId="37" fillId="6" fontId="13" numFmtId="0" xfId="0" applyAlignment="1" applyBorder="1" applyFont="1">
      <alignment horizontal="right" readingOrder="0"/>
    </xf>
    <xf borderId="38" fillId="6" fontId="12" numFmtId="4" xfId="0" applyBorder="1" applyFont="1" applyNumberFormat="1"/>
    <xf borderId="59" fillId="0" fontId="4" numFmtId="0" xfId="0" applyBorder="1" applyFont="1"/>
    <xf borderId="60" fillId="0" fontId="12" numFmtId="4" xfId="0" applyBorder="1" applyFont="1" applyNumberFormat="1"/>
    <xf borderId="52" fillId="0" fontId="12" numFmtId="4" xfId="0" applyBorder="1" applyFont="1" applyNumberFormat="1"/>
    <xf borderId="45" fillId="0" fontId="4" numFmtId="0" xfId="0" applyBorder="1" applyFont="1"/>
    <xf borderId="55" fillId="4" fontId="13" numFmtId="0" xfId="0" applyAlignment="1" applyBorder="1" applyFont="1">
      <alignment horizontal="right" vertical="center"/>
    </xf>
    <xf borderId="47" fillId="0" fontId="12" numFmtId="4" xfId="0" applyBorder="1" applyFont="1" applyNumberFormat="1"/>
    <xf borderId="34" fillId="0" fontId="12" numFmtId="4" xfId="0" applyBorder="1" applyFont="1" applyNumberFormat="1"/>
    <xf borderId="56" fillId="0" fontId="12" numFmtId="0" xfId="0" applyBorder="1" applyFont="1"/>
    <xf borderId="23" fillId="0" fontId="13" numFmtId="0" xfId="0" applyAlignment="1" applyBorder="1" applyFont="1">
      <alignment horizontal="center" readingOrder="0"/>
    </xf>
    <xf borderId="1" fillId="0" fontId="12" numFmtId="0" xfId="0" applyAlignment="1" applyBorder="1" applyFont="1">
      <alignment readingOrder="0" shrinkToFit="0" vertical="top" wrapText="1"/>
    </xf>
    <xf borderId="61" fillId="4" fontId="13" numFmtId="0" xfId="0" applyAlignment="1" applyBorder="1" applyFont="1">
      <alignment horizontal="center" readingOrder="0"/>
    </xf>
    <xf borderId="56" fillId="0" fontId="4" numFmtId="0" xfId="0" applyBorder="1" applyFont="1"/>
    <xf borderId="53" fillId="2" fontId="14" numFmtId="0" xfId="0" applyAlignment="1" applyBorder="1" applyFont="1">
      <alignment horizontal="center" readingOrder="0"/>
    </xf>
    <xf borderId="54" fillId="0" fontId="12" numFmtId="0" xfId="0" applyAlignment="1" applyBorder="1" applyFont="1">
      <alignment readingOrder="0" shrinkToFit="0" vertical="top" wrapText="1"/>
    </xf>
    <xf borderId="62" fillId="0" fontId="4" numFmtId="0" xfId="0" applyBorder="1" applyFont="1"/>
    <xf borderId="48" fillId="0" fontId="4" numFmtId="0" xfId="0" applyBorder="1" applyFont="1"/>
    <xf borderId="63" fillId="0" fontId="4" numFmtId="0" xfId="0" applyBorder="1" applyFont="1"/>
    <xf borderId="15" fillId="0" fontId="18" numFmtId="10" xfId="0" applyBorder="1" applyFont="1" applyNumberFormat="1"/>
    <xf borderId="4" fillId="0" fontId="18" numFmtId="10" xfId="0" applyBorder="1" applyFont="1" applyNumberFormat="1"/>
    <xf borderId="16" fillId="0" fontId="18" numFmtId="10" xfId="0" applyBorder="1" applyFont="1" applyNumberFormat="1"/>
    <xf borderId="20" fillId="0" fontId="18" numFmtId="10" xfId="0" applyBorder="1" applyFont="1" applyNumberFormat="1"/>
    <xf borderId="20" fillId="0" fontId="12" numFmtId="10" xfId="0" applyBorder="1" applyFont="1" applyNumberFormat="1"/>
    <xf borderId="17" fillId="0" fontId="12" numFmtId="10" xfId="0" applyBorder="1" applyFont="1" applyNumberFormat="1"/>
    <xf borderId="19" fillId="0" fontId="12" numFmtId="10" xfId="0" applyBorder="1" applyFont="1" applyNumberFormat="1"/>
    <xf borderId="53" fillId="0" fontId="4" numFmtId="0" xfId="0" applyBorder="1" applyFont="1"/>
    <xf borderId="15" fillId="0" fontId="24" numFmtId="10" xfId="0" applyBorder="1" applyFont="1" applyNumberFormat="1"/>
    <xf borderId="45" fillId="0" fontId="24" numFmtId="10" xfId="0" applyBorder="1" applyFont="1" applyNumberFormat="1"/>
    <xf borderId="47" fillId="0" fontId="24" numFmtId="10" xfId="0" applyBorder="1" applyFont="1" applyNumberFormat="1"/>
    <xf borderId="17" fillId="0" fontId="24" numFmtId="10" xfId="0" applyBorder="1" applyFont="1" applyNumberFormat="1"/>
    <xf borderId="33" fillId="0" fontId="24" numFmtId="10" xfId="0" applyBorder="1" applyFont="1" applyNumberFormat="1"/>
    <xf borderId="38" fillId="0" fontId="24" numFmtId="10" xfId="0" applyBorder="1" applyFont="1" applyNumberFormat="1"/>
    <xf borderId="4" fillId="0" fontId="12" numFmtId="10" xfId="0" applyBorder="1" applyFont="1" applyNumberFormat="1"/>
    <xf borderId="4" fillId="0" fontId="24" numFmtId="10" xfId="0" applyBorder="1" applyFont="1" applyNumberFormat="1"/>
    <xf borderId="39" fillId="0" fontId="24" numFmtId="10" xfId="0" applyBorder="1" applyFont="1" applyNumberFormat="1"/>
    <xf borderId="48" fillId="0" fontId="24" numFmtId="10" xfId="0" applyBorder="1" applyFont="1" applyNumberFormat="1"/>
    <xf borderId="2" fillId="0" fontId="24" numFmtId="10" xfId="0" applyBorder="1" applyFont="1" applyNumberFormat="1"/>
    <xf borderId="50" fillId="0" fontId="24" numFmtId="10" xfId="0" applyBorder="1" applyFont="1" applyNumberFormat="1"/>
    <xf borderId="33" fillId="0" fontId="12" numFmtId="4" xfId="0" applyBorder="1" applyFont="1" applyNumberFormat="1"/>
    <xf borderId="15" fillId="0" fontId="24" numFmtId="4" xfId="0" applyBorder="1" applyFont="1" applyNumberFormat="1"/>
    <xf borderId="4" fillId="0" fontId="24" numFmtId="4" xfId="0" applyBorder="1" applyFont="1" applyNumberFormat="1"/>
    <xf borderId="16" fillId="0" fontId="24" numFmtId="4" xfId="0" applyBorder="1" applyFont="1" applyNumberFormat="1"/>
    <xf borderId="20" fillId="0" fontId="24" numFmtId="4" xfId="0" applyBorder="1" applyFont="1" applyNumberFormat="1"/>
    <xf borderId="1" fillId="0" fontId="24" numFmtId="4" xfId="0" applyBorder="1" applyFont="1" applyNumberFormat="1"/>
    <xf borderId="21" fillId="0" fontId="24" numFmtId="4" xfId="0" applyBorder="1" applyFont="1" applyNumberFormat="1"/>
    <xf borderId="0" fillId="0" fontId="12" numFmtId="0" xfId="0" applyAlignment="1" applyFont="1">
      <alignment readingOrder="0"/>
    </xf>
    <xf borderId="0" fillId="0" fontId="12" numFmtId="10" xfId="0" applyAlignment="1" applyFont="1" applyNumberFormat="1">
      <alignment readingOrder="0"/>
    </xf>
    <xf borderId="0" fillId="0" fontId="12"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304800</xdr:colOff>
      <xdr:row>2</xdr:row>
      <xdr:rowOff>133350</xdr:rowOff>
    </xdr:from>
    <xdr:ext cx="3914775" cy="3905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reener.in/company/TITAN/consolidated/" TargetMode="External"/><Relationship Id="rId2" Type="http://schemas.openxmlformats.org/officeDocument/2006/relationships/hyperlink" Target="https://finance.yahoo.com/quote/TITAN.BO/key-statistics/" TargetMode="External"/><Relationship Id="rId3" Type="http://schemas.openxmlformats.org/officeDocument/2006/relationships/hyperlink" Target="https://drive.google.com/file/d/1mRHa6mpUnTz-gdGpGgu2-vFwa8bUbu7t/view?usp=sharing"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75"/>
    <col customWidth="1" min="3" max="3" width="4.25"/>
    <col customWidth="1" min="4" max="4" width="64.5"/>
    <col customWidth="1" min="7" max="7" width="19.88"/>
    <col customWidth="1" min="8" max="8" width="64.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 t="s">
        <v>0</v>
      </c>
      <c r="C4" s="1"/>
      <c r="D4" s="2" t="s">
        <v>1</v>
      </c>
      <c r="E4" s="1"/>
      <c r="F4" s="1"/>
      <c r="G4" s="1"/>
      <c r="H4" s="1"/>
      <c r="I4" s="1"/>
      <c r="J4" s="1"/>
      <c r="K4" s="1"/>
      <c r="L4" s="1"/>
      <c r="M4" s="1"/>
      <c r="N4" s="1"/>
      <c r="O4" s="1"/>
      <c r="P4" s="1"/>
      <c r="Q4" s="1"/>
      <c r="R4" s="1"/>
      <c r="S4" s="1"/>
      <c r="T4" s="1"/>
      <c r="U4" s="1"/>
      <c r="V4" s="1"/>
      <c r="W4" s="1"/>
      <c r="X4" s="1"/>
      <c r="Y4" s="1"/>
      <c r="Z4" s="1"/>
    </row>
    <row r="5">
      <c r="A5" s="1"/>
      <c r="B5" s="3" t="s">
        <v>2</v>
      </c>
      <c r="C5" s="1"/>
      <c r="D5" s="4" t="s">
        <v>3</v>
      </c>
      <c r="E5" s="1"/>
      <c r="F5" s="1"/>
      <c r="G5" s="1"/>
      <c r="H5" s="1"/>
      <c r="I5" s="1"/>
      <c r="J5" s="1"/>
      <c r="K5" s="1"/>
      <c r="L5" s="1"/>
      <c r="M5" s="1"/>
      <c r="N5" s="1"/>
      <c r="O5" s="1"/>
      <c r="P5" s="1"/>
      <c r="Q5" s="1"/>
      <c r="R5" s="1"/>
      <c r="S5" s="1"/>
      <c r="T5" s="1"/>
      <c r="U5" s="1"/>
      <c r="V5" s="1"/>
      <c r="W5" s="1"/>
      <c r="X5" s="1"/>
      <c r="Y5" s="1"/>
      <c r="Z5" s="1"/>
    </row>
    <row r="6">
      <c r="A6" s="1"/>
      <c r="B6" s="1"/>
      <c r="C6" s="1"/>
      <c r="D6" s="5"/>
      <c r="E6" s="1"/>
      <c r="F6" s="1"/>
      <c r="G6" s="1"/>
      <c r="H6" s="1"/>
      <c r="I6" s="1"/>
      <c r="J6" s="1"/>
      <c r="K6" s="1"/>
      <c r="L6" s="1"/>
      <c r="M6" s="1"/>
      <c r="N6" s="1"/>
      <c r="O6" s="1"/>
      <c r="P6" s="1"/>
      <c r="Q6" s="1"/>
      <c r="R6" s="1"/>
      <c r="S6" s="1"/>
      <c r="T6" s="1"/>
      <c r="U6" s="1"/>
      <c r="V6" s="1"/>
      <c r="W6" s="1"/>
      <c r="X6" s="1"/>
      <c r="Y6" s="1"/>
      <c r="Z6" s="1"/>
    </row>
    <row r="7">
      <c r="A7" s="1"/>
      <c r="B7" s="2" t="s">
        <v>4</v>
      </c>
      <c r="C7" s="1"/>
      <c r="D7" s="5"/>
      <c r="E7" s="1"/>
      <c r="F7" s="1"/>
      <c r="G7" s="1"/>
      <c r="H7" s="1"/>
      <c r="I7" s="1"/>
      <c r="J7" s="1"/>
      <c r="K7" s="1"/>
      <c r="L7" s="1"/>
      <c r="M7" s="1"/>
      <c r="N7" s="1"/>
      <c r="O7" s="1"/>
      <c r="P7" s="1"/>
      <c r="Q7" s="1"/>
      <c r="R7" s="1"/>
      <c r="S7" s="1"/>
      <c r="T7" s="1"/>
      <c r="U7" s="1"/>
      <c r="V7" s="1"/>
      <c r="W7" s="1"/>
      <c r="X7" s="1"/>
      <c r="Y7" s="1"/>
      <c r="Z7" s="1"/>
    </row>
    <row r="8">
      <c r="A8" s="1"/>
      <c r="B8" s="6" t="s">
        <v>5</v>
      </c>
      <c r="C8" s="1"/>
      <c r="D8" s="5"/>
      <c r="E8" s="1"/>
      <c r="F8" s="1"/>
      <c r="G8" s="1"/>
      <c r="H8" s="1"/>
      <c r="I8" s="1"/>
      <c r="J8" s="1"/>
      <c r="K8" s="1"/>
      <c r="L8" s="1"/>
      <c r="M8" s="1"/>
      <c r="N8" s="1"/>
      <c r="O8" s="1"/>
      <c r="P8" s="1"/>
      <c r="Q8" s="1"/>
      <c r="R8" s="1"/>
      <c r="S8" s="1"/>
      <c r="T8" s="1"/>
      <c r="U8" s="1"/>
      <c r="V8" s="1"/>
      <c r="W8" s="1"/>
      <c r="X8" s="1"/>
      <c r="Y8" s="1"/>
      <c r="Z8" s="1"/>
    </row>
    <row r="9">
      <c r="A9" s="1"/>
      <c r="B9" s="1"/>
      <c r="C9" s="1"/>
      <c r="D9" s="5"/>
      <c r="E9" s="1"/>
      <c r="F9" s="1"/>
      <c r="G9" s="1"/>
      <c r="H9" s="1"/>
      <c r="I9" s="1"/>
      <c r="J9" s="1"/>
      <c r="K9" s="1"/>
      <c r="L9" s="1"/>
      <c r="M9" s="1"/>
      <c r="N9" s="1"/>
      <c r="O9" s="1"/>
      <c r="P9" s="1"/>
      <c r="Q9" s="1"/>
      <c r="R9" s="1"/>
      <c r="S9" s="1"/>
      <c r="T9" s="1"/>
      <c r="U9" s="1"/>
      <c r="V9" s="1"/>
      <c r="W9" s="1"/>
      <c r="X9" s="1"/>
      <c r="Y9" s="1"/>
      <c r="Z9" s="1"/>
    </row>
    <row r="10">
      <c r="A10" s="1"/>
      <c r="B10" s="2" t="s">
        <v>6</v>
      </c>
      <c r="C10" s="1"/>
      <c r="D10" s="5"/>
      <c r="E10" s="1"/>
      <c r="F10" s="1"/>
      <c r="G10" s="1"/>
      <c r="H10" s="1"/>
      <c r="I10" s="1"/>
      <c r="J10" s="1"/>
      <c r="K10" s="1"/>
      <c r="L10" s="1"/>
      <c r="M10" s="1"/>
      <c r="N10" s="1"/>
      <c r="O10" s="1"/>
      <c r="P10" s="1"/>
      <c r="Q10" s="1"/>
      <c r="R10" s="1"/>
      <c r="S10" s="1"/>
      <c r="T10" s="1"/>
      <c r="U10" s="1"/>
      <c r="V10" s="1"/>
      <c r="W10" s="1"/>
      <c r="X10" s="1"/>
      <c r="Y10" s="1"/>
      <c r="Z10" s="1"/>
    </row>
    <row r="11">
      <c r="A11" s="1"/>
      <c r="B11" s="7" t="s">
        <v>7</v>
      </c>
      <c r="C11" s="1"/>
      <c r="D11" s="5"/>
      <c r="E11" s="1"/>
      <c r="F11" s="1"/>
      <c r="G11" s="1"/>
      <c r="H11" s="1"/>
      <c r="I11" s="1"/>
      <c r="J11" s="1"/>
      <c r="K11" s="1"/>
      <c r="L11" s="1"/>
      <c r="M11" s="1"/>
      <c r="N11" s="1"/>
      <c r="O11" s="1"/>
      <c r="P11" s="1"/>
      <c r="Q11" s="1"/>
      <c r="R11" s="1"/>
      <c r="S11" s="1"/>
      <c r="T11" s="1"/>
      <c r="U11" s="1"/>
      <c r="V11" s="1"/>
      <c r="W11" s="1"/>
      <c r="X11" s="1"/>
      <c r="Y11" s="1"/>
      <c r="Z11" s="1"/>
    </row>
    <row r="12">
      <c r="A12" s="1"/>
      <c r="B12" s="7" t="s">
        <v>8</v>
      </c>
      <c r="C12" s="1"/>
      <c r="D12" s="5"/>
      <c r="E12" s="1"/>
      <c r="F12" s="1"/>
      <c r="G12" s="1"/>
      <c r="H12" s="1"/>
      <c r="I12" s="1"/>
      <c r="J12" s="1"/>
      <c r="K12" s="1"/>
      <c r="L12" s="1"/>
      <c r="M12" s="1"/>
      <c r="N12" s="1"/>
      <c r="O12" s="1"/>
      <c r="P12" s="1"/>
      <c r="Q12" s="1"/>
      <c r="R12" s="1"/>
      <c r="S12" s="1"/>
      <c r="T12" s="1"/>
      <c r="U12" s="1"/>
      <c r="V12" s="1"/>
      <c r="W12" s="1"/>
      <c r="X12" s="1"/>
      <c r="Y12" s="1"/>
      <c r="Z12" s="1"/>
    </row>
    <row r="13">
      <c r="A13" s="1"/>
      <c r="B13" s="1"/>
      <c r="C13" s="1"/>
      <c r="D13" s="5"/>
      <c r="E13" s="1"/>
      <c r="F13" s="1"/>
      <c r="G13" s="1"/>
      <c r="H13" s="1"/>
      <c r="I13" s="1"/>
      <c r="J13" s="1"/>
      <c r="K13" s="1"/>
      <c r="L13" s="1"/>
      <c r="M13" s="1"/>
      <c r="N13" s="1"/>
      <c r="O13" s="1"/>
      <c r="P13" s="1"/>
      <c r="Q13" s="1"/>
      <c r="R13" s="1"/>
      <c r="S13" s="1"/>
      <c r="T13" s="1"/>
      <c r="U13" s="1"/>
      <c r="V13" s="1"/>
      <c r="W13" s="1"/>
      <c r="X13" s="1"/>
      <c r="Y13" s="1"/>
      <c r="Z13" s="1"/>
    </row>
    <row r="14">
      <c r="A14" s="1"/>
      <c r="B14" s="2" t="s">
        <v>9</v>
      </c>
      <c r="C14" s="1"/>
      <c r="D14" s="5"/>
      <c r="E14" s="1"/>
      <c r="F14" s="1"/>
      <c r="G14" s="1"/>
      <c r="H14" s="1"/>
      <c r="I14" s="1"/>
      <c r="J14" s="1"/>
      <c r="K14" s="1"/>
      <c r="L14" s="1"/>
      <c r="M14" s="1"/>
      <c r="N14" s="1"/>
      <c r="O14" s="1"/>
      <c r="P14" s="1"/>
      <c r="Q14" s="1"/>
      <c r="R14" s="1"/>
      <c r="S14" s="1"/>
      <c r="T14" s="1"/>
      <c r="U14" s="1"/>
      <c r="V14" s="1"/>
      <c r="W14" s="1"/>
      <c r="X14" s="1"/>
      <c r="Y14" s="1"/>
      <c r="Z14" s="1"/>
    </row>
    <row r="15">
      <c r="A15" s="1"/>
      <c r="B15" s="8" t="s">
        <v>10</v>
      </c>
      <c r="C15" s="1"/>
      <c r="D15" s="9"/>
      <c r="E15" s="1"/>
      <c r="F15" s="1"/>
      <c r="G15" s="1"/>
      <c r="H15" s="1"/>
      <c r="I15" s="1"/>
      <c r="J15" s="1"/>
      <c r="K15" s="1"/>
      <c r="L15" s="1"/>
      <c r="M15" s="1"/>
      <c r="N15" s="1"/>
      <c r="O15" s="1"/>
      <c r="P15" s="1"/>
      <c r="Q15" s="1"/>
      <c r="R15" s="1"/>
      <c r="S15" s="1"/>
      <c r="T15" s="1"/>
      <c r="U15" s="1"/>
      <c r="V15" s="1"/>
      <c r="W15" s="1"/>
      <c r="X15" s="1"/>
      <c r="Y15" s="1"/>
      <c r="Z15" s="1"/>
    </row>
    <row r="16">
      <c r="A16" s="1"/>
      <c r="B16" s="10" t="s">
        <v>11</v>
      </c>
      <c r="C16" s="1"/>
      <c r="D16" s="1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2" t="s">
        <v>12</v>
      </c>
      <c r="C18" s="13"/>
      <c r="D18" s="13"/>
      <c r="E18" s="1"/>
      <c r="F18" s="1"/>
      <c r="G18" s="1"/>
      <c r="H18" s="1"/>
      <c r="I18" s="1"/>
      <c r="J18" s="1"/>
      <c r="K18" s="1"/>
      <c r="L18" s="1"/>
      <c r="M18" s="1"/>
      <c r="N18" s="1"/>
      <c r="O18" s="1"/>
      <c r="P18" s="1"/>
      <c r="Q18" s="1"/>
      <c r="R18" s="1"/>
      <c r="S18" s="1"/>
      <c r="T18" s="1"/>
      <c r="U18" s="1"/>
      <c r="V18" s="1"/>
      <c r="W18" s="1"/>
      <c r="X18" s="1"/>
      <c r="Y18" s="1"/>
      <c r="Z18" s="1"/>
    </row>
    <row r="19">
      <c r="A19" s="1"/>
      <c r="B19" s="14" t="s">
        <v>13</v>
      </c>
      <c r="C19" s="15"/>
      <c r="D19" s="16" t="s">
        <v>14</v>
      </c>
      <c r="E19" s="1"/>
      <c r="F19" s="1"/>
      <c r="G19" s="1"/>
      <c r="H19" s="1"/>
      <c r="I19" s="1"/>
      <c r="J19" s="1"/>
      <c r="K19" s="1"/>
      <c r="L19" s="1"/>
      <c r="M19" s="1"/>
      <c r="N19" s="1"/>
      <c r="O19" s="1"/>
      <c r="P19" s="1"/>
      <c r="Q19" s="1"/>
      <c r="R19" s="1"/>
      <c r="S19" s="1"/>
      <c r="T19" s="1"/>
      <c r="U19" s="1"/>
      <c r="V19" s="1"/>
      <c r="W19" s="1"/>
      <c r="X19" s="1"/>
      <c r="Y19" s="1"/>
      <c r="Z19" s="1"/>
    </row>
    <row r="20">
      <c r="A20" s="1"/>
      <c r="B20" s="14" t="s">
        <v>15</v>
      </c>
      <c r="C20" s="13"/>
      <c r="D20" s="17" t="s">
        <v>16</v>
      </c>
      <c r="E20" s="1"/>
      <c r="F20" s="1"/>
      <c r="G20" s="1"/>
      <c r="H20" s="1"/>
      <c r="I20" s="1"/>
      <c r="J20" s="1"/>
      <c r="K20" s="1"/>
      <c r="L20" s="1"/>
      <c r="M20" s="1"/>
      <c r="N20" s="1"/>
      <c r="O20" s="1"/>
      <c r="P20" s="1"/>
      <c r="Q20" s="1"/>
      <c r="R20" s="1"/>
      <c r="S20" s="1"/>
      <c r="T20" s="1"/>
      <c r="U20" s="1"/>
      <c r="V20" s="1"/>
      <c r="W20" s="1"/>
      <c r="X20" s="1"/>
      <c r="Y20" s="1"/>
      <c r="Z20" s="1"/>
    </row>
    <row r="21">
      <c r="A21" s="1"/>
      <c r="B21" s="14" t="s">
        <v>17</v>
      </c>
      <c r="C21" s="13"/>
      <c r="D21" s="18" t="s">
        <v>18</v>
      </c>
      <c r="E21" s="1"/>
      <c r="F21" s="1"/>
      <c r="G21" s="1"/>
      <c r="H21" s="1"/>
      <c r="I21" s="1"/>
      <c r="J21" s="1"/>
      <c r="K21" s="1"/>
      <c r="L21" s="1"/>
      <c r="M21" s="1"/>
      <c r="N21" s="1"/>
      <c r="O21" s="1"/>
      <c r="P21" s="1"/>
      <c r="Q21" s="1"/>
      <c r="R21" s="1"/>
      <c r="S21" s="1"/>
      <c r="T21" s="1"/>
      <c r="U21" s="1"/>
      <c r="V21" s="1"/>
      <c r="W21" s="1"/>
      <c r="X21" s="1"/>
      <c r="Y21" s="1"/>
      <c r="Z21" s="1"/>
    </row>
    <row r="22">
      <c r="A22" s="1"/>
      <c r="B22" s="14" t="s">
        <v>19</v>
      </c>
      <c r="C22" s="13"/>
      <c r="D22" s="19" t="s">
        <v>20</v>
      </c>
      <c r="E22" s="1"/>
      <c r="F22" s="20" t="s">
        <v>21</v>
      </c>
      <c r="G22" s="1"/>
      <c r="H22" s="1"/>
      <c r="I22" s="1"/>
      <c r="J22" s="1"/>
      <c r="K22" s="1"/>
      <c r="L22" s="1"/>
      <c r="M22" s="1"/>
      <c r="N22" s="1"/>
      <c r="O22" s="1"/>
      <c r="P22" s="1"/>
      <c r="Q22" s="1"/>
      <c r="R22" s="1"/>
      <c r="S22" s="1"/>
      <c r="T22" s="1"/>
      <c r="U22" s="1"/>
      <c r="V22" s="1"/>
      <c r="W22" s="1"/>
      <c r="X22" s="1"/>
      <c r="Y22" s="1"/>
      <c r="Z22" s="1"/>
    </row>
    <row r="23">
      <c r="A23" s="1"/>
      <c r="B23" s="14" t="s">
        <v>22</v>
      </c>
      <c r="C23" s="13"/>
      <c r="D23" s="21" t="s">
        <v>23</v>
      </c>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
    <mergeCell ref="D5:D15"/>
  </mergeCells>
  <hyperlinks>
    <hyperlink r:id="rId1" ref="B11"/>
    <hyperlink r:id="rId2" ref="B12"/>
    <hyperlink r:id="rId3" ref="B16"/>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s>
  <sheetData>
    <row r="1">
      <c r="A1" s="285" t="s">
        <v>132</v>
      </c>
    </row>
    <row r="2">
      <c r="A2" s="285" t="s">
        <v>133</v>
      </c>
      <c r="B2" s="286">
        <v>0.13</v>
      </c>
      <c r="C2" s="287" t="s">
        <v>134</v>
      </c>
    </row>
    <row r="3">
      <c r="A3" s="285" t="s">
        <v>135</v>
      </c>
      <c r="B3" s="286">
        <v>0.135</v>
      </c>
    </row>
    <row r="4">
      <c r="A4" s="285" t="s">
        <v>136</v>
      </c>
      <c r="B4" s="286">
        <v>0.14</v>
      </c>
    </row>
    <row r="5">
      <c r="A5" s="285" t="s">
        <v>137</v>
      </c>
      <c r="B5" s="286">
        <v>0.14</v>
      </c>
    </row>
    <row r="6">
      <c r="A6" s="285" t="s">
        <v>138</v>
      </c>
      <c r="B6" s="286">
        <v>0.14</v>
      </c>
    </row>
    <row r="7">
      <c r="A7" s="285" t="s">
        <v>139</v>
      </c>
      <c r="B7" s="286">
        <v>0.011</v>
      </c>
      <c r="C7" s="286">
        <v>0.011</v>
      </c>
      <c r="D7" s="286">
        <v>0.011</v>
      </c>
      <c r="E7" s="286">
        <v>0.011</v>
      </c>
      <c r="F7" s="286">
        <v>0.011</v>
      </c>
      <c r="G7" s="286">
        <v>0.011</v>
      </c>
      <c r="H7" s="285" t="s">
        <v>140</v>
      </c>
    </row>
    <row r="8">
      <c r="A8" s="285" t="s">
        <v>38</v>
      </c>
      <c r="B8" s="285">
        <v>900.0</v>
      </c>
    </row>
    <row r="9">
      <c r="A9" s="285" t="s">
        <v>141</v>
      </c>
      <c r="B9" s="286">
        <v>0.25</v>
      </c>
    </row>
  </sheetData>
  <mergeCells count="1">
    <mergeCell ref="C2:C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c r="B1" s="22"/>
      <c r="C1" s="23"/>
      <c r="D1" s="23"/>
      <c r="E1" s="23"/>
      <c r="F1" s="23"/>
      <c r="G1" s="23"/>
      <c r="H1" s="23"/>
      <c r="I1" s="23"/>
      <c r="J1" s="23"/>
      <c r="K1" s="23"/>
      <c r="L1" s="23"/>
      <c r="M1" s="23"/>
      <c r="N1" s="22"/>
      <c r="O1" s="22"/>
      <c r="P1" s="22"/>
      <c r="Q1" s="22"/>
      <c r="R1" s="22"/>
      <c r="S1" s="22"/>
      <c r="T1" s="22"/>
      <c r="U1" s="22"/>
      <c r="V1" s="22"/>
      <c r="W1" s="22"/>
      <c r="X1" s="22"/>
      <c r="Y1" s="22"/>
      <c r="Z1" s="22"/>
    </row>
    <row r="2">
      <c r="A2" s="22"/>
      <c r="B2" s="24"/>
      <c r="C2" s="25" t="s">
        <v>24</v>
      </c>
      <c r="D2" s="26"/>
      <c r="E2" s="26"/>
      <c r="F2" s="26"/>
      <c r="G2" s="26"/>
      <c r="H2" s="27"/>
      <c r="I2" s="28" t="s">
        <v>25</v>
      </c>
      <c r="J2" s="26"/>
      <c r="K2" s="26"/>
      <c r="L2" s="26"/>
      <c r="M2" s="29"/>
      <c r="N2" s="30"/>
      <c r="O2" s="22"/>
      <c r="P2" s="22"/>
      <c r="Q2" s="22"/>
      <c r="R2" s="22"/>
      <c r="S2" s="22"/>
      <c r="T2" s="22"/>
      <c r="U2" s="22"/>
      <c r="V2" s="22"/>
      <c r="W2" s="22"/>
      <c r="X2" s="22"/>
      <c r="Y2" s="22"/>
      <c r="Z2" s="22"/>
    </row>
    <row r="3">
      <c r="A3" s="22"/>
      <c r="B3" s="31" t="s">
        <v>26</v>
      </c>
      <c r="C3" s="32">
        <v>2020.0</v>
      </c>
      <c r="D3" s="33">
        <f t="shared" ref="D3:M3" si="1">C3+1</f>
        <v>2021</v>
      </c>
      <c r="E3" s="33">
        <f t="shared" si="1"/>
        <v>2022</v>
      </c>
      <c r="F3" s="33">
        <f t="shared" si="1"/>
        <v>2023</v>
      </c>
      <c r="G3" s="33">
        <f t="shared" si="1"/>
        <v>2024</v>
      </c>
      <c r="H3" s="33">
        <f t="shared" si="1"/>
        <v>2025</v>
      </c>
      <c r="I3" s="34">
        <f t="shared" si="1"/>
        <v>2026</v>
      </c>
      <c r="J3" s="34">
        <f t="shared" si="1"/>
        <v>2027</v>
      </c>
      <c r="K3" s="34">
        <f t="shared" si="1"/>
        <v>2028</v>
      </c>
      <c r="L3" s="34">
        <f t="shared" si="1"/>
        <v>2029</v>
      </c>
      <c r="M3" s="35">
        <f t="shared" si="1"/>
        <v>2030</v>
      </c>
      <c r="N3" s="30"/>
      <c r="O3" s="22"/>
      <c r="P3" s="22"/>
      <c r="Q3" s="22"/>
      <c r="R3" s="22"/>
      <c r="S3" s="22"/>
      <c r="T3" s="22"/>
      <c r="U3" s="22"/>
      <c r="V3" s="22"/>
      <c r="W3" s="22"/>
      <c r="X3" s="22"/>
      <c r="Y3" s="22"/>
      <c r="Z3" s="22"/>
    </row>
    <row r="4">
      <c r="A4" s="22"/>
      <c r="B4" s="31" t="s">
        <v>27</v>
      </c>
      <c r="C4" s="36">
        <v>21052.0</v>
      </c>
      <c r="D4" s="37">
        <v>21644.0</v>
      </c>
      <c r="E4" s="37">
        <v>28799.0</v>
      </c>
      <c r="F4" s="37">
        <v>40575.0</v>
      </c>
      <c r="G4" s="37">
        <v>51084.0</v>
      </c>
      <c r="H4" s="37">
        <v>60456.0</v>
      </c>
      <c r="I4" s="38">
        <f t="shared" ref="I4:M4" si="2">H4*(1+I5)</f>
        <v>75087.56112</v>
      </c>
      <c r="J4" s="38">
        <f t="shared" si="2"/>
        <v>90594.2688</v>
      </c>
      <c r="K4" s="38">
        <f t="shared" si="2"/>
        <v>106086.7947</v>
      </c>
      <c r="L4" s="38">
        <f t="shared" si="2"/>
        <v>120462.0858</v>
      </c>
      <c r="M4" s="39">
        <f t="shared" si="2"/>
        <v>132508.2944</v>
      </c>
      <c r="N4" s="30"/>
      <c r="O4" s="22"/>
      <c r="P4" s="22"/>
      <c r="Q4" s="22"/>
      <c r="R4" s="22"/>
      <c r="S4" s="22"/>
      <c r="T4" s="22"/>
      <c r="U4" s="22"/>
      <c r="V4" s="22"/>
      <c r="W4" s="22"/>
      <c r="X4" s="22"/>
      <c r="Y4" s="22"/>
      <c r="Z4" s="22"/>
    </row>
    <row r="5">
      <c r="A5" s="22"/>
      <c r="B5" s="31" t="s">
        <v>28</v>
      </c>
      <c r="C5" s="40"/>
      <c r="D5" s="41">
        <v>0.0281</v>
      </c>
      <c r="E5" s="41">
        <v>0.3306</v>
      </c>
      <c r="F5" s="41">
        <v>0.4089</v>
      </c>
      <c r="G5" s="41">
        <v>0.259</v>
      </c>
      <c r="H5" s="41">
        <v>0.1835</v>
      </c>
      <c r="I5" s="42">
        <f>AVERAGE(D5:H5)</f>
        <v>0.24202</v>
      </c>
      <c r="J5" s="42">
        <f t="shared" ref="J5:L5" si="3">I5-($I5-$M5)/4</f>
        <v>0.206515</v>
      </c>
      <c r="K5" s="42">
        <f t="shared" si="3"/>
        <v>0.17101</v>
      </c>
      <c r="L5" s="42">
        <f t="shared" si="3"/>
        <v>0.135505</v>
      </c>
      <c r="M5" s="43">
        <v>0.1</v>
      </c>
      <c r="N5" s="30"/>
      <c r="O5" s="22"/>
      <c r="P5" s="22"/>
      <c r="Q5" s="22"/>
      <c r="R5" s="22"/>
      <c r="S5" s="22"/>
      <c r="T5" s="22"/>
      <c r="U5" s="22"/>
      <c r="V5" s="22"/>
      <c r="W5" s="22"/>
      <c r="X5" s="22"/>
      <c r="Y5" s="22"/>
      <c r="Z5" s="22"/>
    </row>
    <row r="6">
      <c r="A6" s="22"/>
      <c r="B6" s="22"/>
      <c r="C6" s="44"/>
      <c r="D6" s="44"/>
      <c r="E6" s="44"/>
      <c r="F6" s="44"/>
      <c r="G6" s="44"/>
      <c r="H6" s="44"/>
      <c r="I6" s="44"/>
      <c r="J6" s="44"/>
      <c r="K6" s="44"/>
      <c r="L6" s="44"/>
      <c r="M6" s="44"/>
      <c r="N6" s="22"/>
      <c r="O6" s="22"/>
      <c r="P6" s="22"/>
      <c r="Q6" s="22"/>
      <c r="R6" s="22"/>
      <c r="S6" s="22"/>
      <c r="T6" s="22"/>
      <c r="U6" s="22"/>
      <c r="V6" s="22"/>
      <c r="W6" s="22"/>
      <c r="X6" s="22"/>
      <c r="Y6" s="22"/>
      <c r="Z6" s="22"/>
    </row>
    <row r="7">
      <c r="A7" s="22"/>
      <c r="B7" s="22"/>
      <c r="C7" s="45" t="s">
        <v>29</v>
      </c>
      <c r="D7" s="22"/>
      <c r="E7" s="22"/>
      <c r="F7" s="22"/>
      <c r="G7" s="22"/>
      <c r="H7" s="22"/>
      <c r="I7" s="22"/>
      <c r="J7" s="22"/>
      <c r="K7" s="22"/>
      <c r="L7" s="22"/>
      <c r="M7" s="22"/>
      <c r="N7" s="22"/>
      <c r="O7" s="22"/>
      <c r="P7" s="22"/>
      <c r="Q7" s="22"/>
      <c r="R7" s="22"/>
      <c r="S7" s="22"/>
      <c r="T7" s="22"/>
      <c r="U7" s="22"/>
      <c r="V7" s="22"/>
      <c r="W7" s="22"/>
      <c r="X7" s="22"/>
      <c r="Y7" s="22"/>
      <c r="Z7" s="22"/>
    </row>
    <row r="8">
      <c r="A8" s="22"/>
      <c r="C8" s="46" t="s">
        <v>30</v>
      </c>
      <c r="D8" s="22"/>
      <c r="E8" s="22"/>
      <c r="F8" s="22"/>
      <c r="G8" s="22"/>
      <c r="H8" s="22"/>
      <c r="I8" s="22"/>
      <c r="J8" s="22"/>
      <c r="K8" s="22"/>
      <c r="L8" s="22"/>
      <c r="M8" s="22"/>
      <c r="N8" s="22"/>
      <c r="O8" s="22"/>
      <c r="P8" s="22"/>
      <c r="Q8" s="22"/>
      <c r="R8" s="22"/>
      <c r="S8" s="22"/>
      <c r="T8" s="22"/>
      <c r="U8" s="22"/>
      <c r="V8" s="22"/>
      <c r="W8" s="22"/>
      <c r="X8" s="22"/>
      <c r="Y8" s="22"/>
      <c r="Z8" s="22"/>
    </row>
    <row r="9">
      <c r="A9" s="22"/>
      <c r="B9" s="22"/>
      <c r="D9" s="22"/>
      <c r="E9" s="22"/>
      <c r="F9" s="22"/>
      <c r="G9" s="22"/>
      <c r="H9" s="22"/>
      <c r="I9" s="22"/>
      <c r="J9" s="22"/>
      <c r="K9" s="22"/>
      <c r="L9" s="22"/>
      <c r="M9" s="22"/>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47"/>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2">
    <mergeCell ref="C2:H2"/>
    <mergeCell ref="I2:M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8" max="8" width="16.5"/>
  </cols>
  <sheetData>
    <row r="1">
      <c r="A1" s="22"/>
      <c r="B1" s="23"/>
      <c r="C1" s="23"/>
      <c r="D1" s="23"/>
      <c r="E1" s="23"/>
      <c r="F1" s="23"/>
      <c r="G1" s="23"/>
      <c r="H1" s="23"/>
      <c r="I1" s="23"/>
      <c r="J1" s="23"/>
      <c r="K1" s="23"/>
      <c r="L1" s="23"/>
      <c r="M1" s="22"/>
      <c r="N1" s="22"/>
      <c r="O1" s="22"/>
      <c r="P1" s="22"/>
      <c r="Q1" s="22"/>
      <c r="R1" s="22"/>
      <c r="S1" s="22"/>
      <c r="T1" s="22"/>
      <c r="U1" s="22"/>
      <c r="V1" s="22"/>
      <c r="W1" s="22"/>
      <c r="X1" s="22"/>
      <c r="Y1" s="22"/>
    </row>
    <row r="2">
      <c r="A2" s="24"/>
      <c r="B2" s="25" t="s">
        <v>24</v>
      </c>
      <c r="C2" s="26"/>
      <c r="D2" s="26"/>
      <c r="E2" s="26"/>
      <c r="F2" s="26"/>
      <c r="G2" s="27"/>
      <c r="H2" s="28" t="s">
        <v>25</v>
      </c>
      <c r="I2" s="26"/>
      <c r="J2" s="26"/>
      <c r="K2" s="26"/>
      <c r="L2" s="29"/>
      <c r="M2" s="30"/>
      <c r="N2" s="22"/>
      <c r="O2" s="22"/>
      <c r="P2" s="22"/>
      <c r="Q2" s="22"/>
      <c r="R2" s="22"/>
      <c r="S2" s="22"/>
      <c r="T2" s="22"/>
      <c r="U2" s="22"/>
      <c r="V2" s="22"/>
      <c r="W2" s="22"/>
      <c r="X2" s="22"/>
      <c r="Y2" s="22"/>
    </row>
    <row r="3">
      <c r="A3" s="31" t="s">
        <v>31</v>
      </c>
      <c r="B3" s="48">
        <v>2020.0</v>
      </c>
      <c r="C3" s="49">
        <f t="shared" ref="C3:L3" si="1">B3+1</f>
        <v>2021</v>
      </c>
      <c r="D3" s="49">
        <f t="shared" si="1"/>
        <v>2022</v>
      </c>
      <c r="E3" s="49">
        <f t="shared" si="1"/>
        <v>2023</v>
      </c>
      <c r="F3" s="49">
        <f t="shared" si="1"/>
        <v>2024</v>
      </c>
      <c r="G3" s="49">
        <f t="shared" si="1"/>
        <v>2025</v>
      </c>
      <c r="H3" s="50">
        <f t="shared" si="1"/>
        <v>2026</v>
      </c>
      <c r="I3" s="50">
        <f t="shared" si="1"/>
        <v>2027</v>
      </c>
      <c r="J3" s="50">
        <f t="shared" si="1"/>
        <v>2028</v>
      </c>
      <c r="K3" s="50">
        <f t="shared" si="1"/>
        <v>2029</v>
      </c>
      <c r="L3" s="51">
        <f t="shared" si="1"/>
        <v>2030</v>
      </c>
      <c r="M3" s="30"/>
      <c r="N3" s="22"/>
      <c r="O3" s="22"/>
      <c r="P3" s="22"/>
      <c r="Q3" s="22"/>
      <c r="R3" s="22"/>
      <c r="S3" s="22"/>
      <c r="T3" s="22"/>
      <c r="U3" s="22"/>
      <c r="V3" s="22"/>
      <c r="W3" s="22"/>
      <c r="X3" s="22"/>
      <c r="Y3" s="22"/>
    </row>
    <row r="4">
      <c r="A4" s="52"/>
      <c r="B4" s="53"/>
      <c r="C4" s="54"/>
      <c r="D4" s="54"/>
      <c r="E4" s="54"/>
      <c r="F4" s="54"/>
      <c r="G4" s="54"/>
      <c r="H4" s="55"/>
      <c r="I4" s="55"/>
      <c r="J4" s="55"/>
      <c r="K4" s="55"/>
      <c r="L4" s="56"/>
      <c r="M4" s="57"/>
      <c r="N4" s="58"/>
      <c r="O4" s="58"/>
      <c r="P4" s="58"/>
      <c r="Q4" s="58"/>
      <c r="R4" s="58"/>
      <c r="S4" s="58"/>
      <c r="T4" s="58"/>
      <c r="U4" s="58"/>
      <c r="V4" s="58"/>
      <c r="W4" s="58"/>
      <c r="X4" s="58"/>
      <c r="Y4" s="58"/>
    </row>
    <row r="5">
      <c r="A5" s="31" t="s">
        <v>27</v>
      </c>
      <c r="B5" s="59">
        <f>Revenue!C4</f>
        <v>21052</v>
      </c>
      <c r="C5" s="60">
        <f>Revenue!D4</f>
        <v>21644</v>
      </c>
      <c r="D5" s="60">
        <f>Revenue!E4</f>
        <v>28799</v>
      </c>
      <c r="E5" s="60">
        <f>Revenue!F4</f>
        <v>40575</v>
      </c>
      <c r="F5" s="60">
        <f>Revenue!G4</f>
        <v>51084</v>
      </c>
      <c r="G5" s="60">
        <f>Revenue!H4</f>
        <v>60456</v>
      </c>
      <c r="H5" s="61">
        <f>Revenue!I4</f>
        <v>75087.56112</v>
      </c>
      <c r="I5" s="61">
        <f>Revenue!J4</f>
        <v>90594.2688</v>
      </c>
      <c r="J5" s="61">
        <f>Revenue!K4</f>
        <v>106086.7947</v>
      </c>
      <c r="K5" s="61">
        <f>Revenue!L4</f>
        <v>120462.0858</v>
      </c>
      <c r="L5" s="62">
        <f>Revenue!M4</f>
        <v>132508.2944</v>
      </c>
      <c r="M5" s="30"/>
      <c r="N5" s="22"/>
      <c r="O5" s="22"/>
      <c r="P5" s="22"/>
      <c r="Q5" s="22"/>
      <c r="R5" s="22"/>
      <c r="S5" s="22"/>
      <c r="T5" s="22"/>
      <c r="U5" s="22"/>
      <c r="V5" s="22"/>
      <c r="W5" s="22"/>
      <c r="X5" s="22"/>
      <c r="Y5" s="22"/>
    </row>
    <row r="6">
      <c r="A6" s="31" t="s">
        <v>32</v>
      </c>
      <c r="B6" s="63"/>
      <c r="C6" s="64">
        <f>Revenue!D5</f>
        <v>0.0281</v>
      </c>
      <c r="D6" s="64">
        <f>Revenue!E5</f>
        <v>0.3306</v>
      </c>
      <c r="E6" s="64">
        <f>Revenue!F5</f>
        <v>0.4089</v>
      </c>
      <c r="F6" s="64">
        <f>Revenue!G5</f>
        <v>0.259</v>
      </c>
      <c r="G6" s="64">
        <f>Revenue!H5</f>
        <v>0.1835</v>
      </c>
      <c r="H6" s="64">
        <f>Revenue!I5</f>
        <v>0.24202</v>
      </c>
      <c r="I6" s="64">
        <f>Revenue!J5</f>
        <v>0.206515</v>
      </c>
      <c r="J6" s="64">
        <f>Revenue!K5</f>
        <v>0.17101</v>
      </c>
      <c r="K6" s="64">
        <f>Revenue!L5</f>
        <v>0.135505</v>
      </c>
      <c r="L6" s="65">
        <f>Revenue!M5</f>
        <v>0.1</v>
      </c>
      <c r="M6" s="30"/>
      <c r="N6" s="22"/>
      <c r="O6" s="22"/>
      <c r="P6" s="22"/>
      <c r="Q6" s="22"/>
      <c r="R6" s="22"/>
      <c r="S6" s="22"/>
      <c r="T6" s="22"/>
      <c r="U6" s="22"/>
      <c r="V6" s="22"/>
      <c r="W6" s="22"/>
      <c r="X6" s="22"/>
      <c r="Y6" s="22"/>
    </row>
    <row r="7">
      <c r="A7" s="31"/>
      <c r="B7" s="66"/>
      <c r="C7" s="22"/>
      <c r="D7" s="22"/>
      <c r="E7" s="22"/>
      <c r="F7" s="22"/>
      <c r="G7" s="22"/>
      <c r="H7" s="22"/>
      <c r="I7" s="22"/>
      <c r="J7" s="22"/>
      <c r="K7" s="22"/>
      <c r="L7" s="67"/>
      <c r="M7" s="30"/>
      <c r="N7" s="22"/>
      <c r="O7" s="22"/>
      <c r="P7" s="22"/>
      <c r="Q7" s="22"/>
      <c r="R7" s="22"/>
      <c r="S7" s="22"/>
      <c r="T7" s="22"/>
      <c r="U7" s="22"/>
      <c r="V7" s="22"/>
      <c r="W7" s="22"/>
      <c r="X7" s="22"/>
      <c r="Y7" s="22"/>
    </row>
    <row r="8">
      <c r="A8" s="31" t="s">
        <v>33</v>
      </c>
      <c r="B8" s="68">
        <v>2463.0</v>
      </c>
      <c r="C8" s="69">
        <v>1725.0</v>
      </c>
      <c r="D8" s="69">
        <v>3344.0</v>
      </c>
      <c r="E8" s="69">
        <v>4882.0</v>
      </c>
      <c r="F8" s="69">
        <v>5292.0</v>
      </c>
      <c r="G8" s="69">
        <v>5694.0</v>
      </c>
      <c r="H8" s="70">
        <f t="shared" ref="H8:L8" si="2">H10-H9</f>
        <v>8935.419773</v>
      </c>
      <c r="I8" s="70">
        <f t="shared" si="2"/>
        <v>11233.68933</v>
      </c>
      <c r="J8" s="70">
        <f t="shared" si="2"/>
        <v>13685.19652</v>
      </c>
      <c r="K8" s="70">
        <f t="shared" si="2"/>
        <v>15539.60907</v>
      </c>
      <c r="L8" s="71">
        <f t="shared" si="2"/>
        <v>17093.56998</v>
      </c>
      <c r="M8" s="30"/>
      <c r="N8" s="22"/>
      <c r="O8" s="22"/>
      <c r="P8" s="22"/>
      <c r="Q8" s="22"/>
      <c r="R8" s="22"/>
      <c r="S8" s="22"/>
      <c r="T8" s="22"/>
      <c r="U8" s="22"/>
      <c r="V8" s="22"/>
      <c r="W8" s="22"/>
      <c r="X8" s="22"/>
      <c r="Y8" s="22"/>
    </row>
    <row r="9">
      <c r="A9" s="31" t="s">
        <v>34</v>
      </c>
      <c r="B9" s="72">
        <v>348.0</v>
      </c>
      <c r="C9" s="73">
        <v>375.0</v>
      </c>
      <c r="D9" s="73">
        <v>399.0</v>
      </c>
      <c r="E9" s="73">
        <v>441.0</v>
      </c>
      <c r="F9" s="73">
        <v>584.0</v>
      </c>
      <c r="G9" s="73">
        <v>693.0</v>
      </c>
      <c r="H9" s="70">
        <f>H5*Assumptions!B7</f>
        <v>825.9631723</v>
      </c>
      <c r="I9" s="70">
        <f>I5*Assumptions!C7</f>
        <v>996.5369569</v>
      </c>
      <c r="J9" s="70">
        <f>J5*Assumptions!D7</f>
        <v>1166.954742</v>
      </c>
      <c r="K9" s="70">
        <f>K5*Assumptions!E7</f>
        <v>1325.082944</v>
      </c>
      <c r="L9" s="71">
        <f>L5*Assumptions!F7</f>
        <v>1457.591239</v>
      </c>
      <c r="M9" s="30"/>
      <c r="N9" s="22"/>
      <c r="O9" s="22"/>
      <c r="P9" s="22"/>
      <c r="Q9" s="22"/>
      <c r="R9" s="22"/>
      <c r="S9" s="22"/>
      <c r="T9" s="22"/>
      <c r="U9" s="22"/>
      <c r="V9" s="22"/>
      <c r="W9" s="22"/>
      <c r="X9" s="22"/>
      <c r="Y9" s="22"/>
    </row>
    <row r="10">
      <c r="A10" s="31" t="s">
        <v>35</v>
      </c>
      <c r="B10" s="74">
        <f t="shared" ref="B10:G10" si="3">sum(B8,B9)</f>
        <v>2811</v>
      </c>
      <c r="C10" s="75">
        <f t="shared" si="3"/>
        <v>2100</v>
      </c>
      <c r="D10" s="75">
        <f t="shared" si="3"/>
        <v>3743</v>
      </c>
      <c r="E10" s="75">
        <f t="shared" si="3"/>
        <v>5323</v>
      </c>
      <c r="F10" s="75">
        <f t="shared" si="3"/>
        <v>5876</v>
      </c>
      <c r="G10" s="75">
        <f t="shared" si="3"/>
        <v>6387</v>
      </c>
      <c r="H10" s="70">
        <f>H5*Assumptions!B2</f>
        <v>9761.382946</v>
      </c>
      <c r="I10" s="70">
        <f>I5*Assumptions!B3</f>
        <v>12230.22629</v>
      </c>
      <c r="J10" s="70">
        <f>J5*Assumptions!B4</f>
        <v>14852.15126</v>
      </c>
      <c r="K10" s="70">
        <f>K5*Assumptions!B5</f>
        <v>16864.69202</v>
      </c>
      <c r="L10" s="71">
        <f>L5*Assumptions!B6</f>
        <v>18551.16122</v>
      </c>
      <c r="M10" s="30"/>
      <c r="N10" s="22"/>
      <c r="O10" s="22"/>
      <c r="P10" s="22"/>
      <c r="Q10" s="22"/>
      <c r="R10" s="22"/>
      <c r="S10" s="22"/>
      <c r="T10" s="22"/>
      <c r="U10" s="22"/>
      <c r="V10" s="22"/>
      <c r="W10" s="22"/>
      <c r="X10" s="22"/>
      <c r="Y10" s="22"/>
    </row>
    <row r="11">
      <c r="A11" s="31" t="s">
        <v>36</v>
      </c>
      <c r="B11" s="76">
        <f t="shared" ref="B11:L11" si="4">B10/B5</f>
        <v>0.1335265058</v>
      </c>
      <c r="C11" s="77">
        <f t="shared" si="4"/>
        <v>0.09702457956</v>
      </c>
      <c r="D11" s="77">
        <f t="shared" si="4"/>
        <v>0.1299697906</v>
      </c>
      <c r="E11" s="77">
        <f t="shared" si="4"/>
        <v>0.1311891559</v>
      </c>
      <c r="F11" s="77">
        <f t="shared" si="4"/>
        <v>0.1150262313</v>
      </c>
      <c r="G11" s="77">
        <f t="shared" si="4"/>
        <v>0.1056470822</v>
      </c>
      <c r="H11" s="77">
        <f t="shared" si="4"/>
        <v>0.13</v>
      </c>
      <c r="I11" s="77">
        <f t="shared" si="4"/>
        <v>0.135</v>
      </c>
      <c r="J11" s="77">
        <f t="shared" si="4"/>
        <v>0.14</v>
      </c>
      <c r="K11" s="77">
        <f t="shared" si="4"/>
        <v>0.14</v>
      </c>
      <c r="L11" s="78">
        <f t="shared" si="4"/>
        <v>0.14</v>
      </c>
      <c r="M11" s="30"/>
      <c r="N11" s="22"/>
      <c r="O11" s="22"/>
      <c r="P11" s="22"/>
      <c r="Q11" s="22"/>
      <c r="R11" s="22"/>
      <c r="S11" s="22"/>
      <c r="T11" s="22"/>
      <c r="U11" s="22"/>
      <c r="V11" s="22"/>
      <c r="W11" s="22"/>
      <c r="X11" s="22"/>
      <c r="Y11" s="22"/>
    </row>
    <row r="12">
      <c r="A12" s="31" t="s">
        <v>37</v>
      </c>
      <c r="B12" s="76">
        <f t="shared" ref="B12:L12" si="5">B8/B5</f>
        <v>0.1169960099</v>
      </c>
      <c r="C12" s="77">
        <f t="shared" si="5"/>
        <v>0.07969876178</v>
      </c>
      <c r="D12" s="77">
        <f t="shared" si="5"/>
        <v>0.1161151429</v>
      </c>
      <c r="E12" s="77">
        <f t="shared" si="5"/>
        <v>0.1203203943</v>
      </c>
      <c r="F12" s="77">
        <f t="shared" si="5"/>
        <v>0.1035940803</v>
      </c>
      <c r="G12" s="77">
        <f t="shared" si="5"/>
        <v>0.09418420008</v>
      </c>
      <c r="H12" s="77">
        <f t="shared" si="5"/>
        <v>0.119</v>
      </c>
      <c r="I12" s="77">
        <f t="shared" si="5"/>
        <v>0.124</v>
      </c>
      <c r="J12" s="77">
        <f t="shared" si="5"/>
        <v>0.129</v>
      </c>
      <c r="K12" s="77">
        <f t="shared" si="5"/>
        <v>0.129</v>
      </c>
      <c r="L12" s="78">
        <f t="shared" si="5"/>
        <v>0.129</v>
      </c>
      <c r="M12" s="30"/>
      <c r="N12" s="22"/>
      <c r="O12" s="22"/>
      <c r="P12" s="22"/>
      <c r="Q12" s="22"/>
      <c r="R12" s="22"/>
      <c r="S12" s="22"/>
      <c r="T12" s="22"/>
      <c r="U12" s="22"/>
      <c r="V12" s="22"/>
      <c r="W12" s="22"/>
      <c r="X12" s="22"/>
      <c r="Y12" s="22"/>
    </row>
    <row r="13">
      <c r="A13" s="31" t="s">
        <v>38</v>
      </c>
      <c r="B13" s="79">
        <v>166.0</v>
      </c>
      <c r="C13" s="80">
        <v>203.0</v>
      </c>
      <c r="D13" s="81">
        <v>218.0</v>
      </c>
      <c r="E13" s="81">
        <v>300.0</v>
      </c>
      <c r="F13" s="81">
        <v>619.0</v>
      </c>
      <c r="G13" s="81">
        <v>953.0</v>
      </c>
      <c r="H13" s="82">
        <f t="shared" ref="H13:L13" si="6">900</f>
        <v>900</v>
      </c>
      <c r="I13" s="82">
        <f t="shared" si="6"/>
        <v>900</v>
      </c>
      <c r="J13" s="82">
        <f t="shared" si="6"/>
        <v>900</v>
      </c>
      <c r="K13" s="82">
        <f t="shared" si="6"/>
        <v>900</v>
      </c>
      <c r="L13" s="83">
        <f t="shared" si="6"/>
        <v>900</v>
      </c>
      <c r="M13" s="30"/>
      <c r="N13" s="22"/>
      <c r="O13" s="22"/>
      <c r="P13" s="22"/>
      <c r="Q13" s="22"/>
      <c r="R13" s="22"/>
      <c r="S13" s="22"/>
      <c r="T13" s="22"/>
      <c r="U13" s="22"/>
      <c r="V13" s="22"/>
      <c r="W13" s="22"/>
      <c r="X13" s="22"/>
      <c r="Y13" s="22"/>
    </row>
    <row r="14">
      <c r="A14" s="31" t="s">
        <v>39</v>
      </c>
      <c r="B14" s="84">
        <f t="shared" ref="B14:G14" si="7">B16/(1-B15)</f>
        <v>2102.816901</v>
      </c>
      <c r="C14" s="70">
        <f t="shared" si="7"/>
        <v>1334.246575</v>
      </c>
      <c r="D14" s="70">
        <f t="shared" si="7"/>
        <v>2892.105263</v>
      </c>
      <c r="E14" s="70">
        <f t="shared" si="7"/>
        <v>4424.324324</v>
      </c>
      <c r="F14" s="70">
        <f t="shared" si="7"/>
        <v>4600</v>
      </c>
      <c r="G14" s="70">
        <f t="shared" si="7"/>
        <v>4509.459459</v>
      </c>
      <c r="H14" s="85">
        <f t="shared" ref="H14:L14" si="8">H8-H13</f>
        <v>8035.419773</v>
      </c>
      <c r="I14" s="85">
        <f t="shared" si="8"/>
        <v>10333.68933</v>
      </c>
      <c r="J14" s="85">
        <f t="shared" si="8"/>
        <v>12785.19652</v>
      </c>
      <c r="K14" s="85">
        <f t="shared" si="8"/>
        <v>14639.60907</v>
      </c>
      <c r="L14" s="71">
        <f t="shared" si="8"/>
        <v>16193.56998</v>
      </c>
      <c r="M14" s="30"/>
      <c r="N14" s="22"/>
      <c r="O14" s="22"/>
      <c r="P14" s="22"/>
      <c r="Q14" s="22"/>
      <c r="R14" s="22"/>
      <c r="S14" s="22"/>
      <c r="T14" s="22"/>
      <c r="U14" s="22"/>
      <c r="V14" s="22"/>
      <c r="W14" s="22"/>
      <c r="X14" s="22"/>
      <c r="Y14" s="22"/>
    </row>
    <row r="15">
      <c r="A15" s="31" t="s">
        <v>40</v>
      </c>
      <c r="B15" s="86">
        <v>0.29</v>
      </c>
      <c r="C15" s="87">
        <v>0.27</v>
      </c>
      <c r="D15" s="87">
        <v>0.24</v>
      </c>
      <c r="E15" s="87">
        <v>0.26</v>
      </c>
      <c r="F15" s="87">
        <v>0.24</v>
      </c>
      <c r="G15" s="88">
        <v>0.26</v>
      </c>
      <c r="H15" s="89">
        <v>0.25</v>
      </c>
      <c r="I15" s="89">
        <v>0.25</v>
      </c>
      <c r="J15" s="89">
        <v>0.25</v>
      </c>
      <c r="K15" s="89">
        <v>0.25</v>
      </c>
      <c r="L15" s="90">
        <v>0.25</v>
      </c>
      <c r="M15" s="30"/>
      <c r="N15" s="22"/>
      <c r="O15" s="22"/>
      <c r="P15" s="22"/>
      <c r="Q15" s="22"/>
      <c r="R15" s="22"/>
      <c r="S15" s="22"/>
      <c r="T15" s="22"/>
      <c r="U15" s="22"/>
      <c r="V15" s="22"/>
      <c r="W15" s="22"/>
      <c r="X15" s="22"/>
      <c r="Y15" s="22"/>
    </row>
    <row r="16">
      <c r="A16" s="31" t="s">
        <v>41</v>
      </c>
      <c r="B16" s="79">
        <v>1493.0</v>
      </c>
      <c r="C16" s="80">
        <v>974.0</v>
      </c>
      <c r="D16" s="81">
        <v>2198.0</v>
      </c>
      <c r="E16" s="81">
        <v>3274.0</v>
      </c>
      <c r="F16" s="81">
        <v>3496.0</v>
      </c>
      <c r="G16" s="81">
        <v>3337.0</v>
      </c>
      <c r="H16" s="38">
        <f t="shared" ref="H16:L16" si="9">H14-H18</f>
        <v>6026.56483</v>
      </c>
      <c r="I16" s="38">
        <f t="shared" si="9"/>
        <v>7750.266999</v>
      </c>
      <c r="J16" s="38">
        <f t="shared" si="9"/>
        <v>9588.897388</v>
      </c>
      <c r="K16" s="38">
        <f t="shared" si="9"/>
        <v>10979.7068</v>
      </c>
      <c r="L16" s="71">
        <f t="shared" si="9"/>
        <v>12145.17748</v>
      </c>
      <c r="M16" s="30"/>
      <c r="N16" s="22"/>
      <c r="O16" s="22"/>
      <c r="P16" s="22"/>
      <c r="Q16" s="22"/>
      <c r="R16" s="22"/>
      <c r="S16" s="22"/>
      <c r="T16" s="22"/>
      <c r="U16" s="22"/>
      <c r="V16" s="22"/>
      <c r="W16" s="22"/>
      <c r="X16" s="22"/>
      <c r="Y16" s="22"/>
    </row>
    <row r="17">
      <c r="A17" s="31" t="s">
        <v>42</v>
      </c>
      <c r="B17" s="91">
        <f t="shared" ref="B17:L17" si="10">B16/B5</f>
        <v>0.07091962759</v>
      </c>
      <c r="C17" s="92">
        <f t="shared" si="10"/>
        <v>0.04500092404</v>
      </c>
      <c r="D17" s="92">
        <f t="shared" si="10"/>
        <v>0.07632209452</v>
      </c>
      <c r="E17" s="92">
        <f t="shared" si="10"/>
        <v>0.0806900801</v>
      </c>
      <c r="F17" s="92">
        <f t="shared" si="10"/>
        <v>0.06843630099</v>
      </c>
      <c r="G17" s="92">
        <f t="shared" si="10"/>
        <v>0.05519716819</v>
      </c>
      <c r="H17" s="92">
        <f t="shared" si="10"/>
        <v>0.08026049508</v>
      </c>
      <c r="I17" s="92">
        <f t="shared" si="10"/>
        <v>0.08554919755</v>
      </c>
      <c r="J17" s="92">
        <f t="shared" si="10"/>
        <v>0.09038728538</v>
      </c>
      <c r="K17" s="92">
        <f t="shared" si="10"/>
        <v>0.09114657719</v>
      </c>
      <c r="L17" s="93">
        <f t="shared" si="10"/>
        <v>0.09165597926</v>
      </c>
      <c r="M17" s="30"/>
      <c r="N17" s="22"/>
      <c r="O17" s="22"/>
      <c r="P17" s="22"/>
      <c r="Q17" s="22"/>
      <c r="R17" s="22"/>
      <c r="S17" s="22"/>
      <c r="T17" s="22"/>
      <c r="U17" s="22"/>
      <c r="V17" s="22"/>
      <c r="W17" s="22"/>
      <c r="X17" s="22"/>
      <c r="Y17" s="22"/>
    </row>
    <row r="18">
      <c r="A18" s="31" t="s">
        <v>43</v>
      </c>
      <c r="B18" s="94">
        <f t="shared" ref="B18:G18" si="11">B14-B16</f>
        <v>609.8169014</v>
      </c>
      <c r="C18" s="95">
        <f t="shared" si="11"/>
        <v>360.2465753</v>
      </c>
      <c r="D18" s="95">
        <f t="shared" si="11"/>
        <v>694.1052632</v>
      </c>
      <c r="E18" s="95">
        <f t="shared" si="11"/>
        <v>1150.324324</v>
      </c>
      <c r="F18" s="95">
        <f t="shared" si="11"/>
        <v>1104</v>
      </c>
      <c r="G18" s="95">
        <f t="shared" si="11"/>
        <v>1172.459459</v>
      </c>
      <c r="H18" s="95">
        <f t="shared" ref="H18:L18" si="12">H14*H15</f>
        <v>2008.854943</v>
      </c>
      <c r="I18" s="95">
        <f t="shared" si="12"/>
        <v>2583.422333</v>
      </c>
      <c r="J18" s="95">
        <f t="shared" si="12"/>
        <v>3196.299129</v>
      </c>
      <c r="K18" s="95">
        <f t="shared" si="12"/>
        <v>3659.902268</v>
      </c>
      <c r="L18" s="96">
        <f t="shared" si="12"/>
        <v>4048.392495</v>
      </c>
      <c r="M18" s="30"/>
      <c r="N18" s="22"/>
      <c r="O18" s="22"/>
      <c r="P18" s="22"/>
      <c r="Q18" s="22"/>
      <c r="R18" s="22"/>
      <c r="S18" s="22"/>
      <c r="T18" s="22"/>
      <c r="U18" s="22"/>
      <c r="V18" s="22"/>
      <c r="W18" s="22"/>
      <c r="X18" s="22"/>
      <c r="Y18" s="22"/>
    </row>
    <row r="19">
      <c r="A19" s="22"/>
      <c r="B19" s="44"/>
      <c r="C19" s="44"/>
      <c r="D19" s="44"/>
      <c r="E19" s="44"/>
      <c r="F19" s="44"/>
      <c r="G19" s="44"/>
      <c r="H19" s="44"/>
      <c r="I19" s="44"/>
      <c r="J19" s="44"/>
      <c r="K19" s="44"/>
      <c r="L19" s="44"/>
      <c r="M19" s="22"/>
      <c r="N19" s="22"/>
      <c r="O19" s="22"/>
      <c r="P19" s="22"/>
      <c r="Q19" s="22"/>
      <c r="R19" s="22"/>
      <c r="S19" s="22"/>
      <c r="T19" s="22"/>
      <c r="U19" s="22"/>
      <c r="V19" s="22"/>
      <c r="W19" s="22"/>
      <c r="X19" s="22"/>
      <c r="Y19" s="22"/>
    </row>
    <row r="20">
      <c r="A20" s="22"/>
      <c r="B20" s="46" t="s">
        <v>30</v>
      </c>
      <c r="C20" s="22"/>
      <c r="D20" s="22"/>
      <c r="E20" s="22"/>
      <c r="F20" s="22"/>
      <c r="G20" s="22"/>
      <c r="H20" s="22"/>
      <c r="I20" s="22"/>
      <c r="J20" s="22"/>
      <c r="K20" s="22"/>
      <c r="L20" s="22"/>
      <c r="M20" s="22"/>
      <c r="N20" s="22"/>
      <c r="O20" s="22"/>
      <c r="P20" s="22"/>
      <c r="Q20" s="22"/>
      <c r="R20" s="22"/>
      <c r="S20" s="22"/>
      <c r="T20" s="22"/>
      <c r="U20" s="22"/>
      <c r="V20" s="22"/>
      <c r="W20" s="22"/>
      <c r="X20" s="22"/>
      <c r="Y20" s="22"/>
    </row>
    <row r="21">
      <c r="A21" s="22"/>
      <c r="B21" s="97"/>
      <c r="C21" s="23"/>
      <c r="D21" s="23"/>
      <c r="E21" s="23"/>
      <c r="F21" s="23"/>
      <c r="G21" s="23"/>
      <c r="H21" s="23"/>
      <c r="I21" s="22"/>
      <c r="J21" s="22"/>
      <c r="K21" s="22"/>
      <c r="L21" s="22"/>
      <c r="M21" s="22"/>
      <c r="N21" s="22"/>
      <c r="O21" s="22"/>
      <c r="P21" s="22"/>
      <c r="Q21" s="22"/>
      <c r="R21" s="22"/>
      <c r="S21" s="22"/>
      <c r="T21" s="22"/>
      <c r="U21" s="22"/>
      <c r="V21" s="22"/>
      <c r="W21" s="22"/>
      <c r="X21" s="22"/>
      <c r="Y21" s="22"/>
    </row>
    <row r="22">
      <c r="B22" s="98" t="s">
        <v>44</v>
      </c>
      <c r="C22" s="99"/>
      <c r="D22" s="99"/>
      <c r="E22" s="99"/>
      <c r="F22" s="99"/>
      <c r="G22" s="99"/>
      <c r="H22" s="100"/>
    </row>
    <row r="23">
      <c r="A23" s="24"/>
      <c r="B23" s="101" t="s">
        <v>45</v>
      </c>
      <c r="C23" s="102"/>
      <c r="D23" s="102"/>
      <c r="E23" s="102"/>
      <c r="F23" s="103" t="s">
        <v>46</v>
      </c>
      <c r="G23" s="102"/>
      <c r="H23" s="104"/>
      <c r="I23" s="30"/>
      <c r="J23" s="22"/>
      <c r="K23" s="22"/>
      <c r="L23" s="22"/>
      <c r="M23" s="22"/>
      <c r="N23" s="22"/>
      <c r="O23" s="22"/>
      <c r="P23" s="22"/>
      <c r="Q23" s="22"/>
      <c r="R23" s="22"/>
      <c r="S23" s="22"/>
      <c r="T23" s="22"/>
      <c r="U23" s="22"/>
      <c r="V23" s="22"/>
      <c r="W23" s="22"/>
      <c r="X23" s="22"/>
      <c r="Y23" s="22"/>
    </row>
    <row r="24">
      <c r="A24" s="22"/>
      <c r="B24" s="44"/>
      <c r="C24" s="44"/>
      <c r="D24" s="44"/>
      <c r="E24" s="44"/>
      <c r="F24" s="44"/>
      <c r="G24" s="44"/>
      <c r="H24" s="44"/>
      <c r="I24" s="22"/>
      <c r="J24" s="22"/>
      <c r="K24" s="22"/>
      <c r="L24" s="22"/>
      <c r="M24" s="22"/>
      <c r="N24" s="22"/>
      <c r="O24" s="22"/>
      <c r="P24" s="22"/>
      <c r="Q24" s="22"/>
      <c r="R24" s="22"/>
      <c r="S24" s="22"/>
      <c r="T24" s="22"/>
      <c r="U24" s="22"/>
      <c r="V24" s="22"/>
      <c r="W24" s="22"/>
      <c r="X24" s="22"/>
      <c r="Y24" s="22"/>
    </row>
    <row r="25">
      <c r="A25" s="22"/>
      <c r="C25" s="22"/>
      <c r="D25" s="22"/>
      <c r="E25" s="22"/>
      <c r="F25" s="22"/>
      <c r="G25" s="22"/>
      <c r="H25" s="22"/>
      <c r="I25" s="22"/>
      <c r="J25" s="22"/>
      <c r="K25" s="22"/>
      <c r="L25" s="22"/>
      <c r="M25" s="22"/>
      <c r="N25" s="22"/>
      <c r="O25" s="22"/>
      <c r="P25" s="22"/>
      <c r="Q25" s="22"/>
      <c r="R25" s="22"/>
      <c r="S25" s="22"/>
      <c r="T25" s="22"/>
      <c r="U25" s="22"/>
      <c r="V25" s="22"/>
      <c r="W25" s="22"/>
      <c r="X25" s="22"/>
      <c r="Y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row>
    <row r="27">
      <c r="A27" s="22"/>
      <c r="B27" s="45"/>
      <c r="C27" s="22"/>
      <c r="D27" s="22"/>
      <c r="E27" s="22"/>
      <c r="F27" s="22"/>
      <c r="G27" s="22"/>
      <c r="H27" s="22"/>
      <c r="I27" s="22"/>
      <c r="J27" s="22"/>
      <c r="K27" s="22"/>
      <c r="L27" s="22"/>
      <c r="M27" s="22"/>
      <c r="N27" s="22"/>
      <c r="O27" s="22"/>
      <c r="P27" s="22"/>
      <c r="Q27" s="22"/>
      <c r="R27" s="22"/>
      <c r="S27" s="22"/>
      <c r="T27" s="22"/>
      <c r="U27" s="22"/>
      <c r="V27" s="22"/>
      <c r="W27" s="22"/>
      <c r="X27" s="22"/>
      <c r="Y27" s="22"/>
    </row>
    <row r="28">
      <c r="A28" s="22"/>
      <c r="B28" s="44"/>
      <c r="C28" s="22"/>
      <c r="D28" s="22"/>
      <c r="E28" s="22"/>
      <c r="F28" s="22"/>
      <c r="G28" s="22"/>
      <c r="H28" s="22"/>
      <c r="I28" s="22"/>
      <c r="J28" s="22"/>
      <c r="K28" s="22"/>
      <c r="L28" s="22"/>
      <c r="M28" s="22"/>
      <c r="N28" s="22"/>
      <c r="O28" s="22"/>
      <c r="P28" s="22"/>
      <c r="Q28" s="22"/>
      <c r="R28" s="22"/>
      <c r="S28" s="22"/>
      <c r="T28" s="22"/>
      <c r="U28" s="22"/>
      <c r="V28" s="22"/>
      <c r="W28" s="22"/>
      <c r="X28" s="22"/>
      <c r="Y28" s="22"/>
    </row>
    <row r="29">
      <c r="A29" s="22"/>
      <c r="B29" s="45"/>
      <c r="C29" s="22"/>
      <c r="D29" s="22"/>
      <c r="E29" s="22"/>
      <c r="F29" s="22"/>
      <c r="G29" s="22"/>
      <c r="H29" s="22"/>
      <c r="I29" s="22"/>
      <c r="J29" s="22"/>
      <c r="K29" s="22"/>
      <c r="L29" s="22"/>
      <c r="M29" s="22"/>
      <c r="N29" s="22"/>
      <c r="O29" s="22"/>
      <c r="P29" s="22"/>
      <c r="Q29" s="22"/>
      <c r="R29" s="22"/>
      <c r="S29" s="22"/>
      <c r="T29" s="22"/>
      <c r="U29" s="22"/>
      <c r="V29" s="22"/>
      <c r="W29" s="22"/>
      <c r="X29" s="22"/>
      <c r="Y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row>
    <row r="31">
      <c r="A31" s="22"/>
      <c r="B31" s="45"/>
      <c r="C31" s="22"/>
      <c r="D31" s="22"/>
      <c r="E31" s="22"/>
      <c r="F31" s="22"/>
      <c r="G31" s="22"/>
      <c r="H31" s="22"/>
      <c r="I31" s="22"/>
      <c r="J31" s="22"/>
      <c r="K31" s="22"/>
      <c r="L31" s="22"/>
      <c r="M31" s="22"/>
      <c r="N31" s="22"/>
      <c r="O31" s="22"/>
      <c r="P31" s="22"/>
      <c r="Q31" s="22"/>
      <c r="R31" s="22"/>
      <c r="S31" s="22"/>
      <c r="T31" s="22"/>
      <c r="U31" s="22"/>
      <c r="V31" s="22"/>
      <c r="W31" s="22"/>
      <c r="X31" s="22"/>
      <c r="Y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row>
    <row r="33">
      <c r="A33" s="22"/>
      <c r="C33" s="22"/>
      <c r="D33" s="22"/>
      <c r="E33" s="22"/>
      <c r="F33" s="22"/>
      <c r="G33" s="22"/>
      <c r="H33" s="22"/>
      <c r="I33" s="22"/>
      <c r="J33" s="22"/>
      <c r="K33" s="22"/>
      <c r="L33" s="22"/>
      <c r="M33" s="22"/>
      <c r="N33" s="22"/>
      <c r="O33" s="22"/>
      <c r="P33" s="22"/>
      <c r="Q33" s="22"/>
      <c r="R33" s="22"/>
      <c r="S33" s="22"/>
      <c r="T33" s="22"/>
      <c r="U33" s="22"/>
      <c r="V33" s="22"/>
      <c r="W33" s="22"/>
      <c r="X33" s="22"/>
      <c r="Y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row>
    <row r="35">
      <c r="A35" s="22"/>
      <c r="C35" s="22"/>
      <c r="D35" s="22"/>
      <c r="E35" s="22"/>
      <c r="F35" s="22"/>
      <c r="G35" s="22"/>
      <c r="H35" s="22"/>
      <c r="I35" s="22"/>
      <c r="J35" s="22"/>
      <c r="K35" s="22"/>
      <c r="L35" s="22"/>
      <c r="M35" s="22"/>
      <c r="N35" s="22"/>
      <c r="O35" s="22"/>
      <c r="P35" s="22"/>
      <c r="Q35" s="22"/>
      <c r="R35" s="22"/>
      <c r="S35" s="22"/>
      <c r="T35" s="22"/>
      <c r="U35" s="22"/>
      <c r="V35" s="22"/>
      <c r="W35" s="22"/>
      <c r="X35" s="22"/>
      <c r="Y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row>
  </sheetData>
  <mergeCells count="3">
    <mergeCell ref="B2:G2"/>
    <mergeCell ref="H2:L2"/>
    <mergeCell ref="B22:H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0"/>
  </cols>
  <sheetData>
    <row r="1">
      <c r="A1" s="22"/>
      <c r="B1" s="22"/>
      <c r="C1" s="22"/>
      <c r="D1" s="22"/>
      <c r="E1" s="22"/>
      <c r="F1" s="22"/>
      <c r="G1" s="22"/>
      <c r="H1" s="22"/>
      <c r="I1" s="22"/>
      <c r="J1" s="22"/>
      <c r="K1" s="22"/>
      <c r="L1" s="22"/>
      <c r="M1" s="22"/>
      <c r="N1" s="22"/>
      <c r="O1" s="22"/>
      <c r="P1" s="22"/>
      <c r="Q1" s="22"/>
      <c r="R1" s="22"/>
      <c r="S1" s="22"/>
      <c r="T1" s="22"/>
      <c r="U1" s="22"/>
      <c r="V1" s="22"/>
      <c r="W1" s="22"/>
      <c r="X1" s="22"/>
      <c r="Y1" s="22"/>
      <c r="Z1" s="22"/>
    </row>
    <row r="2">
      <c r="A2" s="22"/>
      <c r="B2" s="22"/>
      <c r="C2" s="23"/>
      <c r="D2" s="23"/>
      <c r="E2" s="23"/>
      <c r="F2" s="23"/>
      <c r="G2" s="23"/>
      <c r="H2" s="23"/>
      <c r="I2" s="23"/>
      <c r="J2" s="23"/>
      <c r="K2" s="23"/>
      <c r="L2" s="23"/>
      <c r="M2" s="23"/>
      <c r="N2" s="22"/>
      <c r="O2" s="22"/>
      <c r="P2" s="22"/>
      <c r="Q2" s="22"/>
      <c r="R2" s="22"/>
      <c r="S2" s="22"/>
      <c r="T2" s="22"/>
      <c r="U2" s="22"/>
      <c r="V2" s="22"/>
      <c r="W2" s="22"/>
      <c r="X2" s="22"/>
      <c r="Y2" s="22"/>
      <c r="Z2" s="22"/>
    </row>
    <row r="3">
      <c r="A3" s="22"/>
      <c r="B3" s="24"/>
      <c r="C3" s="105" t="s">
        <v>24</v>
      </c>
      <c r="D3" s="106"/>
      <c r="E3" s="106"/>
      <c r="F3" s="106"/>
      <c r="G3" s="106"/>
      <c r="H3" s="107"/>
      <c r="I3" s="108" t="s">
        <v>25</v>
      </c>
      <c r="J3" s="106"/>
      <c r="K3" s="106"/>
      <c r="L3" s="106"/>
      <c r="M3" s="109"/>
      <c r="N3" s="30"/>
      <c r="O3" s="22"/>
      <c r="P3" s="22"/>
      <c r="Q3" s="22"/>
      <c r="R3" s="22"/>
      <c r="S3" s="22"/>
      <c r="T3" s="22"/>
      <c r="U3" s="22"/>
      <c r="V3" s="22"/>
      <c r="W3" s="22"/>
      <c r="X3" s="22"/>
      <c r="Y3" s="22"/>
      <c r="Z3" s="22"/>
    </row>
    <row r="4">
      <c r="A4" s="22"/>
      <c r="B4" s="24"/>
      <c r="C4" s="110">
        <v>2020.0</v>
      </c>
      <c r="D4" s="111">
        <f t="shared" ref="D4:M4" si="1">C4+1</f>
        <v>2021</v>
      </c>
      <c r="E4" s="111">
        <f t="shared" si="1"/>
        <v>2022</v>
      </c>
      <c r="F4" s="111">
        <f t="shared" si="1"/>
        <v>2023</v>
      </c>
      <c r="G4" s="111">
        <f t="shared" si="1"/>
        <v>2024</v>
      </c>
      <c r="H4" s="111">
        <f t="shared" si="1"/>
        <v>2025</v>
      </c>
      <c r="I4" s="112">
        <f t="shared" si="1"/>
        <v>2026</v>
      </c>
      <c r="J4" s="112">
        <f t="shared" si="1"/>
        <v>2027</v>
      </c>
      <c r="K4" s="112">
        <f t="shared" si="1"/>
        <v>2028</v>
      </c>
      <c r="L4" s="112">
        <f t="shared" si="1"/>
        <v>2029</v>
      </c>
      <c r="M4" s="113">
        <f t="shared" si="1"/>
        <v>2030</v>
      </c>
      <c r="N4" s="30"/>
      <c r="O4" s="22"/>
      <c r="P4" s="22"/>
      <c r="Q4" s="22"/>
      <c r="R4" s="22"/>
      <c r="S4" s="22"/>
      <c r="T4" s="22"/>
      <c r="U4" s="22"/>
      <c r="V4" s="22"/>
      <c r="W4" s="22"/>
      <c r="X4" s="22"/>
      <c r="Y4" s="22"/>
      <c r="Z4" s="22"/>
    </row>
    <row r="5">
      <c r="A5" s="22"/>
      <c r="B5" s="31" t="s">
        <v>47</v>
      </c>
      <c r="C5" s="114">
        <v>89.0</v>
      </c>
      <c r="D5" s="115">
        <v>89.0</v>
      </c>
      <c r="E5" s="115">
        <v>89.0</v>
      </c>
      <c r="F5" s="115">
        <v>89.0</v>
      </c>
      <c r="G5" s="115">
        <v>89.0</v>
      </c>
      <c r="H5" s="115">
        <v>89.0</v>
      </c>
      <c r="I5" s="115">
        <v>89.0</v>
      </c>
      <c r="J5" s="115">
        <v>89.0</v>
      </c>
      <c r="K5" s="115">
        <v>89.0</v>
      </c>
      <c r="L5" s="115">
        <v>89.0</v>
      </c>
      <c r="M5" s="116">
        <v>89.0</v>
      </c>
      <c r="N5" s="117"/>
      <c r="O5" s="22"/>
      <c r="P5" s="22"/>
      <c r="Q5" s="22"/>
      <c r="R5" s="22"/>
      <c r="S5" s="22"/>
      <c r="T5" s="22"/>
      <c r="U5" s="22"/>
      <c r="V5" s="22"/>
      <c r="W5" s="22"/>
      <c r="X5" s="22"/>
      <c r="Y5" s="22"/>
      <c r="Z5" s="22"/>
    </row>
    <row r="6">
      <c r="A6" s="22"/>
      <c r="B6" s="31" t="s">
        <v>48</v>
      </c>
      <c r="C6" s="79">
        <v>6580.0</v>
      </c>
      <c r="D6" s="81">
        <v>7408.0</v>
      </c>
      <c r="E6" s="81">
        <v>9214.0</v>
      </c>
      <c r="F6" s="81">
        <v>11762.0</v>
      </c>
      <c r="G6" s="81">
        <v>9304.0</v>
      </c>
      <c r="H6" s="81">
        <v>11535.0</v>
      </c>
      <c r="I6" s="118">
        <f>H6+'Profit and Loss'!H16</f>
        <v>17561.56483</v>
      </c>
      <c r="J6" s="118">
        <f>I6+'Profit and Loss'!I16</f>
        <v>25311.83183</v>
      </c>
      <c r="K6" s="118">
        <f>J6+'Profit and Loss'!J16</f>
        <v>34900.72922</v>
      </c>
      <c r="L6" s="118">
        <f>K6+'Profit and Loss'!K16</f>
        <v>45880.43602</v>
      </c>
      <c r="M6" s="119">
        <f>L6+'Profit and Loss'!L16</f>
        <v>58025.61351</v>
      </c>
      <c r="N6" s="30"/>
      <c r="O6" s="22"/>
      <c r="P6" s="22"/>
      <c r="Q6" s="22"/>
      <c r="R6" s="22"/>
      <c r="S6" s="22"/>
      <c r="T6" s="22"/>
      <c r="U6" s="22"/>
      <c r="V6" s="22"/>
      <c r="W6" s="22"/>
      <c r="X6" s="22"/>
      <c r="Y6" s="22"/>
      <c r="Z6" s="22"/>
    </row>
    <row r="7">
      <c r="A7" s="22"/>
      <c r="B7" s="31" t="s">
        <v>49</v>
      </c>
      <c r="C7" s="120">
        <f t="shared" ref="C7:M7" si="2">C5+C6</f>
        <v>6669</v>
      </c>
      <c r="D7" s="118">
        <f t="shared" si="2"/>
        <v>7497</v>
      </c>
      <c r="E7" s="118">
        <f t="shared" si="2"/>
        <v>9303</v>
      </c>
      <c r="F7" s="118">
        <f t="shared" si="2"/>
        <v>11851</v>
      </c>
      <c r="G7" s="118">
        <f t="shared" si="2"/>
        <v>9393</v>
      </c>
      <c r="H7" s="118">
        <f t="shared" si="2"/>
        <v>11624</v>
      </c>
      <c r="I7" s="118">
        <f t="shared" si="2"/>
        <v>17650.56483</v>
      </c>
      <c r="J7" s="118">
        <f t="shared" si="2"/>
        <v>25400.83183</v>
      </c>
      <c r="K7" s="118">
        <f t="shared" si="2"/>
        <v>34989.72922</v>
      </c>
      <c r="L7" s="118">
        <f t="shared" si="2"/>
        <v>45969.43602</v>
      </c>
      <c r="M7" s="119">
        <f t="shared" si="2"/>
        <v>58114.61351</v>
      </c>
      <c r="N7" s="30"/>
      <c r="O7" s="22"/>
      <c r="P7" s="22"/>
      <c r="Q7" s="22"/>
      <c r="R7" s="22"/>
      <c r="S7" s="22"/>
      <c r="T7" s="22"/>
      <c r="U7" s="22"/>
      <c r="V7" s="22"/>
      <c r="W7" s="22"/>
      <c r="X7" s="22"/>
      <c r="Y7" s="22"/>
      <c r="Z7" s="22"/>
    </row>
    <row r="8">
      <c r="A8" s="22"/>
      <c r="B8" s="31" t="s">
        <v>50</v>
      </c>
      <c r="C8" s="121">
        <v>3562.0</v>
      </c>
      <c r="D8" s="122">
        <v>5638.0</v>
      </c>
      <c r="E8" s="122">
        <v>7275.0</v>
      </c>
      <c r="F8" s="122">
        <v>9367.0</v>
      </c>
      <c r="G8" s="122">
        <v>15528.0</v>
      </c>
      <c r="H8" s="122">
        <v>12967.0</v>
      </c>
      <c r="I8" s="118">
        <f t="shared" ref="I8:M8" si="3">H8-1000</f>
        <v>11967</v>
      </c>
      <c r="J8" s="118">
        <f t="shared" si="3"/>
        <v>10967</v>
      </c>
      <c r="K8" s="118">
        <f t="shared" si="3"/>
        <v>9967</v>
      </c>
      <c r="L8" s="118">
        <f t="shared" si="3"/>
        <v>8967</v>
      </c>
      <c r="M8" s="119">
        <f t="shared" si="3"/>
        <v>7967</v>
      </c>
      <c r="N8" s="30"/>
      <c r="O8" s="22"/>
      <c r="P8" s="22"/>
      <c r="Q8" s="22"/>
      <c r="R8" s="22"/>
      <c r="S8" s="22"/>
      <c r="T8" s="22"/>
      <c r="U8" s="22"/>
      <c r="V8" s="22"/>
      <c r="W8" s="22"/>
      <c r="X8" s="22"/>
      <c r="Y8" s="22"/>
      <c r="Z8" s="22"/>
    </row>
    <row r="9">
      <c r="A9" s="22"/>
      <c r="B9" s="31" t="s">
        <v>28</v>
      </c>
      <c r="C9" s="121"/>
      <c r="D9" s="92">
        <f t="shared" ref="D9:H9" si="4">(D8-C8)/C8</f>
        <v>0.5828186412</v>
      </c>
      <c r="E9" s="92">
        <f t="shared" si="4"/>
        <v>0.2903511884</v>
      </c>
      <c r="F9" s="92">
        <f t="shared" si="4"/>
        <v>0.2875601375</v>
      </c>
      <c r="G9" s="92">
        <f t="shared" si="4"/>
        <v>0.6577346002</v>
      </c>
      <c r="H9" s="92">
        <f t="shared" si="4"/>
        <v>-0.1649278722</v>
      </c>
      <c r="I9" s="22"/>
      <c r="J9" s="22"/>
      <c r="K9" s="22"/>
      <c r="L9" s="22"/>
      <c r="M9" s="67"/>
      <c r="N9" s="30"/>
      <c r="O9" s="22"/>
      <c r="P9" s="22"/>
      <c r="Q9" s="22"/>
      <c r="R9" s="22"/>
      <c r="S9" s="22"/>
      <c r="T9" s="22"/>
      <c r="U9" s="22"/>
      <c r="V9" s="22"/>
      <c r="W9" s="22"/>
      <c r="X9" s="22"/>
      <c r="Y9" s="22"/>
      <c r="Z9" s="22"/>
    </row>
    <row r="10">
      <c r="A10" s="22"/>
      <c r="B10" s="31"/>
      <c r="C10" s="121"/>
      <c r="D10" s="92"/>
      <c r="E10" s="92"/>
      <c r="F10" s="92"/>
      <c r="G10" s="92"/>
      <c r="H10" s="92"/>
      <c r="I10" s="22"/>
      <c r="J10" s="22"/>
      <c r="K10" s="22"/>
      <c r="L10" s="22"/>
      <c r="M10" s="67"/>
      <c r="N10" s="30"/>
      <c r="O10" s="22"/>
      <c r="P10" s="22"/>
      <c r="Q10" s="22"/>
      <c r="R10" s="22"/>
      <c r="S10" s="22"/>
      <c r="T10" s="22"/>
      <c r="U10" s="22"/>
      <c r="V10" s="22"/>
      <c r="W10" s="22"/>
      <c r="X10" s="22"/>
      <c r="Y10" s="22"/>
      <c r="Z10" s="22"/>
    </row>
    <row r="11">
      <c r="A11" s="22"/>
      <c r="B11" s="31" t="s">
        <v>51</v>
      </c>
      <c r="C11" s="79">
        <v>3313.0</v>
      </c>
      <c r="D11" s="81">
        <v>3309.0</v>
      </c>
      <c r="E11" s="81">
        <v>4610.0</v>
      </c>
      <c r="F11" s="81">
        <v>5802.0</v>
      </c>
      <c r="G11" s="81">
        <v>6626.0</v>
      </c>
      <c r="H11" s="81">
        <v>16056.0</v>
      </c>
      <c r="I11" s="70">
        <f>($H11/Revenue!$H4)*Revenue!I4</f>
        <v>19941.87312</v>
      </c>
      <c r="J11" s="70">
        <f>($H11/Revenue!$H4)*Revenue!J4</f>
        <v>24060.16905</v>
      </c>
      <c r="K11" s="70">
        <f>($H11/Revenue!$H4)*Revenue!K4</f>
        <v>28174.69856</v>
      </c>
      <c r="L11" s="70">
        <f>($H11/Revenue!$H4)*Revenue!L4</f>
        <v>31992.51108</v>
      </c>
      <c r="M11" s="71">
        <f>($H11/Revenue!$H4)*Revenue!M4</f>
        <v>35191.76219</v>
      </c>
      <c r="N11" s="30"/>
      <c r="O11" s="22"/>
      <c r="P11" s="22"/>
      <c r="Q11" s="22"/>
      <c r="R11" s="22"/>
      <c r="S11" s="22"/>
      <c r="T11" s="22"/>
      <c r="U11" s="22"/>
      <c r="V11" s="22"/>
      <c r="W11" s="22"/>
      <c r="X11" s="22"/>
      <c r="Y11" s="22"/>
      <c r="Z11" s="22"/>
    </row>
    <row r="12">
      <c r="A12" s="22"/>
      <c r="B12" s="31" t="s">
        <v>52</v>
      </c>
      <c r="C12" s="79">
        <v>13544.0</v>
      </c>
      <c r="D12" s="81">
        <v>16444.0</v>
      </c>
      <c r="E12" s="81">
        <v>21188.0</v>
      </c>
      <c r="F12" s="81">
        <v>27020.0</v>
      </c>
      <c r="G12" s="81">
        <v>31547.0</v>
      </c>
      <c r="H12" s="81">
        <v>40647.0</v>
      </c>
      <c r="I12" s="118">
        <f t="shared" ref="I12:M12" si="5">I7+I8+I11</f>
        <v>49559.43795</v>
      </c>
      <c r="J12" s="118">
        <f t="shared" si="5"/>
        <v>60428.00088</v>
      </c>
      <c r="K12" s="118">
        <f t="shared" si="5"/>
        <v>73131.42777</v>
      </c>
      <c r="L12" s="118">
        <f t="shared" si="5"/>
        <v>86928.94711</v>
      </c>
      <c r="M12" s="119">
        <f t="shared" si="5"/>
        <v>101273.3757</v>
      </c>
      <c r="N12" s="30"/>
      <c r="O12" s="22"/>
      <c r="P12" s="22"/>
      <c r="Q12" s="22"/>
      <c r="R12" s="22"/>
      <c r="S12" s="22"/>
      <c r="T12" s="22"/>
      <c r="U12" s="22"/>
      <c r="V12" s="22"/>
      <c r="W12" s="22"/>
      <c r="X12" s="22"/>
      <c r="Y12" s="22"/>
      <c r="Z12" s="22"/>
    </row>
    <row r="13">
      <c r="A13" s="22"/>
      <c r="B13" s="31"/>
      <c r="C13" s="79"/>
      <c r="D13" s="81"/>
      <c r="E13" s="81"/>
      <c r="F13" s="81"/>
      <c r="G13" s="81"/>
      <c r="H13" s="81"/>
      <c r="I13" s="22"/>
      <c r="J13" s="22"/>
      <c r="K13" s="22"/>
      <c r="L13" s="22"/>
      <c r="M13" s="67"/>
      <c r="N13" s="30"/>
      <c r="O13" s="22"/>
      <c r="P13" s="22"/>
      <c r="Q13" s="22"/>
      <c r="R13" s="22"/>
      <c r="S13" s="22"/>
      <c r="T13" s="22"/>
      <c r="U13" s="22"/>
      <c r="V13" s="22"/>
      <c r="W13" s="22"/>
      <c r="X13" s="22"/>
      <c r="Y13" s="22"/>
      <c r="Z13" s="22"/>
    </row>
    <row r="14">
      <c r="A14" s="22"/>
      <c r="B14" s="31" t="s">
        <v>53</v>
      </c>
      <c r="C14" s="123">
        <f>'Fixed Assets'!C8</f>
        <v>2523</v>
      </c>
      <c r="D14" s="61">
        <f>'Fixed Assets'!D8</f>
        <v>2544</v>
      </c>
      <c r="E14" s="61">
        <f>'Fixed Assets'!E8</f>
        <v>2998</v>
      </c>
      <c r="F14" s="61">
        <f>'Fixed Assets'!F8</f>
        <v>3709</v>
      </c>
      <c r="G14" s="61">
        <f>'Fixed Assets'!G8</f>
        <v>4003</v>
      </c>
      <c r="H14" s="61">
        <f>'Fixed Assets'!H8</f>
        <v>4708</v>
      </c>
      <c r="I14" s="61">
        <f>'Fixed Assets'!I8</f>
        <v>5383.78805</v>
      </c>
      <c r="J14" s="61">
        <f>'Fixed Assets'!J8</f>
        <v>6199.136469</v>
      </c>
      <c r="K14" s="61">
        <f>'Fixed Assets'!K8</f>
        <v>7153.917622</v>
      </c>
      <c r="L14" s="61">
        <f>'Fixed Assets'!L8</f>
        <v>8238.076394</v>
      </c>
      <c r="M14" s="62">
        <f>'Fixed Assets'!M8</f>
        <v>9430.651044</v>
      </c>
      <c r="N14" s="30"/>
      <c r="O14" s="22"/>
      <c r="P14" s="22"/>
      <c r="Q14" s="22"/>
      <c r="R14" s="22"/>
      <c r="S14" s="22"/>
      <c r="T14" s="22"/>
      <c r="U14" s="22"/>
      <c r="V14" s="22"/>
      <c r="W14" s="22"/>
      <c r="X14" s="22"/>
      <c r="Y14" s="22"/>
      <c r="Z14" s="22"/>
    </row>
    <row r="15">
      <c r="A15" s="22"/>
      <c r="B15" s="31" t="s">
        <v>54</v>
      </c>
      <c r="C15" s="124">
        <v>18.0</v>
      </c>
      <c r="D15" s="80">
        <v>32.0</v>
      </c>
      <c r="E15" s="80">
        <v>85.0</v>
      </c>
      <c r="F15" s="80">
        <v>144.0</v>
      </c>
      <c r="G15" s="80">
        <v>97.0</v>
      </c>
      <c r="H15" s="80">
        <v>93.0</v>
      </c>
      <c r="I15" s="125">
        <f>(5/10000) * 'Fixed Assets'!I6</f>
        <v>0.7508756112</v>
      </c>
      <c r="J15" s="125">
        <f>(5/10000) * 'Fixed Assets'!J6</f>
        <v>0.905942688</v>
      </c>
      <c r="K15" s="125">
        <f>(5/10000) * 'Fixed Assets'!K6</f>
        <v>1.060867947</v>
      </c>
      <c r="L15" s="125">
        <f>(5/10000) * 'Fixed Assets'!L6</f>
        <v>1.204620858</v>
      </c>
      <c r="M15" s="126">
        <f>(5/10000) * 'Fixed Assets'!M6</f>
        <v>1.325082944</v>
      </c>
      <c r="N15" s="30"/>
      <c r="O15" s="22"/>
      <c r="P15" s="22"/>
      <c r="Q15" s="22"/>
      <c r="R15" s="22"/>
      <c r="S15" s="22"/>
      <c r="T15" s="22"/>
      <c r="U15" s="22"/>
      <c r="V15" s="22"/>
      <c r="W15" s="22"/>
      <c r="X15" s="22"/>
      <c r="Y15" s="22"/>
      <c r="Z15" s="22"/>
    </row>
    <row r="16">
      <c r="A16" s="22"/>
      <c r="B16" s="31" t="s">
        <v>55</v>
      </c>
      <c r="C16" s="124">
        <v>158.0</v>
      </c>
      <c r="D16" s="81">
        <v>2824.0</v>
      </c>
      <c r="E16" s="80">
        <v>294.0</v>
      </c>
      <c r="F16" s="81">
        <v>2515.0</v>
      </c>
      <c r="G16" s="81">
        <v>2345.0</v>
      </c>
      <c r="H16" s="81">
        <v>1988.0</v>
      </c>
      <c r="I16" s="127">
        <v>1988.0</v>
      </c>
      <c r="J16" s="127">
        <v>1988.0</v>
      </c>
      <c r="K16" s="127">
        <v>1988.0</v>
      </c>
      <c r="L16" s="127">
        <v>1988.0</v>
      </c>
      <c r="M16" s="128">
        <v>1988.0</v>
      </c>
      <c r="N16" s="30"/>
      <c r="O16" s="22"/>
      <c r="P16" s="22"/>
      <c r="Q16" s="22"/>
      <c r="R16" s="22"/>
      <c r="S16" s="22"/>
      <c r="T16" s="22"/>
      <c r="U16" s="22"/>
      <c r="V16" s="22"/>
      <c r="W16" s="22"/>
      <c r="X16" s="22"/>
      <c r="Y16" s="22"/>
      <c r="Z16" s="22"/>
    </row>
    <row r="17">
      <c r="A17" s="22"/>
      <c r="B17" s="31" t="s">
        <v>56</v>
      </c>
      <c r="C17" s="124">
        <v>381.0</v>
      </c>
      <c r="D17" s="80">
        <v>560.0</v>
      </c>
      <c r="E17" s="81">
        <v>1573.0</v>
      </c>
      <c r="F17" s="81">
        <v>1343.0</v>
      </c>
      <c r="G17" s="81">
        <v>1526.0</v>
      </c>
      <c r="H17" s="81">
        <v>1584.0</v>
      </c>
      <c r="I17" s="45">
        <f>(1.8/100)*Revenue!I4</f>
        <v>1351.5761</v>
      </c>
      <c r="J17" s="45">
        <f>(1.8/100)*Revenue!J4</f>
        <v>1630.696838</v>
      </c>
      <c r="K17" s="45">
        <f>(1.8/100)*Revenue!K4</f>
        <v>1909.562305</v>
      </c>
      <c r="L17" s="45">
        <f>(1.8/100)*Revenue!L4</f>
        <v>2168.317545</v>
      </c>
      <c r="M17" s="129">
        <f>(1.8/100)*Revenue!M4</f>
        <v>2385.149299</v>
      </c>
      <c r="N17" s="30"/>
      <c r="O17" s="22"/>
      <c r="P17" s="22"/>
      <c r="Q17" s="22"/>
      <c r="R17" s="22"/>
      <c r="S17" s="22"/>
      <c r="T17" s="22"/>
      <c r="U17" s="22"/>
      <c r="V17" s="22"/>
      <c r="W17" s="22"/>
      <c r="X17" s="22"/>
      <c r="Y17" s="22"/>
      <c r="Z17" s="22"/>
    </row>
    <row r="18">
      <c r="A18" s="22"/>
      <c r="B18" s="31" t="s">
        <v>57</v>
      </c>
      <c r="C18" s="59">
        <f>'Free Cash Flow'!C14</f>
        <v>1939</v>
      </c>
      <c r="D18" s="60">
        <f>'Free Cash Flow'!D14</f>
        <v>1731</v>
      </c>
      <c r="E18" s="60">
        <f>'Free Cash Flow'!E14</f>
        <v>2518</v>
      </c>
      <c r="F18" s="60">
        <f>'Free Cash Flow'!F14</f>
        <v>2762</v>
      </c>
      <c r="G18" s="60">
        <f>'Free Cash Flow'!G14</f>
        <v>3801</v>
      </c>
      <c r="H18" s="60">
        <f>'Free Cash Flow'!H14</f>
        <v>3656</v>
      </c>
      <c r="I18" s="61">
        <f>'Free Cash Flow'!I14</f>
        <v>4542.797448</v>
      </c>
      <c r="J18" s="61">
        <f>'Free Cash Flow'!J14</f>
        <v>5480.953263</v>
      </c>
      <c r="K18" s="61">
        <f>'Free Cash Flow'!K14</f>
        <v>6418.25108</v>
      </c>
      <c r="L18" s="61">
        <f>'Free Cash Flow'!L14</f>
        <v>7287.956193</v>
      </c>
      <c r="M18" s="62">
        <f>'Free Cash Flow'!M14</f>
        <v>8016.751812</v>
      </c>
      <c r="N18" s="30"/>
      <c r="O18" s="22"/>
      <c r="P18" s="22"/>
      <c r="Q18" s="22"/>
      <c r="R18" s="22"/>
      <c r="S18" s="22"/>
      <c r="T18" s="22"/>
      <c r="U18" s="22"/>
      <c r="V18" s="22"/>
      <c r="W18" s="22"/>
      <c r="X18" s="22"/>
      <c r="Y18" s="22"/>
      <c r="Z18" s="22"/>
    </row>
    <row r="19">
      <c r="A19" s="22"/>
      <c r="B19" s="31" t="s">
        <v>58</v>
      </c>
      <c r="C19" s="94">
        <f t="shared" ref="C19:M19" si="6">C14+C15+C16+C17+C18</f>
        <v>5019</v>
      </c>
      <c r="D19" s="95">
        <f t="shared" si="6"/>
        <v>7691</v>
      </c>
      <c r="E19" s="95">
        <f t="shared" si="6"/>
        <v>7468</v>
      </c>
      <c r="F19" s="95">
        <f t="shared" si="6"/>
        <v>10473</v>
      </c>
      <c r="G19" s="95">
        <f t="shared" si="6"/>
        <v>11772</v>
      </c>
      <c r="H19" s="95">
        <f t="shared" si="6"/>
        <v>12029</v>
      </c>
      <c r="I19" s="95">
        <f t="shared" si="6"/>
        <v>13266.91247</v>
      </c>
      <c r="J19" s="95">
        <f t="shared" si="6"/>
        <v>15299.69251</v>
      </c>
      <c r="K19" s="95">
        <f t="shared" si="6"/>
        <v>17470.79187</v>
      </c>
      <c r="L19" s="95">
        <f t="shared" si="6"/>
        <v>19683.55475</v>
      </c>
      <c r="M19" s="96">
        <f t="shared" si="6"/>
        <v>21821.87724</v>
      </c>
      <c r="N19" s="30"/>
      <c r="O19" s="22"/>
      <c r="P19" s="22"/>
      <c r="Q19" s="22"/>
      <c r="R19" s="22"/>
      <c r="S19" s="22"/>
      <c r="T19" s="22"/>
      <c r="U19" s="22"/>
      <c r="V19" s="22"/>
      <c r="W19" s="22"/>
      <c r="X19" s="22"/>
      <c r="Y19" s="22"/>
      <c r="Z19" s="22"/>
    </row>
    <row r="20">
      <c r="A20" s="22"/>
      <c r="B20" s="22"/>
      <c r="C20" s="46" t="s">
        <v>30</v>
      </c>
      <c r="D20" s="130"/>
      <c r="E20" s="130"/>
      <c r="F20" s="130"/>
      <c r="G20" s="130"/>
      <c r="H20" s="130"/>
      <c r="I20" s="130"/>
      <c r="J20" s="130"/>
      <c r="K20" s="130"/>
      <c r="L20" s="130"/>
      <c r="M20" s="130"/>
      <c r="N20" s="22"/>
      <c r="O20" s="22"/>
      <c r="P20" s="22"/>
      <c r="Q20" s="22"/>
      <c r="R20" s="22"/>
      <c r="S20" s="22"/>
      <c r="T20" s="22"/>
      <c r="U20" s="22"/>
      <c r="V20" s="22"/>
      <c r="W20" s="22"/>
      <c r="X20" s="22"/>
      <c r="Y20" s="22"/>
      <c r="Z20" s="22"/>
    </row>
    <row r="21">
      <c r="A21" s="22"/>
      <c r="B21" s="24"/>
      <c r="C21" s="131" t="s">
        <v>59</v>
      </c>
      <c r="D21" s="99"/>
      <c r="E21" s="99"/>
      <c r="F21" s="99"/>
      <c r="G21" s="99"/>
      <c r="H21" s="99"/>
      <c r="I21" s="100"/>
      <c r="J21" s="132"/>
      <c r="K21" s="45"/>
      <c r="L21" s="45"/>
      <c r="M21" s="45"/>
      <c r="N21" s="22"/>
      <c r="O21" s="22"/>
      <c r="P21" s="22"/>
      <c r="Q21" s="22"/>
      <c r="R21" s="22"/>
      <c r="S21" s="22"/>
      <c r="T21" s="22"/>
      <c r="U21" s="22"/>
      <c r="V21" s="22"/>
      <c r="W21" s="22"/>
      <c r="X21" s="22"/>
      <c r="Y21" s="22"/>
      <c r="Z21" s="22"/>
    </row>
    <row r="22">
      <c r="A22" s="22"/>
      <c r="B22" s="22"/>
      <c r="C22" s="133"/>
      <c r="D22" s="133"/>
      <c r="E22" s="133"/>
      <c r="F22" s="133"/>
      <c r="G22" s="133"/>
      <c r="H22" s="133"/>
      <c r="I22" s="133"/>
      <c r="J22" s="45"/>
      <c r="K22" s="45"/>
      <c r="L22" s="45"/>
      <c r="M22" s="45"/>
      <c r="N22" s="22"/>
      <c r="O22" s="22"/>
      <c r="P22" s="22"/>
      <c r="Q22" s="22"/>
      <c r="R22" s="22"/>
      <c r="S22" s="22"/>
      <c r="T22" s="22"/>
      <c r="U22" s="22"/>
      <c r="V22" s="22"/>
      <c r="W22" s="22"/>
      <c r="X22" s="22"/>
      <c r="Y22" s="22"/>
      <c r="Z22" s="22"/>
    </row>
    <row r="23">
      <c r="A23" s="22"/>
      <c r="B23" s="22"/>
      <c r="C23" s="45"/>
      <c r="D23" s="45"/>
      <c r="E23" s="45"/>
      <c r="F23" s="45"/>
      <c r="G23" s="45"/>
      <c r="H23" s="45"/>
      <c r="I23" s="45"/>
      <c r="J23" s="45"/>
      <c r="K23" s="45"/>
      <c r="L23" s="45"/>
      <c r="M23" s="45"/>
      <c r="N23" s="22"/>
      <c r="O23" s="22"/>
      <c r="P23" s="22"/>
      <c r="Q23" s="22"/>
      <c r="R23" s="22"/>
      <c r="S23" s="22"/>
      <c r="T23" s="22"/>
      <c r="U23" s="22"/>
      <c r="V23" s="22"/>
      <c r="W23" s="22"/>
      <c r="X23" s="22"/>
      <c r="Y23" s="22"/>
      <c r="Z23" s="22"/>
    </row>
    <row r="24">
      <c r="A24" s="22"/>
      <c r="B24" s="22"/>
      <c r="C24" s="45"/>
      <c r="D24" s="45"/>
      <c r="E24" s="45"/>
      <c r="F24" s="45"/>
      <c r="G24" s="45"/>
      <c r="H24" s="45"/>
      <c r="I24" s="45"/>
      <c r="J24" s="45"/>
      <c r="K24" s="45"/>
      <c r="L24" s="45"/>
      <c r="M24" s="45"/>
      <c r="N24" s="22"/>
      <c r="O24" s="22"/>
      <c r="P24" s="22"/>
      <c r="Q24" s="22"/>
      <c r="R24" s="22"/>
      <c r="S24" s="22"/>
      <c r="T24" s="22"/>
      <c r="U24" s="22"/>
      <c r="V24" s="22"/>
      <c r="W24" s="22"/>
      <c r="X24" s="22"/>
      <c r="Y24" s="22"/>
      <c r="Z24" s="22"/>
    </row>
    <row r="25">
      <c r="A25" s="22"/>
      <c r="B25" s="22"/>
      <c r="C25" s="45"/>
      <c r="D25" s="45"/>
      <c r="E25" s="45"/>
      <c r="F25" s="45"/>
      <c r="G25" s="45"/>
      <c r="H25" s="45"/>
      <c r="I25" s="45"/>
      <c r="J25" s="45"/>
      <c r="K25" s="45"/>
      <c r="L25" s="45"/>
      <c r="M25" s="45"/>
      <c r="N25" s="22"/>
      <c r="O25" s="22"/>
      <c r="P25" s="22"/>
      <c r="Q25" s="22"/>
      <c r="R25" s="22"/>
      <c r="S25" s="22"/>
      <c r="T25" s="22"/>
      <c r="U25" s="22"/>
      <c r="V25" s="22"/>
      <c r="W25" s="22"/>
      <c r="X25" s="22"/>
      <c r="Y25" s="22"/>
      <c r="Z25" s="22"/>
    </row>
    <row r="26">
      <c r="A26" s="22"/>
      <c r="B26" s="22"/>
      <c r="C26" s="45"/>
      <c r="D26" s="45"/>
      <c r="E26" s="45"/>
      <c r="F26" s="45"/>
      <c r="G26" s="45"/>
      <c r="H26" s="45"/>
      <c r="I26" s="45"/>
      <c r="J26" s="45"/>
      <c r="K26" s="45"/>
      <c r="L26" s="45"/>
      <c r="M26" s="45"/>
      <c r="N26" s="22"/>
      <c r="O26" s="22"/>
      <c r="P26" s="22"/>
      <c r="Q26" s="22"/>
      <c r="R26" s="22"/>
      <c r="S26" s="22"/>
      <c r="T26" s="22"/>
      <c r="U26" s="22"/>
      <c r="V26" s="22"/>
      <c r="W26" s="22"/>
      <c r="X26" s="22"/>
      <c r="Y26" s="22"/>
      <c r="Z26" s="22"/>
    </row>
    <row r="27">
      <c r="A27" s="22"/>
      <c r="B27" s="22"/>
      <c r="C27" s="45"/>
      <c r="D27" s="45"/>
      <c r="E27" s="45"/>
      <c r="F27" s="45"/>
      <c r="G27" s="45"/>
      <c r="H27" s="45"/>
      <c r="I27" s="45"/>
      <c r="J27" s="45"/>
      <c r="K27" s="45"/>
      <c r="L27" s="45"/>
      <c r="M27" s="45"/>
      <c r="N27" s="22"/>
      <c r="O27" s="22"/>
      <c r="P27" s="22"/>
      <c r="Q27" s="22"/>
      <c r="R27" s="22"/>
      <c r="S27" s="22"/>
      <c r="T27" s="22"/>
      <c r="U27" s="22"/>
      <c r="V27" s="22"/>
      <c r="W27" s="22"/>
      <c r="X27" s="22"/>
      <c r="Y27" s="22"/>
      <c r="Z27" s="22"/>
    </row>
    <row r="28">
      <c r="A28" s="22"/>
      <c r="B28" s="22"/>
      <c r="C28" s="45"/>
      <c r="D28" s="45"/>
      <c r="E28" s="45"/>
      <c r="F28" s="45"/>
      <c r="G28" s="45"/>
      <c r="H28" s="45"/>
      <c r="I28" s="45"/>
      <c r="J28" s="45"/>
      <c r="K28" s="45"/>
      <c r="L28" s="45"/>
      <c r="M28" s="45"/>
      <c r="N28" s="22"/>
      <c r="O28" s="22"/>
      <c r="P28" s="22"/>
      <c r="Q28" s="22"/>
      <c r="R28" s="22"/>
      <c r="S28" s="22"/>
      <c r="T28" s="22"/>
      <c r="U28" s="22"/>
      <c r="V28" s="22"/>
      <c r="W28" s="22"/>
      <c r="X28" s="22"/>
      <c r="Y28" s="22"/>
      <c r="Z28" s="22"/>
    </row>
    <row r="29">
      <c r="A29" s="22"/>
      <c r="B29" s="22"/>
      <c r="C29" s="45"/>
      <c r="D29" s="45"/>
      <c r="E29" s="45"/>
      <c r="F29" s="45"/>
      <c r="G29" s="45"/>
      <c r="H29" s="45"/>
      <c r="I29" s="45"/>
      <c r="J29" s="45"/>
      <c r="K29" s="45"/>
      <c r="L29" s="45"/>
      <c r="M29" s="45"/>
      <c r="N29" s="22"/>
      <c r="O29" s="22"/>
      <c r="P29" s="22"/>
      <c r="Q29" s="22"/>
      <c r="R29" s="22"/>
      <c r="S29" s="22"/>
      <c r="T29" s="22"/>
      <c r="U29" s="22"/>
      <c r="V29" s="22"/>
      <c r="W29" s="22"/>
      <c r="X29" s="22"/>
      <c r="Y29" s="22"/>
      <c r="Z29" s="22"/>
    </row>
    <row r="30">
      <c r="A30" s="22"/>
      <c r="B30" s="22"/>
      <c r="C30" s="45"/>
      <c r="D30" s="45"/>
      <c r="E30" s="45"/>
      <c r="F30" s="45"/>
      <c r="G30" s="45"/>
      <c r="H30" s="45"/>
      <c r="I30" s="45"/>
      <c r="J30" s="45"/>
      <c r="K30" s="45"/>
      <c r="L30" s="45"/>
      <c r="M30" s="45"/>
      <c r="N30" s="22"/>
      <c r="O30" s="22"/>
      <c r="P30" s="22"/>
      <c r="Q30" s="22"/>
      <c r="R30" s="22"/>
      <c r="S30" s="22"/>
      <c r="T30" s="22"/>
      <c r="U30" s="22"/>
      <c r="V30" s="22"/>
      <c r="W30" s="22"/>
      <c r="X30" s="22"/>
      <c r="Y30" s="22"/>
      <c r="Z30" s="22"/>
    </row>
    <row r="31">
      <c r="A31" s="22"/>
      <c r="B31" s="22"/>
      <c r="C31" s="45"/>
      <c r="D31" s="45"/>
      <c r="E31" s="45"/>
      <c r="F31" s="45"/>
      <c r="G31" s="45"/>
      <c r="H31" s="45"/>
      <c r="I31" s="45"/>
      <c r="J31" s="45"/>
      <c r="K31" s="45"/>
      <c r="L31" s="45"/>
      <c r="M31" s="45"/>
      <c r="N31" s="22"/>
      <c r="O31" s="22"/>
      <c r="P31" s="22"/>
      <c r="Q31" s="22"/>
      <c r="R31" s="22"/>
      <c r="S31" s="22"/>
      <c r="T31" s="22"/>
      <c r="U31" s="22"/>
      <c r="V31" s="22"/>
      <c r="W31" s="22"/>
      <c r="X31" s="22"/>
      <c r="Y31" s="22"/>
      <c r="Z31" s="22"/>
    </row>
    <row r="32">
      <c r="A32" s="22"/>
      <c r="B32" s="22"/>
      <c r="C32" s="45"/>
      <c r="D32" s="45"/>
      <c r="E32" s="45"/>
      <c r="F32" s="45"/>
      <c r="G32" s="45"/>
      <c r="H32" s="45"/>
      <c r="I32" s="45"/>
      <c r="J32" s="45"/>
      <c r="K32" s="45"/>
      <c r="L32" s="45"/>
      <c r="M32" s="45"/>
      <c r="N32" s="22"/>
      <c r="O32" s="22"/>
      <c r="P32" s="22"/>
      <c r="Q32" s="22"/>
      <c r="R32" s="22"/>
      <c r="S32" s="22"/>
      <c r="T32" s="22"/>
      <c r="U32" s="22"/>
      <c r="V32" s="22"/>
      <c r="W32" s="22"/>
      <c r="X32" s="22"/>
      <c r="Y32" s="22"/>
      <c r="Z32" s="22"/>
    </row>
    <row r="33">
      <c r="A33" s="22"/>
      <c r="B33" s="22"/>
      <c r="C33" s="45"/>
      <c r="D33" s="45"/>
      <c r="E33" s="45"/>
      <c r="F33" s="45"/>
      <c r="G33" s="45"/>
      <c r="H33" s="45"/>
      <c r="I33" s="45"/>
      <c r="J33" s="45"/>
      <c r="K33" s="45"/>
      <c r="L33" s="45"/>
      <c r="M33" s="45"/>
      <c r="N33" s="22"/>
      <c r="O33" s="22"/>
      <c r="P33" s="22"/>
      <c r="Q33" s="22"/>
      <c r="R33" s="22"/>
      <c r="S33" s="22"/>
      <c r="T33" s="22"/>
      <c r="U33" s="22"/>
      <c r="V33" s="22"/>
      <c r="W33" s="22"/>
      <c r="X33" s="22"/>
      <c r="Y33" s="22"/>
      <c r="Z33" s="22"/>
    </row>
    <row r="34">
      <c r="A34" s="22"/>
      <c r="B34" s="22"/>
      <c r="C34" s="45"/>
      <c r="D34" s="45"/>
      <c r="E34" s="45"/>
      <c r="F34" s="45"/>
      <c r="G34" s="45"/>
      <c r="H34" s="45"/>
      <c r="I34" s="45"/>
      <c r="J34" s="45"/>
      <c r="K34" s="45"/>
      <c r="L34" s="45"/>
      <c r="M34" s="45"/>
      <c r="N34" s="22"/>
      <c r="O34" s="22"/>
      <c r="P34" s="22"/>
      <c r="Q34" s="22"/>
      <c r="R34" s="22"/>
      <c r="S34" s="22"/>
      <c r="T34" s="22"/>
      <c r="U34" s="22"/>
      <c r="V34" s="22"/>
      <c r="W34" s="22"/>
      <c r="X34" s="22"/>
      <c r="Y34" s="22"/>
      <c r="Z34" s="22"/>
    </row>
    <row r="35">
      <c r="A35" s="22"/>
      <c r="B35" s="22"/>
      <c r="C35" s="45"/>
      <c r="D35" s="45"/>
      <c r="E35" s="45"/>
      <c r="F35" s="45"/>
      <c r="G35" s="45"/>
      <c r="H35" s="45"/>
      <c r="I35" s="45"/>
      <c r="J35" s="45"/>
      <c r="K35" s="45"/>
      <c r="L35" s="45"/>
      <c r="M35" s="45"/>
      <c r="N35" s="22"/>
      <c r="O35" s="22"/>
      <c r="P35" s="22"/>
      <c r="Q35" s="22"/>
      <c r="R35" s="22"/>
      <c r="S35" s="22"/>
      <c r="T35" s="22"/>
      <c r="U35" s="22"/>
      <c r="V35" s="22"/>
      <c r="W35" s="22"/>
      <c r="X35" s="22"/>
      <c r="Y35" s="22"/>
      <c r="Z35" s="22"/>
    </row>
    <row r="36">
      <c r="A36" s="22"/>
      <c r="B36" s="22"/>
      <c r="C36" s="44"/>
      <c r="D36" s="44"/>
      <c r="E36" s="44"/>
      <c r="F36" s="44"/>
      <c r="G36" s="44"/>
      <c r="H36" s="44"/>
      <c r="I36" s="44"/>
      <c r="J36" s="44"/>
      <c r="K36" s="44"/>
      <c r="L36" s="44"/>
      <c r="M36" s="44"/>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row>
  </sheetData>
  <mergeCells count="3">
    <mergeCell ref="C3:H3"/>
    <mergeCell ref="I3:M3"/>
    <mergeCell ref="C21:I2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 customWidth="1" min="11" max="11" width="11.88"/>
  </cols>
  <sheetData>
    <row r="1">
      <c r="A1" s="22"/>
      <c r="B1" s="22"/>
      <c r="C1" s="22"/>
      <c r="D1" s="22"/>
      <c r="E1" s="22"/>
      <c r="F1" s="22"/>
      <c r="G1" s="22"/>
      <c r="H1" s="22"/>
      <c r="I1" s="22"/>
      <c r="J1" s="22"/>
      <c r="K1" s="22"/>
      <c r="L1" s="22"/>
      <c r="M1" s="22"/>
      <c r="N1" s="22"/>
      <c r="O1" s="22"/>
      <c r="P1" s="22"/>
      <c r="Q1" s="22"/>
      <c r="R1" s="22"/>
      <c r="S1" s="22"/>
      <c r="T1" s="22"/>
      <c r="U1" s="22"/>
      <c r="V1" s="22"/>
      <c r="W1" s="22"/>
      <c r="X1" s="22"/>
      <c r="Y1" s="22"/>
      <c r="Z1" s="22"/>
    </row>
    <row r="2">
      <c r="A2" s="22"/>
      <c r="B2" s="22"/>
      <c r="C2" s="23"/>
      <c r="D2" s="23"/>
      <c r="E2" s="23"/>
      <c r="F2" s="23"/>
      <c r="G2" s="23"/>
      <c r="H2" s="23"/>
      <c r="I2" s="23"/>
      <c r="J2" s="23"/>
      <c r="K2" s="23"/>
      <c r="L2" s="23"/>
      <c r="M2" s="23"/>
      <c r="N2" s="22"/>
      <c r="O2" s="22"/>
      <c r="P2" s="22"/>
      <c r="Q2" s="22"/>
      <c r="R2" s="22"/>
      <c r="S2" s="22"/>
      <c r="T2" s="22"/>
      <c r="U2" s="22"/>
      <c r="V2" s="22"/>
      <c r="W2" s="22"/>
      <c r="X2" s="22"/>
      <c r="Y2" s="22"/>
      <c r="Z2" s="22"/>
    </row>
    <row r="3">
      <c r="A3" s="22"/>
      <c r="B3" s="24"/>
      <c r="C3" s="25" t="s">
        <v>24</v>
      </c>
      <c r="D3" s="26"/>
      <c r="E3" s="26"/>
      <c r="F3" s="26"/>
      <c r="G3" s="26"/>
      <c r="H3" s="27"/>
      <c r="I3" s="28" t="s">
        <v>25</v>
      </c>
      <c r="J3" s="26"/>
      <c r="K3" s="26"/>
      <c r="L3" s="26"/>
      <c r="M3" s="29"/>
      <c r="N3" s="30"/>
      <c r="O3" s="22"/>
      <c r="P3" s="22"/>
      <c r="Q3" s="22"/>
      <c r="R3" s="22"/>
      <c r="S3" s="22"/>
      <c r="T3" s="22"/>
      <c r="U3" s="22"/>
      <c r="V3" s="22"/>
      <c r="W3" s="22"/>
      <c r="X3" s="22"/>
      <c r="Y3" s="22"/>
      <c r="Z3" s="22"/>
    </row>
    <row r="4">
      <c r="A4" s="22"/>
      <c r="B4" s="31" t="s">
        <v>31</v>
      </c>
      <c r="C4" s="48">
        <v>2020.0</v>
      </c>
      <c r="D4" s="49">
        <f t="shared" ref="D4:M4" si="1">C4+1</f>
        <v>2021</v>
      </c>
      <c r="E4" s="49">
        <f t="shared" si="1"/>
        <v>2022</v>
      </c>
      <c r="F4" s="49">
        <f t="shared" si="1"/>
        <v>2023</v>
      </c>
      <c r="G4" s="49">
        <f t="shared" si="1"/>
        <v>2024</v>
      </c>
      <c r="H4" s="49">
        <f t="shared" si="1"/>
        <v>2025</v>
      </c>
      <c r="I4" s="50">
        <f t="shared" si="1"/>
        <v>2026</v>
      </c>
      <c r="J4" s="50">
        <f t="shared" si="1"/>
        <v>2027</v>
      </c>
      <c r="K4" s="50">
        <f t="shared" si="1"/>
        <v>2028</v>
      </c>
      <c r="L4" s="50">
        <f t="shared" si="1"/>
        <v>2029</v>
      </c>
      <c r="M4" s="51">
        <f t="shared" si="1"/>
        <v>2030</v>
      </c>
      <c r="N4" s="30"/>
      <c r="O4" s="22"/>
      <c r="P4" s="22"/>
      <c r="Q4" s="22"/>
      <c r="R4" s="22"/>
      <c r="S4" s="22"/>
      <c r="T4" s="22"/>
      <c r="U4" s="22"/>
      <c r="V4" s="22"/>
      <c r="W4" s="22"/>
      <c r="X4" s="22"/>
      <c r="Y4" s="22"/>
      <c r="Z4" s="22"/>
    </row>
    <row r="5">
      <c r="A5" s="22"/>
      <c r="B5" s="31" t="s">
        <v>60</v>
      </c>
      <c r="C5" s="134">
        <v>2633.0</v>
      </c>
      <c r="D5" s="135">
        <v>2523.0</v>
      </c>
      <c r="E5" s="135">
        <v>2544.0</v>
      </c>
      <c r="F5" s="135">
        <v>2998.0</v>
      </c>
      <c r="G5" s="135">
        <v>3709.0</v>
      </c>
      <c r="H5" s="135">
        <v>4003.0</v>
      </c>
      <c r="I5" s="136">
        <f t="shared" ref="I5:M5" si="2">H8</f>
        <v>4708</v>
      </c>
      <c r="J5" s="136">
        <f t="shared" si="2"/>
        <v>5383.78805</v>
      </c>
      <c r="K5" s="136">
        <f t="shared" si="2"/>
        <v>6199.136469</v>
      </c>
      <c r="L5" s="136">
        <f t="shared" si="2"/>
        <v>7153.917622</v>
      </c>
      <c r="M5" s="137">
        <f t="shared" si="2"/>
        <v>8238.076394</v>
      </c>
      <c r="N5" s="30"/>
      <c r="O5" s="22"/>
      <c r="P5" s="22"/>
      <c r="Q5" s="22"/>
      <c r="R5" s="22"/>
      <c r="S5" s="22"/>
      <c r="T5" s="22"/>
      <c r="U5" s="22"/>
      <c r="V5" s="22"/>
      <c r="W5" s="22"/>
      <c r="X5" s="22"/>
      <c r="Y5" s="22"/>
      <c r="Z5" s="22"/>
    </row>
    <row r="6">
      <c r="A6" s="22"/>
      <c r="B6" s="31" t="s">
        <v>61</v>
      </c>
      <c r="C6" s="84">
        <f t="shared" ref="C6:H6" si="3">C8-C5+C7</f>
        <v>238</v>
      </c>
      <c r="D6" s="70">
        <f t="shared" si="3"/>
        <v>396</v>
      </c>
      <c r="E6" s="70">
        <f t="shared" si="3"/>
        <v>853</v>
      </c>
      <c r="F6" s="70">
        <f t="shared" si="3"/>
        <v>1152</v>
      </c>
      <c r="G6" s="70">
        <f t="shared" si="3"/>
        <v>878</v>
      </c>
      <c r="H6" s="70">
        <f t="shared" si="3"/>
        <v>1398</v>
      </c>
      <c r="I6" s="70">
        <f>2*Revenue!I4/100</f>
        <v>1501.751222</v>
      </c>
      <c r="J6" s="70">
        <f>2*Revenue!J4/100</f>
        <v>1811.885376</v>
      </c>
      <c r="K6" s="70">
        <f>2*Revenue!K4/100</f>
        <v>2121.735894</v>
      </c>
      <c r="L6" s="70">
        <f>2*Revenue!L4/100</f>
        <v>2409.241717</v>
      </c>
      <c r="M6" s="71">
        <f>2*Revenue!M4/100</f>
        <v>2650.165888</v>
      </c>
      <c r="N6" s="30"/>
      <c r="O6" s="22"/>
      <c r="P6" s="22"/>
      <c r="Q6" s="22"/>
      <c r="R6" s="22"/>
      <c r="S6" s="22"/>
      <c r="T6" s="22"/>
      <c r="U6" s="22"/>
      <c r="V6" s="22"/>
      <c r="W6" s="22"/>
      <c r="X6" s="22"/>
      <c r="Y6" s="22"/>
      <c r="Z6" s="22"/>
    </row>
    <row r="7">
      <c r="A7" s="22"/>
      <c r="B7" s="31" t="s">
        <v>34</v>
      </c>
      <c r="C7" s="123">
        <f>'Profit and Loss'!B9</f>
        <v>348</v>
      </c>
      <c r="D7" s="61">
        <f>'Profit and Loss'!C9</f>
        <v>375</v>
      </c>
      <c r="E7" s="61">
        <f>'Profit and Loss'!D9</f>
        <v>399</v>
      </c>
      <c r="F7" s="61">
        <f>'Profit and Loss'!E9</f>
        <v>441</v>
      </c>
      <c r="G7" s="61">
        <f>'Profit and Loss'!F9</f>
        <v>584</v>
      </c>
      <c r="H7" s="61">
        <f>'Profit and Loss'!G9</f>
        <v>693</v>
      </c>
      <c r="I7" s="61">
        <f>'Profit and Loss'!H9</f>
        <v>825.9631723</v>
      </c>
      <c r="J7" s="61">
        <f>'Profit and Loss'!I9</f>
        <v>996.5369569</v>
      </c>
      <c r="K7" s="61">
        <f>'Profit and Loss'!J9</f>
        <v>1166.954742</v>
      </c>
      <c r="L7" s="61">
        <f>'Profit and Loss'!K9</f>
        <v>1325.082944</v>
      </c>
      <c r="M7" s="62">
        <f>'Profit and Loss'!L9</f>
        <v>1457.591239</v>
      </c>
      <c r="N7" s="30"/>
      <c r="O7" s="22"/>
      <c r="P7" s="22"/>
      <c r="Q7" s="22"/>
      <c r="R7" s="22"/>
      <c r="S7" s="22"/>
      <c r="T7" s="22"/>
      <c r="U7" s="22"/>
      <c r="V7" s="22"/>
      <c r="W7" s="22"/>
      <c r="X7" s="22"/>
      <c r="Y7" s="22"/>
      <c r="Z7" s="22"/>
    </row>
    <row r="8">
      <c r="A8" s="22"/>
      <c r="B8" s="31" t="s">
        <v>62</v>
      </c>
      <c r="C8" s="138">
        <v>2523.0</v>
      </c>
      <c r="D8" s="139">
        <v>2544.0</v>
      </c>
      <c r="E8" s="139">
        <v>2998.0</v>
      </c>
      <c r="F8" s="139">
        <v>3709.0</v>
      </c>
      <c r="G8" s="139">
        <v>4003.0</v>
      </c>
      <c r="H8" s="139">
        <v>4708.0</v>
      </c>
      <c r="I8" s="95">
        <f t="shared" ref="I8:M8" si="4">I5+I6-I7</f>
        <v>5383.78805</v>
      </c>
      <c r="J8" s="95">
        <f t="shared" si="4"/>
        <v>6199.136469</v>
      </c>
      <c r="K8" s="95">
        <f t="shared" si="4"/>
        <v>7153.917622</v>
      </c>
      <c r="L8" s="95">
        <f t="shared" si="4"/>
        <v>8238.076394</v>
      </c>
      <c r="M8" s="96">
        <f t="shared" si="4"/>
        <v>9430.651044</v>
      </c>
      <c r="N8" s="30"/>
      <c r="O8" s="22"/>
      <c r="P8" s="22"/>
      <c r="Q8" s="22"/>
      <c r="R8" s="22"/>
      <c r="S8" s="22"/>
      <c r="T8" s="22"/>
      <c r="U8" s="22"/>
      <c r="V8" s="22"/>
      <c r="W8" s="22"/>
      <c r="X8" s="22"/>
      <c r="Y8" s="22"/>
      <c r="Z8" s="22"/>
    </row>
    <row r="9">
      <c r="A9" s="22"/>
      <c r="B9" s="22"/>
      <c r="C9" s="44"/>
      <c r="D9" s="44"/>
      <c r="E9" s="44"/>
      <c r="F9" s="44"/>
      <c r="G9" s="44"/>
      <c r="H9" s="44"/>
      <c r="I9" s="44"/>
      <c r="J9" s="44"/>
      <c r="K9" s="44"/>
      <c r="L9" s="44"/>
      <c r="M9" s="44"/>
      <c r="N9" s="22"/>
      <c r="O9" s="22"/>
      <c r="P9" s="22"/>
      <c r="Q9" s="22"/>
      <c r="R9" s="22"/>
      <c r="S9" s="22"/>
      <c r="T9" s="22"/>
      <c r="U9" s="22"/>
      <c r="V9" s="22"/>
      <c r="W9" s="22"/>
      <c r="X9" s="22"/>
      <c r="Y9" s="22"/>
      <c r="Z9" s="22"/>
    </row>
    <row r="10">
      <c r="A10" s="22"/>
      <c r="B10" s="22"/>
      <c r="C10" s="46" t="s">
        <v>30</v>
      </c>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3"/>
      <c r="D11" s="23"/>
      <c r="E11" s="23"/>
      <c r="F11" s="23"/>
      <c r="G11" s="23"/>
      <c r="H11" s="23"/>
      <c r="I11" s="23"/>
      <c r="J11" s="23"/>
      <c r="K11" s="23"/>
      <c r="L11" s="22"/>
      <c r="M11" s="22"/>
      <c r="N11" s="22"/>
      <c r="O11" s="22"/>
      <c r="P11" s="22"/>
      <c r="Q11" s="22"/>
      <c r="R11" s="22"/>
      <c r="S11" s="22"/>
      <c r="T11" s="22"/>
      <c r="U11" s="22"/>
      <c r="V11" s="22"/>
      <c r="W11" s="22"/>
      <c r="X11" s="22"/>
      <c r="Y11" s="22"/>
      <c r="Z11" s="22"/>
    </row>
    <row r="12">
      <c r="A12" s="22"/>
      <c r="B12" s="24"/>
      <c r="C12" s="98" t="s">
        <v>44</v>
      </c>
      <c r="D12" s="99"/>
      <c r="E12" s="99"/>
      <c r="F12" s="99"/>
      <c r="G12" s="99"/>
      <c r="H12" s="99"/>
      <c r="I12" s="99"/>
      <c r="J12" s="99"/>
      <c r="K12" s="100"/>
      <c r="L12" s="30"/>
      <c r="M12" s="22"/>
      <c r="N12" s="22"/>
      <c r="O12" s="22"/>
      <c r="P12" s="22"/>
      <c r="Q12" s="22"/>
      <c r="R12" s="22"/>
      <c r="S12" s="22"/>
      <c r="T12" s="22"/>
      <c r="U12" s="22"/>
      <c r="V12" s="22"/>
      <c r="W12" s="22"/>
      <c r="X12" s="22"/>
      <c r="Y12" s="22"/>
      <c r="Z12" s="22"/>
    </row>
    <row r="13">
      <c r="A13" s="22"/>
      <c r="B13" s="24"/>
      <c r="C13" s="101" t="s">
        <v>63</v>
      </c>
      <c r="D13" s="102"/>
      <c r="E13" s="102"/>
      <c r="F13" s="102"/>
      <c r="G13" s="102"/>
      <c r="H13" s="140" t="s">
        <v>64</v>
      </c>
      <c r="I13" s="141"/>
      <c r="J13" s="142"/>
      <c r="K13" s="143"/>
      <c r="L13" s="30"/>
      <c r="M13" s="22"/>
      <c r="N13" s="22"/>
      <c r="O13" s="22"/>
      <c r="P13" s="22"/>
      <c r="Q13" s="22"/>
      <c r="R13" s="22"/>
      <c r="S13" s="22"/>
      <c r="T13" s="22"/>
      <c r="U13" s="22"/>
      <c r="V13" s="22"/>
      <c r="W13" s="22"/>
      <c r="X13" s="22"/>
      <c r="Y13" s="22"/>
      <c r="Z13" s="22"/>
    </row>
    <row r="14">
      <c r="A14" s="22"/>
      <c r="B14" s="22"/>
      <c r="C14" s="44"/>
      <c r="D14" s="44"/>
      <c r="E14" s="44"/>
      <c r="F14" s="44"/>
      <c r="G14" s="44"/>
      <c r="H14" s="44"/>
      <c r="I14" s="44"/>
      <c r="J14" s="44"/>
      <c r="K14" s="44"/>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sheetData>
  <mergeCells count="3">
    <mergeCell ref="C3:H3"/>
    <mergeCell ref="I3:M3"/>
    <mergeCell ref="C12:K1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26.88"/>
    <col customWidth="1" min="11" max="11" width="15.25"/>
  </cols>
  <sheetData>
    <row r="1">
      <c r="A1" s="22"/>
      <c r="B1" s="22"/>
      <c r="C1" s="23"/>
      <c r="D1" s="23"/>
      <c r="E1" s="23"/>
      <c r="F1" s="23"/>
      <c r="G1" s="23"/>
      <c r="H1" s="23"/>
      <c r="I1" s="23"/>
      <c r="J1" s="23"/>
      <c r="K1" s="23"/>
      <c r="L1" s="23"/>
      <c r="M1" s="23"/>
      <c r="N1" s="22"/>
      <c r="O1" s="22"/>
      <c r="P1" s="22"/>
      <c r="Q1" s="22"/>
      <c r="R1" s="22"/>
      <c r="S1" s="22"/>
      <c r="T1" s="22"/>
      <c r="U1" s="22"/>
      <c r="V1" s="22"/>
      <c r="W1" s="22"/>
      <c r="X1" s="22"/>
      <c r="Y1" s="22"/>
      <c r="Z1" s="22"/>
    </row>
    <row r="2">
      <c r="A2" s="22"/>
      <c r="B2" s="24"/>
      <c r="C2" s="25" t="s">
        <v>24</v>
      </c>
      <c r="D2" s="26"/>
      <c r="E2" s="26"/>
      <c r="F2" s="26"/>
      <c r="G2" s="26"/>
      <c r="H2" s="27"/>
      <c r="I2" s="28" t="s">
        <v>25</v>
      </c>
      <c r="J2" s="26"/>
      <c r="K2" s="26"/>
      <c r="L2" s="26"/>
      <c r="M2" s="29"/>
      <c r="N2" s="30"/>
      <c r="O2" s="22"/>
      <c r="P2" s="22"/>
      <c r="Q2" s="22"/>
      <c r="R2" s="22"/>
      <c r="S2" s="22"/>
      <c r="T2" s="22"/>
      <c r="U2" s="22"/>
      <c r="V2" s="22"/>
      <c r="W2" s="22"/>
      <c r="X2" s="22"/>
      <c r="Y2" s="22"/>
      <c r="Z2" s="22"/>
    </row>
    <row r="3">
      <c r="A3" s="22"/>
      <c r="B3" s="31" t="s">
        <v>31</v>
      </c>
      <c r="C3" s="48">
        <v>2020.0</v>
      </c>
      <c r="D3" s="49">
        <f t="shared" ref="D3:M3" si="1">C3+1</f>
        <v>2021</v>
      </c>
      <c r="E3" s="49">
        <f t="shared" si="1"/>
        <v>2022</v>
      </c>
      <c r="F3" s="49">
        <f t="shared" si="1"/>
        <v>2023</v>
      </c>
      <c r="G3" s="49">
        <f t="shared" si="1"/>
        <v>2024</v>
      </c>
      <c r="H3" s="49">
        <f t="shared" si="1"/>
        <v>2025</v>
      </c>
      <c r="I3" s="50">
        <f t="shared" si="1"/>
        <v>2026</v>
      </c>
      <c r="J3" s="50">
        <f t="shared" si="1"/>
        <v>2027</v>
      </c>
      <c r="K3" s="50">
        <f t="shared" si="1"/>
        <v>2028</v>
      </c>
      <c r="L3" s="50">
        <f t="shared" si="1"/>
        <v>2029</v>
      </c>
      <c r="M3" s="51">
        <f t="shared" si="1"/>
        <v>2030</v>
      </c>
      <c r="N3" s="30"/>
      <c r="O3" s="22"/>
      <c r="P3" s="22"/>
      <c r="Q3" s="22"/>
      <c r="R3" s="22"/>
      <c r="S3" s="22"/>
      <c r="T3" s="22"/>
      <c r="U3" s="22"/>
      <c r="V3" s="22"/>
      <c r="W3" s="22"/>
      <c r="X3" s="22"/>
      <c r="Y3" s="22"/>
      <c r="Z3" s="22"/>
    </row>
    <row r="4">
      <c r="A4" s="22"/>
      <c r="B4" s="24"/>
      <c r="C4" s="144"/>
      <c r="D4" s="145"/>
      <c r="E4" s="145"/>
      <c r="F4" s="145"/>
      <c r="G4" s="145"/>
      <c r="H4" s="145"/>
      <c r="I4" s="146"/>
      <c r="J4" s="146"/>
      <c r="K4" s="146"/>
      <c r="L4" s="146"/>
      <c r="M4" s="147"/>
      <c r="N4" s="30"/>
      <c r="O4" s="22"/>
      <c r="P4" s="22"/>
      <c r="Q4" s="22"/>
      <c r="R4" s="22"/>
      <c r="S4" s="22"/>
      <c r="T4" s="22"/>
      <c r="U4" s="22"/>
      <c r="V4" s="22"/>
      <c r="W4" s="22"/>
      <c r="X4" s="22"/>
      <c r="Y4" s="22"/>
      <c r="Z4" s="22"/>
    </row>
    <row r="5">
      <c r="A5" s="22"/>
      <c r="B5" s="31" t="s">
        <v>65</v>
      </c>
      <c r="C5" s="59">
        <f>'Profit and Loss'!B8</f>
        <v>2463</v>
      </c>
      <c r="D5" s="60">
        <f>'Profit and Loss'!C8</f>
        <v>1725</v>
      </c>
      <c r="E5" s="60">
        <f>'Profit and Loss'!D8</f>
        <v>3344</v>
      </c>
      <c r="F5" s="60">
        <f>'Profit and Loss'!E8</f>
        <v>4882</v>
      </c>
      <c r="G5" s="60">
        <f>'Profit and Loss'!F8</f>
        <v>5292</v>
      </c>
      <c r="H5" s="60">
        <f>'Profit and Loss'!G8</f>
        <v>5694</v>
      </c>
      <c r="I5" s="61">
        <f>'Profit and Loss'!H8</f>
        <v>8935.419773</v>
      </c>
      <c r="J5" s="61">
        <f>'Profit and Loss'!I8</f>
        <v>11233.68933</v>
      </c>
      <c r="K5" s="61">
        <f>'Profit and Loss'!J8</f>
        <v>13685.19652</v>
      </c>
      <c r="L5" s="61">
        <f>'Profit and Loss'!K8</f>
        <v>15539.60907</v>
      </c>
      <c r="M5" s="62">
        <f>'Profit and Loss'!L8</f>
        <v>17093.56998</v>
      </c>
      <c r="N5" s="30"/>
      <c r="O5" s="22"/>
      <c r="P5" s="22"/>
      <c r="Q5" s="22"/>
      <c r="R5" s="22"/>
      <c r="S5" s="22"/>
      <c r="T5" s="22"/>
      <c r="U5" s="22"/>
      <c r="V5" s="22"/>
      <c r="W5" s="22"/>
      <c r="X5" s="22"/>
      <c r="Y5" s="22"/>
      <c r="Z5" s="22"/>
    </row>
    <row r="6">
      <c r="A6" s="22"/>
      <c r="B6" s="31" t="s">
        <v>40</v>
      </c>
      <c r="C6" s="148">
        <f>'Profit and Loss'!B15</f>
        <v>0.29</v>
      </c>
      <c r="D6" s="149">
        <f>'Profit and Loss'!C15</f>
        <v>0.27</v>
      </c>
      <c r="E6" s="149">
        <f>'Profit and Loss'!D15</f>
        <v>0.24</v>
      </c>
      <c r="F6" s="149">
        <f>'Profit and Loss'!E15</f>
        <v>0.26</v>
      </c>
      <c r="G6" s="149">
        <f>'Profit and Loss'!F15</f>
        <v>0.24</v>
      </c>
      <c r="H6" s="149">
        <f>'Profit and Loss'!G15</f>
        <v>0.26</v>
      </c>
      <c r="I6" s="64">
        <f>'Profit and Loss'!H15</f>
        <v>0.25</v>
      </c>
      <c r="J6" s="64">
        <f>'Profit and Loss'!I15</f>
        <v>0.25</v>
      </c>
      <c r="K6" s="64">
        <f>'Profit and Loss'!J15</f>
        <v>0.25</v>
      </c>
      <c r="L6" s="64">
        <f>'Profit and Loss'!K15</f>
        <v>0.25</v>
      </c>
      <c r="M6" s="65">
        <f>'Profit and Loss'!L15</f>
        <v>0.25</v>
      </c>
      <c r="N6" s="30"/>
      <c r="O6" s="22"/>
      <c r="P6" s="22"/>
      <c r="Q6" s="22"/>
      <c r="R6" s="22"/>
      <c r="S6" s="22"/>
      <c r="T6" s="22"/>
      <c r="U6" s="22"/>
      <c r="V6" s="22"/>
      <c r="W6" s="22"/>
      <c r="X6" s="22"/>
      <c r="Y6" s="22"/>
      <c r="Z6" s="22"/>
    </row>
    <row r="7">
      <c r="A7" s="22"/>
      <c r="B7" s="31" t="s">
        <v>66</v>
      </c>
      <c r="C7" s="66">
        <f t="shared" ref="C7:M7" si="2">C5*(1-C6)</f>
        <v>1748.73</v>
      </c>
      <c r="D7" s="22">
        <f t="shared" si="2"/>
        <v>1259.25</v>
      </c>
      <c r="E7" s="22">
        <f t="shared" si="2"/>
        <v>2541.44</v>
      </c>
      <c r="F7" s="22">
        <f t="shared" si="2"/>
        <v>3612.68</v>
      </c>
      <c r="G7" s="22">
        <f t="shared" si="2"/>
        <v>4021.92</v>
      </c>
      <c r="H7" s="22">
        <f t="shared" si="2"/>
        <v>4213.56</v>
      </c>
      <c r="I7" s="22">
        <f t="shared" si="2"/>
        <v>6701.56483</v>
      </c>
      <c r="J7" s="22">
        <f t="shared" si="2"/>
        <v>8425.266999</v>
      </c>
      <c r="K7" s="22">
        <f t="shared" si="2"/>
        <v>10263.89739</v>
      </c>
      <c r="L7" s="22">
        <f t="shared" si="2"/>
        <v>11654.7068</v>
      </c>
      <c r="M7" s="67">
        <f t="shared" si="2"/>
        <v>12820.17748</v>
      </c>
      <c r="N7" s="30"/>
      <c r="O7" s="22"/>
      <c r="P7" s="22"/>
      <c r="Q7" s="22"/>
      <c r="R7" s="22"/>
      <c r="S7" s="22"/>
      <c r="T7" s="22"/>
      <c r="U7" s="22"/>
      <c r="V7" s="22"/>
      <c r="W7" s="22"/>
      <c r="X7" s="22"/>
      <c r="Y7" s="22"/>
      <c r="Z7" s="22"/>
    </row>
    <row r="8">
      <c r="A8" s="22"/>
      <c r="B8" s="31"/>
      <c r="C8" s="66"/>
      <c r="D8" s="22"/>
      <c r="E8" s="22"/>
      <c r="F8" s="22"/>
      <c r="G8" s="22"/>
      <c r="H8" s="22"/>
      <c r="I8" s="22"/>
      <c r="J8" s="22"/>
      <c r="K8" s="22"/>
      <c r="L8" s="22"/>
      <c r="M8" s="67"/>
      <c r="N8" s="30"/>
      <c r="O8" s="22"/>
      <c r="P8" s="22"/>
      <c r="Q8" s="22"/>
      <c r="R8" s="22"/>
      <c r="S8" s="22"/>
      <c r="T8" s="22"/>
      <c r="U8" s="22"/>
      <c r="V8" s="22"/>
      <c r="W8" s="22"/>
      <c r="X8" s="22"/>
      <c r="Y8" s="22"/>
      <c r="Z8" s="22"/>
    </row>
    <row r="9">
      <c r="A9" s="22"/>
      <c r="B9" s="31" t="s">
        <v>34</v>
      </c>
      <c r="C9" s="63">
        <f>'Profit and Loss'!B9</f>
        <v>348</v>
      </c>
      <c r="D9" s="150">
        <f>'Profit and Loss'!C9</f>
        <v>375</v>
      </c>
      <c r="E9" s="150">
        <f>'Profit and Loss'!D9</f>
        <v>399</v>
      </c>
      <c r="F9" s="150">
        <f>'Profit and Loss'!E9</f>
        <v>441</v>
      </c>
      <c r="G9" s="150">
        <f>'Profit and Loss'!F9</f>
        <v>584</v>
      </c>
      <c r="H9" s="150">
        <f>'Profit and Loss'!G9</f>
        <v>693</v>
      </c>
      <c r="I9" s="61">
        <f>'Profit and Loss'!H9</f>
        <v>825.9631723</v>
      </c>
      <c r="J9" s="61">
        <f>'Profit and Loss'!I9</f>
        <v>996.5369569</v>
      </c>
      <c r="K9" s="61">
        <f>'Profit and Loss'!J9</f>
        <v>1166.954742</v>
      </c>
      <c r="L9" s="61">
        <f>'Profit and Loss'!K9</f>
        <v>1325.082944</v>
      </c>
      <c r="M9" s="62">
        <f>'Profit and Loss'!L9</f>
        <v>1457.591239</v>
      </c>
      <c r="N9" s="30"/>
      <c r="O9" s="22"/>
      <c r="P9" s="22"/>
      <c r="Q9" s="22"/>
      <c r="R9" s="22"/>
      <c r="S9" s="22"/>
      <c r="T9" s="22"/>
      <c r="U9" s="22"/>
      <c r="V9" s="22"/>
      <c r="W9" s="22"/>
      <c r="X9" s="22"/>
      <c r="Y9" s="22"/>
      <c r="Z9" s="22"/>
    </row>
    <row r="10">
      <c r="A10" s="22"/>
      <c r="B10" s="31" t="s">
        <v>61</v>
      </c>
      <c r="C10" s="84">
        <f>'Fixed Assets'!C6</f>
        <v>238</v>
      </c>
      <c r="D10" s="70">
        <f>'Fixed Assets'!D6</f>
        <v>396</v>
      </c>
      <c r="E10" s="70">
        <f>'Fixed Assets'!E6</f>
        <v>853</v>
      </c>
      <c r="F10" s="70">
        <f>'Fixed Assets'!F6</f>
        <v>1152</v>
      </c>
      <c r="G10" s="70">
        <f>'Fixed Assets'!G6</f>
        <v>878</v>
      </c>
      <c r="H10" s="70">
        <f>'Fixed Assets'!H6</f>
        <v>1398</v>
      </c>
      <c r="I10" s="70">
        <f>'Fixed Assets'!I6</f>
        <v>1501.751222</v>
      </c>
      <c r="J10" s="70">
        <f>'Fixed Assets'!J6</f>
        <v>1811.885376</v>
      </c>
      <c r="K10" s="70">
        <f>'Fixed Assets'!K6</f>
        <v>2121.735894</v>
      </c>
      <c r="L10" s="70">
        <f>'Fixed Assets'!L6</f>
        <v>2409.241717</v>
      </c>
      <c r="M10" s="71">
        <f>'Fixed Assets'!M6</f>
        <v>2650.165888</v>
      </c>
      <c r="N10" s="30"/>
      <c r="O10" s="22"/>
      <c r="P10" s="22"/>
      <c r="Q10" s="22"/>
      <c r="R10" s="22"/>
      <c r="S10" s="22"/>
      <c r="T10" s="22"/>
      <c r="U10" s="22"/>
      <c r="V10" s="22"/>
      <c r="W10" s="22"/>
      <c r="X10" s="22"/>
      <c r="Y10" s="22"/>
      <c r="Z10" s="22"/>
    </row>
    <row r="11">
      <c r="A11" s="22"/>
      <c r="B11" s="31"/>
      <c r="C11" s="66"/>
      <c r="D11" s="22"/>
      <c r="E11" s="22"/>
      <c r="F11" s="22"/>
      <c r="G11" s="22"/>
      <c r="H11" s="22"/>
      <c r="I11" s="22"/>
      <c r="J11" s="22"/>
      <c r="K11" s="22"/>
      <c r="L11" s="22"/>
      <c r="M11" s="67"/>
      <c r="N11" s="30"/>
      <c r="O11" s="23"/>
      <c r="P11" s="23"/>
      <c r="Q11" s="22"/>
      <c r="R11" s="22"/>
      <c r="S11" s="22"/>
      <c r="T11" s="22"/>
      <c r="U11" s="22"/>
      <c r="V11" s="22"/>
      <c r="W11" s="22"/>
      <c r="X11" s="22"/>
      <c r="Y11" s="22"/>
      <c r="Z11" s="22"/>
    </row>
    <row r="12">
      <c r="A12" s="22"/>
      <c r="B12" s="31" t="s">
        <v>67</v>
      </c>
      <c r="C12" s="68">
        <v>8103.0</v>
      </c>
      <c r="D12" s="69">
        <v>8408.0</v>
      </c>
      <c r="E12" s="69">
        <v>13609.0</v>
      </c>
      <c r="F12" s="69">
        <v>16584.0</v>
      </c>
      <c r="G12" s="69">
        <v>19051.0</v>
      </c>
      <c r="H12" s="69">
        <v>28184.0</v>
      </c>
      <c r="I12" s="151">
        <f>46.6*Revenue!I4/100</f>
        <v>34990.80348</v>
      </c>
      <c r="J12" s="151">
        <f>45*Revenue!J4/100</f>
        <v>40767.42096</v>
      </c>
      <c r="K12" s="151">
        <f>43*Revenue!K4/100</f>
        <v>45617.32173</v>
      </c>
      <c r="L12" s="151">
        <f>40*Revenue!L4/100</f>
        <v>48184.83433</v>
      </c>
      <c r="M12" s="152">
        <f>37*Revenue!M4/100</f>
        <v>49028.06893</v>
      </c>
      <c r="N12" s="153"/>
      <c r="O12" s="154" t="s">
        <v>68</v>
      </c>
      <c r="P12" s="155">
        <f>sum(C19:M19)</f>
        <v>41945.27707</v>
      </c>
      <c r="Q12" s="30"/>
      <c r="R12" s="22"/>
      <c r="S12" s="22"/>
      <c r="T12" s="22"/>
      <c r="U12" s="22"/>
      <c r="V12" s="22"/>
      <c r="W12" s="22"/>
      <c r="X12" s="22"/>
      <c r="Y12" s="22"/>
      <c r="Z12" s="22"/>
    </row>
    <row r="13">
      <c r="A13" s="22"/>
      <c r="B13" s="31" t="s">
        <v>69</v>
      </c>
      <c r="C13" s="68">
        <v>312.0</v>
      </c>
      <c r="D13" s="69">
        <v>366.0</v>
      </c>
      <c r="E13" s="69">
        <v>565.0</v>
      </c>
      <c r="F13" s="69">
        <v>674.0</v>
      </c>
      <c r="G13" s="69">
        <v>1018.0</v>
      </c>
      <c r="H13" s="69">
        <v>1068.0</v>
      </c>
      <c r="I13" s="151">
        <f>1.77*Revenue!I4/100</f>
        <v>1329.049832</v>
      </c>
      <c r="J13" s="151">
        <f>1.77*Revenue!J4/100</f>
        <v>1603.518558</v>
      </c>
      <c r="K13" s="151">
        <f>1.77*Revenue!K4/100</f>
        <v>1877.736266</v>
      </c>
      <c r="L13" s="151">
        <f>1.77*Revenue!L4/100</f>
        <v>2132.178919</v>
      </c>
      <c r="M13" s="152">
        <f>1.77*Revenue!M4/100</f>
        <v>2345.396811</v>
      </c>
      <c r="N13" s="153"/>
      <c r="O13" s="156" t="s">
        <v>70</v>
      </c>
      <c r="P13" s="157">
        <f>AVERAGE(C19:M19)</f>
        <v>3813.207007</v>
      </c>
      <c r="Q13" s="30"/>
      <c r="R13" s="22"/>
      <c r="S13" s="22"/>
      <c r="T13" s="22"/>
      <c r="U13" s="22"/>
      <c r="V13" s="22"/>
      <c r="W13" s="22"/>
      <c r="X13" s="22"/>
      <c r="Y13" s="22"/>
      <c r="Z13" s="22"/>
    </row>
    <row r="14">
      <c r="A14" s="22"/>
      <c r="B14" s="31" t="s">
        <v>57</v>
      </c>
      <c r="C14" s="68">
        <v>1939.0</v>
      </c>
      <c r="D14" s="69">
        <v>1731.0</v>
      </c>
      <c r="E14" s="69">
        <v>2518.0</v>
      </c>
      <c r="F14" s="69">
        <v>2762.0</v>
      </c>
      <c r="G14" s="69">
        <v>3801.0</v>
      </c>
      <c r="H14" s="69">
        <v>3656.0</v>
      </c>
      <c r="I14" s="151">
        <f>6.05*Revenue!I4/100</f>
        <v>4542.797448</v>
      </c>
      <c r="J14" s="151">
        <f>6.05*Revenue!J4/100</f>
        <v>5480.953263</v>
      </c>
      <c r="K14" s="151">
        <f>6.05*Revenue!K4/100</f>
        <v>6418.25108</v>
      </c>
      <c r="L14" s="151">
        <f>6.05*Revenue!L4/100</f>
        <v>7287.956193</v>
      </c>
      <c r="M14" s="152">
        <f>6.05*Revenue!M4/100</f>
        <v>8016.751812</v>
      </c>
      <c r="N14" s="30"/>
      <c r="O14" s="44"/>
      <c r="P14" s="44"/>
      <c r="Q14" s="22"/>
      <c r="R14" s="22"/>
      <c r="S14" s="22"/>
      <c r="T14" s="22"/>
      <c r="U14" s="22"/>
      <c r="V14" s="22"/>
      <c r="W14" s="22"/>
      <c r="X14" s="22"/>
      <c r="Y14" s="22"/>
      <c r="Z14" s="22"/>
    </row>
    <row r="15">
      <c r="A15" s="22"/>
      <c r="B15" s="31" t="s">
        <v>51</v>
      </c>
      <c r="C15" s="68">
        <v>3313.0</v>
      </c>
      <c r="D15" s="69">
        <v>3309.0</v>
      </c>
      <c r="E15" s="69">
        <v>4610.0</v>
      </c>
      <c r="F15" s="69">
        <v>5802.0</v>
      </c>
      <c r="G15" s="69">
        <v>6626.0</v>
      </c>
      <c r="H15" s="69">
        <v>16056.0</v>
      </c>
      <c r="I15" s="151">
        <f>26.55*Revenue!I4/100</f>
        <v>19935.74748</v>
      </c>
      <c r="J15" s="151">
        <f>26.55*Revenue!J4/100</f>
        <v>24052.77837</v>
      </c>
      <c r="K15" s="151">
        <f>26.55*Revenue!K4/100</f>
        <v>28166.044</v>
      </c>
      <c r="L15" s="151">
        <f>26.55*Revenue!L4/100</f>
        <v>31982.68379</v>
      </c>
      <c r="M15" s="152">
        <f>26.55*Revenue!M4/100</f>
        <v>35180.95217</v>
      </c>
      <c r="N15" s="30"/>
      <c r="O15" s="22"/>
      <c r="P15" s="22"/>
      <c r="Q15" s="22"/>
      <c r="R15" s="22"/>
      <c r="S15" s="22"/>
      <c r="T15" s="22"/>
      <c r="U15" s="22"/>
      <c r="V15" s="22"/>
      <c r="W15" s="22"/>
      <c r="X15" s="22"/>
      <c r="Y15" s="22"/>
      <c r="Z15" s="22"/>
    </row>
    <row r="16">
      <c r="A16" s="22"/>
      <c r="B16" s="31" t="s">
        <v>71</v>
      </c>
      <c r="C16" s="120">
        <f t="shared" ref="C16:M16" si="3">C12+C13+C14-C15</f>
        <v>7041</v>
      </c>
      <c r="D16" s="118">
        <f t="shared" si="3"/>
        <v>7196</v>
      </c>
      <c r="E16" s="118">
        <f t="shared" si="3"/>
        <v>12082</v>
      </c>
      <c r="F16" s="118">
        <f t="shared" si="3"/>
        <v>14218</v>
      </c>
      <c r="G16" s="118">
        <f t="shared" si="3"/>
        <v>17244</v>
      </c>
      <c r="H16" s="118">
        <f t="shared" si="3"/>
        <v>16852</v>
      </c>
      <c r="I16" s="70">
        <f t="shared" si="3"/>
        <v>20926.90328</v>
      </c>
      <c r="J16" s="70">
        <f t="shared" si="3"/>
        <v>23799.11441</v>
      </c>
      <c r="K16" s="70">
        <f t="shared" si="3"/>
        <v>25747.26508</v>
      </c>
      <c r="L16" s="70">
        <f t="shared" si="3"/>
        <v>25622.28566</v>
      </c>
      <c r="M16" s="71">
        <f t="shared" si="3"/>
        <v>24209.26539</v>
      </c>
      <c r="N16" s="30"/>
      <c r="O16" s="22"/>
      <c r="P16" s="22"/>
      <c r="Q16" s="22"/>
      <c r="R16" s="22"/>
      <c r="S16" s="22"/>
      <c r="T16" s="22"/>
      <c r="U16" s="22"/>
      <c r="V16" s="22"/>
      <c r="W16" s="22"/>
      <c r="X16" s="22"/>
      <c r="Y16" s="22"/>
      <c r="Z16" s="22"/>
    </row>
    <row r="17">
      <c r="A17" s="22"/>
      <c r="B17" s="31" t="s">
        <v>72</v>
      </c>
      <c r="C17" s="158">
        <v>1352.0</v>
      </c>
      <c r="D17" s="118">
        <f t="shared" ref="D17:M17" si="4">D16-C16</f>
        <v>155</v>
      </c>
      <c r="E17" s="118">
        <f t="shared" si="4"/>
        <v>4886</v>
      </c>
      <c r="F17" s="118">
        <f t="shared" si="4"/>
        <v>2136</v>
      </c>
      <c r="G17" s="118">
        <f t="shared" si="4"/>
        <v>3026</v>
      </c>
      <c r="H17" s="118">
        <f t="shared" si="4"/>
        <v>-392</v>
      </c>
      <c r="I17" s="70">
        <f t="shared" si="4"/>
        <v>4074.903284</v>
      </c>
      <c r="J17" s="70">
        <f t="shared" si="4"/>
        <v>2872.211131</v>
      </c>
      <c r="K17" s="70">
        <f t="shared" si="4"/>
        <v>1948.150662</v>
      </c>
      <c r="L17" s="70">
        <f t="shared" si="4"/>
        <v>-124.9794207</v>
      </c>
      <c r="M17" s="71">
        <f t="shared" si="4"/>
        <v>-1413.020267</v>
      </c>
      <c r="N17" s="30"/>
      <c r="O17" s="22"/>
      <c r="P17" s="22"/>
      <c r="Q17" s="22"/>
      <c r="R17" s="22"/>
      <c r="S17" s="22"/>
      <c r="T17" s="22"/>
      <c r="U17" s="22"/>
      <c r="V17" s="22"/>
      <c r="W17" s="22"/>
      <c r="X17" s="22"/>
      <c r="Y17" s="22"/>
      <c r="Z17" s="22"/>
    </row>
    <row r="18">
      <c r="A18" s="22"/>
      <c r="B18" s="31"/>
      <c r="C18" s="159"/>
      <c r="D18" s="23"/>
      <c r="E18" s="23"/>
      <c r="F18" s="23"/>
      <c r="G18" s="23"/>
      <c r="H18" s="23"/>
      <c r="I18" s="85"/>
      <c r="J18" s="85"/>
      <c r="K18" s="85"/>
      <c r="L18" s="85"/>
      <c r="M18" s="160"/>
      <c r="N18" s="30"/>
      <c r="O18" s="22"/>
      <c r="P18" s="22"/>
      <c r="Q18" s="22"/>
      <c r="R18" s="22"/>
      <c r="S18" s="22"/>
      <c r="T18" s="22"/>
      <c r="U18" s="22"/>
      <c r="V18" s="22"/>
      <c r="W18" s="22"/>
      <c r="X18" s="22"/>
      <c r="Y18" s="22"/>
      <c r="Z18" s="22"/>
    </row>
    <row r="19">
      <c r="A19" s="22"/>
      <c r="B19" s="31" t="s">
        <v>73</v>
      </c>
      <c r="C19" s="161">
        <f t="shared" ref="C19:M19" si="5">C7+C9-C10-C17</f>
        <v>506.73</v>
      </c>
      <c r="D19" s="162">
        <f t="shared" si="5"/>
        <v>1083.25</v>
      </c>
      <c r="E19" s="162">
        <f t="shared" si="5"/>
        <v>-2798.56</v>
      </c>
      <c r="F19" s="162">
        <f t="shared" si="5"/>
        <v>765.68</v>
      </c>
      <c r="G19" s="162">
        <f t="shared" si="5"/>
        <v>701.92</v>
      </c>
      <c r="H19" s="162">
        <f t="shared" si="5"/>
        <v>3900.56</v>
      </c>
      <c r="I19" s="162">
        <f t="shared" si="5"/>
        <v>1950.873496</v>
      </c>
      <c r="J19" s="162">
        <f t="shared" si="5"/>
        <v>4737.707449</v>
      </c>
      <c r="K19" s="162">
        <f t="shared" si="5"/>
        <v>7360.965574</v>
      </c>
      <c r="L19" s="162">
        <f t="shared" si="5"/>
        <v>10695.52745</v>
      </c>
      <c r="M19" s="163">
        <f t="shared" si="5"/>
        <v>13040.6231</v>
      </c>
      <c r="N19" s="30"/>
      <c r="O19" s="22"/>
      <c r="P19" s="22"/>
      <c r="Q19" s="22"/>
      <c r="R19" s="22"/>
      <c r="S19" s="22"/>
      <c r="T19" s="22"/>
      <c r="U19" s="22"/>
      <c r="V19" s="22"/>
      <c r="W19" s="22"/>
      <c r="X19" s="22"/>
      <c r="Y19" s="22"/>
      <c r="Z19" s="22"/>
    </row>
    <row r="20">
      <c r="A20" s="22"/>
      <c r="B20" s="31" t="s">
        <v>74</v>
      </c>
      <c r="C20" s="66"/>
      <c r="D20" s="47">
        <f t="shared" ref="D20:M20" si="6">(D19-C19)/C19</f>
        <v>1.137726205</v>
      </c>
      <c r="E20" s="47">
        <f t="shared" si="6"/>
        <v>-3.583484883</v>
      </c>
      <c r="F20" s="47">
        <f t="shared" si="6"/>
        <v>-1.27359785</v>
      </c>
      <c r="G20" s="47">
        <f t="shared" si="6"/>
        <v>-0.08327238533</v>
      </c>
      <c r="H20" s="47">
        <f t="shared" si="6"/>
        <v>4.556986551</v>
      </c>
      <c r="I20" s="47">
        <f t="shared" si="6"/>
        <v>-0.4998478435</v>
      </c>
      <c r="J20" s="47">
        <f t="shared" si="6"/>
        <v>1.428505723</v>
      </c>
      <c r="K20" s="47">
        <f t="shared" si="6"/>
        <v>0.5536977861</v>
      </c>
      <c r="L20" s="47">
        <f t="shared" si="6"/>
        <v>0.4530060417</v>
      </c>
      <c r="M20" s="164">
        <f t="shared" si="6"/>
        <v>0.2192594671</v>
      </c>
      <c r="N20" s="30"/>
      <c r="O20" s="22"/>
      <c r="P20" s="22"/>
      <c r="Q20" s="22"/>
      <c r="R20" s="22"/>
      <c r="S20" s="22"/>
      <c r="T20" s="22"/>
      <c r="U20" s="22"/>
      <c r="V20" s="22"/>
      <c r="W20" s="22"/>
      <c r="X20" s="22"/>
      <c r="Y20" s="22"/>
      <c r="Z20" s="22"/>
    </row>
    <row r="21">
      <c r="A21" s="22"/>
      <c r="B21" s="31" t="s">
        <v>75</v>
      </c>
      <c r="C21" s="165">
        <f>C19</f>
        <v>506.73</v>
      </c>
      <c r="D21" s="166">
        <f>C19+D19</f>
        <v>1589.98</v>
      </c>
      <c r="E21" s="166">
        <f>C19+D19+E19</f>
        <v>-1208.58</v>
      </c>
      <c r="F21" s="166">
        <f>SUM(C19:F19)</f>
        <v>-442.9</v>
      </c>
      <c r="G21" s="166">
        <f>SUM(C19:G19)</f>
        <v>259.02</v>
      </c>
      <c r="H21" s="166">
        <f>SUM(C19:H19)</f>
        <v>4159.58</v>
      </c>
      <c r="I21" s="166">
        <f>SUM(C19:I19)</f>
        <v>6110.453496</v>
      </c>
      <c r="J21" s="166">
        <f>SUM(C19:J19)</f>
        <v>10848.16094</v>
      </c>
      <c r="K21" s="166">
        <f>SUM(C19:K19)</f>
        <v>18209.12652</v>
      </c>
      <c r="L21" s="166">
        <f>SUM(C19:L19)</f>
        <v>28904.65397</v>
      </c>
      <c r="M21" s="167">
        <f>SUM(C19:M19)</f>
        <v>41945.27707</v>
      </c>
      <c r="N21" s="30"/>
      <c r="O21" s="22"/>
      <c r="P21" s="22"/>
      <c r="Q21" s="22"/>
      <c r="R21" s="22"/>
      <c r="S21" s="22"/>
      <c r="T21" s="22"/>
      <c r="U21" s="22"/>
      <c r="V21" s="22"/>
      <c r="W21" s="22"/>
      <c r="X21" s="22"/>
      <c r="Y21" s="22"/>
      <c r="Z21" s="22"/>
    </row>
    <row r="22">
      <c r="A22" s="22"/>
      <c r="B22" s="22"/>
      <c r="C22" s="168"/>
      <c r="D22" s="44"/>
      <c r="E22" s="44"/>
      <c r="F22" s="44"/>
      <c r="G22" s="44"/>
      <c r="H22" s="44"/>
      <c r="I22" s="44"/>
      <c r="J22" s="44"/>
      <c r="K22" s="44"/>
      <c r="L22" s="44"/>
      <c r="M22" s="44"/>
      <c r="N22" s="22"/>
      <c r="O22" s="22"/>
      <c r="P22" s="22"/>
      <c r="Q22" s="22"/>
      <c r="R22" s="22"/>
      <c r="S22" s="22"/>
      <c r="T22" s="22"/>
      <c r="U22" s="22"/>
      <c r="V22" s="22"/>
      <c r="W22" s="22"/>
      <c r="X22" s="22"/>
      <c r="Y22" s="22"/>
      <c r="Z22" s="22"/>
    </row>
    <row r="23">
      <c r="A23" s="22"/>
      <c r="B23" s="22"/>
      <c r="C23" s="46" t="s">
        <v>30</v>
      </c>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3"/>
      <c r="D24" s="23"/>
      <c r="E24" s="23"/>
      <c r="F24" s="23"/>
      <c r="G24" s="23"/>
      <c r="H24" s="23"/>
      <c r="I24" s="23"/>
      <c r="J24" s="23"/>
      <c r="K24" s="23"/>
      <c r="L24" s="22"/>
      <c r="M24" s="22"/>
      <c r="N24" s="22"/>
      <c r="O24" s="22"/>
      <c r="P24" s="22"/>
      <c r="Q24" s="22"/>
      <c r="R24" s="22"/>
      <c r="S24" s="22"/>
      <c r="T24" s="22"/>
      <c r="U24" s="22"/>
      <c r="V24" s="22"/>
      <c r="W24" s="22"/>
      <c r="X24" s="22"/>
      <c r="Y24" s="22"/>
      <c r="Z24" s="22"/>
    </row>
    <row r="25">
      <c r="A25" s="22"/>
      <c r="B25" s="169"/>
      <c r="C25" s="98" t="s">
        <v>44</v>
      </c>
      <c r="D25" s="99"/>
      <c r="E25" s="99"/>
      <c r="F25" s="99"/>
      <c r="G25" s="99"/>
      <c r="H25" s="99"/>
      <c r="I25" s="99"/>
      <c r="J25" s="99"/>
      <c r="K25" s="100"/>
      <c r="L25" s="170"/>
      <c r="M25" s="170"/>
      <c r="N25" s="30"/>
      <c r="O25" s="22"/>
      <c r="P25" s="22"/>
      <c r="Q25" s="22"/>
      <c r="R25" s="22"/>
      <c r="S25" s="22"/>
      <c r="T25" s="22"/>
      <c r="U25" s="22"/>
      <c r="V25" s="22"/>
      <c r="W25" s="22"/>
      <c r="X25" s="22"/>
      <c r="Y25" s="22"/>
      <c r="Z25" s="22"/>
    </row>
    <row r="26">
      <c r="A26" s="22"/>
      <c r="B26" s="24"/>
      <c r="C26" s="171" t="s">
        <v>76</v>
      </c>
      <c r="D26" s="172"/>
      <c r="E26" s="172"/>
      <c r="F26" s="172"/>
      <c r="G26" s="172"/>
      <c r="H26" s="173" t="s">
        <v>77</v>
      </c>
      <c r="I26" s="172"/>
      <c r="J26" s="172"/>
      <c r="K26" s="174"/>
      <c r="L26" s="175"/>
      <c r="M26" s="44"/>
      <c r="N26" s="22"/>
      <c r="O26" s="22"/>
      <c r="P26" s="22"/>
      <c r="Q26" s="22"/>
      <c r="R26" s="22"/>
      <c r="S26" s="22"/>
      <c r="T26" s="22"/>
      <c r="U26" s="22"/>
      <c r="V26" s="22"/>
      <c r="W26" s="22"/>
      <c r="X26" s="22"/>
      <c r="Y26" s="22"/>
      <c r="Z26" s="22"/>
    </row>
    <row r="27">
      <c r="A27" s="22"/>
      <c r="B27" s="22"/>
      <c r="C27" s="44"/>
      <c r="D27" s="44"/>
      <c r="E27" s="44"/>
      <c r="F27" s="44"/>
      <c r="G27" s="44"/>
      <c r="H27" s="44"/>
      <c r="I27" s="44"/>
      <c r="J27" s="44"/>
      <c r="K27" s="44"/>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row>
  </sheetData>
  <mergeCells count="3">
    <mergeCell ref="C2:H2"/>
    <mergeCell ref="I2:M2"/>
    <mergeCell ref="C25:K2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88"/>
    <col customWidth="1" min="4" max="4" width="15.13"/>
    <col customWidth="1" min="7" max="7" width="16.25"/>
  </cols>
  <sheetData>
    <row r="1">
      <c r="A1" s="22"/>
      <c r="B1" s="22"/>
      <c r="C1" s="22"/>
      <c r="D1" s="22"/>
      <c r="E1" s="22"/>
      <c r="F1" s="22"/>
      <c r="G1" s="22"/>
      <c r="H1" s="22"/>
      <c r="I1" s="22"/>
      <c r="J1" s="22"/>
      <c r="K1" s="22"/>
      <c r="L1" s="22"/>
      <c r="M1" s="22"/>
      <c r="N1" s="22"/>
      <c r="O1" s="22"/>
      <c r="P1" s="22"/>
      <c r="Q1" s="22"/>
      <c r="R1" s="22"/>
      <c r="S1" s="22"/>
      <c r="T1" s="22"/>
      <c r="U1" s="22"/>
      <c r="V1" s="22"/>
      <c r="W1" s="22"/>
      <c r="X1" s="22"/>
      <c r="Y1" s="22"/>
      <c r="Z1" s="22"/>
    </row>
    <row r="2">
      <c r="A2" s="22"/>
      <c r="B2" s="22"/>
      <c r="C2" s="23"/>
      <c r="D2" s="23"/>
      <c r="E2" s="22"/>
      <c r="F2" s="22"/>
      <c r="G2" s="23"/>
      <c r="H2" s="23"/>
      <c r="I2" s="22"/>
      <c r="J2" s="22"/>
      <c r="K2" s="22"/>
      <c r="L2" s="22"/>
      <c r="M2" s="22"/>
      <c r="N2" s="22"/>
      <c r="O2" s="22"/>
      <c r="P2" s="22"/>
      <c r="Q2" s="22"/>
      <c r="R2" s="22"/>
      <c r="S2" s="22"/>
      <c r="T2" s="22"/>
      <c r="U2" s="22"/>
      <c r="V2" s="22"/>
      <c r="W2" s="22"/>
      <c r="X2" s="22"/>
      <c r="Y2" s="22"/>
      <c r="Z2" s="22"/>
    </row>
    <row r="3">
      <c r="A3" s="22"/>
      <c r="B3" s="24"/>
      <c r="C3" s="176" t="s">
        <v>78</v>
      </c>
      <c r="D3" s="177" t="s">
        <v>79</v>
      </c>
      <c r="E3" s="30"/>
      <c r="F3" s="24"/>
      <c r="G3" s="178" t="s">
        <v>80</v>
      </c>
      <c r="H3" s="177" t="s">
        <v>79</v>
      </c>
      <c r="I3" s="30"/>
      <c r="J3" s="22"/>
      <c r="K3" s="22"/>
      <c r="L3" s="22"/>
      <c r="M3" s="22"/>
      <c r="N3" s="22"/>
      <c r="O3" s="22"/>
      <c r="P3" s="22"/>
      <c r="Q3" s="22"/>
      <c r="R3" s="22"/>
      <c r="S3" s="22"/>
      <c r="T3" s="22"/>
      <c r="U3" s="22"/>
      <c r="V3" s="22"/>
      <c r="W3" s="22"/>
      <c r="X3" s="22"/>
      <c r="Y3" s="22"/>
      <c r="Z3" s="22"/>
    </row>
    <row r="4">
      <c r="A4" s="22"/>
      <c r="B4" s="24"/>
      <c r="C4" s="179" t="s">
        <v>81</v>
      </c>
      <c r="D4" s="180">
        <v>312900.0</v>
      </c>
      <c r="E4" s="181"/>
      <c r="F4" s="24"/>
      <c r="G4" s="182" t="s">
        <v>82</v>
      </c>
      <c r="H4" s="183">
        <v>0.34</v>
      </c>
      <c r="I4" s="30"/>
      <c r="J4" s="22"/>
      <c r="K4" s="22"/>
      <c r="L4" s="22"/>
      <c r="M4" s="22"/>
      <c r="N4" s="22"/>
      <c r="O4" s="22"/>
      <c r="P4" s="22"/>
      <c r="Q4" s="22"/>
      <c r="R4" s="22"/>
      <c r="S4" s="22"/>
      <c r="T4" s="22"/>
      <c r="U4" s="22"/>
      <c r="V4" s="22"/>
      <c r="W4" s="22"/>
      <c r="X4" s="22"/>
      <c r="Y4" s="22"/>
      <c r="Z4" s="22"/>
    </row>
    <row r="5">
      <c r="A5" s="22"/>
      <c r="B5" s="24"/>
      <c r="C5" s="184" t="s">
        <v>83</v>
      </c>
      <c r="D5" s="185">
        <v>12967.0</v>
      </c>
      <c r="E5" s="186">
        <f>AVERAGE(D5:D6)</f>
        <v>14247.5</v>
      </c>
      <c r="F5" s="153"/>
      <c r="G5" s="187" t="s">
        <v>84</v>
      </c>
      <c r="H5" s="188">
        <v>0.07</v>
      </c>
      <c r="I5" s="30"/>
      <c r="J5" s="22"/>
      <c r="K5" s="22"/>
      <c r="L5" s="22"/>
      <c r="M5" s="22"/>
      <c r="N5" s="22"/>
      <c r="O5" s="22"/>
      <c r="P5" s="22"/>
      <c r="Q5" s="22"/>
      <c r="R5" s="22"/>
      <c r="S5" s="22"/>
      <c r="T5" s="22"/>
      <c r="U5" s="22"/>
      <c r="V5" s="22"/>
      <c r="W5" s="22"/>
      <c r="X5" s="22"/>
      <c r="Y5" s="22"/>
      <c r="Z5" s="22"/>
    </row>
    <row r="6">
      <c r="A6" s="22"/>
      <c r="B6" s="24"/>
      <c r="C6" s="184" t="s">
        <v>85</v>
      </c>
      <c r="D6" s="189">
        <v>15528.0</v>
      </c>
      <c r="E6" s="190"/>
      <c r="F6" s="153"/>
      <c r="G6" s="191" t="s">
        <v>86</v>
      </c>
      <c r="H6" s="192">
        <v>0.121</v>
      </c>
      <c r="I6" s="30"/>
      <c r="J6" s="22"/>
      <c r="K6" s="22"/>
      <c r="L6" s="193"/>
      <c r="M6" s="22"/>
      <c r="N6" s="22"/>
      <c r="O6" s="22"/>
      <c r="P6" s="22"/>
      <c r="Q6" s="22"/>
      <c r="R6" s="22"/>
      <c r="S6" s="22"/>
      <c r="T6" s="22"/>
      <c r="U6" s="22"/>
      <c r="V6" s="22"/>
      <c r="W6" s="22"/>
      <c r="X6" s="22"/>
      <c r="Y6" s="22"/>
      <c r="Z6" s="22"/>
    </row>
    <row r="7">
      <c r="A7" s="22"/>
      <c r="B7" s="24"/>
      <c r="C7" s="184" t="s">
        <v>87</v>
      </c>
      <c r="D7" s="194">
        <f>'Profit and Loss'!G13/E5</f>
        <v>0.06688892788</v>
      </c>
      <c r="E7" s="175"/>
      <c r="F7" s="22"/>
      <c r="G7" s="44"/>
      <c r="H7" s="44"/>
      <c r="I7" s="22"/>
      <c r="J7" s="22"/>
      <c r="K7" s="22"/>
      <c r="L7" s="22"/>
      <c r="M7" s="22"/>
      <c r="N7" s="22"/>
      <c r="O7" s="22"/>
      <c r="P7" s="22"/>
      <c r="Q7" s="22"/>
      <c r="R7" s="22"/>
      <c r="S7" s="22"/>
      <c r="T7" s="22"/>
      <c r="U7" s="22"/>
      <c r="V7" s="22"/>
      <c r="W7" s="22"/>
      <c r="X7" s="22"/>
      <c r="Y7" s="22"/>
      <c r="Z7" s="22"/>
    </row>
    <row r="8">
      <c r="A8" s="22"/>
      <c r="B8" s="24"/>
      <c r="C8" s="184" t="s">
        <v>40</v>
      </c>
      <c r="D8" s="195">
        <v>0.26</v>
      </c>
      <c r="E8" s="30"/>
      <c r="F8" s="22"/>
      <c r="G8" s="22"/>
      <c r="H8" s="22"/>
      <c r="I8" s="22"/>
      <c r="J8" s="22"/>
      <c r="K8" s="22"/>
      <c r="L8" s="22"/>
      <c r="M8" s="22"/>
      <c r="N8" s="22"/>
      <c r="O8" s="22"/>
      <c r="P8" s="22"/>
      <c r="Q8" s="22"/>
      <c r="R8" s="22"/>
      <c r="S8" s="22"/>
      <c r="T8" s="22"/>
      <c r="U8" s="22"/>
      <c r="V8" s="22"/>
      <c r="W8" s="22"/>
      <c r="X8" s="22"/>
      <c r="Y8" s="22"/>
      <c r="Z8" s="22"/>
    </row>
    <row r="9">
      <c r="A9" s="45" t="s">
        <v>88</v>
      </c>
      <c r="B9" s="24"/>
      <c r="C9" s="184"/>
      <c r="D9" s="196"/>
      <c r="E9" s="30"/>
      <c r="F9" s="22"/>
      <c r="G9" s="22"/>
      <c r="H9" s="22"/>
      <c r="I9" s="22"/>
      <c r="J9" s="22"/>
      <c r="K9" s="22"/>
      <c r="L9" s="22"/>
      <c r="M9" s="22"/>
      <c r="N9" s="22"/>
      <c r="O9" s="22"/>
      <c r="P9" s="22"/>
      <c r="Q9" s="22"/>
      <c r="R9" s="22"/>
      <c r="S9" s="22"/>
      <c r="T9" s="22"/>
      <c r="U9" s="22"/>
      <c r="V9" s="22"/>
      <c r="W9" s="22"/>
      <c r="X9" s="22"/>
      <c r="Y9" s="22"/>
      <c r="Z9" s="22"/>
    </row>
    <row r="10">
      <c r="A10" s="22"/>
      <c r="B10" s="24"/>
      <c r="C10" s="184" t="s">
        <v>89</v>
      </c>
      <c r="D10" s="197">
        <f>H5+H4*(H6-H5)</f>
        <v>0.08734</v>
      </c>
      <c r="E10" s="30"/>
      <c r="F10" s="22"/>
      <c r="G10" s="22"/>
      <c r="H10" s="22"/>
      <c r="I10" s="22"/>
      <c r="J10" s="22"/>
      <c r="K10" s="22"/>
      <c r="L10" s="22"/>
      <c r="M10" s="22"/>
      <c r="N10" s="22"/>
      <c r="O10" s="22"/>
      <c r="P10" s="22"/>
      <c r="Q10" s="22"/>
      <c r="R10" s="22"/>
      <c r="S10" s="22"/>
      <c r="T10" s="22"/>
      <c r="U10" s="22"/>
      <c r="V10" s="22"/>
      <c r="W10" s="22"/>
      <c r="X10" s="22"/>
      <c r="Y10" s="22"/>
      <c r="Z10" s="22"/>
    </row>
    <row r="11">
      <c r="A11" s="22"/>
      <c r="B11" s="24"/>
      <c r="C11" s="184" t="s">
        <v>90</v>
      </c>
      <c r="D11" s="198">
        <f>D4+E5</f>
        <v>327147.5</v>
      </c>
      <c r="E11" s="30"/>
      <c r="F11" s="22"/>
      <c r="G11" s="22"/>
      <c r="H11" s="22"/>
      <c r="I11" s="22"/>
      <c r="J11" s="22"/>
      <c r="K11" s="22"/>
      <c r="L11" s="22"/>
      <c r="M11" s="22"/>
      <c r="N11" s="22"/>
      <c r="O11" s="22"/>
      <c r="P11" s="22"/>
      <c r="Q11" s="22"/>
      <c r="R11" s="22"/>
      <c r="S11" s="22"/>
      <c r="T11" s="22"/>
      <c r="U11" s="22"/>
      <c r="V11" s="22"/>
      <c r="W11" s="22"/>
      <c r="X11" s="22"/>
      <c r="Y11" s="22"/>
      <c r="Z11" s="22"/>
    </row>
    <row r="12">
      <c r="A12" s="22"/>
      <c r="B12" s="24"/>
      <c r="C12" s="184" t="s">
        <v>91</v>
      </c>
      <c r="D12" s="198">
        <f>D4/D11</f>
        <v>0.956449308</v>
      </c>
      <c r="E12" s="30"/>
      <c r="F12" s="22"/>
      <c r="G12" s="22"/>
      <c r="H12" s="22"/>
      <c r="I12" s="22"/>
      <c r="J12" s="22"/>
      <c r="K12" s="22"/>
      <c r="L12" s="22"/>
      <c r="M12" s="22"/>
      <c r="N12" s="22"/>
      <c r="O12" s="22"/>
      <c r="P12" s="22"/>
      <c r="Q12" s="22"/>
      <c r="R12" s="22"/>
      <c r="S12" s="22"/>
      <c r="T12" s="22"/>
      <c r="U12" s="22"/>
      <c r="V12" s="22"/>
      <c r="W12" s="22"/>
      <c r="X12" s="22"/>
      <c r="Y12" s="22"/>
      <c r="Z12" s="22"/>
    </row>
    <row r="13">
      <c r="A13" s="22"/>
      <c r="B13" s="24"/>
      <c r="C13" s="199" t="s">
        <v>92</v>
      </c>
      <c r="D13" s="200">
        <f>D5/D11</f>
        <v>0.03963655538</v>
      </c>
      <c r="E13" s="30"/>
      <c r="F13" s="22"/>
      <c r="G13" s="22"/>
      <c r="H13" s="22"/>
      <c r="I13" s="22"/>
      <c r="J13" s="22"/>
      <c r="K13" s="22"/>
      <c r="L13" s="22"/>
      <c r="M13" s="22"/>
      <c r="N13" s="22"/>
      <c r="O13" s="22"/>
      <c r="P13" s="22"/>
      <c r="Q13" s="22"/>
      <c r="R13" s="22"/>
      <c r="S13" s="22"/>
      <c r="T13" s="22"/>
      <c r="U13" s="22"/>
      <c r="V13" s="22"/>
      <c r="W13" s="22"/>
      <c r="X13" s="22"/>
      <c r="Y13" s="22"/>
      <c r="Z13" s="22"/>
    </row>
    <row r="14">
      <c r="A14" s="22"/>
      <c r="B14" s="24"/>
      <c r="C14" s="201" t="s">
        <v>93</v>
      </c>
      <c r="D14" s="202">
        <f>D12*D10+D13*D7*(1-D8)</f>
        <v>0.08549820512</v>
      </c>
      <c r="E14" s="30"/>
      <c r="F14" s="22"/>
      <c r="G14" s="22"/>
      <c r="H14" s="22"/>
      <c r="I14" s="22"/>
      <c r="J14" s="22"/>
      <c r="K14" s="22"/>
      <c r="L14" s="22"/>
      <c r="M14" s="22"/>
      <c r="N14" s="22"/>
      <c r="O14" s="22"/>
      <c r="P14" s="22"/>
      <c r="Q14" s="22"/>
      <c r="R14" s="22"/>
      <c r="S14" s="22"/>
      <c r="T14" s="22"/>
      <c r="U14" s="22"/>
      <c r="V14" s="22"/>
      <c r="W14" s="22"/>
      <c r="X14" s="22"/>
      <c r="Y14" s="22"/>
      <c r="Z14" s="22"/>
    </row>
    <row r="15">
      <c r="A15" s="22"/>
      <c r="B15" s="22"/>
      <c r="C15" s="44"/>
      <c r="D15" s="44"/>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97" t="s">
        <v>30</v>
      </c>
      <c r="D16" s="23"/>
      <c r="E16" s="23"/>
      <c r="F16" s="23"/>
      <c r="G16" s="23"/>
      <c r="H16" s="23"/>
      <c r="I16" s="23"/>
      <c r="J16" s="22"/>
      <c r="K16" s="22"/>
      <c r="L16" s="22"/>
      <c r="M16" s="22"/>
      <c r="N16" s="22"/>
      <c r="O16" s="22"/>
      <c r="P16" s="22"/>
      <c r="Q16" s="22"/>
      <c r="R16" s="22"/>
      <c r="S16" s="22"/>
      <c r="T16" s="22"/>
      <c r="U16" s="22"/>
      <c r="V16" s="22"/>
      <c r="W16" s="22"/>
      <c r="X16" s="22"/>
      <c r="Y16" s="22"/>
      <c r="Z16" s="22"/>
    </row>
    <row r="17">
      <c r="A17" s="22"/>
      <c r="B17" s="24"/>
      <c r="C17" s="98" t="s">
        <v>44</v>
      </c>
      <c r="D17" s="99"/>
      <c r="E17" s="99"/>
      <c r="F17" s="99"/>
      <c r="G17" s="99"/>
      <c r="H17" s="99"/>
      <c r="I17" s="100"/>
      <c r="J17" s="30"/>
      <c r="K17" s="22"/>
      <c r="L17" s="22"/>
      <c r="M17" s="22"/>
      <c r="N17" s="22"/>
      <c r="O17" s="22"/>
      <c r="P17" s="22"/>
      <c r="Q17" s="22"/>
      <c r="R17" s="22"/>
      <c r="S17" s="22"/>
      <c r="T17" s="22"/>
      <c r="U17" s="22"/>
      <c r="V17" s="22"/>
      <c r="W17" s="22"/>
      <c r="X17" s="22"/>
      <c r="Y17" s="22"/>
      <c r="Z17" s="22"/>
    </row>
    <row r="18">
      <c r="A18" s="22"/>
      <c r="B18" s="24"/>
      <c r="C18" s="101" t="s">
        <v>94</v>
      </c>
      <c r="D18" s="102"/>
      <c r="E18" s="102"/>
      <c r="F18" s="102"/>
      <c r="G18" s="103" t="s">
        <v>95</v>
      </c>
      <c r="H18" s="203"/>
      <c r="I18" s="104"/>
      <c r="J18" s="30"/>
      <c r="K18" s="22"/>
      <c r="L18" s="22"/>
      <c r="M18" s="22"/>
      <c r="N18" s="22"/>
      <c r="O18" s="22"/>
      <c r="P18" s="22"/>
      <c r="Q18" s="22"/>
      <c r="R18" s="22"/>
      <c r="S18" s="22"/>
      <c r="T18" s="22"/>
      <c r="U18" s="22"/>
      <c r="V18" s="22"/>
      <c r="W18" s="22"/>
      <c r="X18" s="22"/>
      <c r="Y18" s="22"/>
      <c r="Z18" s="22"/>
    </row>
    <row r="19">
      <c r="A19" s="22"/>
      <c r="B19" s="22"/>
      <c r="C19" s="44"/>
      <c r="D19" s="44"/>
      <c r="E19" s="44"/>
      <c r="F19" s="44"/>
      <c r="G19" s="44"/>
      <c r="H19" s="44"/>
      <c r="I19" s="44"/>
      <c r="J19" s="22"/>
      <c r="K19" s="22"/>
      <c r="L19" s="22"/>
      <c r="M19" s="22"/>
      <c r="N19" s="22"/>
      <c r="O19" s="22"/>
      <c r="P19" s="22"/>
      <c r="Q19" s="22"/>
      <c r="R19" s="22"/>
      <c r="S19" s="22"/>
      <c r="T19" s="22"/>
      <c r="U19" s="22"/>
      <c r="V19" s="22"/>
      <c r="W19" s="22"/>
      <c r="X19" s="22"/>
      <c r="Y19" s="22"/>
      <c r="Z19" s="22"/>
    </row>
    <row r="20">
      <c r="A20" s="22"/>
      <c r="B20" s="22"/>
      <c r="C20" s="22"/>
      <c r="D20" s="45" t="s">
        <v>88</v>
      </c>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sheetData>
  <mergeCells count="2">
    <mergeCell ref="E5:E6"/>
    <mergeCell ref="C17:I1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5"/>
    <col customWidth="1" min="3" max="3" width="10.38"/>
    <col customWidth="1" min="7" max="7" width="13.63"/>
    <col customWidth="1" min="11" max="11" width="14.38"/>
  </cols>
  <sheetData>
    <row r="1">
      <c r="A1" s="22"/>
      <c r="B1" s="22"/>
      <c r="C1" s="22"/>
      <c r="D1" s="22"/>
      <c r="E1" s="22"/>
      <c r="F1" s="22"/>
      <c r="G1" s="22"/>
      <c r="H1" s="22"/>
      <c r="I1" s="22"/>
      <c r="J1" s="22"/>
      <c r="K1" s="22"/>
      <c r="L1" s="22"/>
      <c r="M1" s="22"/>
      <c r="N1" s="22"/>
      <c r="O1" s="22"/>
      <c r="P1" s="22"/>
      <c r="Q1" s="22"/>
      <c r="R1" s="22"/>
      <c r="S1" s="22"/>
      <c r="T1" s="22"/>
      <c r="U1" s="22"/>
      <c r="V1" s="22"/>
      <c r="W1" s="22"/>
      <c r="X1" s="22"/>
      <c r="Y1" s="22"/>
      <c r="Z1" s="22"/>
    </row>
    <row r="2">
      <c r="A2" s="22"/>
      <c r="B2" s="22"/>
      <c r="C2" s="23"/>
      <c r="D2" s="23"/>
      <c r="E2" s="23"/>
      <c r="F2" s="23"/>
      <c r="G2" s="23"/>
      <c r="H2" s="23"/>
      <c r="I2" s="23"/>
      <c r="J2" s="23"/>
      <c r="K2" s="23"/>
      <c r="L2" s="23"/>
      <c r="M2" s="23"/>
      <c r="N2" s="22"/>
      <c r="O2" s="22"/>
      <c r="P2" s="22"/>
      <c r="Q2" s="22"/>
      <c r="R2" s="22"/>
      <c r="S2" s="22"/>
      <c r="T2" s="22"/>
      <c r="U2" s="22"/>
      <c r="V2" s="22"/>
      <c r="W2" s="22"/>
      <c r="X2" s="22"/>
      <c r="Y2" s="22"/>
      <c r="Z2" s="22"/>
    </row>
    <row r="3">
      <c r="A3" s="22"/>
      <c r="B3" s="24"/>
      <c r="C3" s="48">
        <v>2020.0</v>
      </c>
      <c r="D3" s="49">
        <f t="shared" ref="D3:M3" si="1">C3+1</f>
        <v>2021</v>
      </c>
      <c r="E3" s="49">
        <f t="shared" si="1"/>
        <v>2022</v>
      </c>
      <c r="F3" s="49">
        <f t="shared" si="1"/>
        <v>2023</v>
      </c>
      <c r="G3" s="49">
        <f t="shared" si="1"/>
        <v>2024</v>
      </c>
      <c r="H3" s="49">
        <f t="shared" si="1"/>
        <v>2025</v>
      </c>
      <c r="I3" s="50">
        <f t="shared" si="1"/>
        <v>2026</v>
      </c>
      <c r="J3" s="50">
        <f t="shared" si="1"/>
        <v>2027</v>
      </c>
      <c r="K3" s="50">
        <f t="shared" si="1"/>
        <v>2028</v>
      </c>
      <c r="L3" s="50">
        <f t="shared" si="1"/>
        <v>2029</v>
      </c>
      <c r="M3" s="51">
        <f t="shared" si="1"/>
        <v>2030</v>
      </c>
      <c r="N3" s="30"/>
      <c r="O3" s="204" t="s">
        <v>93</v>
      </c>
      <c r="P3" s="205">
        <f>WACC!D14</f>
        <v>0.08549820512</v>
      </c>
      <c r="Q3" s="22"/>
      <c r="R3" s="22"/>
      <c r="S3" s="22"/>
      <c r="T3" s="22"/>
      <c r="U3" s="22"/>
      <c r="V3" s="22"/>
      <c r="W3" s="22"/>
      <c r="X3" s="22"/>
      <c r="Y3" s="22"/>
      <c r="Z3" s="22"/>
    </row>
    <row r="4">
      <c r="A4" s="22"/>
      <c r="B4" s="31" t="s">
        <v>96</v>
      </c>
      <c r="C4" s="206">
        <f>'Free Cash Flow'!C19</f>
        <v>506.73</v>
      </c>
      <c r="D4" s="207">
        <f>'Free Cash Flow'!D19</f>
        <v>1083.25</v>
      </c>
      <c r="E4" s="207">
        <f>'Free Cash Flow'!E19</f>
        <v>-2798.56</v>
      </c>
      <c r="F4" s="207">
        <f>'Free Cash Flow'!F19</f>
        <v>765.68</v>
      </c>
      <c r="G4" s="207">
        <f>'Free Cash Flow'!G19</f>
        <v>701.92</v>
      </c>
      <c r="H4" s="207">
        <f>'Free Cash Flow'!H19</f>
        <v>3900.56</v>
      </c>
      <c r="I4" s="207">
        <f>'Free Cash Flow'!I19</f>
        <v>1950.873496</v>
      </c>
      <c r="J4" s="207">
        <f>'Free Cash Flow'!J19</f>
        <v>4737.707449</v>
      </c>
      <c r="K4" s="207">
        <f>'Free Cash Flow'!K19</f>
        <v>7360.965574</v>
      </c>
      <c r="L4" s="207">
        <f>'Free Cash Flow'!L19</f>
        <v>10695.52745</v>
      </c>
      <c r="M4" s="208">
        <f>'Free Cash Flow'!M19</f>
        <v>13040.6231</v>
      </c>
      <c r="N4" s="30"/>
      <c r="O4" s="22"/>
      <c r="P4" s="22"/>
      <c r="Q4" s="22"/>
      <c r="R4" s="22"/>
      <c r="S4" s="22"/>
      <c r="T4" s="22"/>
      <c r="U4" s="22"/>
      <c r="V4" s="22"/>
      <c r="W4" s="22"/>
      <c r="X4" s="22"/>
      <c r="Y4" s="22"/>
      <c r="Z4" s="22"/>
    </row>
    <row r="5">
      <c r="A5" s="22"/>
      <c r="B5" s="31" t="s">
        <v>97</v>
      </c>
      <c r="C5" s="66"/>
      <c r="D5" s="22"/>
      <c r="E5" s="22"/>
      <c r="F5" s="22"/>
      <c r="G5" s="22"/>
      <c r="H5" s="22"/>
      <c r="I5" s="45">
        <v>1.0</v>
      </c>
      <c r="J5" s="45">
        <v>2.0</v>
      </c>
      <c r="K5" s="45">
        <v>3.0</v>
      </c>
      <c r="L5" s="45">
        <v>4.0</v>
      </c>
      <c r="M5" s="129">
        <v>5.0</v>
      </c>
      <c r="N5" s="30"/>
      <c r="O5" s="22"/>
      <c r="P5" s="22"/>
      <c r="Q5" s="22"/>
      <c r="R5" s="22"/>
      <c r="S5" s="22"/>
      <c r="T5" s="22"/>
      <c r="U5" s="22"/>
      <c r="V5" s="22"/>
      <c r="W5" s="22"/>
      <c r="X5" s="22"/>
      <c r="Y5" s="22"/>
      <c r="Z5" s="22"/>
    </row>
    <row r="6">
      <c r="A6" s="22"/>
      <c r="B6" s="31" t="s">
        <v>98</v>
      </c>
      <c r="C6" s="66"/>
      <c r="D6" s="22"/>
      <c r="E6" s="22"/>
      <c r="F6" s="22"/>
      <c r="G6" s="22"/>
      <c r="H6" s="22"/>
      <c r="I6" s="70">
        <f t="shared" ref="I6:M6" si="2">1/(power((1 + $P$3),I5))</f>
        <v>0.9212359774</v>
      </c>
      <c r="J6" s="70">
        <f t="shared" si="2"/>
        <v>0.8486757261</v>
      </c>
      <c r="K6" s="70">
        <f t="shared" si="2"/>
        <v>0.7818306121</v>
      </c>
      <c r="L6" s="70">
        <f t="shared" si="2"/>
        <v>0.7202504881</v>
      </c>
      <c r="M6" s="71">
        <f t="shared" si="2"/>
        <v>0.6635206624</v>
      </c>
      <c r="N6" s="30"/>
      <c r="O6" s="22"/>
      <c r="P6" s="22"/>
      <c r="Q6" s="22"/>
      <c r="R6" s="22"/>
      <c r="S6" s="22"/>
      <c r="T6" s="22"/>
      <c r="U6" s="22"/>
      <c r="V6" s="22"/>
      <c r="W6" s="22"/>
      <c r="X6" s="22"/>
      <c r="Y6" s="22"/>
      <c r="Z6" s="22"/>
    </row>
    <row r="7">
      <c r="A7" s="22"/>
      <c r="B7" s="31" t="s">
        <v>99</v>
      </c>
      <c r="C7" s="40"/>
      <c r="D7" s="102"/>
      <c r="E7" s="102"/>
      <c r="F7" s="102"/>
      <c r="G7" s="102"/>
      <c r="H7" s="102"/>
      <c r="I7" s="95">
        <f t="shared" ref="I7:M7" si="3">I4*I6</f>
        <v>1797.214852</v>
      </c>
      <c r="J7" s="95">
        <f t="shared" si="3"/>
        <v>4020.777309</v>
      </c>
      <c r="K7" s="95">
        <f t="shared" si="3"/>
        <v>5755.02822</v>
      </c>
      <c r="L7" s="95">
        <f t="shared" si="3"/>
        <v>7703.458868</v>
      </c>
      <c r="M7" s="96">
        <f t="shared" si="3"/>
        <v>8652.722879</v>
      </c>
      <c r="N7" s="30"/>
      <c r="O7" s="22"/>
      <c r="P7" s="22"/>
      <c r="Q7" s="22"/>
      <c r="R7" s="22"/>
      <c r="S7" s="22"/>
      <c r="T7" s="22"/>
      <c r="U7" s="22"/>
      <c r="V7" s="22"/>
      <c r="W7" s="22"/>
      <c r="X7" s="22"/>
      <c r="Y7" s="22"/>
      <c r="Z7" s="22"/>
    </row>
    <row r="8">
      <c r="A8" s="22"/>
      <c r="B8" s="209"/>
      <c r="C8" s="44"/>
      <c r="D8" s="44"/>
      <c r="E8" s="44"/>
      <c r="F8" s="44"/>
      <c r="G8" s="44"/>
      <c r="H8" s="44"/>
      <c r="I8" s="38"/>
      <c r="J8" s="38"/>
      <c r="K8" s="38"/>
      <c r="L8" s="38"/>
      <c r="M8" s="38"/>
      <c r="N8" s="22"/>
      <c r="O8" s="22"/>
      <c r="P8" s="22"/>
      <c r="Q8" s="22"/>
      <c r="R8" s="22"/>
      <c r="S8" s="22"/>
      <c r="T8" s="22"/>
      <c r="U8" s="22"/>
      <c r="V8" s="22"/>
      <c r="W8" s="22"/>
      <c r="X8" s="22"/>
      <c r="Y8" s="22"/>
      <c r="Z8" s="22"/>
    </row>
    <row r="9">
      <c r="A9" s="22"/>
      <c r="B9" s="22"/>
      <c r="C9" s="22"/>
      <c r="D9" s="22"/>
      <c r="E9" s="22"/>
      <c r="F9" s="22"/>
      <c r="G9" s="22"/>
      <c r="H9" s="22"/>
      <c r="I9" s="70"/>
      <c r="J9" s="70"/>
      <c r="K9" s="70"/>
      <c r="L9" s="70"/>
      <c r="M9" s="70"/>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3"/>
      <c r="C11" s="23"/>
      <c r="D11" s="22"/>
      <c r="E11" s="22"/>
      <c r="F11" s="23"/>
      <c r="G11" s="23"/>
      <c r="H11" s="23"/>
      <c r="I11" s="23"/>
      <c r="J11" s="23"/>
      <c r="K11" s="23"/>
      <c r="L11" s="23"/>
      <c r="M11" s="23"/>
      <c r="N11" s="23"/>
      <c r="O11" s="23"/>
      <c r="P11" s="23"/>
      <c r="Q11" s="22"/>
      <c r="R11" s="22"/>
      <c r="S11" s="22"/>
      <c r="T11" s="22"/>
      <c r="U11" s="22"/>
      <c r="V11" s="22"/>
      <c r="W11" s="22"/>
      <c r="X11" s="22"/>
      <c r="Y11" s="22"/>
      <c r="Z11" s="22"/>
    </row>
    <row r="12">
      <c r="A12" s="24"/>
      <c r="B12" s="210" t="s">
        <v>78</v>
      </c>
      <c r="C12" s="211" t="s">
        <v>79</v>
      </c>
      <c r="D12" s="30"/>
      <c r="E12" s="24"/>
      <c r="F12" s="22"/>
      <c r="G12" s="22"/>
      <c r="H12" s="22"/>
      <c r="I12" s="24"/>
      <c r="J12" s="98" t="s">
        <v>100</v>
      </c>
      <c r="K12" s="99"/>
      <c r="L12" s="99"/>
      <c r="M12" s="99"/>
      <c r="N12" s="99"/>
      <c r="O12" s="99"/>
      <c r="P12" s="100"/>
      <c r="Q12" s="22"/>
      <c r="R12" s="212"/>
      <c r="S12" s="213"/>
      <c r="T12" s="213"/>
      <c r="U12" s="213"/>
      <c r="V12" s="213"/>
      <c r="W12" s="213"/>
      <c r="X12" s="214"/>
      <c r="Y12" s="22"/>
      <c r="Z12" s="22"/>
    </row>
    <row r="13">
      <c r="A13" s="24"/>
      <c r="B13" s="184" t="s">
        <v>101</v>
      </c>
      <c r="C13" s="215">
        <v>0.05</v>
      </c>
      <c r="D13" s="30"/>
      <c r="E13" s="24"/>
      <c r="F13" s="22"/>
      <c r="G13" s="22"/>
      <c r="H13" s="22"/>
      <c r="I13" s="24"/>
      <c r="J13" s="216"/>
      <c r="K13" s="217"/>
      <c r="L13" s="218" t="s">
        <v>102</v>
      </c>
      <c r="M13" s="99"/>
      <c r="N13" s="99"/>
      <c r="O13" s="99"/>
      <c r="P13" s="100"/>
      <c r="Q13" s="66"/>
      <c r="R13" s="30"/>
      <c r="S13" s="22"/>
      <c r="T13" s="219"/>
      <c r="U13" s="213"/>
      <c r="V13" s="213"/>
      <c r="W13" s="213"/>
      <c r="X13" s="214"/>
      <c r="Y13" s="22"/>
      <c r="Z13" s="22"/>
    </row>
    <row r="14">
      <c r="A14" s="24"/>
      <c r="B14" s="184"/>
      <c r="C14" s="220"/>
      <c r="D14" s="30"/>
      <c r="E14" s="24"/>
      <c r="F14" s="22"/>
      <c r="G14" s="22"/>
      <c r="H14" s="22"/>
      <c r="I14" s="24"/>
      <c r="J14" s="221"/>
      <c r="K14" s="222"/>
      <c r="L14" s="223">
        <v>0.075</v>
      </c>
      <c r="M14" s="223">
        <v>0.08</v>
      </c>
      <c r="N14" s="224">
        <v>0.085</v>
      </c>
      <c r="O14" s="223">
        <v>0.09</v>
      </c>
      <c r="P14" s="225">
        <v>0.095</v>
      </c>
      <c r="Q14" s="66"/>
      <c r="R14" s="30"/>
      <c r="S14" s="22"/>
      <c r="T14" s="226"/>
      <c r="U14" s="226"/>
      <c r="V14" s="226"/>
      <c r="W14" s="226"/>
      <c r="X14" s="226"/>
      <c r="Y14" s="22"/>
      <c r="Z14" s="22"/>
    </row>
    <row r="15">
      <c r="A15" s="24"/>
      <c r="B15" s="227" t="s">
        <v>103</v>
      </c>
      <c r="C15" s="228">
        <f>M4*(1+C13)/(P3-C13)</f>
        <v>385728.0731</v>
      </c>
      <c r="D15" s="30"/>
      <c r="E15" s="24"/>
      <c r="F15" s="22"/>
      <c r="G15" s="22"/>
      <c r="H15" s="22"/>
      <c r="I15" s="24"/>
      <c r="J15" s="229" t="s">
        <v>104</v>
      </c>
      <c r="K15" s="230">
        <v>0.04</v>
      </c>
      <c r="L15" s="231">
        <f t="shared" ref="L15:P15" si="4">IF(L$14=$K15, "-", ($M$4*(1+$K15))/(L$14 - $K15)/((1+L$14)^5))</f>
        <v>269911.4553</v>
      </c>
      <c r="M15" s="231">
        <f t="shared" si="4"/>
        <v>230755.953</v>
      </c>
      <c r="N15" s="231">
        <f t="shared" si="4"/>
        <v>200433.5773</v>
      </c>
      <c r="O15" s="231">
        <f t="shared" si="4"/>
        <v>176290.6132</v>
      </c>
      <c r="P15" s="232">
        <f t="shared" si="4"/>
        <v>156638.4573</v>
      </c>
      <c r="Q15" s="66"/>
      <c r="R15" s="233"/>
      <c r="S15" s="234"/>
      <c r="T15" s="70"/>
      <c r="U15" s="70"/>
      <c r="V15" s="70"/>
      <c r="W15" s="70"/>
      <c r="X15" s="70"/>
      <c r="Y15" s="22"/>
      <c r="Z15" s="22"/>
    </row>
    <row r="16">
      <c r="A16" s="24"/>
      <c r="B16" s="227" t="s">
        <v>105</v>
      </c>
      <c r="C16" s="228">
        <f>C15*M6</f>
        <v>255938.5465</v>
      </c>
      <c r="D16" s="30"/>
      <c r="E16" s="24"/>
      <c r="F16" s="22"/>
      <c r="G16" s="22"/>
      <c r="H16" s="22"/>
      <c r="I16" s="24"/>
      <c r="J16" s="235"/>
      <c r="K16" s="230">
        <v>0.045</v>
      </c>
      <c r="L16" s="231">
        <f t="shared" ref="L16:P16" si="5">IF(L$14=$K16, "-", ($M$4*(1+$K16))/(L$14 - $K16)/((1+L$14)^5))</f>
        <v>316410.6243</v>
      </c>
      <c r="M16" s="231">
        <f t="shared" si="5"/>
        <v>264988.979</v>
      </c>
      <c r="N16" s="231">
        <f t="shared" si="5"/>
        <v>226571.8503</v>
      </c>
      <c r="O16" s="231">
        <f t="shared" si="5"/>
        <v>196820.1825</v>
      </c>
      <c r="P16" s="232">
        <f t="shared" si="5"/>
        <v>173130.6794</v>
      </c>
      <c r="Q16" s="66"/>
      <c r="R16" s="236"/>
      <c r="S16" s="234"/>
      <c r="T16" s="70"/>
      <c r="U16" s="70"/>
      <c r="V16" s="70"/>
      <c r="W16" s="70"/>
      <c r="X16" s="70"/>
      <c r="Y16" s="22"/>
      <c r="Z16" s="22"/>
    </row>
    <row r="17">
      <c r="A17" s="24"/>
      <c r="B17" s="227" t="s">
        <v>106</v>
      </c>
      <c r="C17" s="228">
        <f>sum(I7:M7) + C16</f>
        <v>283867.7487</v>
      </c>
      <c r="D17" s="30"/>
      <c r="E17" s="24"/>
      <c r="F17" s="22"/>
      <c r="G17" s="22"/>
      <c r="H17" s="22"/>
      <c r="I17" s="24"/>
      <c r="J17" s="235"/>
      <c r="K17" s="237">
        <v>0.05</v>
      </c>
      <c r="L17" s="231">
        <f t="shared" ref="L17:P17" si="6">IF(L$14=$K17, "-", ($M$4*(1+$K17))/(L$14 - $K17)/((1+L$14)^5))</f>
        <v>381509.4609</v>
      </c>
      <c r="M17" s="231">
        <f t="shared" si="6"/>
        <v>310633.0137</v>
      </c>
      <c r="N17" s="238">
        <f t="shared" si="6"/>
        <v>260178.2013</v>
      </c>
      <c r="O17" s="231">
        <f t="shared" si="6"/>
        <v>222482.1441</v>
      </c>
      <c r="P17" s="232">
        <f t="shared" si="6"/>
        <v>193287.8399</v>
      </c>
      <c r="Q17" s="66"/>
      <c r="R17" s="236"/>
      <c r="S17" s="234"/>
      <c r="T17" s="70"/>
      <c r="U17" s="70"/>
      <c r="V17" s="70"/>
      <c r="W17" s="70"/>
      <c r="X17" s="70"/>
      <c r="Y17" s="22"/>
      <c r="Z17" s="22"/>
    </row>
    <row r="18">
      <c r="A18" s="24"/>
      <c r="B18" s="227" t="s">
        <v>107</v>
      </c>
      <c r="C18" s="228">
        <f>C17-WACC!E5</f>
        <v>269620.2487</v>
      </c>
      <c r="D18" s="30"/>
      <c r="E18" s="24"/>
      <c r="F18" s="22"/>
      <c r="G18" s="22"/>
      <c r="H18" s="22"/>
      <c r="I18" s="24"/>
      <c r="J18" s="235"/>
      <c r="K18" s="230">
        <v>0.055</v>
      </c>
      <c r="L18" s="231">
        <f t="shared" ref="L18:P18" si="7">IF(L$14=$K18, "-", ($M$4*(1+$K18))/(L$14 - $K18)/((1+L$14)^5))</f>
        <v>479157.7158</v>
      </c>
      <c r="M18" s="231">
        <f t="shared" si="7"/>
        <v>374534.6622</v>
      </c>
      <c r="N18" s="231">
        <f t="shared" si="7"/>
        <v>304986.6693</v>
      </c>
      <c r="O18" s="231">
        <f t="shared" si="7"/>
        <v>255476.0947</v>
      </c>
      <c r="P18" s="232">
        <f t="shared" si="7"/>
        <v>218484.2904</v>
      </c>
      <c r="Q18" s="66"/>
      <c r="R18" s="236"/>
      <c r="S18" s="234"/>
      <c r="T18" s="22"/>
      <c r="U18" s="22"/>
      <c r="V18" s="22"/>
      <c r="W18" s="22"/>
      <c r="X18" s="22"/>
      <c r="Y18" s="22"/>
      <c r="Z18" s="22"/>
    </row>
    <row r="19">
      <c r="A19" s="24"/>
      <c r="B19" s="239" t="s">
        <v>108</v>
      </c>
      <c r="C19" s="240">
        <f>C18/88.73</f>
        <v>3038.659401</v>
      </c>
      <c r="D19" s="30"/>
      <c r="E19" s="24"/>
      <c r="F19" s="22"/>
      <c r="G19" s="22"/>
      <c r="H19" s="22"/>
      <c r="I19" s="24"/>
      <c r="J19" s="241"/>
      <c r="K19" s="230">
        <v>0.06</v>
      </c>
      <c r="L19" s="242">
        <f t="shared" ref="L19:P19" si="8">IF(L$14=$K19, "-", ($M$4*(1+$K19))/(L$14 - $K19)/((1+L$14)^5))</f>
        <v>641904.8072</v>
      </c>
      <c r="M19" s="242">
        <f t="shared" si="8"/>
        <v>470387.135</v>
      </c>
      <c r="N19" s="242">
        <f t="shared" si="8"/>
        <v>367718.5245</v>
      </c>
      <c r="O19" s="242">
        <f t="shared" si="8"/>
        <v>299468.0289</v>
      </c>
      <c r="P19" s="243">
        <f t="shared" si="8"/>
        <v>250879.7269</v>
      </c>
      <c r="Q19" s="66"/>
      <c r="R19" s="244"/>
      <c r="S19" s="234"/>
      <c r="T19" s="22"/>
      <c r="U19" s="22"/>
      <c r="V19" s="22"/>
      <c r="W19" s="22"/>
      <c r="X19" s="22"/>
      <c r="Y19" s="22"/>
      <c r="Z19" s="22"/>
    </row>
    <row r="20">
      <c r="A20" s="22"/>
      <c r="B20" s="44"/>
      <c r="C20" s="44"/>
      <c r="D20" s="22"/>
      <c r="E20" s="24"/>
      <c r="F20" s="22"/>
      <c r="G20" s="22"/>
      <c r="H20" s="22"/>
      <c r="I20" s="22"/>
      <c r="J20" s="44"/>
      <c r="K20" s="44"/>
      <c r="L20" s="44"/>
      <c r="M20" s="44"/>
      <c r="N20" s="44"/>
      <c r="O20" s="44"/>
      <c r="P20" s="44"/>
      <c r="Q20" s="22"/>
      <c r="R20" s="22"/>
      <c r="S20" s="22"/>
      <c r="T20" s="22"/>
      <c r="U20" s="22"/>
      <c r="V20" s="22"/>
      <c r="W20" s="22"/>
      <c r="X20" s="22"/>
      <c r="Y20" s="22"/>
      <c r="Z20" s="22"/>
    </row>
    <row r="21">
      <c r="A21" s="22"/>
      <c r="B21" s="23"/>
      <c r="C21" s="23"/>
      <c r="D21" s="23"/>
      <c r="E21" s="23"/>
      <c r="F21" s="23"/>
      <c r="G21" s="23"/>
      <c r="H21" s="23"/>
      <c r="I21" s="22"/>
      <c r="J21" s="23"/>
      <c r="K21" s="23"/>
      <c r="L21" s="23"/>
      <c r="M21" s="23"/>
      <c r="N21" s="23"/>
      <c r="O21" s="23"/>
      <c r="P21" s="23"/>
      <c r="Q21" s="22"/>
      <c r="R21" s="22"/>
      <c r="S21" s="22"/>
      <c r="T21" s="22"/>
      <c r="U21" s="22"/>
      <c r="V21" s="22"/>
      <c r="W21" s="22"/>
      <c r="X21" s="22"/>
      <c r="Y21" s="22"/>
      <c r="Z21" s="22"/>
    </row>
    <row r="22">
      <c r="A22" s="22"/>
      <c r="B22" s="98" t="s">
        <v>109</v>
      </c>
      <c r="C22" s="99"/>
      <c r="D22" s="99"/>
      <c r="E22" s="99"/>
      <c r="F22" s="99"/>
      <c r="G22" s="99"/>
      <c r="H22" s="100"/>
      <c r="I22" s="153"/>
      <c r="J22" s="98" t="s">
        <v>110</v>
      </c>
      <c r="K22" s="99"/>
      <c r="L22" s="99"/>
      <c r="M22" s="99"/>
      <c r="N22" s="99"/>
      <c r="O22" s="99"/>
      <c r="P22" s="100"/>
      <c r="Q22" s="22"/>
      <c r="R22" s="212"/>
      <c r="S22" s="213"/>
      <c r="T22" s="213"/>
      <c r="U22" s="213"/>
      <c r="V22" s="213"/>
      <c r="W22" s="213"/>
      <c r="X22" s="214"/>
      <c r="Y22" s="22"/>
      <c r="Z22" s="22"/>
    </row>
    <row r="23">
      <c r="A23" s="22"/>
      <c r="B23" s="216"/>
      <c r="C23" s="217"/>
      <c r="D23" s="218" t="s">
        <v>102</v>
      </c>
      <c r="E23" s="99"/>
      <c r="F23" s="99"/>
      <c r="G23" s="99"/>
      <c r="H23" s="100"/>
      <c r="I23" s="153"/>
      <c r="J23" s="216"/>
      <c r="K23" s="217"/>
      <c r="L23" s="218" t="s">
        <v>102</v>
      </c>
      <c r="M23" s="99"/>
      <c r="N23" s="99"/>
      <c r="O23" s="99"/>
      <c r="P23" s="100"/>
      <c r="Q23" s="22"/>
      <c r="R23" s="30"/>
      <c r="S23" s="22"/>
      <c r="T23" s="219"/>
      <c r="U23" s="213"/>
      <c r="V23" s="213"/>
      <c r="W23" s="213"/>
      <c r="X23" s="214"/>
      <c r="Y23" s="22"/>
      <c r="Z23" s="22"/>
    </row>
    <row r="24">
      <c r="A24" s="22"/>
      <c r="B24" s="221"/>
      <c r="C24" s="222"/>
      <c r="D24" s="223">
        <v>0.075</v>
      </c>
      <c r="E24" s="223">
        <v>0.08</v>
      </c>
      <c r="F24" s="224">
        <v>0.085</v>
      </c>
      <c r="G24" s="223">
        <v>0.09</v>
      </c>
      <c r="H24" s="223">
        <v>0.095</v>
      </c>
      <c r="I24" s="153"/>
      <c r="J24" s="221"/>
      <c r="K24" s="222"/>
      <c r="L24" s="223">
        <v>0.075</v>
      </c>
      <c r="M24" s="223">
        <v>0.08</v>
      </c>
      <c r="N24" s="224">
        <v>0.085</v>
      </c>
      <c r="O24" s="223">
        <v>0.09</v>
      </c>
      <c r="P24" s="225">
        <v>0.095</v>
      </c>
      <c r="Q24" s="66"/>
      <c r="R24" s="30"/>
      <c r="S24" s="22"/>
      <c r="T24" s="226"/>
      <c r="U24" s="226"/>
      <c r="V24" s="226"/>
      <c r="W24" s="226"/>
      <c r="X24" s="226"/>
      <c r="Y24" s="22"/>
      <c r="Z24" s="22"/>
    </row>
    <row r="25">
      <c r="A25" s="22"/>
      <c r="B25" s="245" t="s">
        <v>104</v>
      </c>
      <c r="C25" s="230">
        <v>0.04</v>
      </c>
      <c r="D25" s="231">
        <f>IF(D$24=$C25, "-", (($M$4*(1+$C25))/((D$24 - $C25)*(1+D$24)^5)) - WACC!$E$5)</f>
        <v>255663.9553</v>
      </c>
      <c r="E25" s="231">
        <f>IF(E$24=$C25, "-", (($M$4*(1+$C25))/((E$24 - $C25)*(1+E$24)^5)) - WACC!$E$5)</f>
        <v>216508.453</v>
      </c>
      <c r="F25" s="231">
        <f>IF(F$24=$C25, "-", (($M$4*(1+$C25))/((F$24 - $C25)*(1+F$24)^5)) - WACC!$E$5)</f>
        <v>186186.0773</v>
      </c>
      <c r="G25" s="231">
        <f>IF(G$24=$C25, "-", (($M$4*(1+$C25))/((G$24 - $C25)*(1+G$24)^5)) - WACC!$E$5)</f>
        <v>162043.1132</v>
      </c>
      <c r="H25" s="246">
        <f>IF(H$24=$C25, "-", (($M$4*(1+$C25))/((H$24 - $C25)*(1+H$24)^5)) - WACC!$E$5)</f>
        <v>142390.9573</v>
      </c>
      <c r="I25" s="153"/>
      <c r="J25" s="229" t="s">
        <v>104</v>
      </c>
      <c r="K25" s="230">
        <v>0.04</v>
      </c>
      <c r="L25" s="231">
        <f t="shared" ref="L25:P25" si="9">IF(D25="-", "-", ROUND(D25/88.73, 2))</f>
        <v>2881.37</v>
      </c>
      <c r="M25" s="231">
        <f t="shared" si="9"/>
        <v>2440.08</v>
      </c>
      <c r="N25" s="231">
        <f t="shared" si="9"/>
        <v>2098.34</v>
      </c>
      <c r="O25" s="231">
        <f t="shared" si="9"/>
        <v>1826.25</v>
      </c>
      <c r="P25" s="232">
        <f t="shared" si="9"/>
        <v>1604.77</v>
      </c>
      <c r="Q25" s="66"/>
      <c r="R25" s="233"/>
      <c r="S25" s="234"/>
      <c r="T25" s="70"/>
      <c r="U25" s="70"/>
      <c r="V25" s="70"/>
      <c r="W25" s="70"/>
      <c r="X25" s="70"/>
      <c r="Y25" s="22"/>
      <c r="Z25" s="22"/>
    </row>
    <row r="26">
      <c r="A26" s="22"/>
      <c r="B26" s="235"/>
      <c r="C26" s="230">
        <v>0.045</v>
      </c>
      <c r="D26" s="231">
        <f>IF(D$24=$C26, "-", (($M$4*(1+$C26))/((D$24 - $C26)*(1+D$24)^5)) - WACC!$E$5)</f>
        <v>302163.1243</v>
      </c>
      <c r="E26" s="231">
        <f>IF(E$24=$C26, "-", (($M$4*(1+$C26))/((E$24 - $C26)*(1+E$24)^5)) - WACC!$E$5)</f>
        <v>250741.479</v>
      </c>
      <c r="F26" s="231">
        <f>IF(F$24=$C26, "-", (($M$4*(1+$C26))/((F$24 - $C26)*(1+F$24)^5)) - WACC!$E$5)</f>
        <v>212324.3503</v>
      </c>
      <c r="G26" s="231">
        <f>IF(G$24=$C26, "-", (($M$4*(1+$C26))/((G$24 - $C26)*(1+G$24)^5)) - WACC!$E$5)</f>
        <v>182572.6825</v>
      </c>
      <c r="H26" s="246">
        <f>IF(H$24=$C26, "-", (($M$4*(1+$C26))/((H$24 - $C26)*(1+H$24)^5)) - WACC!$E$5)</f>
        <v>158883.1794</v>
      </c>
      <c r="I26" s="153"/>
      <c r="J26" s="235"/>
      <c r="K26" s="230">
        <v>0.045</v>
      </c>
      <c r="L26" s="231">
        <f t="shared" ref="L26:P26" si="10">IF(D26="-", "-", ROUND(D26/88.73, 2))</f>
        <v>3405.42</v>
      </c>
      <c r="M26" s="231">
        <f t="shared" si="10"/>
        <v>2825.89</v>
      </c>
      <c r="N26" s="231">
        <f t="shared" si="10"/>
        <v>2392.93</v>
      </c>
      <c r="O26" s="231">
        <f t="shared" si="10"/>
        <v>2057.62</v>
      </c>
      <c r="P26" s="232">
        <f t="shared" si="10"/>
        <v>1790.64</v>
      </c>
      <c r="Q26" s="66"/>
      <c r="R26" s="236"/>
      <c r="S26" s="234"/>
      <c r="T26" s="70"/>
      <c r="U26" s="70"/>
      <c r="V26" s="70"/>
      <c r="W26" s="70"/>
      <c r="X26" s="70"/>
      <c r="Y26" s="22"/>
      <c r="Z26" s="22"/>
    </row>
    <row r="27">
      <c r="A27" s="22"/>
      <c r="B27" s="235"/>
      <c r="C27" s="237">
        <v>0.05</v>
      </c>
      <c r="D27" s="231">
        <f>IF(D$24=$C27, "-", (($M$4*(1+$C27))/((D$24 - $C27)*(1+D$24)^5)) - WACC!$E$5)</f>
        <v>367261.9609</v>
      </c>
      <c r="E27" s="231">
        <f>IF(E$24=$C27, "-", (($M$4*(1+$C27))/((E$24 - $C27)*(1+E$24)^5)) - WACC!$E$5)</f>
        <v>296385.5137</v>
      </c>
      <c r="F27" s="238">
        <f>IF(F$24=$C27, "-", (($M$4*(1+$C27))/((F$24 - $C27)*(1+F$24)^5)) - WACC!$E$5)</f>
        <v>245930.7013</v>
      </c>
      <c r="G27" s="231">
        <f>IF(G$24=$C27, "-", (($M$4*(1+$C27))/((G$24 - $C27)*(1+G$24)^5)) - WACC!$E$5)</f>
        <v>208234.6441</v>
      </c>
      <c r="H27" s="246">
        <f>IF(H$24=$C27, "-", (($M$4*(1+$C27))/((H$24 - $C27)*(1+H$24)^5)) - WACC!$E$5)</f>
        <v>179040.3399</v>
      </c>
      <c r="I27" s="153"/>
      <c r="J27" s="235"/>
      <c r="K27" s="237">
        <v>0.05</v>
      </c>
      <c r="L27" s="231">
        <f t="shared" ref="L27:P27" si="11">IF(D27="-", "-", ROUND(D27/88.73, 2))</f>
        <v>4139.1</v>
      </c>
      <c r="M27" s="231">
        <f t="shared" si="11"/>
        <v>3340.31</v>
      </c>
      <c r="N27" s="238">
        <f t="shared" si="11"/>
        <v>2771.67</v>
      </c>
      <c r="O27" s="231">
        <f t="shared" si="11"/>
        <v>2346.83</v>
      </c>
      <c r="P27" s="232">
        <f t="shared" si="11"/>
        <v>2017.81</v>
      </c>
      <c r="Q27" s="66"/>
      <c r="R27" s="236"/>
      <c r="S27" s="234"/>
      <c r="T27" s="70"/>
      <c r="U27" s="70"/>
      <c r="V27" s="70"/>
      <c r="W27" s="70"/>
      <c r="X27" s="70"/>
      <c r="Y27" s="22"/>
      <c r="Z27" s="22"/>
    </row>
    <row r="28">
      <c r="A28" s="22"/>
      <c r="B28" s="235"/>
      <c r="C28" s="230">
        <v>0.055</v>
      </c>
      <c r="D28" s="231">
        <f>IF(D$24=$C28, "-", (($M$4*(1+$C28))/((D$24 - $C28)*(1+D$24)^5)) - WACC!$E$5)</f>
        <v>464910.2158</v>
      </c>
      <c r="E28" s="231">
        <f>IF(E$24=$C28, "-", (($M$4*(1+$C28))/((E$24 - $C28)*(1+E$24)^5)) - WACC!$E$5)</f>
        <v>360287.1622</v>
      </c>
      <c r="F28" s="231">
        <f>IF(F$24=$C28, "-", (($M$4*(1+$C28))/((F$24 - $C28)*(1+F$24)^5)) - WACC!$E$5)</f>
        <v>290739.1693</v>
      </c>
      <c r="G28" s="231">
        <f>IF(G$24=$C28, "-", (($M$4*(1+$C28))/((G$24 - $C28)*(1+G$24)^5)) - WACC!$E$5)</f>
        <v>241228.5947</v>
      </c>
      <c r="H28" s="246">
        <f>IF(H$24=$C28, "-", (($M$4*(1+$C28))/((H$24 - $C28)*(1+H$24)^5)) - WACC!$E$5)</f>
        <v>204236.7904</v>
      </c>
      <c r="I28" s="153"/>
      <c r="J28" s="235"/>
      <c r="K28" s="230">
        <v>0.055</v>
      </c>
      <c r="L28" s="231">
        <f t="shared" ref="L28:P28" si="12">IF(D28="-", "-", ROUND(D28/88.73, 2))</f>
        <v>5239.61</v>
      </c>
      <c r="M28" s="231">
        <f t="shared" si="12"/>
        <v>4060.49</v>
      </c>
      <c r="N28" s="231">
        <f t="shared" si="12"/>
        <v>3276.67</v>
      </c>
      <c r="O28" s="231">
        <f t="shared" si="12"/>
        <v>2718.68</v>
      </c>
      <c r="P28" s="232">
        <f t="shared" si="12"/>
        <v>2301.78</v>
      </c>
      <c r="Q28" s="66"/>
      <c r="R28" s="236"/>
      <c r="S28" s="234"/>
      <c r="T28" s="22"/>
      <c r="U28" s="22"/>
      <c r="V28" s="22"/>
      <c r="W28" s="22"/>
      <c r="X28" s="22"/>
      <c r="Y28" s="22"/>
      <c r="Z28" s="22"/>
    </row>
    <row r="29">
      <c r="A29" s="22"/>
      <c r="B29" s="241"/>
      <c r="C29" s="230">
        <v>0.06</v>
      </c>
      <c r="D29" s="242">
        <f>IF(D$24=$C29, "-", (($M$4*(1+$C29))/((D$24 - $C29)*(1+D$24)^5)) - WACC!$E$5)</f>
        <v>627657.3072</v>
      </c>
      <c r="E29" s="242">
        <f>IF(E$24=$C29, "-", (($M$4*(1+$C29))/((E$24 - $C29)*(1+E$24)^5)) - WACC!$E$5)</f>
        <v>456139.635</v>
      </c>
      <c r="F29" s="242">
        <f>IF(F$24=$C29, "-", (($M$4*(1+$C29))/((F$24 - $C29)*(1+F$24)^5)) - WACC!$E$5)</f>
        <v>353471.0245</v>
      </c>
      <c r="G29" s="242">
        <f>IF(G$24=$C29, "-", (($M$4*(1+$C29))/((G$24 - $C29)*(1+G$24)^5)) - WACC!$E$5)</f>
        <v>285220.5289</v>
      </c>
      <c r="H29" s="247">
        <f>IF(H$24=$C29, "-", (($M$4*(1+$C29))/((H$24 - $C29)*(1+H$24)^5)) - WACC!$E$5)</f>
        <v>236632.2269</v>
      </c>
      <c r="I29" s="248"/>
      <c r="J29" s="241"/>
      <c r="K29" s="230">
        <v>0.06</v>
      </c>
      <c r="L29" s="242">
        <f t="shared" ref="L29:P29" si="13">IF(D29="-", "-", ROUND(D29/88.73, 2))</f>
        <v>7073.79</v>
      </c>
      <c r="M29" s="242">
        <f t="shared" si="13"/>
        <v>5140.76</v>
      </c>
      <c r="N29" s="242">
        <f t="shared" si="13"/>
        <v>3983.67</v>
      </c>
      <c r="O29" s="242">
        <f t="shared" si="13"/>
        <v>3214.48</v>
      </c>
      <c r="P29" s="243">
        <f t="shared" si="13"/>
        <v>2666.88</v>
      </c>
      <c r="Q29" s="66"/>
      <c r="R29" s="244"/>
      <c r="S29" s="234"/>
      <c r="T29" s="22"/>
      <c r="U29" s="22"/>
      <c r="V29" s="22"/>
      <c r="W29" s="22"/>
      <c r="X29" s="22"/>
      <c r="Y29" s="22"/>
      <c r="Z29" s="22"/>
    </row>
    <row r="30">
      <c r="A30" s="22"/>
      <c r="B30" s="22"/>
      <c r="C30" s="44"/>
      <c r="D30" s="22"/>
      <c r="E30" s="44"/>
      <c r="F30" s="44"/>
      <c r="G30" s="44"/>
      <c r="H30" s="44"/>
      <c r="I30" s="44"/>
      <c r="J30" s="22"/>
      <c r="K30" s="44"/>
      <c r="L30" s="44"/>
      <c r="M30" s="44"/>
      <c r="N30" s="44"/>
      <c r="O30" s="44"/>
      <c r="P30" s="44"/>
      <c r="Q30" s="44"/>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sheetData>
  <mergeCells count="15">
    <mergeCell ref="J22:P22"/>
    <mergeCell ref="R22:X22"/>
    <mergeCell ref="D23:H23"/>
    <mergeCell ref="L23:P23"/>
    <mergeCell ref="T23:X23"/>
    <mergeCell ref="B25:B29"/>
    <mergeCell ref="J25:J29"/>
    <mergeCell ref="R25:R29"/>
    <mergeCell ref="J12:P12"/>
    <mergeCell ref="R12:X12"/>
    <mergeCell ref="L13:P13"/>
    <mergeCell ref="T13:X13"/>
    <mergeCell ref="J15:J19"/>
    <mergeCell ref="R15:R19"/>
    <mergeCell ref="B22:H2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13" max="13" width="3.88"/>
  </cols>
  <sheetData>
    <row r="1">
      <c r="A1" s="22"/>
      <c r="B1" s="23"/>
      <c r="C1" s="23"/>
      <c r="D1" s="23"/>
      <c r="E1" s="23"/>
      <c r="F1" s="23"/>
      <c r="G1" s="23"/>
      <c r="H1" s="23"/>
      <c r="I1" s="23"/>
      <c r="J1" s="23"/>
      <c r="K1" s="23"/>
      <c r="L1" s="23"/>
      <c r="M1" s="22"/>
      <c r="N1" s="22"/>
      <c r="O1" s="22"/>
      <c r="P1" s="22"/>
      <c r="Q1" s="22"/>
      <c r="R1" s="22"/>
      <c r="S1" s="22"/>
      <c r="T1" s="22"/>
      <c r="U1" s="22"/>
      <c r="V1" s="22"/>
      <c r="W1" s="22"/>
      <c r="X1" s="22"/>
      <c r="Y1" s="22"/>
      <c r="Z1" s="22"/>
    </row>
    <row r="2">
      <c r="A2" s="24"/>
      <c r="B2" s="249" t="s">
        <v>111</v>
      </c>
      <c r="C2" s="99"/>
      <c r="D2" s="99"/>
      <c r="E2" s="99"/>
      <c r="F2" s="99"/>
      <c r="G2" s="99"/>
      <c r="H2" s="99"/>
      <c r="I2" s="99"/>
      <c r="J2" s="99"/>
      <c r="K2" s="99"/>
      <c r="L2" s="100"/>
      <c r="M2" s="30"/>
      <c r="N2" s="250"/>
      <c r="O2" s="250"/>
      <c r="P2" s="250"/>
      <c r="Q2" s="250"/>
      <c r="R2" s="22"/>
      <c r="S2" s="22"/>
      <c r="T2" s="22"/>
      <c r="U2" s="22"/>
      <c r="V2" s="22"/>
      <c r="W2" s="22"/>
      <c r="X2" s="22"/>
      <c r="Y2" s="22"/>
      <c r="Z2" s="22"/>
    </row>
    <row r="3">
      <c r="A3" s="24"/>
      <c r="B3" s="251" t="s">
        <v>24</v>
      </c>
      <c r="C3" s="252"/>
      <c r="D3" s="252"/>
      <c r="E3" s="252"/>
      <c r="F3" s="252"/>
      <c r="G3" s="244"/>
      <c r="H3" s="253" t="s">
        <v>25</v>
      </c>
      <c r="I3" s="252"/>
      <c r="J3" s="252"/>
      <c r="K3" s="252"/>
      <c r="L3" s="190"/>
      <c r="M3" s="30"/>
      <c r="N3" s="254" t="s">
        <v>112</v>
      </c>
      <c r="O3" s="255"/>
      <c r="P3" s="255"/>
      <c r="Q3" s="256"/>
      <c r="R3" s="22"/>
      <c r="S3" s="22"/>
      <c r="T3" s="22"/>
      <c r="U3" s="22"/>
      <c r="V3" s="22"/>
      <c r="W3" s="22"/>
      <c r="X3" s="22"/>
      <c r="Y3" s="22"/>
      <c r="Z3" s="22"/>
    </row>
    <row r="4">
      <c r="A4" s="24"/>
      <c r="B4" s="110">
        <v>2020.0</v>
      </c>
      <c r="C4" s="111">
        <f t="shared" ref="C4:L4" si="1">B4+1</f>
        <v>2021</v>
      </c>
      <c r="D4" s="111">
        <f t="shared" si="1"/>
        <v>2022</v>
      </c>
      <c r="E4" s="111">
        <f t="shared" si="1"/>
        <v>2023</v>
      </c>
      <c r="F4" s="111">
        <f t="shared" si="1"/>
        <v>2024</v>
      </c>
      <c r="G4" s="111">
        <f t="shared" si="1"/>
        <v>2025</v>
      </c>
      <c r="H4" s="112">
        <f t="shared" si="1"/>
        <v>2026</v>
      </c>
      <c r="I4" s="112">
        <f t="shared" si="1"/>
        <v>2027</v>
      </c>
      <c r="J4" s="112">
        <f t="shared" si="1"/>
        <v>2028</v>
      </c>
      <c r="K4" s="112">
        <f t="shared" si="1"/>
        <v>2029</v>
      </c>
      <c r="L4" s="113">
        <f t="shared" si="1"/>
        <v>2030</v>
      </c>
      <c r="M4" s="30"/>
      <c r="N4" s="257"/>
      <c r="Q4" s="236"/>
      <c r="R4" s="22"/>
      <c r="S4" s="22"/>
      <c r="T4" s="22"/>
      <c r="U4" s="22"/>
      <c r="V4" s="22"/>
      <c r="W4" s="22"/>
      <c r="X4" s="22"/>
      <c r="Y4" s="22"/>
      <c r="Z4" s="22"/>
    </row>
    <row r="5">
      <c r="A5" s="31" t="s">
        <v>37</v>
      </c>
      <c r="B5" s="258">
        <f>'Profit and Loss'!B12</f>
        <v>0.1169960099</v>
      </c>
      <c r="C5" s="259">
        <f>'Profit and Loss'!C12</f>
        <v>0.07969876178</v>
      </c>
      <c r="D5" s="259">
        <f>'Profit and Loss'!D12</f>
        <v>0.1161151429</v>
      </c>
      <c r="E5" s="259">
        <f>'Profit and Loss'!E12</f>
        <v>0.1203203943</v>
      </c>
      <c r="F5" s="259">
        <f>'Profit and Loss'!F12</f>
        <v>0.1035940803</v>
      </c>
      <c r="G5" s="259">
        <f>'Profit and Loss'!G12</f>
        <v>0.09418420008</v>
      </c>
      <c r="H5" s="259">
        <f>'Profit and Loss'!H12</f>
        <v>0.119</v>
      </c>
      <c r="I5" s="259">
        <f>'Profit and Loss'!I12</f>
        <v>0.124</v>
      </c>
      <c r="J5" s="259">
        <f>'Profit and Loss'!J12</f>
        <v>0.129</v>
      </c>
      <c r="K5" s="259">
        <f>'Profit and Loss'!K12</f>
        <v>0.129</v>
      </c>
      <c r="L5" s="260">
        <f>'Profit and Loss'!L12</f>
        <v>0.129</v>
      </c>
      <c r="M5" s="30"/>
      <c r="N5" s="257"/>
      <c r="Q5" s="236"/>
      <c r="R5" s="22"/>
      <c r="S5" s="22"/>
      <c r="T5" s="22"/>
      <c r="U5" s="22"/>
      <c r="V5" s="22"/>
      <c r="W5" s="22"/>
      <c r="X5" s="22"/>
      <c r="Y5" s="22"/>
      <c r="Z5" s="22"/>
    </row>
    <row r="6">
      <c r="A6" s="31" t="s">
        <v>42</v>
      </c>
      <c r="B6" s="261">
        <f>'Profit and Loss'!B17</f>
        <v>0.07091962759</v>
      </c>
      <c r="C6" s="64">
        <f>'Profit and Loss'!C17</f>
        <v>0.04500092404</v>
      </c>
      <c r="D6" s="64">
        <f>'Profit and Loss'!D17</f>
        <v>0.07632209452</v>
      </c>
      <c r="E6" s="64">
        <f>'Profit and Loss'!E17</f>
        <v>0.0806900801</v>
      </c>
      <c r="F6" s="64">
        <f>'Profit and Loss'!F17</f>
        <v>0.06843630099</v>
      </c>
      <c r="G6" s="64">
        <f>'Profit and Loss'!G17</f>
        <v>0.05519716819</v>
      </c>
      <c r="H6" s="64">
        <f>'Profit and Loss'!H17</f>
        <v>0.08026049508</v>
      </c>
      <c r="I6" s="64">
        <f>'Profit and Loss'!I17</f>
        <v>0.08554919755</v>
      </c>
      <c r="J6" s="64">
        <f>'Profit and Loss'!J17</f>
        <v>0.09038728538</v>
      </c>
      <c r="K6" s="64">
        <f>'Profit and Loss'!K17</f>
        <v>0.09114657719</v>
      </c>
      <c r="L6" s="65">
        <f>'Profit and Loss'!L17</f>
        <v>0.09165597926</v>
      </c>
      <c r="M6" s="30"/>
      <c r="N6" s="257"/>
      <c r="Q6" s="236"/>
      <c r="R6" s="22"/>
      <c r="S6" s="22"/>
      <c r="T6" s="22"/>
      <c r="U6" s="22"/>
      <c r="V6" s="22"/>
      <c r="W6" s="22"/>
      <c r="X6" s="22"/>
      <c r="Y6" s="22"/>
      <c r="Z6" s="22"/>
    </row>
    <row r="7">
      <c r="A7" s="31" t="s">
        <v>113</v>
      </c>
      <c r="B7" s="262">
        <f>'Profit and Loss'!B16/'Balance Sheet'!C7</f>
        <v>0.2238716449</v>
      </c>
      <c r="C7" s="47">
        <f>'Profit and Loss'!C16/'Balance Sheet'!D7</f>
        <v>0.1299186341</v>
      </c>
      <c r="D7" s="47">
        <f>'Profit and Loss'!D16/'Balance Sheet'!E7</f>
        <v>0.2362678706</v>
      </c>
      <c r="E7" s="47">
        <f>'Profit and Loss'!E16/'Balance Sheet'!F7</f>
        <v>0.2762636064</v>
      </c>
      <c r="F7" s="47">
        <f>'Profit and Loss'!F16/'Balance Sheet'!G7</f>
        <v>0.3721920579</v>
      </c>
      <c r="G7" s="47">
        <f>'Profit and Loss'!G16/'Balance Sheet'!H7</f>
        <v>0.2870784584</v>
      </c>
      <c r="H7" s="47">
        <f>'Profit and Loss'!H16/'Balance Sheet'!I7</f>
        <v>0.3414375057</v>
      </c>
      <c r="I7" s="47">
        <f>'Profit and Loss'!I16/'Balance Sheet'!J7</f>
        <v>0.3051186296</v>
      </c>
      <c r="J7" s="47">
        <f>'Profit and Loss'!J16/'Balance Sheet'!K7</f>
        <v>0.2740489167</v>
      </c>
      <c r="K7" s="47">
        <f>'Profit and Loss'!K16/'Balance Sheet'!L7</f>
        <v>0.2388479771</v>
      </c>
      <c r="L7" s="164">
        <f>'Profit and Loss'!L16/'Balance Sheet'!M7</f>
        <v>0.2089866344</v>
      </c>
      <c r="M7" s="30"/>
      <c r="N7" s="257"/>
      <c r="Q7" s="236"/>
      <c r="R7" s="22"/>
      <c r="S7" s="22"/>
      <c r="T7" s="22"/>
      <c r="U7" s="22"/>
      <c r="V7" s="22"/>
      <c r="W7" s="22"/>
      <c r="X7" s="22"/>
      <c r="Y7" s="22"/>
      <c r="Z7" s="22"/>
    </row>
    <row r="8">
      <c r="A8" s="31" t="s">
        <v>114</v>
      </c>
      <c r="B8" s="262">
        <f>'Profit and Loss'!B8/('Balance Sheet'!C7+'Balance Sheet'!C8)</f>
        <v>0.2407389307</v>
      </c>
      <c r="C8" s="47">
        <f>'Profit and Loss'!C8/('Balance Sheet'!D7+'Balance Sheet'!D8)</f>
        <v>0.1313285116</v>
      </c>
      <c r="D8" s="47">
        <f>'Profit and Loss'!D8/('Balance Sheet'!E7+'Balance Sheet'!E8)</f>
        <v>0.2017131138</v>
      </c>
      <c r="E8" s="47">
        <f>'Profit and Loss'!E8/('Balance Sheet'!F7+'Balance Sheet'!F8)</f>
        <v>0.2300876614</v>
      </c>
      <c r="F8" s="47">
        <f>'Profit and Loss'!F8/('Balance Sheet'!G7+'Balance Sheet'!G8)</f>
        <v>0.2123510293</v>
      </c>
      <c r="G8" s="47">
        <f>'Profit and Loss'!G8/('Balance Sheet'!H7+'Balance Sheet'!H8)</f>
        <v>0.2315481274</v>
      </c>
      <c r="H8" s="47">
        <f>'Profit and Loss'!H8/('Balance Sheet'!I7+'Balance Sheet'!I8)</f>
        <v>0.3016932629</v>
      </c>
      <c r="I8" s="47">
        <f>'Profit and Loss'!I8/('Balance Sheet'!J7+'Balance Sheet'!J8)</f>
        <v>0.3088908183</v>
      </c>
      <c r="J8" s="47">
        <f>'Profit and Loss'!J8/('Balance Sheet'!K7+'Balance Sheet'!K8)</f>
        <v>0.3044081889</v>
      </c>
      <c r="K8" s="47">
        <f>'Profit and Loss'!K8/('Balance Sheet'!L7+'Balance Sheet'!L8)</f>
        <v>0.2828652566</v>
      </c>
      <c r="L8" s="164">
        <f>'Profit and Loss'!L8/('Balance Sheet'!M7+'Balance Sheet'!M8)</f>
        <v>0.2586736169</v>
      </c>
      <c r="M8" s="30"/>
      <c r="N8" s="257"/>
      <c r="Q8" s="236"/>
      <c r="R8" s="22"/>
      <c r="S8" s="22"/>
      <c r="T8" s="22"/>
      <c r="U8" s="22"/>
      <c r="V8" s="22"/>
      <c r="W8" s="22"/>
      <c r="X8" s="22"/>
      <c r="Y8" s="22"/>
      <c r="Z8" s="22"/>
    </row>
    <row r="9">
      <c r="A9" s="31" t="s">
        <v>115</v>
      </c>
      <c r="B9" s="263">
        <f>'Profit and Loss'!B16/'Balance Sheet'!C19</f>
        <v>0.2974696155</v>
      </c>
      <c r="C9" s="42">
        <f>'Profit and Loss'!C16/'Balance Sheet'!D19</f>
        <v>0.1266415291</v>
      </c>
      <c r="D9" s="42">
        <f>'Profit and Loss'!D16/'Balance Sheet'!E19</f>
        <v>0.2943224424</v>
      </c>
      <c r="E9" s="42">
        <f>'Profit and Loss'!E16/'Balance Sheet'!F19</f>
        <v>0.3126133868</v>
      </c>
      <c r="F9" s="42">
        <f>'Profit and Loss'!F16/'Balance Sheet'!G19</f>
        <v>0.296975875</v>
      </c>
      <c r="G9" s="42">
        <f>'Profit and Loss'!G16/'Balance Sheet'!H19</f>
        <v>0.2774129188</v>
      </c>
      <c r="H9" s="42">
        <f>'Profit and Loss'!H16/'Balance Sheet'!I19</f>
        <v>0.4542552641</v>
      </c>
      <c r="I9" s="42">
        <f>'Profit and Loss'!I16/'Balance Sheet'!J19</f>
        <v>0.5065635791</v>
      </c>
      <c r="J9" s="42">
        <f>'Profit and Loss'!J16/'Balance Sheet'!K19</f>
        <v>0.548853049</v>
      </c>
      <c r="K9" s="42">
        <f>'Profit and Loss'!K16/'Balance Sheet'!L19</f>
        <v>0.557811175</v>
      </c>
      <c r="L9" s="264">
        <f>'Profit and Loss'!L16/'Balance Sheet'!M19</f>
        <v>0.5565597016</v>
      </c>
      <c r="M9" s="30"/>
      <c r="N9" s="265"/>
      <c r="O9" s="252"/>
      <c r="P9" s="252"/>
      <c r="Q9" s="244"/>
      <c r="R9" s="22"/>
      <c r="S9" s="22"/>
      <c r="T9" s="22"/>
      <c r="U9" s="22"/>
      <c r="V9" s="22"/>
      <c r="W9" s="22"/>
      <c r="X9" s="22"/>
      <c r="Y9" s="22"/>
      <c r="Z9" s="22"/>
    </row>
    <row r="10">
      <c r="A10" s="22"/>
      <c r="B10" s="130"/>
      <c r="C10" s="130"/>
      <c r="D10" s="130"/>
      <c r="E10" s="130"/>
      <c r="F10" s="130"/>
      <c r="G10" s="130"/>
      <c r="H10" s="130"/>
      <c r="I10" s="130"/>
      <c r="J10" s="130"/>
      <c r="K10" s="130"/>
      <c r="L10" s="130"/>
      <c r="M10" s="22"/>
      <c r="N10" s="22"/>
      <c r="O10" s="22"/>
      <c r="P10" s="22"/>
      <c r="Q10" s="22"/>
      <c r="R10" s="22"/>
      <c r="S10" s="22"/>
      <c r="T10" s="22"/>
      <c r="U10" s="22"/>
      <c r="V10" s="22"/>
      <c r="W10" s="22"/>
      <c r="X10" s="22"/>
      <c r="Y10" s="22"/>
      <c r="Z10" s="22"/>
    </row>
    <row r="11">
      <c r="A11" s="24"/>
      <c r="B11" s="249" t="s">
        <v>116</v>
      </c>
      <c r="C11" s="99"/>
      <c r="D11" s="99"/>
      <c r="E11" s="99"/>
      <c r="F11" s="99"/>
      <c r="G11" s="99"/>
      <c r="H11" s="99"/>
      <c r="I11" s="99"/>
      <c r="J11" s="99"/>
      <c r="K11" s="99"/>
      <c r="L11" s="100"/>
      <c r="M11" s="30"/>
      <c r="N11" s="254" t="s">
        <v>117</v>
      </c>
      <c r="O11" s="255"/>
      <c r="P11" s="255"/>
      <c r="Q11" s="255"/>
      <c r="R11" s="256"/>
      <c r="S11" s="22"/>
      <c r="T11" s="22"/>
      <c r="U11" s="22"/>
      <c r="V11" s="22"/>
      <c r="W11" s="22"/>
      <c r="X11" s="22"/>
      <c r="Y11" s="22"/>
      <c r="Z11" s="22"/>
    </row>
    <row r="12">
      <c r="A12" s="24"/>
      <c r="B12" s="251" t="s">
        <v>24</v>
      </c>
      <c r="C12" s="252"/>
      <c r="D12" s="252"/>
      <c r="E12" s="252"/>
      <c r="F12" s="252"/>
      <c r="G12" s="244"/>
      <c r="H12" s="253" t="s">
        <v>25</v>
      </c>
      <c r="I12" s="252"/>
      <c r="J12" s="252"/>
      <c r="K12" s="252"/>
      <c r="L12" s="190"/>
      <c r="M12" s="30"/>
      <c r="N12" s="257"/>
      <c r="R12" s="236"/>
      <c r="S12" s="22"/>
      <c r="T12" s="22"/>
      <c r="U12" s="22"/>
      <c r="V12" s="22"/>
      <c r="W12" s="22"/>
      <c r="X12" s="22"/>
      <c r="Y12" s="22"/>
      <c r="Z12" s="22"/>
    </row>
    <row r="13">
      <c r="A13" s="24"/>
      <c r="B13" s="110">
        <v>2020.0</v>
      </c>
      <c r="C13" s="111">
        <f t="shared" ref="C13:L13" si="2">B13+1</f>
        <v>2021</v>
      </c>
      <c r="D13" s="111">
        <f t="shared" si="2"/>
        <v>2022</v>
      </c>
      <c r="E13" s="111">
        <f t="shared" si="2"/>
        <v>2023</v>
      </c>
      <c r="F13" s="111">
        <f t="shared" si="2"/>
        <v>2024</v>
      </c>
      <c r="G13" s="111">
        <f t="shared" si="2"/>
        <v>2025</v>
      </c>
      <c r="H13" s="112">
        <f t="shared" si="2"/>
        <v>2026</v>
      </c>
      <c r="I13" s="112">
        <f t="shared" si="2"/>
        <v>2027</v>
      </c>
      <c r="J13" s="112">
        <f t="shared" si="2"/>
        <v>2028</v>
      </c>
      <c r="K13" s="112">
        <f t="shared" si="2"/>
        <v>2029</v>
      </c>
      <c r="L13" s="113">
        <f t="shared" si="2"/>
        <v>2030</v>
      </c>
      <c r="M13" s="30"/>
      <c r="N13" s="257"/>
      <c r="R13" s="236"/>
      <c r="S13" s="22"/>
      <c r="T13" s="22"/>
      <c r="U13" s="22"/>
      <c r="V13" s="22"/>
      <c r="W13" s="22"/>
      <c r="X13" s="22"/>
      <c r="Y13" s="22"/>
      <c r="Z13" s="22"/>
    </row>
    <row r="14">
      <c r="A14" s="31" t="s">
        <v>118</v>
      </c>
      <c r="B14" s="266">
        <f>('Balance Sheet'!C17+'Balance Sheet'!C18)/'Balance Sheet'!C11</f>
        <v>0.7002716571</v>
      </c>
      <c r="C14" s="267">
        <f>('Balance Sheet'!D17+'Balance Sheet'!D18)/'Balance Sheet'!D11</f>
        <v>0.6923541856</v>
      </c>
      <c r="D14" s="267">
        <f>('Balance Sheet'!E17+'Balance Sheet'!E18)/'Balance Sheet'!E11</f>
        <v>0.8874186551</v>
      </c>
      <c r="E14" s="267">
        <f>('Balance Sheet'!F17+'Balance Sheet'!F18)/'Balance Sheet'!F11</f>
        <v>0.7075146501</v>
      </c>
      <c r="F14" s="267">
        <f>('Balance Sheet'!G17+'Balance Sheet'!G18)/'Balance Sheet'!G11</f>
        <v>0.8039541201</v>
      </c>
      <c r="G14" s="267">
        <f>('Balance Sheet'!H17+'Balance Sheet'!H18)/'Balance Sheet'!H11</f>
        <v>0.3263577479</v>
      </c>
      <c r="H14" s="267">
        <f>('Balance Sheet'!I17+'Balance Sheet'!I18)/'Balance Sheet'!I11</f>
        <v>0.295577728</v>
      </c>
      <c r="I14" s="267">
        <f>('Balance Sheet'!J17+'Balance Sheet'!J18)/'Balance Sheet'!J11</f>
        <v>0.295577728</v>
      </c>
      <c r="J14" s="267">
        <f>('Balance Sheet'!K17+'Balance Sheet'!K18)/'Balance Sheet'!K11</f>
        <v>0.295577728</v>
      </c>
      <c r="K14" s="267">
        <f>('Balance Sheet'!L17+'Balance Sheet'!L18)/'Balance Sheet'!L11</f>
        <v>0.295577728</v>
      </c>
      <c r="L14" s="268">
        <f>('Balance Sheet'!M17+'Balance Sheet'!M18)/'Balance Sheet'!M11</f>
        <v>0.295577728</v>
      </c>
      <c r="M14" s="30"/>
      <c r="N14" s="257"/>
      <c r="R14" s="236"/>
      <c r="S14" s="22"/>
      <c r="T14" s="22"/>
      <c r="U14" s="22"/>
      <c r="V14" s="22"/>
      <c r="W14" s="22"/>
      <c r="X14" s="22"/>
      <c r="Y14" s="22"/>
      <c r="Z14" s="22"/>
    </row>
    <row r="15">
      <c r="A15" s="31" t="s">
        <v>119</v>
      </c>
      <c r="B15" s="269">
        <f>('Balance Sheet'!C17+'Balance Sheet'!C16)/'Balance Sheet'!C11</f>
        <v>0.1626924238</v>
      </c>
      <c r="C15" s="270">
        <f>('Balance Sheet'!D17+'Balance Sheet'!D16)/'Balance Sheet'!D11</f>
        <v>1.022665458</v>
      </c>
      <c r="D15" s="270">
        <f>('Balance Sheet'!E17+'Balance Sheet'!E16)/'Balance Sheet'!E11</f>
        <v>0.404989154</v>
      </c>
      <c r="E15" s="270">
        <f>('Balance Sheet'!F17+'Balance Sheet'!F16)/'Balance Sheet'!F11</f>
        <v>0.6649431231</v>
      </c>
      <c r="F15" s="270">
        <f>('Balance Sheet'!G17+'Balance Sheet'!G16)/'Balance Sheet'!G11</f>
        <v>0.5842137036</v>
      </c>
      <c r="G15" s="270">
        <f>('Balance Sheet'!H17+'Balance Sheet'!H16)/'Balance Sheet'!H11</f>
        <v>0.2224713503</v>
      </c>
      <c r="H15" s="270">
        <f>('Balance Sheet'!I17+'Balance Sheet'!I16)/'Balance Sheet'!I11</f>
        <v>0.1674655174</v>
      </c>
      <c r="I15" s="270">
        <f>('Balance Sheet'!J17+'Balance Sheet'!J16)/'Balance Sheet'!J11</f>
        <v>0.1504019706</v>
      </c>
      <c r="J15" s="270">
        <f>('Balance Sheet'!K17+'Balance Sheet'!K16)/'Balance Sheet'!K11</f>
        <v>0.1383355459</v>
      </c>
      <c r="K15" s="270">
        <f>('Balance Sheet'!L17+'Balance Sheet'!L16)/'Balance Sheet'!L11</f>
        <v>0.1299153272</v>
      </c>
      <c r="L15" s="271">
        <f>('Balance Sheet'!M17+'Balance Sheet'!M16)/'Balance Sheet'!M11</f>
        <v>0.1242662779</v>
      </c>
      <c r="M15" s="30"/>
      <c r="N15" s="265"/>
      <c r="O15" s="252"/>
      <c r="P15" s="252"/>
      <c r="Q15" s="252"/>
      <c r="R15" s="244"/>
      <c r="S15" s="22"/>
      <c r="T15" s="22"/>
      <c r="U15" s="22"/>
      <c r="V15" s="22"/>
      <c r="W15" s="22"/>
      <c r="X15" s="22"/>
      <c r="Y15" s="22"/>
      <c r="Z15" s="22"/>
    </row>
    <row r="16">
      <c r="A16" s="31"/>
      <c r="B16" s="272"/>
      <c r="C16" s="272"/>
      <c r="D16" s="272"/>
      <c r="E16" s="272"/>
      <c r="F16" s="272"/>
      <c r="G16" s="272"/>
      <c r="H16" s="272"/>
      <c r="I16" s="272"/>
      <c r="J16" s="272"/>
      <c r="K16" s="272"/>
      <c r="L16" s="272"/>
      <c r="M16" s="22"/>
      <c r="N16" s="22"/>
      <c r="O16" s="22"/>
      <c r="P16" s="22"/>
      <c r="Q16" s="22"/>
      <c r="R16" s="22"/>
      <c r="S16" s="22"/>
      <c r="T16" s="22"/>
      <c r="U16" s="22"/>
      <c r="V16" s="22"/>
      <c r="W16" s="22"/>
      <c r="X16" s="22"/>
      <c r="Y16" s="22"/>
      <c r="Z16" s="22"/>
    </row>
    <row r="17">
      <c r="A17" s="24"/>
      <c r="B17" s="249" t="s">
        <v>120</v>
      </c>
      <c r="C17" s="99"/>
      <c r="D17" s="99"/>
      <c r="E17" s="99"/>
      <c r="F17" s="99"/>
      <c r="G17" s="99"/>
      <c r="H17" s="99"/>
      <c r="I17" s="99"/>
      <c r="J17" s="99"/>
      <c r="K17" s="99"/>
      <c r="L17" s="100"/>
      <c r="M17" s="22"/>
      <c r="N17" s="254" t="s">
        <v>121</v>
      </c>
      <c r="O17" s="255"/>
      <c r="P17" s="255"/>
      <c r="Q17" s="256"/>
      <c r="R17" s="22"/>
      <c r="S17" s="22"/>
      <c r="T17" s="22"/>
      <c r="U17" s="22"/>
      <c r="V17" s="22"/>
      <c r="W17" s="22"/>
      <c r="X17" s="22"/>
      <c r="Y17" s="22"/>
      <c r="Z17" s="22"/>
    </row>
    <row r="18">
      <c r="A18" s="24"/>
      <c r="B18" s="251" t="s">
        <v>24</v>
      </c>
      <c r="C18" s="252"/>
      <c r="D18" s="252"/>
      <c r="E18" s="252"/>
      <c r="F18" s="252"/>
      <c r="G18" s="244"/>
      <c r="H18" s="253" t="s">
        <v>25</v>
      </c>
      <c r="I18" s="252"/>
      <c r="J18" s="252"/>
      <c r="K18" s="252"/>
      <c r="L18" s="190"/>
      <c r="M18" s="22"/>
      <c r="N18" s="257"/>
      <c r="Q18" s="236"/>
      <c r="R18" s="22"/>
      <c r="S18" s="22"/>
      <c r="T18" s="22"/>
      <c r="U18" s="22"/>
      <c r="V18" s="22"/>
      <c r="W18" s="22"/>
      <c r="X18" s="22"/>
      <c r="Y18" s="22"/>
      <c r="Z18" s="22"/>
    </row>
    <row r="19">
      <c r="A19" s="24"/>
      <c r="B19" s="110">
        <v>2020.0</v>
      </c>
      <c r="C19" s="111">
        <f t="shared" ref="C19:L19" si="3">B19+1</f>
        <v>2021</v>
      </c>
      <c r="D19" s="111">
        <f t="shared" si="3"/>
        <v>2022</v>
      </c>
      <c r="E19" s="111">
        <f t="shared" si="3"/>
        <v>2023</v>
      </c>
      <c r="F19" s="111">
        <f t="shared" si="3"/>
        <v>2024</v>
      </c>
      <c r="G19" s="111">
        <f t="shared" si="3"/>
        <v>2025</v>
      </c>
      <c r="H19" s="112">
        <f t="shared" si="3"/>
        <v>2026</v>
      </c>
      <c r="I19" s="112">
        <f t="shared" si="3"/>
        <v>2027</v>
      </c>
      <c r="J19" s="112">
        <f t="shared" si="3"/>
        <v>2028</v>
      </c>
      <c r="K19" s="112">
        <f t="shared" si="3"/>
        <v>2029</v>
      </c>
      <c r="L19" s="113">
        <f t="shared" si="3"/>
        <v>2030</v>
      </c>
      <c r="M19" s="22"/>
      <c r="N19" s="257"/>
      <c r="Q19" s="236"/>
      <c r="R19" s="22"/>
      <c r="S19" s="22"/>
      <c r="T19" s="22"/>
      <c r="U19" s="22"/>
      <c r="V19" s="22"/>
      <c r="W19" s="22"/>
      <c r="X19" s="22"/>
      <c r="Y19" s="22"/>
      <c r="Z19" s="22"/>
    </row>
    <row r="20">
      <c r="A20" s="31" t="s">
        <v>122</v>
      </c>
      <c r="B20" s="266">
        <f>'Balance Sheet'!C8/'Balance Sheet'!C7</f>
        <v>0.5341130604</v>
      </c>
      <c r="C20" s="267">
        <f>'Balance Sheet'!D8/'Balance Sheet'!D7</f>
        <v>0.752034147</v>
      </c>
      <c r="D20" s="273">
        <f>'Balance Sheet'!E8/'Balance Sheet'!E7</f>
        <v>0.7820058046</v>
      </c>
      <c r="E20" s="267">
        <f>'Balance Sheet'!F8/'Balance Sheet'!F7</f>
        <v>0.7903974348</v>
      </c>
      <c r="F20" s="273">
        <f>'Balance Sheet'!G8/'Balance Sheet'!G7</f>
        <v>1.65314596</v>
      </c>
      <c r="G20" s="267">
        <f>'Balance Sheet'!H8/'Balance Sheet'!H7</f>
        <v>1.11553682</v>
      </c>
      <c r="H20" s="273">
        <f>'Balance Sheet'!I8/'Balance Sheet'!I7</f>
        <v>0.6779953002</v>
      </c>
      <c r="I20" s="267">
        <f>'Balance Sheet'!J8/'Balance Sheet'!J7</f>
        <v>0.4317575138</v>
      </c>
      <c r="J20" s="273">
        <f>'Balance Sheet'!K8/'Balance Sheet'!K7</f>
        <v>0.2848550195</v>
      </c>
      <c r="K20" s="267">
        <f>'Balance Sheet'!L8/'Balance Sheet'!L7</f>
        <v>0.1950643901</v>
      </c>
      <c r="L20" s="268">
        <f>'Balance Sheet'!M8/'Balance Sheet'!M7</f>
        <v>0.1370911638</v>
      </c>
      <c r="M20" s="30"/>
      <c r="N20" s="257"/>
      <c r="Q20" s="236"/>
      <c r="R20" s="22"/>
      <c r="S20" s="22"/>
      <c r="T20" s="22"/>
      <c r="U20" s="22"/>
      <c r="V20" s="22"/>
      <c r="W20" s="22"/>
      <c r="X20" s="22"/>
      <c r="Y20" s="22"/>
      <c r="Z20" s="22"/>
    </row>
    <row r="21">
      <c r="A21" s="31" t="s">
        <v>123</v>
      </c>
      <c r="B21" s="274">
        <f>'Balance Sheet'!C8/'Balance Sheet'!C19</f>
        <v>0.7097031281</v>
      </c>
      <c r="C21" s="275">
        <f>'Balance Sheet'!D8/'Balance Sheet'!D19</f>
        <v>0.733064621</v>
      </c>
      <c r="D21" s="276">
        <f>'Balance Sheet'!E8/'Balance Sheet'!E19</f>
        <v>0.9741564006</v>
      </c>
      <c r="E21" s="275">
        <f>'Balance Sheet'!F8/'Balance Sheet'!F19</f>
        <v>0.8943951112</v>
      </c>
      <c r="F21" s="276">
        <f>'Balance Sheet'!G8/'Balance Sheet'!G19</f>
        <v>1.319062181</v>
      </c>
      <c r="G21" s="275">
        <f>'Balance Sheet'!H8/'Balance Sheet'!H19</f>
        <v>1.077978219</v>
      </c>
      <c r="H21" s="276">
        <f>'Balance Sheet'!I8/'Balance Sheet'!I19</f>
        <v>0.9020184631</v>
      </c>
      <c r="I21" s="275">
        <f>'Balance Sheet'!J8/'Balance Sheet'!J19</f>
        <v>0.7168117915</v>
      </c>
      <c r="J21" s="276">
        <f>'Balance Sheet'!K8/'Balance Sheet'!K19</f>
        <v>0.5704950337</v>
      </c>
      <c r="K21" s="275">
        <f>'Balance Sheet'!L8/'Balance Sheet'!L19</f>
        <v>0.4555579575</v>
      </c>
      <c r="L21" s="277">
        <f>'Balance Sheet'!M8/'Balance Sheet'!M19</f>
        <v>0.3650923297</v>
      </c>
      <c r="M21" s="30"/>
      <c r="N21" s="257"/>
      <c r="Q21" s="236"/>
      <c r="R21" s="22"/>
      <c r="S21" s="22"/>
      <c r="T21" s="22"/>
      <c r="U21" s="22"/>
      <c r="V21" s="22"/>
      <c r="W21" s="22"/>
      <c r="X21" s="22"/>
      <c r="Y21" s="22"/>
      <c r="Z21" s="22"/>
    </row>
    <row r="22" ht="24.75" customHeight="1">
      <c r="A22" s="31" t="s">
        <v>124</v>
      </c>
      <c r="B22" s="94">
        <f>'Profit and Loss'!B8/'Profit and Loss'!B13</f>
        <v>14.8373494</v>
      </c>
      <c r="C22" s="278">
        <f>'Profit and Loss'!C8/'Profit and Loss'!C13</f>
        <v>8.497536946</v>
      </c>
      <c r="D22" s="95">
        <f>'Profit and Loss'!D8/'Profit and Loss'!D13</f>
        <v>15.33944954</v>
      </c>
      <c r="E22" s="278">
        <f>'Profit and Loss'!E8/'Profit and Loss'!E13</f>
        <v>16.27333333</v>
      </c>
      <c r="F22" s="95">
        <f>'Profit and Loss'!F8/'Profit and Loss'!F13</f>
        <v>8.549273021</v>
      </c>
      <c r="G22" s="278">
        <f>'Profit and Loss'!G8/'Profit and Loss'!G13</f>
        <v>5.974816369</v>
      </c>
      <c r="H22" s="95">
        <f>'Profit and Loss'!H8/'Profit and Loss'!H13</f>
        <v>9.928244193</v>
      </c>
      <c r="I22" s="278">
        <f>'Profit and Loss'!I8/'Profit and Loss'!I13</f>
        <v>12.48187704</v>
      </c>
      <c r="J22" s="95">
        <f>'Profit and Loss'!J8/'Profit and Loss'!J13</f>
        <v>15.20577391</v>
      </c>
      <c r="K22" s="278">
        <f>'Profit and Loss'!K8/'Profit and Loss'!K13</f>
        <v>17.2662323</v>
      </c>
      <c r="L22" s="157">
        <f>'Profit and Loss'!L8/'Profit and Loss'!L13</f>
        <v>18.99285553</v>
      </c>
      <c r="M22" s="30"/>
      <c r="N22" s="265"/>
      <c r="O22" s="252"/>
      <c r="P22" s="252"/>
      <c r="Q22" s="244"/>
      <c r="R22" s="22"/>
      <c r="S22" s="22"/>
      <c r="T22" s="22"/>
      <c r="U22" s="22"/>
      <c r="V22" s="22"/>
      <c r="W22" s="22"/>
      <c r="X22" s="22"/>
      <c r="Y22" s="22"/>
      <c r="Z22" s="22"/>
    </row>
    <row r="23">
      <c r="A23" s="22"/>
      <c r="B23" s="130"/>
      <c r="C23" s="130"/>
      <c r="D23" s="130"/>
      <c r="E23" s="130"/>
      <c r="F23" s="130"/>
      <c r="G23" s="130"/>
      <c r="H23" s="130"/>
      <c r="I23" s="130"/>
      <c r="J23" s="130"/>
      <c r="K23" s="130"/>
      <c r="L23" s="130"/>
      <c r="M23" s="22"/>
      <c r="N23" s="22"/>
      <c r="O23" s="22"/>
      <c r="P23" s="22"/>
      <c r="Q23" s="22"/>
      <c r="R23" s="22"/>
      <c r="S23" s="22"/>
      <c r="T23" s="22"/>
      <c r="U23" s="22"/>
      <c r="V23" s="22"/>
      <c r="W23" s="22"/>
      <c r="X23" s="22"/>
      <c r="Y23" s="22"/>
      <c r="Z23" s="22"/>
    </row>
    <row r="24">
      <c r="A24" s="24"/>
      <c r="B24" s="249" t="s">
        <v>125</v>
      </c>
      <c r="C24" s="99"/>
      <c r="D24" s="99"/>
      <c r="E24" s="99"/>
      <c r="F24" s="99"/>
      <c r="G24" s="99"/>
      <c r="H24" s="99"/>
      <c r="I24" s="99"/>
      <c r="J24" s="99"/>
      <c r="K24" s="99"/>
      <c r="L24" s="100"/>
      <c r="M24" s="30"/>
      <c r="N24" s="22"/>
      <c r="O24" s="22"/>
      <c r="P24" s="22"/>
      <c r="Q24" s="22"/>
      <c r="R24" s="22"/>
      <c r="S24" s="22"/>
      <c r="T24" s="22"/>
      <c r="U24" s="22"/>
      <c r="V24" s="22"/>
      <c r="W24" s="22"/>
      <c r="X24" s="22"/>
      <c r="Y24" s="22"/>
      <c r="Z24" s="22"/>
    </row>
    <row r="25">
      <c r="A25" s="24"/>
      <c r="B25" s="251" t="s">
        <v>24</v>
      </c>
      <c r="C25" s="252"/>
      <c r="D25" s="252"/>
      <c r="E25" s="252"/>
      <c r="F25" s="252"/>
      <c r="G25" s="244"/>
      <c r="H25" s="253" t="s">
        <v>25</v>
      </c>
      <c r="I25" s="252"/>
      <c r="J25" s="252"/>
      <c r="K25" s="252"/>
      <c r="L25" s="190"/>
      <c r="M25" s="30"/>
      <c r="N25" s="254" t="s">
        <v>126</v>
      </c>
      <c r="O25" s="255"/>
      <c r="P25" s="255"/>
      <c r="Q25" s="256"/>
      <c r="R25" s="22"/>
      <c r="S25" s="22"/>
      <c r="T25" s="22"/>
      <c r="U25" s="22"/>
      <c r="V25" s="22"/>
      <c r="W25" s="22"/>
      <c r="X25" s="22"/>
      <c r="Y25" s="22"/>
      <c r="Z25" s="22"/>
    </row>
    <row r="26">
      <c r="A26" s="24"/>
      <c r="B26" s="110">
        <v>2020.0</v>
      </c>
      <c r="C26" s="111">
        <f t="shared" ref="C26:L26" si="4">B26+1</f>
        <v>2021</v>
      </c>
      <c r="D26" s="111">
        <f t="shared" si="4"/>
        <v>2022</v>
      </c>
      <c r="E26" s="111">
        <f t="shared" si="4"/>
        <v>2023</v>
      </c>
      <c r="F26" s="111">
        <f t="shared" si="4"/>
        <v>2024</v>
      </c>
      <c r="G26" s="111">
        <f t="shared" si="4"/>
        <v>2025</v>
      </c>
      <c r="H26" s="112">
        <f t="shared" si="4"/>
        <v>2026</v>
      </c>
      <c r="I26" s="112">
        <f t="shared" si="4"/>
        <v>2027</v>
      </c>
      <c r="J26" s="112">
        <f t="shared" si="4"/>
        <v>2028</v>
      </c>
      <c r="K26" s="112">
        <f t="shared" si="4"/>
        <v>2029</v>
      </c>
      <c r="L26" s="113">
        <f t="shared" si="4"/>
        <v>2030</v>
      </c>
      <c r="M26" s="30"/>
      <c r="N26" s="257"/>
      <c r="Q26" s="236"/>
      <c r="R26" s="22"/>
      <c r="S26" s="22"/>
      <c r="T26" s="22"/>
      <c r="U26" s="22"/>
      <c r="V26" s="22"/>
      <c r="W26" s="22"/>
      <c r="X26" s="22"/>
      <c r="Y26" s="22"/>
      <c r="Z26" s="22"/>
    </row>
    <row r="27">
      <c r="A27" s="31" t="s">
        <v>127</v>
      </c>
      <c r="B27" s="279">
        <f>Revenue!C4/'Balance Sheet'!C19</f>
        <v>4.194461048</v>
      </c>
      <c r="C27" s="280">
        <f>Revenue!D4/'Balance Sheet'!D19</f>
        <v>2.814198414</v>
      </c>
      <c r="D27" s="280">
        <f>Revenue!E4/'Balance Sheet'!E19</f>
        <v>3.8563203</v>
      </c>
      <c r="E27" s="280">
        <f>Revenue!F4/'Balance Sheet'!F19</f>
        <v>3.874248066</v>
      </c>
      <c r="F27" s="280">
        <f>Revenue!G4/'Balance Sheet'!G19</f>
        <v>4.339449541</v>
      </c>
      <c r="G27" s="280">
        <f>Revenue!H4/'Balance Sheet'!H19</f>
        <v>5.025854186</v>
      </c>
      <c r="H27" s="280">
        <f>Revenue!I4/'Balance Sheet'!I19</f>
        <v>5.659761551</v>
      </c>
      <c r="I27" s="280">
        <f>Revenue!J4/'Balance Sheet'!J19</f>
        <v>5.921313041</v>
      </c>
      <c r="J27" s="280">
        <f>Revenue!K4/'Balance Sheet'!K19</f>
        <v>6.072237336</v>
      </c>
      <c r="K27" s="280">
        <f>Revenue!L4/'Balance Sheet'!L19</f>
        <v>6.119935517</v>
      </c>
      <c r="L27" s="281">
        <f>Revenue!M4/'Balance Sheet'!M19</f>
        <v>6.072268346</v>
      </c>
      <c r="M27" s="30"/>
      <c r="N27" s="257"/>
      <c r="Q27" s="236"/>
      <c r="R27" s="22"/>
      <c r="S27" s="22"/>
      <c r="T27" s="22"/>
      <c r="U27" s="22"/>
      <c r="V27" s="22"/>
      <c r="W27" s="22"/>
      <c r="X27" s="22"/>
      <c r="Y27" s="22"/>
      <c r="Z27" s="22"/>
    </row>
    <row r="28">
      <c r="A28" s="31" t="s">
        <v>128</v>
      </c>
      <c r="B28" s="282">
        <f>Revenue!C4/'Balance Sheet'!C14</f>
        <v>8.344034879</v>
      </c>
      <c r="C28" s="283">
        <f>Revenue!D4/'Balance Sheet'!D14</f>
        <v>8.507861635</v>
      </c>
      <c r="D28" s="283">
        <f>Revenue!E4/'Balance Sheet'!E14</f>
        <v>9.606070714</v>
      </c>
      <c r="E28" s="283">
        <f>Revenue!F4/'Balance Sheet'!F14</f>
        <v>10.93960636</v>
      </c>
      <c r="F28" s="283">
        <f>Revenue!G4/'Balance Sheet'!G14</f>
        <v>12.76142893</v>
      </c>
      <c r="G28" s="283">
        <f>Revenue!H4/'Balance Sheet'!H14</f>
        <v>12.8411215</v>
      </c>
      <c r="H28" s="283">
        <f>Revenue!I4/'Balance Sheet'!I14</f>
        <v>13.9469757</v>
      </c>
      <c r="I28" s="283">
        <f>Revenue!J4/'Balance Sheet'!J14</f>
        <v>14.61401427</v>
      </c>
      <c r="J28" s="283">
        <f>Revenue!K4/'Balance Sheet'!K14</f>
        <v>14.82918875</v>
      </c>
      <c r="K28" s="283">
        <f>Revenue!L4/'Balance Sheet'!L14</f>
        <v>14.62259878</v>
      </c>
      <c r="L28" s="284">
        <f>Revenue!M4/'Balance Sheet'!M14</f>
        <v>14.05081089</v>
      </c>
      <c r="M28" s="30"/>
      <c r="N28" s="257"/>
      <c r="Q28" s="236"/>
      <c r="R28" s="22"/>
      <c r="S28" s="22"/>
      <c r="T28" s="22"/>
      <c r="U28" s="22"/>
      <c r="V28" s="22"/>
      <c r="W28" s="22"/>
      <c r="X28" s="22"/>
      <c r="Y28" s="22"/>
      <c r="Z28" s="22"/>
    </row>
    <row r="29">
      <c r="A29" s="31" t="s">
        <v>129</v>
      </c>
      <c r="B29" s="84">
        <f>Revenue!C4/'Free Cash Flow'!C16</f>
        <v>2.989916205</v>
      </c>
      <c r="C29" s="70">
        <f>Revenue!D4/'Free Cash Flow'!D16</f>
        <v>3.007782101</v>
      </c>
      <c r="D29" s="70">
        <f>Revenue!E4/'Free Cash Flow'!E16</f>
        <v>2.383628538</v>
      </c>
      <c r="E29" s="70">
        <f>Revenue!F4/'Free Cash Flow'!F16</f>
        <v>2.853776903</v>
      </c>
      <c r="F29" s="70">
        <f>Revenue!G4/'Free Cash Flow'!G16</f>
        <v>2.962421712</v>
      </c>
      <c r="G29" s="70">
        <f>Revenue!H4/'Free Cash Flow'!H16</f>
        <v>3.587467363</v>
      </c>
      <c r="H29" s="70">
        <f>Revenue!I4/'Free Cash Flow'!I16</f>
        <v>3.588087549</v>
      </c>
      <c r="I29" s="70">
        <f>Revenue!J4/'Free Cash Flow'!J16</f>
        <v>3.806623525</v>
      </c>
      <c r="J29" s="70">
        <f>Revenue!K4/'Free Cash Flow'!K16</f>
        <v>4.120313144</v>
      </c>
      <c r="K29" s="70">
        <f>Revenue!L4/'Free Cash Flow'!L16</f>
        <v>4.701457452</v>
      </c>
      <c r="L29" s="71">
        <f>Revenue!M4/'Free Cash Flow'!M16</f>
        <v>5.473453749</v>
      </c>
      <c r="M29" s="30"/>
      <c r="N29" s="257"/>
      <c r="Q29" s="236"/>
      <c r="R29" s="22"/>
      <c r="S29" s="22"/>
      <c r="T29" s="22"/>
      <c r="U29" s="22"/>
      <c r="V29" s="22"/>
      <c r="W29" s="22"/>
      <c r="X29" s="22"/>
      <c r="Y29" s="22"/>
      <c r="Z29" s="22"/>
    </row>
    <row r="30">
      <c r="A30" s="31" t="s">
        <v>130</v>
      </c>
      <c r="B30" s="84">
        <f>Revenue!C4/'Free Cash Flow'!C12</f>
        <v>2.598050105</v>
      </c>
      <c r="C30" s="70">
        <f>Revenue!D4/'Free Cash Flow'!D12</f>
        <v>2.574215033</v>
      </c>
      <c r="D30" s="70">
        <f>Revenue!E4/'Free Cash Flow'!E12</f>
        <v>2.116173121</v>
      </c>
      <c r="E30" s="70">
        <f>Revenue!F4/'Free Cash Flow'!F12</f>
        <v>2.446635311</v>
      </c>
      <c r="F30" s="70">
        <f>Revenue!G4/'Free Cash Flow'!G12</f>
        <v>2.681434045</v>
      </c>
      <c r="G30" s="70">
        <f>Revenue!H4/'Free Cash Flow'!H12</f>
        <v>2.145046835</v>
      </c>
      <c r="H30" s="70">
        <f>Revenue!I4/'Free Cash Flow'!I12</f>
        <v>2.145922747</v>
      </c>
      <c r="I30" s="70">
        <f>Revenue!J4/'Free Cash Flow'!J12</f>
        <v>2.222222222</v>
      </c>
      <c r="J30" s="70">
        <f>Revenue!K4/'Free Cash Flow'!K12</f>
        <v>2.325581395</v>
      </c>
      <c r="K30" s="70">
        <f>Revenue!L4/'Free Cash Flow'!L12</f>
        <v>2.5</v>
      </c>
      <c r="L30" s="71">
        <f>Revenue!M4/'Free Cash Flow'!M12</f>
        <v>2.702702703</v>
      </c>
      <c r="M30" s="30"/>
      <c r="N30" s="257"/>
      <c r="Q30" s="236"/>
      <c r="R30" s="22"/>
      <c r="S30" s="22"/>
      <c r="T30" s="22"/>
      <c r="U30" s="22"/>
      <c r="V30" s="22"/>
      <c r="W30" s="22"/>
      <c r="X30" s="22"/>
      <c r="Y30" s="22"/>
      <c r="Z30" s="22"/>
    </row>
    <row r="31">
      <c r="A31" s="31" t="s">
        <v>131</v>
      </c>
      <c r="B31" s="94">
        <f>Revenue!C4/'Free Cash Flow'!C13</f>
        <v>67.47435897</v>
      </c>
      <c r="C31" s="95">
        <f>Revenue!D4/'Free Cash Flow'!D13</f>
        <v>59.13661202</v>
      </c>
      <c r="D31" s="95">
        <f>Revenue!E4/'Free Cash Flow'!E13</f>
        <v>50.97168142</v>
      </c>
      <c r="E31" s="95">
        <f>Revenue!F4/'Free Cash Flow'!F13</f>
        <v>60.20029674</v>
      </c>
      <c r="F31" s="95">
        <f>Revenue!G4/'Free Cash Flow'!G13</f>
        <v>50.18074656</v>
      </c>
      <c r="G31" s="95">
        <f>Revenue!H4/'Free Cash Flow'!H13</f>
        <v>56.60674157</v>
      </c>
      <c r="H31" s="95">
        <f>Revenue!I4/'Free Cash Flow'!I13</f>
        <v>56.49717514</v>
      </c>
      <c r="I31" s="95">
        <f>Revenue!J4/'Free Cash Flow'!J13</f>
        <v>56.49717514</v>
      </c>
      <c r="J31" s="95">
        <f>Revenue!K4/'Free Cash Flow'!K13</f>
        <v>56.49717514</v>
      </c>
      <c r="K31" s="95">
        <f>Revenue!L4/'Free Cash Flow'!L13</f>
        <v>56.49717514</v>
      </c>
      <c r="L31" s="96">
        <f>Revenue!M4/'Free Cash Flow'!M13</f>
        <v>56.49717514</v>
      </c>
      <c r="M31" s="30"/>
      <c r="N31" s="265"/>
      <c r="O31" s="252"/>
      <c r="P31" s="252"/>
      <c r="Q31" s="244"/>
      <c r="R31" s="22"/>
      <c r="S31" s="22"/>
      <c r="T31" s="22"/>
      <c r="U31" s="22"/>
      <c r="V31" s="22"/>
      <c r="W31" s="22"/>
      <c r="X31" s="22"/>
      <c r="Y31" s="22"/>
      <c r="Z31" s="22"/>
    </row>
    <row r="32">
      <c r="A32" s="22"/>
      <c r="B32" s="44"/>
      <c r="C32" s="44"/>
      <c r="D32" s="44"/>
      <c r="E32" s="44"/>
      <c r="F32" s="44"/>
      <c r="G32" s="44"/>
      <c r="H32" s="44"/>
      <c r="I32" s="44"/>
      <c r="J32" s="44"/>
      <c r="K32" s="44"/>
      <c r="L32" s="44"/>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16">
    <mergeCell ref="B2:L2"/>
    <mergeCell ref="B3:G3"/>
    <mergeCell ref="H3:L3"/>
    <mergeCell ref="N3:Q9"/>
    <mergeCell ref="B11:L11"/>
    <mergeCell ref="N11:R15"/>
    <mergeCell ref="H12:L12"/>
    <mergeCell ref="N17:Q22"/>
    <mergeCell ref="N25:Q31"/>
    <mergeCell ref="B12:G12"/>
    <mergeCell ref="B17:L17"/>
    <mergeCell ref="B18:G18"/>
    <mergeCell ref="H18:L18"/>
    <mergeCell ref="B24:L24"/>
    <mergeCell ref="B25:G25"/>
    <mergeCell ref="H25:L25"/>
  </mergeCells>
  <drawing r:id="rId1"/>
</worksheet>
</file>