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andi\Downloads\"/>
    </mc:Choice>
  </mc:AlternateContent>
  <xr:revisionPtr revIDLastSave="0" documentId="13_ncr:1_{6C0B8828-1E55-46D6-801C-E73DA66FF623}" xr6:coauthVersionLast="47" xr6:coauthVersionMax="47" xr10:uidLastSave="{00000000-0000-0000-0000-000000000000}"/>
  <bookViews>
    <workbookView xWindow="-120" yWindow="-120" windowWidth="20730" windowHeight="11760" xr2:uid="{00000000-000D-0000-FFFF-FFFF00000000}"/>
  </bookViews>
  <sheets>
    <sheet name="Titan" sheetId="1" r:id="rId1"/>
    <sheet name="Revenue" sheetId="2" r:id="rId2"/>
    <sheet name="Profit and Loss" sheetId="3" r:id="rId3"/>
    <sheet name="Balance Sheet" sheetId="4" r:id="rId4"/>
    <sheet name="Fixed Assets" sheetId="5" r:id="rId5"/>
    <sheet name="Free Cash Flow" sheetId="6" r:id="rId6"/>
    <sheet name="WACC" sheetId="7" r:id="rId7"/>
    <sheet name="DCF" sheetId="8" r:id="rId8"/>
    <sheet name="Ratios" sheetId="9" r:id="rId9"/>
    <sheet name="Assumptions" sheetId="10" r:id="rId10"/>
  </sheets>
  <calcPr calcId="191029"/>
</workbook>
</file>

<file path=xl/calcChain.xml><?xml version="1.0" encoding="utf-8"?>
<calcChain xmlns="http://schemas.openxmlformats.org/spreadsheetml/2006/main">
  <c r="G31" i="9" l="1"/>
  <c r="F31" i="9"/>
  <c r="E31" i="9"/>
  <c r="D31" i="9"/>
  <c r="C31" i="9"/>
  <c r="B31" i="9"/>
  <c r="G30" i="9"/>
  <c r="F30" i="9"/>
  <c r="E30" i="9"/>
  <c r="D30" i="9"/>
  <c r="C30" i="9"/>
  <c r="B30" i="9"/>
  <c r="D26" i="9"/>
  <c r="E26" i="9" s="1"/>
  <c r="F26" i="9" s="1"/>
  <c r="G26" i="9" s="1"/>
  <c r="H26" i="9" s="1"/>
  <c r="I26" i="9" s="1"/>
  <c r="J26" i="9" s="1"/>
  <c r="K26" i="9" s="1"/>
  <c r="L26" i="9" s="1"/>
  <c r="C26" i="9"/>
  <c r="G22" i="9"/>
  <c r="F22" i="9"/>
  <c r="E22" i="9"/>
  <c r="D22" i="9"/>
  <c r="C22" i="9"/>
  <c r="B22" i="9"/>
  <c r="C19" i="9"/>
  <c r="D19" i="9" s="1"/>
  <c r="E19" i="9" s="1"/>
  <c r="F19" i="9" s="1"/>
  <c r="G19" i="9" s="1"/>
  <c r="H19" i="9" s="1"/>
  <c r="I19" i="9" s="1"/>
  <c r="J19" i="9" s="1"/>
  <c r="K19" i="9" s="1"/>
  <c r="L19" i="9" s="1"/>
  <c r="G15" i="9"/>
  <c r="F15" i="9"/>
  <c r="E15" i="9"/>
  <c r="D15" i="9"/>
  <c r="C15" i="9"/>
  <c r="B15" i="9"/>
  <c r="C13" i="9"/>
  <c r="D13" i="9" s="1"/>
  <c r="E13" i="9" s="1"/>
  <c r="F13" i="9" s="1"/>
  <c r="G13" i="9" s="1"/>
  <c r="H13" i="9" s="1"/>
  <c r="I13" i="9" s="1"/>
  <c r="J13" i="9" s="1"/>
  <c r="K13" i="9" s="1"/>
  <c r="L13" i="9" s="1"/>
  <c r="D4" i="9"/>
  <c r="E4" i="9" s="1"/>
  <c r="F4" i="9" s="1"/>
  <c r="G4" i="9" s="1"/>
  <c r="H4" i="9" s="1"/>
  <c r="I4" i="9" s="1"/>
  <c r="J4" i="9" s="1"/>
  <c r="K4" i="9" s="1"/>
  <c r="L4" i="9" s="1"/>
  <c r="C4" i="9"/>
  <c r="D3" i="8"/>
  <c r="E3" i="8" s="1"/>
  <c r="F3" i="8" s="1"/>
  <c r="G3" i="8" s="1"/>
  <c r="H3" i="8" s="1"/>
  <c r="I3" i="8" s="1"/>
  <c r="J3" i="8" s="1"/>
  <c r="K3" i="8" s="1"/>
  <c r="L3" i="8" s="1"/>
  <c r="M3" i="8" s="1"/>
  <c r="D10" i="7"/>
  <c r="E5" i="7"/>
  <c r="D11" i="7" s="1"/>
  <c r="D17" i="6"/>
  <c r="H16" i="6"/>
  <c r="G16" i="6"/>
  <c r="F16" i="6"/>
  <c r="E29" i="9" s="1"/>
  <c r="E16" i="6"/>
  <c r="D16" i="6"/>
  <c r="C29" i="9" s="1"/>
  <c r="C16" i="6"/>
  <c r="B29" i="9" s="1"/>
  <c r="I14" i="6"/>
  <c r="I12" i="6"/>
  <c r="F10" i="6"/>
  <c r="H9" i="6"/>
  <c r="G9" i="6"/>
  <c r="F9" i="6"/>
  <c r="E9" i="6"/>
  <c r="D9" i="6"/>
  <c r="C9" i="6"/>
  <c r="H7" i="6"/>
  <c r="D7" i="6"/>
  <c r="D19" i="6" s="1"/>
  <c r="M6" i="6"/>
  <c r="L6" i="6"/>
  <c r="K6" i="6"/>
  <c r="J6" i="6"/>
  <c r="I6" i="6"/>
  <c r="H6" i="6"/>
  <c r="G6" i="6"/>
  <c r="G7" i="6" s="1"/>
  <c r="F6" i="6"/>
  <c r="E6" i="6"/>
  <c r="D6" i="6"/>
  <c r="C6" i="6"/>
  <c r="C7" i="6" s="1"/>
  <c r="H5" i="6"/>
  <c r="G5" i="6"/>
  <c r="F5" i="6"/>
  <c r="E5" i="6"/>
  <c r="E7" i="6" s="1"/>
  <c r="D5" i="6"/>
  <c r="C5" i="6"/>
  <c r="D3" i="6"/>
  <c r="E3" i="6" s="1"/>
  <c r="F3" i="6" s="1"/>
  <c r="G3" i="6" s="1"/>
  <c r="H3" i="6" s="1"/>
  <c r="I3" i="6" s="1"/>
  <c r="J3" i="6" s="1"/>
  <c r="K3" i="6" s="1"/>
  <c r="L3" i="6" s="1"/>
  <c r="M3" i="6" s="1"/>
  <c r="H7" i="5"/>
  <c r="G7" i="5"/>
  <c r="G6" i="5" s="1"/>
  <c r="G10" i="6" s="1"/>
  <c r="F7" i="5"/>
  <c r="E7" i="5"/>
  <c r="E6" i="5" s="1"/>
  <c r="E10" i="6" s="1"/>
  <c r="D7" i="5"/>
  <c r="C7" i="5"/>
  <c r="C6" i="5" s="1"/>
  <c r="C10" i="6" s="1"/>
  <c r="H6" i="5"/>
  <c r="H10" i="6" s="1"/>
  <c r="F6" i="5"/>
  <c r="D6" i="5"/>
  <c r="D10" i="6" s="1"/>
  <c r="I5" i="5"/>
  <c r="D4" i="5"/>
  <c r="E4" i="5" s="1"/>
  <c r="F4" i="5" s="1"/>
  <c r="G4" i="5" s="1"/>
  <c r="H4" i="5" s="1"/>
  <c r="I4" i="5" s="1"/>
  <c r="J4" i="5" s="1"/>
  <c r="K4" i="5" s="1"/>
  <c r="L4" i="5" s="1"/>
  <c r="M4" i="5" s="1"/>
  <c r="F19" i="4"/>
  <c r="I18" i="4"/>
  <c r="H18" i="4"/>
  <c r="G14" i="9" s="1"/>
  <c r="G18" i="4"/>
  <c r="F14" i="9" s="1"/>
  <c r="F18" i="4"/>
  <c r="E14" i="9" s="1"/>
  <c r="E18" i="4"/>
  <c r="D14" i="9" s="1"/>
  <c r="D18" i="4"/>
  <c r="C14" i="9" s="1"/>
  <c r="C18" i="4"/>
  <c r="B14" i="9" s="1"/>
  <c r="J17" i="4"/>
  <c r="H14" i="4"/>
  <c r="G28" i="9" s="1"/>
  <c r="G14" i="4"/>
  <c r="F28" i="9" s="1"/>
  <c r="F14" i="4"/>
  <c r="E28" i="9" s="1"/>
  <c r="E14" i="4"/>
  <c r="D14" i="4"/>
  <c r="C14" i="4"/>
  <c r="B28" i="9" s="1"/>
  <c r="J11" i="4"/>
  <c r="H9" i="4"/>
  <c r="G9" i="4"/>
  <c r="F9" i="4"/>
  <c r="E9" i="4"/>
  <c r="D9" i="4"/>
  <c r="K8" i="4"/>
  <c r="J8" i="4"/>
  <c r="I8" i="4"/>
  <c r="H7" i="4"/>
  <c r="G7" i="4"/>
  <c r="F7" i="4"/>
  <c r="E7" i="4"/>
  <c r="D7" i="4"/>
  <c r="C7" i="4"/>
  <c r="D4" i="4"/>
  <c r="E4" i="4" s="1"/>
  <c r="F4" i="4" s="1"/>
  <c r="G4" i="4" s="1"/>
  <c r="H4" i="4" s="1"/>
  <c r="I4" i="4" s="1"/>
  <c r="J4" i="4" s="1"/>
  <c r="K4" i="4" s="1"/>
  <c r="L4" i="4" s="1"/>
  <c r="M4" i="4" s="1"/>
  <c r="F18" i="3"/>
  <c r="B18" i="3"/>
  <c r="G17" i="3"/>
  <c r="G6" i="9" s="1"/>
  <c r="C17" i="3"/>
  <c r="C6" i="9" s="1"/>
  <c r="G14" i="3"/>
  <c r="G18" i="3" s="1"/>
  <c r="F14" i="3"/>
  <c r="E14" i="3"/>
  <c r="E18" i="3" s="1"/>
  <c r="D14" i="3"/>
  <c r="D18" i="3" s="1"/>
  <c r="C14" i="3"/>
  <c r="C18" i="3" s="1"/>
  <c r="B14" i="3"/>
  <c r="L13" i="3"/>
  <c r="K13" i="3"/>
  <c r="J13" i="3"/>
  <c r="I13" i="3"/>
  <c r="H13" i="3"/>
  <c r="G12" i="3"/>
  <c r="G5" i="9" s="1"/>
  <c r="C12" i="3"/>
  <c r="C5" i="9" s="1"/>
  <c r="G10" i="3"/>
  <c r="G11" i="3" s="1"/>
  <c r="F10" i="3"/>
  <c r="F11" i="3" s="1"/>
  <c r="E10" i="3"/>
  <c r="D10" i="3"/>
  <c r="C10" i="3"/>
  <c r="C11" i="3" s="1"/>
  <c r="B10" i="3"/>
  <c r="B11" i="3" s="1"/>
  <c r="L6" i="3"/>
  <c r="H6" i="3"/>
  <c r="G6" i="3"/>
  <c r="F6" i="3"/>
  <c r="E6" i="3"/>
  <c r="D6" i="3"/>
  <c r="C6" i="3"/>
  <c r="I5" i="3"/>
  <c r="I10" i="3" s="1"/>
  <c r="H5" i="3"/>
  <c r="H10" i="3" s="1"/>
  <c r="G5" i="3"/>
  <c r="F5" i="3"/>
  <c r="E5" i="3"/>
  <c r="E17" i="3" s="1"/>
  <c r="E6" i="9" s="1"/>
  <c r="D5" i="3"/>
  <c r="C5" i="3"/>
  <c r="B5" i="3"/>
  <c r="C3" i="3"/>
  <c r="D3" i="3" s="1"/>
  <c r="E3" i="3" s="1"/>
  <c r="F3" i="3" s="1"/>
  <c r="G3" i="3" s="1"/>
  <c r="H3" i="3" s="1"/>
  <c r="I3" i="3" s="1"/>
  <c r="J3" i="3" s="1"/>
  <c r="K3" i="3" s="1"/>
  <c r="L3" i="3" s="1"/>
  <c r="K5" i="2"/>
  <c r="L5" i="2" s="1"/>
  <c r="K6" i="3" s="1"/>
  <c r="J5" i="2"/>
  <c r="I6" i="3" s="1"/>
  <c r="I5" i="2"/>
  <c r="I4" i="2" s="1"/>
  <c r="K4" i="2"/>
  <c r="J4" i="2"/>
  <c r="D3" i="2"/>
  <c r="E3" i="2" s="1"/>
  <c r="F3" i="2" s="1"/>
  <c r="G3" i="2" s="1"/>
  <c r="H3" i="2" s="1"/>
  <c r="I3" i="2" s="1"/>
  <c r="J3" i="2" s="1"/>
  <c r="K3" i="2" s="1"/>
  <c r="L3" i="2" s="1"/>
  <c r="M3" i="2" s="1"/>
  <c r="I11" i="3" l="1"/>
  <c r="C19" i="6"/>
  <c r="I16" i="6"/>
  <c r="I17" i="6" s="1"/>
  <c r="K14" i="6"/>
  <c r="K18" i="4" s="1"/>
  <c r="K12" i="6"/>
  <c r="K11" i="4"/>
  <c r="K6" i="5"/>
  <c r="K17" i="4"/>
  <c r="C20" i="9"/>
  <c r="C8" i="9"/>
  <c r="C7" i="9"/>
  <c r="G20" i="9"/>
  <c r="G8" i="9"/>
  <c r="G7" i="9"/>
  <c r="E27" i="9"/>
  <c r="E21" i="9"/>
  <c r="E9" i="9"/>
  <c r="D4" i="8"/>
  <c r="D20" i="6"/>
  <c r="K13" i="6"/>
  <c r="J31" i="9" s="1"/>
  <c r="K15" i="6"/>
  <c r="L4" i="2"/>
  <c r="D12" i="3"/>
  <c r="D5" i="9" s="1"/>
  <c r="D11" i="3"/>
  <c r="D17" i="3"/>
  <c r="D6" i="9" s="1"/>
  <c r="H11" i="3"/>
  <c r="C28" i="9"/>
  <c r="D19" i="4"/>
  <c r="H19" i="4"/>
  <c r="J6" i="3"/>
  <c r="H9" i="3"/>
  <c r="L8" i="4"/>
  <c r="D28" i="9"/>
  <c r="E19" i="4"/>
  <c r="I15" i="9"/>
  <c r="J15" i="6"/>
  <c r="J12" i="6"/>
  <c r="J14" i="6"/>
  <c r="J18" i="4" s="1"/>
  <c r="I14" i="9" s="1"/>
  <c r="J13" i="6"/>
  <c r="I31" i="9" s="1"/>
  <c r="J6" i="5"/>
  <c r="B17" i="3"/>
  <c r="B6" i="9" s="1"/>
  <c r="B12" i="3"/>
  <c r="B5" i="9" s="1"/>
  <c r="F17" i="3"/>
  <c r="F6" i="9" s="1"/>
  <c r="F12" i="3"/>
  <c r="F5" i="9" s="1"/>
  <c r="J5" i="3"/>
  <c r="I9" i="3"/>
  <c r="E12" i="3"/>
  <c r="E5" i="9" s="1"/>
  <c r="B7" i="9"/>
  <c r="B20" i="9"/>
  <c r="B8" i="9"/>
  <c r="F7" i="9"/>
  <c r="F20" i="9"/>
  <c r="F8" i="9"/>
  <c r="E17" i="6"/>
  <c r="E19" i="6" s="1"/>
  <c r="D29" i="9"/>
  <c r="F17" i="6"/>
  <c r="D7" i="9"/>
  <c r="D20" i="9"/>
  <c r="D8" i="9"/>
  <c r="H30" i="9"/>
  <c r="I13" i="6"/>
  <c r="H31" i="9" s="1"/>
  <c r="I6" i="5"/>
  <c r="I17" i="4"/>
  <c r="I15" i="6"/>
  <c r="E11" i="3"/>
  <c r="I11" i="4"/>
  <c r="F7" i="6"/>
  <c r="F19" i="6" s="1"/>
  <c r="H19" i="6"/>
  <c r="G29" i="9"/>
  <c r="H17" i="6"/>
  <c r="E7" i="9"/>
  <c r="E20" i="9"/>
  <c r="E8" i="9"/>
  <c r="C19" i="4"/>
  <c r="G19" i="4"/>
  <c r="F29" i="9"/>
  <c r="G17" i="6"/>
  <c r="G19" i="6" s="1"/>
  <c r="D13" i="7"/>
  <c r="D12" i="7"/>
  <c r="D7" i="7"/>
  <c r="E4" i="8" l="1"/>
  <c r="E20" i="6"/>
  <c r="G4" i="8"/>
  <c r="G20" i="6"/>
  <c r="B27" i="9"/>
  <c r="B21" i="9"/>
  <c r="B9" i="9"/>
  <c r="H4" i="8"/>
  <c r="H20" i="6"/>
  <c r="I10" i="6"/>
  <c r="I15" i="4"/>
  <c r="G27" i="9"/>
  <c r="G21" i="9"/>
  <c r="G9" i="9"/>
  <c r="I8" i="5"/>
  <c r="F4" i="8"/>
  <c r="F20" i="6"/>
  <c r="J7" i="5"/>
  <c r="J9" i="6"/>
  <c r="M8" i="4"/>
  <c r="C27" i="9"/>
  <c r="C21" i="9"/>
  <c r="C9" i="9"/>
  <c r="K16" i="6"/>
  <c r="E21" i="6"/>
  <c r="C4" i="8"/>
  <c r="G21" i="6"/>
  <c r="C21" i="6"/>
  <c r="H21" i="6"/>
  <c r="F21" i="6"/>
  <c r="D21" i="6"/>
  <c r="J10" i="3"/>
  <c r="J9" i="3"/>
  <c r="J16" i="6"/>
  <c r="I30" i="9"/>
  <c r="I7" i="5"/>
  <c r="I9" i="6"/>
  <c r="H8" i="3"/>
  <c r="K30" i="9"/>
  <c r="K5" i="3"/>
  <c r="M4" i="2"/>
  <c r="L13" i="6"/>
  <c r="K31" i="9" s="1"/>
  <c r="L14" i="6"/>
  <c r="L18" i="4" s="1"/>
  <c r="L17" i="4"/>
  <c r="L15" i="6"/>
  <c r="L12" i="6"/>
  <c r="L6" i="5"/>
  <c r="L11" i="4"/>
  <c r="J14" i="9"/>
  <c r="J15" i="9"/>
  <c r="J30" i="9"/>
  <c r="I8" i="3"/>
  <c r="D14" i="7"/>
  <c r="P3" i="8" s="1"/>
  <c r="F27" i="9"/>
  <c r="F21" i="9"/>
  <c r="F9" i="9"/>
  <c r="H15" i="9"/>
  <c r="H14" i="9"/>
  <c r="H29" i="9"/>
  <c r="J15" i="4"/>
  <c r="J10" i="6"/>
  <c r="D27" i="9"/>
  <c r="D21" i="9"/>
  <c r="D9" i="9"/>
  <c r="K10" i="6"/>
  <c r="K15" i="4"/>
  <c r="L10" i="6" l="1"/>
  <c r="L15" i="4"/>
  <c r="L16" i="6"/>
  <c r="H22" i="9"/>
  <c r="I5" i="6"/>
  <c r="I7" i="6" s="1"/>
  <c r="I19" i="6" s="1"/>
  <c r="H12" i="3"/>
  <c r="H5" i="9" s="1"/>
  <c r="H14" i="3"/>
  <c r="J17" i="6"/>
  <c r="I29" i="9"/>
  <c r="J5" i="5"/>
  <c r="J8" i="5" s="1"/>
  <c r="I14" i="4"/>
  <c r="K6" i="8"/>
  <c r="J6" i="8"/>
  <c r="M6" i="8"/>
  <c r="I6" i="8"/>
  <c r="L6" i="8"/>
  <c r="M13" i="6"/>
  <c r="L31" i="9" s="1"/>
  <c r="M6" i="5"/>
  <c r="M17" i="4"/>
  <c r="M15" i="6"/>
  <c r="L5" i="3"/>
  <c r="M12" i="6"/>
  <c r="M16" i="6" s="1"/>
  <c r="M17" i="6" s="1"/>
  <c r="M11" i="4"/>
  <c r="M14" i="6"/>
  <c r="M18" i="4" s="1"/>
  <c r="K9" i="6"/>
  <c r="K7" i="5"/>
  <c r="K17" i="6"/>
  <c r="J29" i="9"/>
  <c r="I22" i="9"/>
  <c r="J5" i="6"/>
  <c r="J7" i="6" s="1"/>
  <c r="J19" i="6" s="1"/>
  <c r="I12" i="3"/>
  <c r="I5" i="9" s="1"/>
  <c r="I14" i="3"/>
  <c r="K14" i="9"/>
  <c r="K15" i="9"/>
  <c r="K9" i="3"/>
  <c r="K10" i="3"/>
  <c r="J11" i="3"/>
  <c r="J8" i="3"/>
  <c r="L9" i="6" l="1"/>
  <c r="L7" i="5"/>
  <c r="M10" i="6"/>
  <c r="M15" i="4"/>
  <c r="I19" i="4"/>
  <c r="H28" i="9"/>
  <c r="H18" i="3"/>
  <c r="H16" i="3"/>
  <c r="J22" i="9"/>
  <c r="J14" i="3"/>
  <c r="J12" i="3"/>
  <c r="J5" i="9" s="1"/>
  <c r="K5" i="6"/>
  <c r="K7" i="6" s="1"/>
  <c r="K19" i="6" s="1"/>
  <c r="J4" i="8"/>
  <c r="J7" i="8" s="1"/>
  <c r="J20" i="6"/>
  <c r="L10" i="3"/>
  <c r="L9" i="3"/>
  <c r="K5" i="5"/>
  <c r="K8" i="5" s="1"/>
  <c r="J14" i="4"/>
  <c r="L17" i="6"/>
  <c r="K29" i="9"/>
  <c r="L30" i="9"/>
  <c r="I4" i="8"/>
  <c r="I7" i="8" s="1"/>
  <c r="I20" i="6"/>
  <c r="J21" i="6"/>
  <c r="I21" i="6"/>
  <c r="K21" i="6"/>
  <c r="K8" i="3"/>
  <c r="K11" i="3"/>
  <c r="I18" i="3"/>
  <c r="I16" i="3" s="1"/>
  <c r="L15" i="9"/>
  <c r="L14" i="9"/>
  <c r="L29" i="9"/>
  <c r="I17" i="3" l="1"/>
  <c r="I6" i="9" s="1"/>
  <c r="K22" i="9"/>
  <c r="L5" i="6"/>
  <c r="L7" i="6" s="1"/>
  <c r="L19" i="6" s="1"/>
  <c r="K14" i="3"/>
  <c r="K12" i="3"/>
  <c r="K5" i="9" s="1"/>
  <c r="L8" i="3"/>
  <c r="L11" i="3"/>
  <c r="H9" i="9"/>
  <c r="I6" i="4"/>
  <c r="H17" i="3"/>
  <c r="H6" i="9" s="1"/>
  <c r="J19" i="4"/>
  <c r="I28" i="9"/>
  <c r="J18" i="3"/>
  <c r="J16" i="3"/>
  <c r="L5" i="5"/>
  <c r="L8" i="5" s="1"/>
  <c r="K14" i="4"/>
  <c r="M9" i="6"/>
  <c r="M7" i="5"/>
  <c r="K4" i="8"/>
  <c r="K7" i="8" s="1"/>
  <c r="K20" i="6"/>
  <c r="H21" i="9"/>
  <c r="H27" i="9"/>
  <c r="K19" i="4" l="1"/>
  <c r="J28" i="9"/>
  <c r="L14" i="4"/>
  <c r="M5" i="5"/>
  <c r="M8" i="5" s="1"/>
  <c r="M14" i="4" s="1"/>
  <c r="I21" i="9"/>
  <c r="I27" i="9"/>
  <c r="K18" i="3"/>
  <c r="K16" i="3"/>
  <c r="J9" i="9"/>
  <c r="J17" i="3"/>
  <c r="J6" i="9" s="1"/>
  <c r="L4" i="8"/>
  <c r="L7" i="8" s="1"/>
  <c r="L20" i="6"/>
  <c r="L21" i="6"/>
  <c r="P12" i="6"/>
  <c r="I9" i="9"/>
  <c r="I7" i="4"/>
  <c r="J6" i="4"/>
  <c r="L22" i="9"/>
  <c r="M5" i="6"/>
  <c r="M7" i="6" s="1"/>
  <c r="M19" i="6" s="1"/>
  <c r="L14" i="3"/>
  <c r="L12" i="3"/>
  <c r="L5" i="9" s="1"/>
  <c r="L18" i="3" l="1"/>
  <c r="L16" i="3" s="1"/>
  <c r="J7" i="4"/>
  <c r="K6" i="4"/>
  <c r="K17" i="3"/>
  <c r="K6" i="9" s="1"/>
  <c r="M19" i="4"/>
  <c r="L28" i="9"/>
  <c r="M4" i="8"/>
  <c r="M20" i="6"/>
  <c r="I12" i="4"/>
  <c r="H20" i="9"/>
  <c r="H8" i="9"/>
  <c r="H7" i="9"/>
  <c r="L19" i="4"/>
  <c r="K28" i="9"/>
  <c r="M21" i="6"/>
  <c r="P13" i="6"/>
  <c r="J21" i="9"/>
  <c r="J27" i="9"/>
  <c r="L9" i="9" l="1"/>
  <c r="L17" i="3"/>
  <c r="L6" i="9" s="1"/>
  <c r="K21" i="9"/>
  <c r="K27" i="9"/>
  <c r="L27" i="9"/>
  <c r="L21" i="9"/>
  <c r="K7" i="4"/>
  <c r="L6" i="4"/>
  <c r="F29" i="8"/>
  <c r="N29" i="8" s="1"/>
  <c r="H28" i="8"/>
  <c r="P28" i="8" s="1"/>
  <c r="D28" i="8"/>
  <c r="L28" i="8" s="1"/>
  <c r="F27" i="8"/>
  <c r="N27" i="8" s="1"/>
  <c r="H26" i="8"/>
  <c r="P26" i="8" s="1"/>
  <c r="D26" i="8"/>
  <c r="L26" i="8" s="1"/>
  <c r="F25" i="8"/>
  <c r="N25" i="8" s="1"/>
  <c r="O19" i="8"/>
  <c r="M18" i="8"/>
  <c r="O17" i="8"/>
  <c r="M16" i="8"/>
  <c r="O15" i="8"/>
  <c r="C15" i="8"/>
  <c r="C16" i="8" s="1"/>
  <c r="E29" i="8"/>
  <c r="M29" i="8" s="1"/>
  <c r="G28" i="8"/>
  <c r="O28" i="8" s="1"/>
  <c r="E27" i="8"/>
  <c r="M27" i="8" s="1"/>
  <c r="G26" i="8"/>
  <c r="O26" i="8" s="1"/>
  <c r="E25" i="8"/>
  <c r="M25" i="8" s="1"/>
  <c r="N19" i="8"/>
  <c r="P18" i="8"/>
  <c r="L18" i="8"/>
  <c r="N17" i="8"/>
  <c r="P16" i="8"/>
  <c r="L16" i="8"/>
  <c r="N15" i="8"/>
  <c r="M7" i="8"/>
  <c r="H29" i="8"/>
  <c r="P29" i="8" s="1"/>
  <c r="D29" i="8"/>
  <c r="L29" i="8" s="1"/>
  <c r="F28" i="8"/>
  <c r="N28" i="8" s="1"/>
  <c r="H27" i="8"/>
  <c r="P27" i="8" s="1"/>
  <c r="D27" i="8"/>
  <c r="L27" i="8" s="1"/>
  <c r="F26" i="8"/>
  <c r="N26" i="8" s="1"/>
  <c r="H25" i="8"/>
  <c r="P25" i="8" s="1"/>
  <c r="D25" i="8"/>
  <c r="L25" i="8" s="1"/>
  <c r="M19" i="8"/>
  <c r="O18" i="8"/>
  <c r="M17" i="8"/>
  <c r="O16" i="8"/>
  <c r="M15" i="8"/>
  <c r="G29" i="8"/>
  <c r="O29" i="8" s="1"/>
  <c r="E28" i="8"/>
  <c r="M28" i="8" s="1"/>
  <c r="G27" i="8"/>
  <c r="O27" i="8" s="1"/>
  <c r="E26" i="8"/>
  <c r="M26" i="8" s="1"/>
  <c r="G25" i="8"/>
  <c r="O25" i="8" s="1"/>
  <c r="P19" i="8"/>
  <c r="L19" i="8"/>
  <c r="N18" i="8"/>
  <c r="P17" i="8"/>
  <c r="L17" i="8"/>
  <c r="N16" i="8"/>
  <c r="P15" i="8"/>
  <c r="L15" i="8"/>
  <c r="J12" i="4"/>
  <c r="I20" i="9"/>
  <c r="I8" i="9"/>
  <c r="I7" i="9"/>
  <c r="K9" i="9"/>
  <c r="C17" i="8" l="1"/>
  <c r="C18" i="8" s="1"/>
  <c r="C19" i="8" s="1"/>
  <c r="K12" i="4"/>
  <c r="J20" i="9"/>
  <c r="J8" i="9"/>
  <c r="J7" i="9"/>
  <c r="M6" i="4"/>
  <c r="M7" i="4" s="1"/>
  <c r="L7" i="4"/>
  <c r="M12" i="4" l="1"/>
  <c r="L20" i="9"/>
  <c r="L8" i="9"/>
  <c r="L7" i="9"/>
  <c r="L12" i="4"/>
  <c r="K20" i="9"/>
  <c r="K8" i="9"/>
  <c r="K7" i="9"/>
</calcChain>
</file>

<file path=xl/sharedStrings.xml><?xml version="1.0" encoding="utf-8"?>
<sst xmlns="http://schemas.openxmlformats.org/spreadsheetml/2006/main" count="188" uniqueCount="141">
  <si>
    <t>Project-</t>
  </si>
  <si>
    <t>About This Company:</t>
  </si>
  <si>
    <r>
      <rPr>
        <sz val="14"/>
        <color rgb="FF000000"/>
        <rFont val="Arial"/>
      </rPr>
      <t xml:space="preserve">Valuation of </t>
    </r>
    <r>
      <rPr>
        <b/>
        <sz val="14"/>
        <color rgb="FF000000"/>
        <rFont val="Arial"/>
      </rPr>
      <t>Titan Company Ltd</t>
    </r>
    <r>
      <rPr>
        <sz val="14"/>
        <color rgb="FF000000"/>
        <rFont val="Arial"/>
      </rPr>
      <t xml:space="preserve">. using 
</t>
    </r>
    <r>
      <rPr>
        <b/>
        <sz val="14"/>
        <color rgb="FF000000"/>
        <rFont val="Arial"/>
      </rPr>
      <t>Discounted Cash Flow (DCF)</t>
    </r>
    <r>
      <rPr>
        <sz val="14"/>
        <color rgb="FF000000"/>
        <rFont val="Arial"/>
      </rPr>
      <t xml:space="preserve"> Method</t>
    </r>
  </si>
  <si>
    <t xml:space="preserve">Titan Company Limited is a flagship enterprise of the Tata Group and a prominent player in India's consumer lifestyle sector. Founded in 1984 and headquartered in Bengaluru, Titan operates across multiple high-margin categories including jewelry (Tanishq, Mia), watches (Titan, Fastrack), eyewear (Titan Eye+), and emerging segments like smart wearables and fragrances. The company commands strong brand recognition and benefits from an extensive retail network across India.
As of FY2025, Titan reported revenues of over ₹60,000 crore and a consistent upward trajectory in operating and net profits. With a healthy balance sheet, strong return ratios, and a scalable business model, Titan is widely regarded as a high-quality compounder in the Indian equity market. Its dominant position in the organized jewelry segment and continued innovation make it a preferred choice among investors seeking long-term growth.
</t>
  </si>
  <si>
    <t>Objective-</t>
  </si>
  <si>
    <t>To estimate the intrinsic value of Titan using DCF methodology by forecasting Free Cash Flows to the Firm (FCFF) and discounting them at an appropriate WACC. Data from FY2020 to FY2025 used for projections until FY2030.</t>
  </si>
  <si>
    <t>Data Sources</t>
  </si>
  <si>
    <t>Screener.in</t>
  </si>
  <si>
    <t>Yahoo Finance</t>
  </si>
  <si>
    <t>Author</t>
  </si>
  <si>
    <t>Legends</t>
  </si>
  <si>
    <t>Negetive Values</t>
  </si>
  <si>
    <t>(In Bracket)</t>
  </si>
  <si>
    <t>Constants taken from reports</t>
  </si>
  <si>
    <t>123.00 Blue</t>
  </si>
  <si>
    <t>Estimated using formulae</t>
  </si>
  <si>
    <t>123.00 Black</t>
  </si>
  <si>
    <t>Values linked from other sheets</t>
  </si>
  <si>
    <t>123.00 Green</t>
  </si>
  <si>
    <t>x</t>
  </si>
  <si>
    <t>Assumptions</t>
  </si>
  <si>
    <t>Yellow BG</t>
  </si>
  <si>
    <t>Historical Data</t>
  </si>
  <si>
    <t>Forecasted Data</t>
  </si>
  <si>
    <t>Year</t>
  </si>
  <si>
    <t>Revenue</t>
  </si>
  <si>
    <t>Growth</t>
  </si>
  <si>
    <t>Revenue has been forecasted using a consistent and justifiable growth trajectory, assuming healthy year-on-year expansion based on Titan’s past performance.</t>
  </si>
  <si>
    <t>*All numerical figures are in INR Crores unless stated otherwise</t>
  </si>
  <si>
    <t>Years</t>
  </si>
  <si>
    <t>Revenue Growth</t>
  </si>
  <si>
    <t>Operating Profit(EBIT)</t>
  </si>
  <si>
    <t>Depriciation</t>
  </si>
  <si>
    <t>EBITDA</t>
  </si>
  <si>
    <t>EBITDA Margin(%)</t>
  </si>
  <si>
    <t>EBIT Margin(%)</t>
  </si>
  <si>
    <t>Interest Expense</t>
  </si>
  <si>
    <t>Profit Before Tax</t>
  </si>
  <si>
    <t>Tax Rate</t>
  </si>
  <si>
    <t>Net Profit</t>
  </si>
  <si>
    <t>Net Profit Margin(%)</t>
  </si>
  <si>
    <t>Tax</t>
  </si>
  <si>
    <t>Assumptions/Rationale Behind the calculations</t>
  </si>
  <si>
    <t xml:space="preserve">• Revenue forecasted using consistent YoY growth  
  → Based on Titan’s historical performance  
  → Supported by strong consumer demand trends  
• EBIT margins held realistic  
  → Reflect operational leverage  
  → Assumes improving efficiencies at scale  
• Depreciation = 1.1% of forecasted revenue  
  → Based on historical % trend  
  → Scales proportionally with revenue  
• EBITDA = EBIT + Depreciation  
</t>
  </si>
  <si>
    <t xml:space="preserve">• Interest Expense assumed constant at ₹900 Cr/year  
  → Conservative estimate  
  → Assumes debt repayment/refinancing  
• Profit Before Tax (PBT) = EBIT – Interest  
• Tax Rate fixed at 25% for forecast years  
  → Based on recent policy trends  
• Net Profit = PBT × (1 – Tax Rate)  
• Tax Amount = PBT × Tax Rate  </t>
  </si>
  <si>
    <t>Equity Share Capital</t>
  </si>
  <si>
    <t>Reserves</t>
  </si>
  <si>
    <t>Net Worth</t>
  </si>
  <si>
    <t>Borrowings</t>
  </si>
  <si>
    <t>Other Liabilities</t>
  </si>
  <si>
    <t>Total Liabilities</t>
  </si>
  <si>
    <t>Fixed Assets (Net Block)</t>
  </si>
  <si>
    <t>CWIP</t>
  </si>
  <si>
    <t>Investments</t>
  </si>
  <si>
    <t>Cash and Cash Equivalents</t>
  </si>
  <si>
    <t>Other Current Assets</t>
  </si>
  <si>
    <t>Total Assets</t>
  </si>
  <si>
    <t>• Equity Share Capital is assumed constant at ₹89 Cr, reflecting no planned equity dilution.
• Reserves for forecasted years are derived from cumulative retained earnings (Net Profit from P&amp;L sheet).
• Net Worth is calculated as: Equity Share Capital + Reserves.
• Borrowings are forecasted with a ₹1,000 Cr annual decline from FY26–FY30, indicating long-term debt reduction.
• Growth in Borrowings is calculated year-on-year to track leverage and debt strategy.
• Other Liabilities are projected based on historical growth trends, scaling with business expansion and operating scale.
• Fixed Assets (Net Block) values are linked to the Fixed Assets schedule and reflect CapEx driven growth.
• CWIP is held constant at ₹1,988 Cr post-FY25, assuming completion of major capital projects.
• Investments are maintained flat at ₹1,988 Cr in forecasted years, assuming no major strategic changes.
• Cash and Cash Equivalents (C&amp;CE) are projected based on historical build-up trends and positive FCFF.
• Other Current Assets are forecasted using revenue-scaled growth to reflect working capital needs.
• Total Assets = Fixed Assets + CWIP + Investments + C&amp;CE + Other Current Assets.
• Total Liabilities = Borrowings + Other Liabilities.
• Asset = Liability check ensures balance sheet consistency is maintained across all years.</t>
  </si>
  <si>
    <t>Opening Net Block</t>
  </si>
  <si>
    <t>CapEx</t>
  </si>
  <si>
    <t>Closing Net Block</t>
  </si>
  <si>
    <t xml:space="preserve">• Opening Net Block values for FY2020–FY2025 are taken directly from
   reported data.
• Depreciation values for all years are sourced from Screener.in and 
  assumed to scale with revenue in future forecasts.
• Historical CapEx (FY2020–FY2024) is back-calculated using the formula:
  CapEx = Closing Net Block – Opening Net Block + Depreciation
• Forecasted CapEx (FY2026–FY2030) is assumed to be 1.1% of 
  forecasted revenue, based on historical trends and scalability.
• Closing Net Block is calculated as:
  Closing NB = Opening NB + CapEx – Depreciation
</t>
  </si>
  <si>
    <t>• Opening Net Block for each year is carried over 
   from the previous year's Closing Net Block.
• This structure reflects steady reinvestment and 
   wear-and-tear in assets over time.
• The use of revenue-scaled CapEx captures the 
   capital expansion needed to support Titan’s growth trajectory.</t>
  </si>
  <si>
    <t>EBIT</t>
  </si>
  <si>
    <t>NoPAT</t>
  </si>
  <si>
    <t>Inventory</t>
  </si>
  <si>
    <t>Total FCFF</t>
  </si>
  <si>
    <t>Trade Recievables</t>
  </si>
  <si>
    <t>Average FCFF</t>
  </si>
  <si>
    <t>Working Capital</t>
  </si>
  <si>
    <t>Change in Working Capital</t>
  </si>
  <si>
    <t>Free Cash Flow to Firm(FCFF)</t>
  </si>
  <si>
    <t>FCFF Growth(%)</t>
  </si>
  <si>
    <t>Cumulative FCFF</t>
  </si>
  <si>
    <t xml:space="preserve">• EBIT (Operating Profit) is taken from the P&amp;L sheet and reflects the core 
  operating performance before interest and tax.
• Tax Rate is based on actual historical tax rates and assumed 
   to stabilize at 25% for forecast years, considering corporate tax reforms.
• NOPAT (Net Operating Profit After Tax) is computed as:
  NOPAT = EBIT × (1 – Tax Rate)
• Depreciation values are sourced directly from Screener.in and are 
   assumed to scale proportionally with revenue in forecast years.
• CapEx for FY2020–FY2025 is back-calculated using Net Block movement.
  Forecasted CapEx (FY2026–FY2030) is assumed to be 1.1% of forecasted 
  revenue, representing reinvestment aligned with business expansion.
</t>
  </si>
  <si>
    <t>• Working Capital is computed as:
  Working Capital = Inventory + Trade Receivables + Other Current 
  Assets – Other Liabilities
• Change in Working Capital (ΔWC) is calculated year-on-year and 
  reflects liquidity impact due to operational asset and liability changes.
• FCFF is calculated using the formula:
  FCFF = NOPAT + Depreciation – CapEx – Change in Working Capital
• Negative FCFF in early years (e.g., FY2022) reflects aggressive 
  reinvestment or working capital build-up, while positive FCFF in later 
  years indicates improving operational cash generation.</t>
  </si>
  <si>
    <t>Metric</t>
  </si>
  <si>
    <t>Value</t>
  </si>
  <si>
    <t>Inputs Used</t>
  </si>
  <si>
    <t xml:space="preserve">Market Value of Equity </t>
  </si>
  <si>
    <t>Beta</t>
  </si>
  <si>
    <t>Total Debt(2025)</t>
  </si>
  <si>
    <t>Risk Free Rate(Rf)</t>
  </si>
  <si>
    <t>Total Debt(2024)</t>
  </si>
  <si>
    <t>Market Return(Rm)</t>
  </si>
  <si>
    <t>Cost of Debt(Rd)</t>
  </si>
  <si>
    <t xml:space="preserve"> </t>
  </si>
  <si>
    <t>Cost of Equity</t>
  </si>
  <si>
    <t>Total Capital</t>
  </si>
  <si>
    <t>Weight of Equity</t>
  </si>
  <si>
    <t>Weight of Debt</t>
  </si>
  <si>
    <t>WACC</t>
  </si>
  <si>
    <t xml:space="preserve">• Cost of Equity (Ke) is calculated using the CAPM model:
  Ke = Rf + β × (Rm − Rf) = 7% + 0.34 × (12.1% − 7%) = 8.73%
• Cost of Debt (Rd) is the average interest expense / total debt 
  based on reported financials.
• Total Debt is averaged between FY2024 and FY2025 to 
  smooth fluctuations.
• Total Capital = Market Value of Equity + Average Total Debt
</t>
  </si>
  <si>
    <t>• Weight of Equity = Equity / (Equity + Debt)
• Weight of Debt = Debt / (Equity + Debt)
• WACC is calculated using:
  WACC = (Ke × We) + (Rd × Wd × (1 − Tax Rate))
• This WACC reflects Titan’s blended cost of capital 
  considering its low leverage and high market 
  capitalization.</t>
  </si>
  <si>
    <t>FCF</t>
  </si>
  <si>
    <t>t (Number of Years ahead of base year)</t>
  </si>
  <si>
    <t>Discout Factor(1+WACC)^t</t>
  </si>
  <si>
    <t>PV OF FCF</t>
  </si>
  <si>
    <t>SENSETIVITY TABLE - ENTERPRISE VALUE</t>
  </si>
  <si>
    <t>g (Long Term Growth Rate)</t>
  </si>
  <si>
    <t>WACC(%)</t>
  </si>
  <si>
    <t>Terminal Value(Gordon Growth Model)</t>
  </si>
  <si>
    <t>Growth Rate(%)</t>
  </si>
  <si>
    <t>Present Value of TV</t>
  </si>
  <si>
    <t>Enterprise Value</t>
  </si>
  <si>
    <t>Equity Value</t>
  </si>
  <si>
    <t>Intrinsic Share Price</t>
  </si>
  <si>
    <t>SENSETIVITY TABLE - Equity Value</t>
  </si>
  <si>
    <t>SENSETIVITY TABLE - Share Price</t>
  </si>
  <si>
    <t>PROFITABILITY RATIOS</t>
  </si>
  <si>
    <t xml:space="preserve">• These ratios assess Titan’s ability to generate profits relative to revenue, assets, or equity.  
• Gross Margin, EBITDA Margin, and Net Profit Margin reveal core and bottom-line profitability.  
• ROE and ROCE measure the efficiency of capital and equity utilization.  
• A consistently high ROE/ROCE indicates strong shareholder returns and capital allocation.       </t>
  </si>
  <si>
    <t>ROE(%)</t>
  </si>
  <si>
    <t>ROCE(%)</t>
  </si>
  <si>
    <t>ROA(%)</t>
  </si>
  <si>
    <t>LIQUIDITY RATIOS</t>
  </si>
  <si>
    <t>• Liquidity ratios measure Titan’s short-term financial health and ability to meet liabilities.  
• The Current Ratio shows the coverage of short-term obligations via current assets.  
• A higher ratio (&gt;1) generally implies a comfortable liquidity position.  
• These ratios are essential in evaluating operational resilience and creditworthiness.</t>
  </si>
  <si>
    <t>Current Ratio(%)</t>
  </si>
  <si>
    <t>Quick Ratio(%)</t>
  </si>
  <si>
    <t>LEVERAGE RATIOS</t>
  </si>
  <si>
    <t xml:space="preserve">• These ratios analyze Titan’s capital structure and long-term debt sustainability.  
• Debt to Equity indicates the proportion of external vs. internal financing.  
• Interest Coverage Ratio shows Titan’s ability to service debt using EBIT.  
• Lower leverage and higher coverage suggest financial stability and lower default risk.
</t>
  </si>
  <si>
    <t>Debt to Equity(%)</t>
  </si>
  <si>
    <t>Debt to Assets(%)</t>
  </si>
  <si>
    <t>Interest Coverage Ratio</t>
  </si>
  <si>
    <t>EFFICIENCY RATIOS</t>
  </si>
  <si>
    <t xml:space="preserve">• Efficiency ratios evaluate how well Titan manages assets and operations.  
• Inventory Turnover reflects how quickly inventory is sold; higher is better.  
• Receivables Turnover shows how efficiently Titan collects from customers.  
• Asset Turnover indicates how well the company uses assets to generate sales.
</t>
  </si>
  <si>
    <t>Asset Turn Over Ratio</t>
  </si>
  <si>
    <t>Fixed Asset Turnover</t>
  </si>
  <si>
    <t>Working Capital Turnover</t>
  </si>
  <si>
    <t>Inventory Turnover Ratio</t>
  </si>
  <si>
    <t>Receivables Turnover Ratio</t>
  </si>
  <si>
    <t>PnL Sheet</t>
  </si>
  <si>
    <t>EBITDA Margin F26</t>
  </si>
  <si>
    <t>A slow, steady increase in margin assumes:
No major supply chain shocks.
Controlled cost inflation.
Gradual premiumization in jewelry and watches.</t>
  </si>
  <si>
    <t>EBITDA Margin F27</t>
  </si>
  <si>
    <t>EBITDA Margin F28</t>
  </si>
  <si>
    <t>EBITDA Margin F29</t>
  </si>
  <si>
    <t>EBITDA Margin F30</t>
  </si>
  <si>
    <t>Depriciation of Revenue</t>
  </si>
  <si>
    <t>Avg ish</t>
  </si>
  <si>
    <t xml:space="preserve">Tax Rate </t>
  </si>
  <si>
    <t>Author: Yash Pandit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</si>
</sst>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6">
    <font>
      <sz val="10"/>
      <color rgb="FF000000"/>
      <name val="Arial"/>
      <scheme val="minor"/>
    </font>
    <font>
      <sz val="14"/>
      <color theme="1"/>
      <name val="Arial"/>
      <scheme val="minor"/>
    </font>
    <font>
      <b/>
      <sz val="14"/>
      <color rgb="FFFFFFFF"/>
      <name val="Arial"/>
      <scheme val="minor"/>
    </font>
    <font>
      <sz val="14"/>
      <color rgb="FF000000"/>
      <name val="Arial"/>
      <scheme val="minor"/>
    </font>
    <font>
      <sz val="10"/>
      <name val="Arial"/>
    </font>
    <font>
      <b/>
      <u/>
      <sz val="14"/>
      <color rgb="FF0000FF"/>
      <name val="Arial"/>
    </font>
    <font>
      <b/>
      <sz val="14"/>
      <color rgb="FF000000"/>
      <name val="Arial"/>
      <scheme val="minor"/>
    </font>
    <font>
      <b/>
      <sz val="10"/>
      <color theme="1"/>
      <name val="Arial"/>
    </font>
    <font>
      <sz val="10"/>
      <color theme="1"/>
      <name val="Arial"/>
    </font>
    <font>
      <b/>
      <sz val="10"/>
      <color rgb="FF4285F4"/>
      <name val="Arial"/>
    </font>
    <font>
      <b/>
      <sz val="10"/>
      <color rgb="FF6AA84F"/>
      <name val="Arial"/>
    </font>
    <font>
      <sz val="10"/>
      <color theme="1"/>
      <name val="Arial"/>
      <scheme val="minor"/>
    </font>
    <font>
      <b/>
      <sz val="10"/>
      <color theme="1"/>
      <name val="Arial"/>
      <scheme val="minor"/>
    </font>
    <font>
      <b/>
      <sz val="10"/>
      <color rgb="FFFFFFFF"/>
      <name val="Arial"/>
      <scheme val="minor"/>
    </font>
    <font>
      <sz val="10"/>
      <color rgb="FFFFFFFF"/>
      <name val="Arial"/>
      <scheme val="minor"/>
    </font>
    <font>
      <sz val="10"/>
      <color rgb="FF1155CC"/>
      <name val="&quot;Inter var&quot;"/>
    </font>
    <font>
      <i/>
      <sz val="8"/>
      <color theme="1"/>
      <name val="Arial"/>
      <scheme val="minor"/>
    </font>
    <font>
      <sz val="10"/>
      <color rgb="FF6AA84F"/>
      <name val="Arial"/>
      <scheme val="minor"/>
    </font>
    <font>
      <sz val="10"/>
      <color rgb="FF1155CC"/>
      <name val="Arial"/>
      <scheme val="minor"/>
    </font>
    <font>
      <sz val="10"/>
      <color rgb="FF22222F"/>
      <name val="&quot;Inter var&quot;"/>
    </font>
    <font>
      <sz val="11"/>
      <color rgb="FF22222F"/>
      <name val="&quot;Inter var&quot;"/>
    </font>
    <font>
      <sz val="11"/>
      <color rgb="FF1155CC"/>
      <name val="&quot;Inter var&quot;"/>
    </font>
    <font>
      <b/>
      <sz val="11"/>
      <color rgb="FFFFFFFF"/>
      <name val="Arial"/>
      <scheme val="minor"/>
    </font>
    <font>
      <sz val="10"/>
      <color rgb="FF000000"/>
      <name val="Arial"/>
      <scheme val="minor"/>
    </font>
    <font>
      <sz val="14"/>
      <color rgb="FF000000"/>
      <name val="Arial"/>
    </font>
    <font>
      <b/>
      <sz val="14"/>
      <color rgb="FF000000"/>
      <name val="Arial"/>
    </font>
  </fonts>
  <fills count="8">
    <fill>
      <patternFill patternType="none"/>
    </fill>
    <fill>
      <patternFill patternType="gray125"/>
    </fill>
    <fill>
      <patternFill patternType="solid">
        <fgColor rgb="FF3C78D8"/>
        <bgColor rgb="FF3C78D8"/>
      </patternFill>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93C47D"/>
        <bgColor rgb="FF93C47D"/>
      </patternFill>
    </fill>
    <fill>
      <patternFill patternType="solid">
        <fgColor rgb="FFD9D9D9"/>
        <bgColor rgb="FFD9D9D9"/>
      </patternFill>
    </fill>
  </fills>
  <borders count="6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000000"/>
      </left>
      <right/>
      <top style="thin">
        <color rgb="FF000000"/>
      </top>
      <bottom/>
      <diagonal/>
    </border>
    <border>
      <left/>
      <right/>
      <top style="thin">
        <color rgb="FF000000"/>
      </top>
      <bottom/>
      <diagonal/>
    </border>
    <border>
      <left/>
      <right style="thin">
        <color rgb="FFFFFFFF"/>
      </right>
      <top style="thin">
        <color rgb="FF000000"/>
      </top>
      <bottom/>
      <diagonal/>
    </border>
    <border>
      <left style="thin">
        <color rgb="FFFFFFFF"/>
      </left>
      <right/>
      <top style="thin">
        <color rgb="FF000000"/>
      </top>
      <bottom/>
      <diagonal/>
    </border>
    <border>
      <left/>
      <right style="thin">
        <color rgb="FF000000"/>
      </right>
      <top style="thin">
        <color rgb="FF000000"/>
      </top>
      <bottom/>
      <diagonal/>
    </border>
    <border>
      <left/>
      <right style="thin">
        <color rgb="FFFFFFFF"/>
      </right>
      <top style="thin">
        <color rgb="FFFFFFFF"/>
      </top>
      <bottom style="thin">
        <color rgb="FFFFFFFF"/>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FFFFFF"/>
      </right>
      <top/>
      <bottom style="thin">
        <color rgb="FFFFFFFF"/>
      </bottom>
      <diagonal/>
    </border>
    <border>
      <left style="thin">
        <color rgb="FFFFFFFF"/>
      </left>
      <right style="thin">
        <color rgb="FF000000"/>
      </right>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000000"/>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FFFFFF"/>
      </left>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style="thin">
        <color rgb="FFFFFFFF"/>
      </right>
      <top style="thin">
        <color rgb="FFFFFFFF"/>
      </top>
      <bottom/>
      <diagonal/>
    </border>
    <border>
      <left style="thin">
        <color rgb="FFFFFFFF"/>
      </left>
      <right style="thin">
        <color rgb="FF000000"/>
      </right>
      <top style="thin">
        <color rgb="FFFFFFFF"/>
      </top>
      <bottom/>
      <diagonal/>
    </border>
    <border>
      <left style="thin">
        <color rgb="FF000000"/>
      </left>
      <right/>
      <top/>
      <bottom style="thin">
        <color rgb="FF000000"/>
      </bottom>
      <diagonal/>
    </border>
    <border>
      <left style="thin">
        <color rgb="FFFFFFFF"/>
      </left>
      <right style="thin">
        <color rgb="FFFFFFFF"/>
      </right>
      <top/>
      <bottom style="thin">
        <color rgb="FF000000"/>
      </bottom>
      <diagonal/>
    </border>
    <border>
      <left style="thin">
        <color rgb="FFFFFFFF"/>
      </left>
      <right style="thin">
        <color rgb="FF000000"/>
      </right>
      <top/>
      <bottom style="thin">
        <color rgb="FF000000"/>
      </bottom>
      <diagonal/>
    </border>
    <border>
      <left style="thin">
        <color rgb="FF000000"/>
      </left>
      <right style="thin">
        <color rgb="FFFFFFFF"/>
      </right>
      <top/>
      <bottom style="thin">
        <color rgb="FF000000"/>
      </bottom>
      <diagonal/>
    </border>
    <border>
      <left/>
      <right style="thin">
        <color rgb="FFFFFFFF"/>
      </right>
      <top/>
      <bottom style="thin">
        <color rgb="FFFFFFFF"/>
      </bottom>
      <diagonal/>
    </border>
    <border>
      <left style="thin">
        <color rgb="FF000000"/>
      </left>
      <right style="thin">
        <color rgb="FF000000"/>
      </right>
      <top/>
      <bottom style="thin">
        <color rgb="FFFFFFFF"/>
      </bottom>
      <diagonal/>
    </border>
    <border>
      <left/>
      <right style="thin">
        <color rgb="FF000000"/>
      </right>
      <top/>
      <bottom style="thin">
        <color rgb="FFFFFFFF"/>
      </bottom>
      <diagonal/>
    </border>
    <border>
      <left/>
      <right style="thin">
        <color rgb="FFFFFFFF"/>
      </right>
      <top style="thin">
        <color rgb="FFFFFFFF"/>
      </top>
      <bottom/>
      <diagonal/>
    </border>
    <border>
      <left style="thin">
        <color rgb="FF000000"/>
      </left>
      <right style="thin">
        <color rgb="FF000000"/>
      </right>
      <top style="thin">
        <color rgb="FFFFFFFF"/>
      </top>
      <bottom style="thin">
        <color rgb="FFFFFFFF"/>
      </bottom>
      <diagonal/>
    </border>
    <border>
      <left/>
      <right style="thin">
        <color rgb="FF000000"/>
      </right>
      <top style="thin">
        <color rgb="FFFFFFFF"/>
      </top>
      <bottom/>
      <diagonal/>
    </border>
    <border>
      <left style="thin">
        <color rgb="FF000000"/>
      </left>
      <right style="thin">
        <color rgb="FF000000"/>
      </right>
      <top style="thin">
        <color rgb="FFFFFFFF"/>
      </top>
      <bottom/>
      <diagonal/>
    </border>
    <border>
      <left/>
      <right/>
      <top/>
      <bottom style="thin">
        <color rgb="FF000000"/>
      </bottom>
      <diagonal/>
    </border>
    <border>
      <left style="thin">
        <color rgb="FFFFFFFF"/>
      </left>
      <right/>
      <top/>
      <bottom style="thin">
        <color rgb="FFFFFFFF"/>
      </bottom>
      <diagonal/>
    </border>
    <border>
      <left style="thin">
        <color rgb="FFFFFFFF"/>
      </left>
      <right/>
      <top style="thin">
        <color rgb="FFFFFFFF"/>
      </top>
      <bottom/>
      <diagonal/>
    </border>
    <border>
      <left style="thin">
        <color rgb="FF000000"/>
      </left>
      <right style="thin">
        <color rgb="FF000000"/>
      </right>
      <top style="thin">
        <color rgb="FF000000"/>
      </top>
      <bottom/>
      <diagonal/>
    </border>
    <border>
      <left/>
      <right/>
      <top/>
      <bottom style="thin">
        <color rgb="FFFFFFFF"/>
      </bottom>
      <diagonal/>
    </border>
    <border>
      <left style="thin">
        <color rgb="FF000000"/>
      </left>
      <right style="thin">
        <color rgb="FF000000"/>
      </right>
      <top/>
      <bottom/>
      <diagonal/>
    </border>
    <border>
      <left/>
      <right style="thin">
        <color rgb="FFFFFFFF"/>
      </right>
      <top/>
      <bottom/>
      <diagonal/>
    </border>
    <border>
      <left style="thin">
        <color rgb="FF000000"/>
      </left>
      <right style="thin">
        <color rgb="FF000000"/>
      </right>
      <top/>
      <bottom style="thin">
        <color rgb="FF000000"/>
      </bottom>
      <diagonal/>
    </border>
    <border>
      <left/>
      <right style="thin">
        <color rgb="FFFFFFFF"/>
      </right>
      <top/>
      <bottom style="thin">
        <color rgb="FF000000"/>
      </bottom>
      <diagonal/>
    </border>
    <border>
      <left style="thin">
        <color rgb="FF000000"/>
      </left>
      <right/>
      <top/>
      <bottom style="thin">
        <color rgb="FFFFFFFF"/>
      </bottom>
      <diagonal/>
    </border>
    <border>
      <left/>
      <right/>
      <top style="thin">
        <color rgb="FFFFFFFF"/>
      </top>
      <bottom/>
      <diagonal/>
    </border>
    <border>
      <left style="thin">
        <color rgb="FFFFFFFF"/>
      </left>
      <right/>
      <top/>
      <bottom/>
      <diagonal/>
    </border>
  </borders>
  <cellStyleXfs count="1">
    <xf numFmtId="0" fontId="0" fillId="0" borderId="0"/>
  </cellStyleXfs>
  <cellXfs count="266">
    <xf numFmtId="0" fontId="0" fillId="0" borderId="0" xfId="0"/>
    <xf numFmtId="0" fontId="1" fillId="0" borderId="1" xfId="0" applyFont="1" applyBorder="1"/>
    <xf numFmtId="0" fontId="2" fillId="2" borderId="1" xfId="0" applyFont="1" applyFill="1" applyBorder="1"/>
    <xf numFmtId="0" fontId="3" fillId="0" borderId="1" xfId="0" applyFont="1" applyBorder="1" applyAlignment="1">
      <alignment vertical="top" wrapText="1"/>
    </xf>
    <xf numFmtId="0" fontId="3"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horizontal="right"/>
    </xf>
    <xf numFmtId="164" fontId="8" fillId="0" borderId="1" xfId="0" applyNumberFormat="1" applyFont="1" applyBorder="1"/>
    <xf numFmtId="0" fontId="8" fillId="0" borderId="1" xfId="0" applyFont="1" applyBorder="1" applyAlignment="1">
      <alignment horizontal="right"/>
    </xf>
    <xf numFmtId="0" fontId="8" fillId="0" borderId="1" xfId="0" applyFont="1" applyBorder="1"/>
    <xf numFmtId="0" fontId="7" fillId="0" borderId="1" xfId="0" applyFont="1" applyBorder="1" applyAlignment="1">
      <alignment horizontal="center"/>
    </xf>
    <xf numFmtId="164" fontId="9" fillId="0" borderId="1" xfId="0" applyNumberFormat="1" applyFont="1" applyBorder="1" applyAlignment="1">
      <alignment horizontal="center"/>
    </xf>
    <xf numFmtId="49" fontId="7" fillId="0" borderId="1" xfId="0" applyNumberFormat="1" applyFont="1" applyBorder="1" applyAlignment="1">
      <alignment horizontal="center"/>
    </xf>
    <xf numFmtId="49" fontId="10" fillId="0" borderId="1" xfId="0" applyNumberFormat="1" applyFont="1" applyBorder="1" applyAlignment="1">
      <alignment horizontal="center"/>
    </xf>
    <xf numFmtId="164" fontId="7" fillId="3" borderId="1" xfId="0" applyNumberFormat="1" applyFont="1" applyFill="1" applyBorder="1" applyAlignment="1">
      <alignment horizontal="center"/>
    </xf>
    <xf numFmtId="0" fontId="11" fillId="0" borderId="1" xfId="0" applyFont="1" applyBorder="1"/>
    <xf numFmtId="0" fontId="11" fillId="0" borderId="2" xfId="0" applyFont="1" applyBorder="1"/>
    <xf numFmtId="0" fontId="11" fillId="0" borderId="5" xfId="0" applyFont="1" applyBorder="1"/>
    <xf numFmtId="0" fontId="11" fillId="0" borderId="11" xfId="0" applyFont="1" applyBorder="1"/>
    <xf numFmtId="0" fontId="12" fillId="0" borderId="5" xfId="0" applyFont="1" applyBorder="1" applyAlignment="1">
      <alignment horizontal="right"/>
    </xf>
    <xf numFmtId="0" fontId="11" fillId="4" borderId="12" xfId="0" applyFont="1" applyFill="1" applyBorder="1"/>
    <xf numFmtId="0" fontId="11" fillId="4" borderId="13" xfId="0" applyFont="1" applyFill="1" applyBorder="1"/>
    <xf numFmtId="0" fontId="14" fillId="2" borderId="13" xfId="0" applyFont="1" applyFill="1" applyBorder="1"/>
    <xf numFmtId="0" fontId="14" fillId="2" borderId="14" xfId="0" applyFont="1" applyFill="1" applyBorder="1"/>
    <xf numFmtId="3" fontId="15" fillId="0" borderId="15" xfId="0" applyNumberFormat="1" applyFont="1" applyBorder="1" applyAlignment="1">
      <alignment horizontal="right"/>
    </xf>
    <xf numFmtId="3" fontId="15" fillId="0" borderId="4" xfId="0" applyNumberFormat="1" applyFont="1" applyBorder="1" applyAlignment="1">
      <alignment horizontal="right"/>
    </xf>
    <xf numFmtId="4" fontId="11" fillId="0" borderId="4" xfId="0" applyNumberFormat="1" applyFont="1" applyBorder="1"/>
    <xf numFmtId="4" fontId="11" fillId="0" borderId="16" xfId="0" applyNumberFormat="1" applyFont="1" applyBorder="1"/>
    <xf numFmtId="0" fontId="11" fillId="0" borderId="17" xfId="0" applyFont="1" applyBorder="1"/>
    <xf numFmtId="10" fontId="15" fillId="0" borderId="18" xfId="0" applyNumberFormat="1" applyFont="1" applyBorder="1" applyAlignment="1">
      <alignment horizontal="right"/>
    </xf>
    <xf numFmtId="10" fontId="11" fillId="0" borderId="18" xfId="0" applyNumberFormat="1" applyFont="1" applyBorder="1"/>
    <xf numFmtId="10" fontId="11" fillId="0" borderId="19" xfId="0" applyNumberFormat="1" applyFont="1" applyBorder="1"/>
    <xf numFmtId="0" fontId="11" fillId="0" borderId="4" xfId="0" applyFont="1" applyBorder="1"/>
    <xf numFmtId="0" fontId="16" fillId="0" borderId="1" xfId="0" applyFont="1" applyBorder="1"/>
    <xf numFmtId="0" fontId="12" fillId="4" borderId="12" xfId="0" applyFont="1" applyFill="1" applyBorder="1"/>
    <xf numFmtId="0" fontId="12" fillId="4" borderId="13" xfId="0" applyFont="1" applyFill="1" applyBorder="1"/>
    <xf numFmtId="0" fontId="13" fillId="2" borderId="13" xfId="0" applyFont="1" applyFill="1" applyBorder="1"/>
    <xf numFmtId="0" fontId="13" fillId="2" borderId="14" xfId="0" applyFont="1" applyFill="1" applyBorder="1"/>
    <xf numFmtId="0" fontId="12" fillId="5" borderId="5" xfId="0" applyFont="1" applyFill="1" applyBorder="1" applyAlignment="1">
      <alignment horizontal="right"/>
    </xf>
    <xf numFmtId="0" fontId="12" fillId="5" borderId="15" xfId="0" applyFont="1" applyFill="1" applyBorder="1"/>
    <xf numFmtId="0" fontId="12" fillId="5" borderId="4" xfId="0" applyFont="1" applyFill="1" applyBorder="1"/>
    <xf numFmtId="0" fontId="13" fillId="5" borderId="4" xfId="0" applyFont="1" applyFill="1" applyBorder="1"/>
    <xf numFmtId="0" fontId="13" fillId="5" borderId="16" xfId="0" applyFont="1" applyFill="1" applyBorder="1"/>
    <xf numFmtId="0" fontId="11" fillId="5" borderId="11" xfId="0" applyFont="1" applyFill="1" applyBorder="1"/>
    <xf numFmtId="0" fontId="11" fillId="5" borderId="1" xfId="0" applyFont="1" applyFill="1" applyBorder="1"/>
    <xf numFmtId="3" fontId="17" fillId="0" borderId="20" xfId="0" applyNumberFormat="1" applyFont="1" applyBorder="1"/>
    <xf numFmtId="3" fontId="17" fillId="0" borderId="1" xfId="0" applyNumberFormat="1" applyFont="1" applyBorder="1"/>
    <xf numFmtId="4" fontId="17" fillId="0" borderId="1" xfId="0" applyNumberFormat="1" applyFont="1" applyBorder="1"/>
    <xf numFmtId="4" fontId="17" fillId="0" borderId="21" xfId="0" applyNumberFormat="1" applyFont="1" applyBorder="1"/>
    <xf numFmtId="0" fontId="17" fillId="0" borderId="20" xfId="0" applyFont="1" applyBorder="1"/>
    <xf numFmtId="10" fontId="17" fillId="0" borderId="1" xfId="0" applyNumberFormat="1" applyFont="1" applyBorder="1"/>
    <xf numFmtId="10" fontId="17" fillId="0" borderId="21" xfId="0" applyNumberFormat="1" applyFont="1" applyBorder="1"/>
    <xf numFmtId="0" fontId="11" fillId="0" borderId="20" xfId="0" applyFont="1" applyBorder="1"/>
    <xf numFmtId="0" fontId="11" fillId="0" borderId="21" xfId="0" applyFont="1" applyBorder="1"/>
    <xf numFmtId="3" fontId="18" fillId="0" borderId="20" xfId="0" applyNumberFormat="1" applyFont="1" applyBorder="1"/>
    <xf numFmtId="3" fontId="18" fillId="0" borderId="1" xfId="0" applyNumberFormat="1" applyFont="1" applyBorder="1"/>
    <xf numFmtId="4" fontId="11" fillId="0" borderId="1" xfId="0" applyNumberFormat="1" applyFont="1" applyBorder="1"/>
    <xf numFmtId="4" fontId="11" fillId="0" borderId="21" xfId="0" applyNumberFormat="1" applyFont="1" applyBorder="1"/>
    <xf numFmtId="0" fontId="18" fillId="0" borderId="20" xfId="0" applyFont="1" applyBorder="1"/>
    <xf numFmtId="0" fontId="18" fillId="0" borderId="1" xfId="0" applyFont="1" applyBorder="1"/>
    <xf numFmtId="3" fontId="11" fillId="0" borderId="20" xfId="0" applyNumberFormat="1" applyFont="1" applyBorder="1"/>
    <xf numFmtId="3" fontId="11" fillId="0" borderId="1" xfId="0" applyNumberFormat="1" applyFont="1" applyBorder="1"/>
    <xf numFmtId="10" fontId="11" fillId="0" borderId="20" xfId="0" applyNumberFormat="1" applyFont="1" applyBorder="1"/>
    <xf numFmtId="10" fontId="11" fillId="0" borderId="1" xfId="0" applyNumberFormat="1" applyFont="1" applyBorder="1"/>
    <xf numFmtId="10" fontId="11" fillId="0" borderId="21" xfId="0" applyNumberFormat="1" applyFont="1" applyBorder="1"/>
    <xf numFmtId="3" fontId="15" fillId="5" borderId="20" xfId="0" applyNumberFormat="1" applyFont="1" applyFill="1" applyBorder="1" applyAlignment="1">
      <alignment horizontal="right"/>
    </xf>
    <xf numFmtId="0" fontId="15" fillId="5" borderId="1" xfId="0" applyFont="1" applyFill="1" applyBorder="1" applyAlignment="1">
      <alignment horizontal="right"/>
    </xf>
    <xf numFmtId="3" fontId="15" fillId="5" borderId="1" xfId="0" applyNumberFormat="1" applyFont="1" applyFill="1" applyBorder="1" applyAlignment="1">
      <alignment horizontal="right"/>
    </xf>
    <xf numFmtId="164" fontId="8" fillId="3" borderId="1" xfId="0" applyNumberFormat="1" applyFont="1" applyFill="1" applyBorder="1" applyAlignment="1">
      <alignment horizontal="right"/>
    </xf>
    <xf numFmtId="164" fontId="8" fillId="3" borderId="21" xfId="0" applyNumberFormat="1" applyFont="1" applyFill="1" applyBorder="1" applyAlignment="1">
      <alignment horizontal="right"/>
    </xf>
    <xf numFmtId="4" fontId="11" fillId="0" borderId="20" xfId="0" applyNumberFormat="1" applyFont="1" applyBorder="1"/>
    <xf numFmtId="4" fontId="11" fillId="0" borderId="2" xfId="0" applyNumberFormat="1" applyFont="1" applyBorder="1"/>
    <xf numFmtId="9" fontId="19" fillId="0" borderId="20" xfId="0" applyNumberFormat="1" applyFont="1" applyBorder="1" applyAlignment="1">
      <alignment horizontal="right"/>
    </xf>
    <xf numFmtId="9" fontId="19" fillId="0" borderId="1" xfId="0" applyNumberFormat="1" applyFont="1" applyBorder="1" applyAlignment="1">
      <alignment horizontal="right"/>
    </xf>
    <xf numFmtId="9" fontId="19" fillId="0" borderId="5" xfId="0" applyNumberFormat="1" applyFont="1" applyBorder="1" applyAlignment="1">
      <alignment horizontal="right"/>
    </xf>
    <xf numFmtId="10" fontId="8" fillId="3" borderId="0" xfId="0" applyNumberFormat="1" applyFont="1" applyFill="1" applyAlignment="1">
      <alignment horizontal="right"/>
    </xf>
    <xf numFmtId="10" fontId="8" fillId="3" borderId="22" xfId="0" applyNumberFormat="1" applyFont="1" applyFill="1" applyBorder="1" applyAlignment="1">
      <alignment horizontal="right"/>
    </xf>
    <xf numFmtId="10" fontId="19" fillId="5" borderId="20" xfId="0" applyNumberFormat="1" applyFont="1" applyFill="1" applyBorder="1" applyAlignment="1">
      <alignment horizontal="right"/>
    </xf>
    <xf numFmtId="10" fontId="19" fillId="5" borderId="1" xfId="0" applyNumberFormat="1" applyFont="1" applyFill="1" applyBorder="1" applyAlignment="1">
      <alignment horizontal="right"/>
    </xf>
    <xf numFmtId="10" fontId="19" fillId="5" borderId="21" xfId="0" applyNumberFormat="1" applyFont="1" applyFill="1" applyBorder="1" applyAlignment="1">
      <alignment horizontal="right"/>
    </xf>
    <xf numFmtId="4" fontId="11" fillId="0" borderId="17" xfId="0" applyNumberFormat="1" applyFont="1" applyBorder="1"/>
    <xf numFmtId="4" fontId="11" fillId="0" borderId="18" xfId="0" applyNumberFormat="1" applyFont="1" applyBorder="1"/>
    <xf numFmtId="4" fontId="11" fillId="0" borderId="19" xfId="0" applyNumberFormat="1" applyFont="1" applyBorder="1"/>
    <xf numFmtId="0" fontId="16" fillId="0" borderId="2" xfId="0" applyFont="1" applyBorder="1"/>
    <xf numFmtId="0" fontId="11" fillId="0" borderId="18" xfId="0" applyFont="1" applyBorder="1"/>
    <xf numFmtId="0" fontId="11" fillId="0" borderId="18" xfId="0" applyFont="1" applyBorder="1" applyAlignment="1">
      <alignment vertical="top"/>
    </xf>
    <xf numFmtId="0" fontId="11" fillId="0" borderId="19" xfId="0" applyFont="1" applyBorder="1"/>
    <xf numFmtId="0" fontId="12" fillId="4" borderId="17" xfId="0" applyFont="1" applyFill="1" applyBorder="1"/>
    <xf numFmtId="0" fontId="12" fillId="4" borderId="18" xfId="0" applyFont="1" applyFill="1" applyBorder="1"/>
    <xf numFmtId="0" fontId="13" fillId="2" borderId="18" xfId="0" applyFont="1" applyFill="1" applyBorder="1"/>
    <xf numFmtId="0" fontId="13" fillId="2" borderId="19" xfId="0" applyFont="1" applyFill="1" applyBorder="1"/>
    <xf numFmtId="0" fontId="15" fillId="5" borderId="15" xfId="0" applyFont="1" applyFill="1" applyBorder="1" applyAlignment="1">
      <alignment horizontal="right"/>
    </xf>
    <xf numFmtId="0" fontId="15" fillId="5" borderId="4" xfId="0" applyFont="1" applyFill="1" applyBorder="1" applyAlignment="1">
      <alignment horizontal="right"/>
    </xf>
    <xf numFmtId="0" fontId="15" fillId="5" borderId="16" xfId="0" applyFont="1" applyFill="1" applyBorder="1" applyAlignment="1">
      <alignment horizontal="right"/>
    </xf>
    <xf numFmtId="0" fontId="19" fillId="5" borderId="11" xfId="0" applyFont="1" applyFill="1" applyBorder="1" applyAlignment="1">
      <alignment horizontal="right"/>
    </xf>
    <xf numFmtId="3" fontId="11" fillId="0" borderId="21" xfId="0" applyNumberFormat="1" applyFont="1" applyBorder="1"/>
    <xf numFmtId="3" fontId="19" fillId="5" borderId="20" xfId="0" applyNumberFormat="1" applyFont="1" applyFill="1" applyBorder="1" applyAlignment="1">
      <alignment horizontal="right"/>
    </xf>
    <xf numFmtId="3" fontId="19" fillId="5" borderId="1" xfId="0" applyNumberFormat="1" applyFont="1" applyFill="1" applyBorder="1" applyAlignment="1">
      <alignment horizontal="right"/>
    </xf>
    <xf numFmtId="4" fontId="17" fillId="0" borderId="20" xfId="0" applyNumberFormat="1" applyFont="1" applyBorder="1"/>
    <xf numFmtId="0" fontId="15" fillId="5" borderId="20" xfId="0" applyFont="1" applyFill="1" applyBorder="1" applyAlignment="1">
      <alignment horizontal="right"/>
    </xf>
    <xf numFmtId="10" fontId="11" fillId="5" borderId="1" xfId="0" applyNumberFormat="1" applyFont="1" applyFill="1" applyBorder="1"/>
    <xf numFmtId="10" fontId="11" fillId="5" borderId="21" xfId="0" applyNumberFormat="1" applyFont="1" applyFill="1" applyBorder="1"/>
    <xf numFmtId="3" fontId="19" fillId="3" borderId="1" xfId="0" applyNumberFormat="1" applyFont="1" applyFill="1" applyBorder="1" applyAlignment="1">
      <alignment horizontal="right"/>
    </xf>
    <xf numFmtId="3" fontId="19" fillId="3" borderId="21" xfId="0" applyNumberFormat="1" applyFont="1" applyFill="1" applyBorder="1" applyAlignment="1">
      <alignment horizontal="right"/>
    </xf>
    <xf numFmtId="0" fontId="11" fillId="0" borderId="3" xfId="0" applyFont="1" applyBorder="1"/>
    <xf numFmtId="4" fontId="18" fillId="0" borderId="15" xfId="0" applyNumberFormat="1" applyFont="1" applyBorder="1"/>
    <xf numFmtId="4" fontId="18" fillId="0" borderId="4" xfId="0" applyNumberFormat="1" applyFont="1" applyBorder="1"/>
    <xf numFmtId="4" fontId="18" fillId="0" borderId="17" xfId="0" applyNumberFormat="1" applyFont="1" applyBorder="1"/>
    <xf numFmtId="4" fontId="18" fillId="0" borderId="18" xfId="0" applyNumberFormat="1" applyFont="1" applyBorder="1"/>
    <xf numFmtId="0" fontId="11" fillId="0" borderId="31" xfId="0" applyFont="1" applyBorder="1" applyAlignment="1">
      <alignment vertical="top"/>
    </xf>
    <xf numFmtId="0" fontId="11" fillId="0" borderId="32" xfId="0" applyFont="1" applyBorder="1"/>
    <xf numFmtId="0" fontId="11" fillId="0" borderId="33" xfId="0" applyFont="1" applyBorder="1"/>
    <xf numFmtId="0" fontId="11" fillId="0" borderId="34" xfId="0" applyFont="1" applyBorder="1"/>
    <xf numFmtId="0" fontId="12" fillId="0" borderId="15" xfId="0" applyFont="1" applyBorder="1"/>
    <xf numFmtId="0" fontId="12" fillId="0" borderId="4" xfId="0" applyFont="1" applyBorder="1"/>
    <xf numFmtId="0" fontId="13" fillId="0" borderId="4" xfId="0" applyFont="1" applyBorder="1"/>
    <xf numFmtId="0" fontId="13" fillId="0" borderId="16" xfId="0" applyFont="1" applyBorder="1"/>
    <xf numFmtId="9" fontId="17" fillId="0" borderId="20" xfId="0" applyNumberFormat="1" applyFont="1" applyBorder="1"/>
    <xf numFmtId="9" fontId="17" fillId="0" borderId="1" xfId="0" applyNumberFormat="1" applyFont="1" applyBorder="1"/>
    <xf numFmtId="0" fontId="17" fillId="0" borderId="1" xfId="0" applyFont="1" applyBorder="1"/>
    <xf numFmtId="4" fontId="11" fillId="3" borderId="1" xfId="0" applyNumberFormat="1" applyFont="1" applyFill="1" applyBorder="1"/>
    <xf numFmtId="4" fontId="11" fillId="3" borderId="21" xfId="0" applyNumberFormat="1" applyFont="1" applyFill="1" applyBorder="1"/>
    <xf numFmtId="0" fontId="11" fillId="0" borderId="35" xfId="0" applyFont="1" applyBorder="1"/>
    <xf numFmtId="0" fontId="13" fillId="2" borderId="36" xfId="0" applyFont="1" applyFill="1" applyBorder="1" applyAlignment="1">
      <alignment horizontal="right"/>
    </xf>
    <xf numFmtId="4" fontId="11" fillId="0" borderId="30" xfId="0" applyNumberFormat="1" applyFont="1" applyBorder="1"/>
    <xf numFmtId="0" fontId="13" fillId="2" borderId="37" xfId="0" applyFont="1" applyFill="1" applyBorder="1" applyAlignment="1">
      <alignment horizontal="right"/>
    </xf>
    <xf numFmtId="4" fontId="11" fillId="0" borderId="38" xfId="0" applyNumberFormat="1" applyFont="1" applyBorder="1"/>
    <xf numFmtId="0" fontId="11" fillId="0" borderId="39" xfId="0" applyFont="1" applyBorder="1"/>
    <xf numFmtId="4" fontId="11" fillId="0" borderId="40" xfId="0" applyNumberFormat="1" applyFont="1" applyBorder="1"/>
    <xf numFmtId="4" fontId="11" fillId="6" borderId="39" xfId="0" applyNumberFormat="1" applyFont="1" applyFill="1" applyBorder="1"/>
    <xf numFmtId="4" fontId="11" fillId="6" borderId="2" xfId="0" applyNumberFormat="1" applyFont="1" applyFill="1" applyBorder="1"/>
    <xf numFmtId="4" fontId="11" fillId="6" borderId="40" xfId="0" applyNumberFormat="1" applyFont="1" applyFill="1" applyBorder="1"/>
    <xf numFmtId="4" fontId="11" fillId="0" borderId="41" xfId="0" applyNumberFormat="1" applyFont="1" applyBorder="1"/>
    <xf numFmtId="4" fontId="11" fillId="0" borderId="42" xfId="0" applyNumberFormat="1" applyFont="1" applyBorder="1"/>
    <xf numFmtId="4" fontId="11" fillId="0" borderId="43" xfId="0" applyNumberFormat="1" applyFont="1" applyBorder="1"/>
    <xf numFmtId="3" fontId="20" fillId="0" borderId="4" xfId="0" applyNumberFormat="1" applyFont="1" applyBorder="1" applyAlignment="1">
      <alignment horizontal="right"/>
    </xf>
    <xf numFmtId="0" fontId="12" fillId="0" borderId="1" xfId="0" applyFont="1" applyBorder="1" applyAlignment="1">
      <alignment horizontal="center"/>
    </xf>
    <xf numFmtId="0" fontId="11" fillId="0" borderId="44" xfId="0" applyFont="1" applyBorder="1"/>
    <xf numFmtId="0" fontId="11" fillId="0" borderId="42" xfId="0" applyFont="1" applyBorder="1"/>
    <xf numFmtId="0" fontId="11" fillId="0" borderId="42" xfId="0" applyFont="1" applyBorder="1" applyAlignment="1">
      <alignment vertical="top"/>
    </xf>
    <xf numFmtId="0" fontId="11" fillId="0" borderId="43" xfId="0" applyFont="1" applyBorder="1"/>
    <xf numFmtId="0" fontId="11" fillId="0" borderId="45" xfId="0" applyFont="1" applyBorder="1"/>
    <xf numFmtId="0" fontId="12" fillId="7" borderId="32" xfId="0" applyFont="1" applyFill="1" applyBorder="1" applyAlignment="1">
      <alignment horizontal="right"/>
    </xf>
    <xf numFmtId="0" fontId="13" fillId="2" borderId="25" xfId="0" applyFont="1" applyFill="1" applyBorder="1" applyAlignment="1">
      <alignment horizontal="right"/>
    </xf>
    <xf numFmtId="0" fontId="12" fillId="7" borderId="32" xfId="0" applyFont="1" applyFill="1" applyBorder="1"/>
    <xf numFmtId="0" fontId="12" fillId="0" borderId="46" xfId="0" applyFont="1" applyBorder="1" applyAlignment="1">
      <alignment horizontal="right"/>
    </xf>
    <xf numFmtId="4" fontId="15" fillId="0" borderId="47" xfId="0" applyNumberFormat="1" applyFont="1" applyBorder="1" applyAlignment="1">
      <alignment horizontal="right"/>
    </xf>
    <xf numFmtId="0" fontId="11" fillId="0" borderId="48" xfId="0" applyFont="1" applyBorder="1"/>
    <xf numFmtId="0" fontId="12" fillId="0" borderId="46" xfId="0" applyFont="1" applyBorder="1"/>
    <xf numFmtId="0" fontId="18" fillId="0" borderId="47" xfId="0" applyFont="1" applyBorder="1"/>
    <xf numFmtId="0" fontId="12" fillId="0" borderId="49" xfId="0" applyFont="1" applyBorder="1" applyAlignment="1">
      <alignment horizontal="right"/>
    </xf>
    <xf numFmtId="4" fontId="15" fillId="0" borderId="22" xfId="0" applyNumberFormat="1" applyFont="1" applyBorder="1" applyAlignment="1">
      <alignment horizontal="right"/>
    </xf>
    <xf numFmtId="0" fontId="12" fillId="0" borderId="49" xfId="0" applyFont="1" applyBorder="1"/>
    <xf numFmtId="10" fontId="18" fillId="0" borderId="22" xfId="0" applyNumberFormat="1" applyFont="1" applyBorder="1"/>
    <xf numFmtId="4" fontId="21" fillId="0" borderId="22" xfId="0" applyNumberFormat="1" applyFont="1" applyBorder="1" applyAlignment="1">
      <alignment horizontal="right"/>
    </xf>
    <xf numFmtId="0" fontId="12" fillId="0" borderId="37" xfId="0" applyFont="1" applyBorder="1"/>
    <xf numFmtId="10" fontId="18" fillId="0" borderId="38" xfId="0" applyNumberFormat="1" applyFont="1" applyBorder="1"/>
    <xf numFmtId="164" fontId="11" fillId="0" borderId="1" xfId="0" applyNumberFormat="1" applyFont="1" applyBorder="1"/>
    <xf numFmtId="10" fontId="19" fillId="5" borderId="22" xfId="0" applyNumberFormat="1" applyFont="1" applyFill="1" applyBorder="1"/>
    <xf numFmtId="9" fontId="18" fillId="0" borderId="22" xfId="0" applyNumberFormat="1" applyFont="1" applyBorder="1"/>
    <xf numFmtId="0" fontId="11" fillId="0" borderId="22" xfId="0" applyFont="1" applyBorder="1"/>
    <xf numFmtId="10" fontId="11" fillId="0" borderId="22" xfId="0" applyNumberFormat="1" applyFont="1" applyBorder="1"/>
    <xf numFmtId="4" fontId="11" fillId="0" borderId="22" xfId="0" applyNumberFormat="1" applyFont="1" applyBorder="1"/>
    <xf numFmtId="0" fontId="12" fillId="0" borderId="51" xfId="0" applyFont="1" applyBorder="1" applyAlignment="1">
      <alignment horizontal="right"/>
    </xf>
    <xf numFmtId="4" fontId="11" fillId="0" borderId="50" xfId="0" applyNumberFormat="1" applyFont="1" applyBorder="1"/>
    <xf numFmtId="0" fontId="12" fillId="6" borderId="32" xfId="0" applyFont="1" applyFill="1" applyBorder="1" applyAlignment="1">
      <alignment horizontal="right"/>
    </xf>
    <xf numFmtId="10" fontId="11" fillId="6" borderId="25" xfId="0" applyNumberFormat="1" applyFont="1" applyFill="1" applyBorder="1"/>
    <xf numFmtId="0" fontId="11" fillId="0" borderId="52" xfId="0" applyFont="1" applyBorder="1"/>
    <xf numFmtId="10" fontId="14" fillId="2" borderId="32" xfId="0" applyNumberFormat="1" applyFont="1" applyFill="1" applyBorder="1" applyAlignment="1">
      <alignment horizontal="right"/>
    </xf>
    <xf numFmtId="10" fontId="11" fillId="0" borderId="1" xfId="0" applyNumberFormat="1" applyFont="1" applyBorder="1" applyAlignment="1">
      <alignment horizontal="center"/>
    </xf>
    <xf numFmtId="4" fontId="17" fillId="0" borderId="15" xfId="0" applyNumberFormat="1" applyFont="1" applyBorder="1"/>
    <xf numFmtId="4" fontId="17" fillId="0" borderId="4" xfId="0" applyNumberFormat="1" applyFont="1" applyBorder="1"/>
    <xf numFmtId="4" fontId="17" fillId="0" borderId="16" xfId="0" applyNumberFormat="1" applyFont="1" applyBorder="1"/>
    <xf numFmtId="0" fontId="12" fillId="0" borderId="1" xfId="0" applyFont="1" applyBorder="1" applyAlignment="1">
      <alignment horizontal="right"/>
    </xf>
    <xf numFmtId="0" fontId="12" fillId="7" borderId="36" xfId="0" applyFont="1" applyFill="1" applyBorder="1" applyAlignment="1">
      <alignment horizontal="right"/>
    </xf>
    <xf numFmtId="0" fontId="13" fillId="2" borderId="30" xfId="0" applyFont="1" applyFill="1" applyBorder="1" applyAlignment="1">
      <alignment horizontal="right"/>
    </xf>
    <xf numFmtId="10" fontId="11" fillId="3" borderId="22" xfId="0" applyNumberFormat="1" applyFont="1" applyFill="1" applyBorder="1"/>
    <xf numFmtId="0" fontId="11" fillId="0" borderId="6" xfId="0" applyFont="1" applyBorder="1"/>
    <xf numFmtId="0" fontId="11" fillId="0" borderId="53" xfId="0" applyFont="1" applyBorder="1"/>
    <xf numFmtId="0" fontId="11" fillId="0" borderId="54" xfId="0" applyFont="1" applyBorder="1"/>
    <xf numFmtId="10" fontId="14" fillId="2" borderId="32" xfId="0" applyNumberFormat="1" applyFont="1" applyFill="1" applyBorder="1"/>
    <xf numFmtId="10" fontId="22" fillId="2" borderId="32" xfId="0" applyNumberFormat="1" applyFont="1" applyFill="1" applyBorder="1"/>
    <xf numFmtId="10" fontId="14" fillId="2" borderId="23" xfId="0" applyNumberFormat="1" applyFont="1" applyFill="1" applyBorder="1"/>
    <xf numFmtId="10" fontId="14" fillId="0" borderId="1" xfId="0" applyNumberFormat="1" applyFont="1" applyBorder="1"/>
    <xf numFmtId="0" fontId="12" fillId="6" borderId="49" xfId="0" applyFont="1" applyFill="1" applyBorder="1" applyAlignment="1">
      <alignment horizontal="right"/>
    </xf>
    <xf numFmtId="4" fontId="11" fillId="6" borderId="22" xfId="0" applyNumberFormat="1" applyFont="1" applyFill="1" applyBorder="1"/>
    <xf numFmtId="10" fontId="11" fillId="4" borderId="32" xfId="0" applyNumberFormat="1" applyFont="1" applyFill="1" applyBorder="1" applyAlignment="1">
      <alignment horizontal="center"/>
    </xf>
    <xf numFmtId="4" fontId="11" fillId="0" borderId="45" xfId="0" applyNumberFormat="1" applyFont="1" applyBorder="1"/>
    <xf numFmtId="4" fontId="11" fillId="0" borderId="56" xfId="0" applyNumberFormat="1" applyFont="1" applyBorder="1"/>
    <xf numFmtId="10" fontId="12" fillId="4" borderId="32" xfId="0" applyNumberFormat="1" applyFont="1" applyFill="1" applyBorder="1" applyAlignment="1">
      <alignment horizontal="center"/>
    </xf>
    <xf numFmtId="4" fontId="12" fillId="0" borderId="45" xfId="0" applyNumberFormat="1" applyFont="1" applyBorder="1"/>
    <xf numFmtId="0" fontId="12" fillId="6" borderId="37" xfId="0" applyFont="1" applyFill="1" applyBorder="1" applyAlignment="1">
      <alignment horizontal="right"/>
    </xf>
    <xf numFmtId="4" fontId="11" fillId="6" borderId="38" xfId="0" applyNumberFormat="1" applyFont="1" applyFill="1" applyBorder="1"/>
    <xf numFmtId="4" fontId="11" fillId="0" borderId="60" xfId="0" applyNumberFormat="1" applyFont="1" applyBorder="1"/>
    <xf numFmtId="4" fontId="11" fillId="0" borderId="52" xfId="0" applyNumberFormat="1" applyFont="1" applyBorder="1"/>
    <xf numFmtId="4" fontId="11" fillId="0" borderId="47" xfId="0" applyNumberFormat="1" applyFont="1" applyBorder="1"/>
    <xf numFmtId="4" fontId="11" fillId="0" borderId="34" xfId="0" applyNumberFormat="1" applyFont="1" applyBorder="1"/>
    <xf numFmtId="0" fontId="11" fillId="0" borderId="56" xfId="0" applyFont="1" applyBorder="1"/>
    <xf numFmtId="0" fontId="11" fillId="0" borderId="1" xfId="0" applyFont="1" applyBorder="1" applyAlignment="1">
      <alignment vertical="top" wrapText="1"/>
    </xf>
    <xf numFmtId="10" fontId="17" fillId="0" borderId="15" xfId="0" applyNumberFormat="1" applyFont="1" applyBorder="1"/>
    <xf numFmtId="10" fontId="17" fillId="0" borderId="4" xfId="0" applyNumberFormat="1" applyFont="1" applyBorder="1"/>
    <xf numFmtId="10" fontId="17" fillId="0" borderId="16" xfId="0" applyNumberFormat="1" applyFont="1" applyBorder="1"/>
    <xf numFmtId="10" fontId="17" fillId="0" borderId="20" xfId="0" applyNumberFormat="1" applyFont="1" applyBorder="1"/>
    <xf numFmtId="10" fontId="11" fillId="0" borderId="17" xfId="0" applyNumberFormat="1" applyFont="1" applyBorder="1"/>
    <xf numFmtId="10" fontId="23" fillId="0" borderId="15" xfId="0" applyNumberFormat="1" applyFont="1" applyBorder="1"/>
    <xf numFmtId="10" fontId="23" fillId="0" borderId="45" xfId="0" applyNumberFormat="1" applyFont="1" applyBorder="1"/>
    <xf numFmtId="10" fontId="23" fillId="0" borderId="47" xfId="0" applyNumberFormat="1" applyFont="1" applyBorder="1"/>
    <xf numFmtId="10" fontId="23" fillId="0" borderId="17" xfId="0" applyNumberFormat="1" applyFont="1" applyBorder="1"/>
    <xf numFmtId="10" fontId="23" fillId="0" borderId="33" xfId="0" applyNumberFormat="1" applyFont="1" applyBorder="1"/>
    <xf numFmtId="10" fontId="23" fillId="0" borderId="38" xfId="0" applyNumberFormat="1" applyFont="1" applyBorder="1"/>
    <xf numFmtId="10" fontId="11" fillId="0" borderId="4" xfId="0" applyNumberFormat="1" applyFont="1" applyBorder="1"/>
    <xf numFmtId="10" fontId="23" fillId="0" borderId="4" xfId="0" applyNumberFormat="1" applyFont="1" applyBorder="1"/>
    <xf numFmtId="10" fontId="23" fillId="0" borderId="39" xfId="0" applyNumberFormat="1" applyFont="1" applyBorder="1"/>
    <xf numFmtId="10" fontId="23" fillId="0" borderId="48" xfId="0" applyNumberFormat="1" applyFont="1" applyBorder="1"/>
    <xf numFmtId="10" fontId="23" fillId="0" borderId="2" xfId="0" applyNumberFormat="1" applyFont="1" applyBorder="1"/>
    <xf numFmtId="10" fontId="23" fillId="0" borderId="50" xfId="0" applyNumberFormat="1" applyFont="1" applyBorder="1"/>
    <xf numFmtId="4" fontId="11" fillId="0" borderId="33" xfId="0" applyNumberFormat="1" applyFont="1" applyBorder="1"/>
    <xf numFmtId="0" fontId="17" fillId="0" borderId="15" xfId="0" applyFont="1" applyBorder="1"/>
    <xf numFmtId="0" fontId="17" fillId="0" borderId="4" xfId="0" applyFont="1" applyBorder="1"/>
    <xf numFmtId="0" fontId="17" fillId="0" borderId="16" xfId="0" applyFont="1" applyBorder="1"/>
    <xf numFmtId="0" fontId="17" fillId="0" borderId="21" xfId="0" applyFont="1" applyBorder="1"/>
    <xf numFmtId="0" fontId="11" fillId="0" borderId="0" xfId="0" applyFont="1"/>
    <xf numFmtId="10" fontId="11" fillId="0" borderId="0" xfId="0" applyNumberFormat="1" applyFont="1"/>
    <xf numFmtId="0" fontId="1" fillId="0" borderId="2" xfId="0" applyFont="1" applyBorder="1" applyAlignment="1">
      <alignment vertical="top" wrapText="1"/>
    </xf>
    <xf numFmtId="0" fontId="4" fillId="0" borderId="3" xfId="0" applyFont="1" applyBorder="1"/>
    <xf numFmtId="0" fontId="4" fillId="0" borderId="4" xfId="0" applyFont="1" applyBorder="1"/>
    <xf numFmtId="0" fontId="12" fillId="4" borderId="6" xfId="0" applyFont="1" applyFill="1" applyBorder="1" applyAlignment="1">
      <alignment horizontal="center"/>
    </xf>
    <xf numFmtId="0" fontId="4" fillId="0" borderId="7" xfId="0" applyFont="1" applyBorder="1"/>
    <xf numFmtId="0" fontId="4" fillId="0" borderId="8" xfId="0" applyFont="1" applyBorder="1"/>
    <xf numFmtId="0" fontId="13" fillId="2" borderId="9" xfId="0" applyFont="1" applyFill="1" applyBorder="1" applyAlignment="1">
      <alignment horizontal="center"/>
    </xf>
    <xf numFmtId="0" fontId="4" fillId="0" borderId="10" xfId="0" applyFont="1" applyBorder="1"/>
    <xf numFmtId="0" fontId="12" fillId="6" borderId="23" xfId="0" applyFont="1" applyFill="1" applyBorder="1" applyAlignment="1">
      <alignment horizontal="center"/>
    </xf>
    <xf numFmtId="0" fontId="4" fillId="0" borderId="24" xfId="0" applyFont="1" applyBorder="1"/>
    <xf numFmtId="0" fontId="4" fillId="0" borderId="25" xfId="0" applyFont="1" applyBorder="1"/>
    <xf numFmtId="0" fontId="12" fillId="4" borderId="26" xfId="0" applyFont="1" applyFill="1" applyBorder="1" applyAlignment="1">
      <alignment horizontal="center"/>
    </xf>
    <xf numFmtId="0" fontId="4" fillId="0" borderId="27" xfId="0" applyFont="1" applyBorder="1"/>
    <xf numFmtId="0" fontId="4" fillId="0" borderId="28" xfId="0" applyFont="1" applyBorder="1"/>
    <xf numFmtId="0" fontId="13" fillId="2" borderId="29" xfId="0" applyFont="1" applyFill="1" applyBorder="1" applyAlignment="1">
      <alignment horizontal="center"/>
    </xf>
    <xf numFmtId="0" fontId="4" fillId="0" borderId="30" xfId="0" applyFont="1" applyBorder="1"/>
    <xf numFmtId="0" fontId="11" fillId="0" borderId="23" xfId="0" applyFont="1" applyBorder="1"/>
    <xf numFmtId="1" fontId="11" fillId="0" borderId="50" xfId="0" applyNumberFormat="1" applyFont="1" applyBorder="1" applyAlignment="1">
      <alignment horizontal="center" vertical="center"/>
    </xf>
    <xf numFmtId="0" fontId="4" fillId="0" borderId="47" xfId="0" applyFont="1" applyBorder="1"/>
    <xf numFmtId="0" fontId="12" fillId="0" borderId="35" xfId="0" applyFont="1" applyBorder="1" applyAlignment="1">
      <alignment horizontal="center"/>
    </xf>
    <xf numFmtId="0" fontId="4" fillId="0" borderId="35" xfId="0" applyFont="1" applyBorder="1"/>
    <xf numFmtId="0" fontId="4" fillId="0" borderId="11" xfId="0" applyFont="1" applyBorder="1"/>
    <xf numFmtId="0" fontId="13" fillId="2" borderId="23" xfId="0" applyFont="1" applyFill="1" applyBorder="1" applyAlignment="1">
      <alignment horizontal="center"/>
    </xf>
    <xf numFmtId="0" fontId="13" fillId="0" borderId="5" xfId="0" applyFont="1" applyBorder="1" applyAlignment="1">
      <alignment horizontal="center"/>
    </xf>
    <xf numFmtId="0" fontId="12" fillId="4" borderId="55" xfId="0" applyFont="1" applyFill="1" applyBorder="1" applyAlignment="1">
      <alignment horizontal="right" vertical="center"/>
    </xf>
    <xf numFmtId="0" fontId="4" fillId="0" borderId="57" xfId="0" applyFont="1" applyBorder="1"/>
    <xf numFmtId="0" fontId="4" fillId="0" borderId="59" xfId="0" applyFont="1" applyBorder="1"/>
    <xf numFmtId="0" fontId="12" fillId="4" borderId="55" xfId="0" applyFont="1" applyFill="1" applyBorder="1" applyAlignment="1">
      <alignment vertical="center"/>
    </xf>
    <xf numFmtId="0" fontId="12" fillId="0" borderId="48" xfId="0" applyFont="1" applyBorder="1" applyAlignment="1">
      <alignment vertical="center"/>
    </xf>
    <xf numFmtId="0" fontId="4" fillId="0" borderId="58" xfId="0" applyFont="1" applyBorder="1"/>
    <xf numFmtId="0" fontId="4" fillId="0" borderId="45" xfId="0" applyFont="1" applyBorder="1"/>
    <xf numFmtId="0" fontId="12" fillId="4" borderId="61" xfId="0" applyFont="1" applyFill="1" applyBorder="1" applyAlignment="1">
      <alignment horizontal="center"/>
    </xf>
    <xf numFmtId="0" fontId="4" fillId="0" borderId="56" xfId="0" applyFont="1" applyBorder="1"/>
    <xf numFmtId="0" fontId="13" fillId="2" borderId="53" xfId="0" applyFont="1" applyFill="1" applyBorder="1" applyAlignment="1">
      <alignment horizontal="center"/>
    </xf>
    <xf numFmtId="0" fontId="12" fillId="0" borderId="23" xfId="0" applyFont="1" applyBorder="1" applyAlignment="1">
      <alignment horizontal="center"/>
    </xf>
    <xf numFmtId="0" fontId="11" fillId="0" borderId="54" xfId="0" applyFont="1" applyBorder="1" applyAlignment="1">
      <alignment vertical="top" wrapText="1"/>
    </xf>
    <xf numFmtId="0" fontId="4" fillId="0" borderId="62" xfId="0" applyFont="1" applyBorder="1"/>
    <xf numFmtId="0" fontId="4" fillId="0" borderId="48" xfId="0" applyFont="1" applyBorder="1"/>
    <xf numFmtId="0" fontId="4" fillId="0" borderId="63" xfId="0" applyFont="1" applyBorder="1"/>
    <xf numFmtId="0" fontId="0" fillId="0" borderId="0" xfId="0"/>
    <xf numFmtId="0" fontId="4" fillId="0" borderId="53" xfId="0" applyFont="1" applyBorder="1"/>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304800</xdr:colOff>
      <xdr:row>2</xdr:row>
      <xdr:rowOff>133350</xdr:rowOff>
    </xdr:from>
    <xdr:ext cx="3914775" cy="39052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ance.yahoo.com/quote/TITAN.BO/key-statistics/" TargetMode="External"/><Relationship Id="rId1" Type="http://schemas.openxmlformats.org/officeDocument/2006/relationships/hyperlink" Target="https://www.screener.in/company/TITAN/consolida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2" workbookViewId="0">
      <selection activeCell="B15" sqref="B15"/>
    </sheetView>
  </sheetViews>
  <sheetFormatPr defaultColWidth="12.5703125" defaultRowHeight="15.75" customHeight="1"/>
  <cols>
    <col min="2" max="2" width="61.7109375" customWidth="1"/>
    <col min="3" max="3" width="4.28515625" customWidth="1"/>
    <col min="4" max="4" width="64.42578125" customWidth="1"/>
    <col min="7" max="7" width="19.85546875" customWidth="1"/>
    <col min="8" max="8" width="64.710937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1"/>
      <c r="C2" s="1"/>
      <c r="D2" s="1"/>
      <c r="E2" s="1"/>
      <c r="F2" s="1"/>
      <c r="G2" s="1"/>
      <c r="H2" s="1"/>
      <c r="I2" s="1"/>
      <c r="J2" s="1"/>
      <c r="K2" s="1"/>
      <c r="L2" s="1"/>
      <c r="M2" s="1"/>
      <c r="N2" s="1"/>
      <c r="O2" s="1"/>
      <c r="P2" s="1"/>
      <c r="Q2" s="1"/>
      <c r="R2" s="1"/>
      <c r="S2" s="1"/>
      <c r="T2" s="1"/>
      <c r="U2" s="1"/>
      <c r="V2" s="1"/>
      <c r="W2" s="1"/>
      <c r="X2" s="1"/>
      <c r="Y2" s="1"/>
      <c r="Z2" s="1"/>
    </row>
    <row r="3" spans="1:26" ht="15.75" customHeight="1">
      <c r="A3" s="1"/>
      <c r="B3" s="1"/>
      <c r="C3" s="1"/>
      <c r="D3" s="1"/>
      <c r="E3" s="1"/>
      <c r="F3" s="1"/>
      <c r="G3" s="1"/>
      <c r="H3" s="1"/>
      <c r="I3" s="1"/>
      <c r="J3" s="1"/>
      <c r="K3" s="1"/>
      <c r="L3" s="1"/>
      <c r="M3" s="1"/>
      <c r="N3" s="1"/>
      <c r="O3" s="1"/>
      <c r="P3" s="1"/>
      <c r="Q3" s="1"/>
      <c r="R3" s="1"/>
      <c r="S3" s="1"/>
      <c r="T3" s="1"/>
      <c r="U3" s="1"/>
      <c r="V3" s="1"/>
      <c r="W3" s="1"/>
      <c r="X3" s="1"/>
      <c r="Y3" s="1"/>
      <c r="Z3" s="1"/>
    </row>
    <row r="4" spans="1:26" ht="15.75" customHeight="1">
      <c r="A4" s="1"/>
      <c r="B4" s="2" t="s">
        <v>0</v>
      </c>
      <c r="C4" s="1"/>
      <c r="D4" s="2" t="s">
        <v>1</v>
      </c>
      <c r="E4" s="1"/>
      <c r="F4" s="1"/>
      <c r="G4" s="1"/>
      <c r="H4" s="1"/>
      <c r="I4" s="1"/>
      <c r="J4" s="1"/>
      <c r="K4" s="1"/>
      <c r="L4" s="1"/>
      <c r="M4" s="1"/>
      <c r="N4" s="1"/>
      <c r="O4" s="1"/>
      <c r="P4" s="1"/>
      <c r="Q4" s="1"/>
      <c r="R4" s="1"/>
      <c r="S4" s="1"/>
      <c r="T4" s="1"/>
      <c r="U4" s="1"/>
      <c r="V4" s="1"/>
      <c r="W4" s="1"/>
      <c r="X4" s="1"/>
      <c r="Y4" s="1"/>
      <c r="Z4" s="1"/>
    </row>
    <row r="5" spans="1:26" ht="15.75" customHeight="1">
      <c r="A5" s="1"/>
      <c r="B5" s="3" t="s">
        <v>2</v>
      </c>
      <c r="C5" s="1"/>
      <c r="D5" s="224" t="s">
        <v>3</v>
      </c>
      <c r="E5" s="1"/>
      <c r="F5" s="1"/>
      <c r="G5" s="1"/>
      <c r="H5" s="1"/>
      <c r="I5" s="1"/>
      <c r="J5" s="1"/>
      <c r="K5" s="1"/>
      <c r="L5" s="1"/>
      <c r="M5" s="1"/>
      <c r="N5" s="1"/>
      <c r="O5" s="1"/>
      <c r="P5" s="1"/>
      <c r="Q5" s="1"/>
      <c r="R5" s="1"/>
      <c r="S5" s="1"/>
      <c r="T5" s="1"/>
      <c r="U5" s="1"/>
      <c r="V5" s="1"/>
      <c r="W5" s="1"/>
      <c r="X5" s="1"/>
      <c r="Y5" s="1"/>
      <c r="Z5" s="1"/>
    </row>
    <row r="6" spans="1:26" ht="15.75" customHeight="1">
      <c r="A6" s="1"/>
      <c r="B6" s="1"/>
      <c r="C6" s="1"/>
      <c r="D6" s="225"/>
      <c r="E6" s="1"/>
      <c r="F6" s="1"/>
      <c r="G6" s="1"/>
      <c r="H6" s="1"/>
      <c r="I6" s="1"/>
      <c r="J6" s="1"/>
      <c r="K6" s="1"/>
      <c r="L6" s="1"/>
      <c r="M6" s="1"/>
      <c r="N6" s="1"/>
      <c r="O6" s="1"/>
      <c r="P6" s="1"/>
      <c r="Q6" s="1"/>
      <c r="R6" s="1"/>
      <c r="S6" s="1"/>
      <c r="T6" s="1"/>
      <c r="U6" s="1"/>
      <c r="V6" s="1"/>
      <c r="W6" s="1"/>
      <c r="X6" s="1"/>
      <c r="Y6" s="1"/>
      <c r="Z6" s="1"/>
    </row>
    <row r="7" spans="1:26" ht="15.75" customHeight="1">
      <c r="A7" s="1"/>
      <c r="B7" s="2" t="s">
        <v>4</v>
      </c>
      <c r="C7" s="1"/>
      <c r="D7" s="225"/>
      <c r="E7" s="1"/>
      <c r="F7" s="1"/>
      <c r="G7" s="1"/>
      <c r="H7" s="1"/>
      <c r="I7" s="1"/>
      <c r="J7" s="1"/>
      <c r="K7" s="1"/>
      <c r="L7" s="1"/>
      <c r="M7" s="1"/>
      <c r="N7" s="1"/>
      <c r="O7" s="1"/>
      <c r="P7" s="1"/>
      <c r="Q7" s="1"/>
      <c r="R7" s="1"/>
      <c r="S7" s="1"/>
      <c r="T7" s="1"/>
      <c r="U7" s="1"/>
      <c r="V7" s="1"/>
      <c r="W7" s="1"/>
      <c r="X7" s="1"/>
      <c r="Y7" s="1"/>
      <c r="Z7" s="1"/>
    </row>
    <row r="8" spans="1:26" ht="15.75" customHeight="1">
      <c r="A8" s="1"/>
      <c r="B8" s="4" t="s">
        <v>5</v>
      </c>
      <c r="C8" s="1"/>
      <c r="D8" s="225"/>
      <c r="E8" s="1"/>
      <c r="F8" s="1"/>
      <c r="G8" s="1"/>
      <c r="H8" s="1"/>
      <c r="I8" s="1"/>
      <c r="J8" s="1"/>
      <c r="K8" s="1"/>
      <c r="L8" s="1"/>
      <c r="M8" s="1"/>
      <c r="N8" s="1"/>
      <c r="O8" s="1"/>
      <c r="P8" s="1"/>
      <c r="Q8" s="1"/>
      <c r="R8" s="1"/>
      <c r="S8" s="1"/>
      <c r="T8" s="1"/>
      <c r="U8" s="1"/>
      <c r="V8" s="1"/>
      <c r="W8" s="1"/>
      <c r="X8" s="1"/>
      <c r="Y8" s="1"/>
      <c r="Z8" s="1"/>
    </row>
    <row r="9" spans="1:26" ht="15.75" customHeight="1">
      <c r="A9" s="1"/>
      <c r="B9" s="1"/>
      <c r="C9" s="1"/>
      <c r="D9" s="225"/>
      <c r="E9" s="1"/>
      <c r="F9" s="1"/>
      <c r="G9" s="1"/>
      <c r="H9" s="1"/>
      <c r="I9" s="1"/>
      <c r="J9" s="1"/>
      <c r="K9" s="1"/>
      <c r="L9" s="1"/>
      <c r="M9" s="1"/>
      <c r="N9" s="1"/>
      <c r="O9" s="1"/>
      <c r="P9" s="1"/>
      <c r="Q9" s="1"/>
      <c r="R9" s="1"/>
      <c r="S9" s="1"/>
      <c r="T9" s="1"/>
      <c r="U9" s="1"/>
      <c r="V9" s="1"/>
      <c r="W9" s="1"/>
      <c r="X9" s="1"/>
      <c r="Y9" s="1"/>
      <c r="Z9" s="1"/>
    </row>
    <row r="10" spans="1:26" ht="15.75" customHeight="1">
      <c r="A10" s="1"/>
      <c r="B10" s="2" t="s">
        <v>6</v>
      </c>
      <c r="C10" s="1"/>
      <c r="D10" s="225"/>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5" t="s">
        <v>7</v>
      </c>
      <c r="C11" s="1"/>
      <c r="D11" s="225"/>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5" t="s">
        <v>8</v>
      </c>
      <c r="C12" s="1"/>
      <c r="D12" s="225"/>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225"/>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2" t="s">
        <v>9</v>
      </c>
      <c r="C14" s="1"/>
      <c r="D14" s="225"/>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6" t="s">
        <v>140</v>
      </c>
      <c r="C15" s="1"/>
      <c r="D15" s="226"/>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7" t="s">
        <v>10</v>
      </c>
      <c r="C17" s="8"/>
      <c r="D17" s="8"/>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9" t="s">
        <v>11</v>
      </c>
      <c r="C18" s="10"/>
      <c r="D18" s="11" t="s">
        <v>12</v>
      </c>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9" t="s">
        <v>13</v>
      </c>
      <c r="C19" s="8"/>
      <c r="D19" s="12" t="s">
        <v>14</v>
      </c>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9" t="s">
        <v>15</v>
      </c>
      <c r="C20" s="8"/>
      <c r="D20" s="13" t="s">
        <v>16</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9" t="s">
        <v>17</v>
      </c>
      <c r="C21" s="8"/>
      <c r="D21" s="14" t="s">
        <v>18</v>
      </c>
      <c r="E21" s="1"/>
      <c r="F21" s="1" t="s">
        <v>19</v>
      </c>
      <c r="G21" s="1"/>
      <c r="H21" s="1"/>
      <c r="I21" s="1"/>
      <c r="J21" s="1"/>
      <c r="K21" s="1"/>
      <c r="L21" s="1"/>
      <c r="M21" s="1"/>
      <c r="N21" s="1"/>
      <c r="O21" s="1"/>
      <c r="P21" s="1"/>
      <c r="Q21" s="1"/>
      <c r="R21" s="1"/>
      <c r="S21" s="1"/>
      <c r="T21" s="1"/>
      <c r="U21" s="1"/>
      <c r="V21" s="1"/>
      <c r="W21" s="1"/>
      <c r="X21" s="1"/>
      <c r="Y21" s="1"/>
      <c r="Z21" s="1"/>
    </row>
    <row r="22" spans="1:26" ht="15.75" customHeight="1">
      <c r="A22" s="1"/>
      <c r="B22" s="9" t="s">
        <v>20</v>
      </c>
      <c r="C22" s="8"/>
      <c r="D22" s="15" t="s">
        <v>21</v>
      </c>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8">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8">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8">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8">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D5:D15"/>
  </mergeCells>
  <hyperlinks>
    <hyperlink ref="B11" r:id="rId1" xr:uid="{00000000-0004-0000-0000-000000000000}"/>
    <hyperlink ref="B12"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B1" workbookViewId="0"/>
  </sheetViews>
  <sheetFormatPr defaultColWidth="12.5703125" defaultRowHeight="15.75" customHeight="1"/>
  <sheetData>
    <row r="1" spans="1:26">
      <c r="A1" s="16"/>
      <c r="B1" s="16"/>
      <c r="C1" s="17"/>
      <c r="D1" s="17"/>
      <c r="E1" s="17"/>
      <c r="F1" s="17"/>
      <c r="G1" s="17"/>
      <c r="H1" s="17"/>
      <c r="I1" s="17"/>
      <c r="J1" s="17"/>
      <c r="K1" s="17"/>
      <c r="L1" s="17"/>
      <c r="M1" s="17"/>
      <c r="N1" s="16"/>
      <c r="O1" s="16"/>
      <c r="P1" s="16"/>
      <c r="Q1" s="16"/>
      <c r="R1" s="16"/>
      <c r="S1" s="16"/>
      <c r="T1" s="16"/>
      <c r="U1" s="16"/>
      <c r="V1" s="16"/>
      <c r="W1" s="16"/>
      <c r="X1" s="16"/>
      <c r="Y1" s="16"/>
      <c r="Z1" s="16"/>
    </row>
    <row r="2" spans="1:26">
      <c r="A2" s="16"/>
      <c r="B2" s="18"/>
      <c r="C2" s="227" t="s">
        <v>22</v>
      </c>
      <c r="D2" s="228"/>
      <c r="E2" s="228"/>
      <c r="F2" s="228"/>
      <c r="G2" s="228"/>
      <c r="H2" s="229"/>
      <c r="I2" s="230" t="s">
        <v>23</v>
      </c>
      <c r="J2" s="228"/>
      <c r="K2" s="228"/>
      <c r="L2" s="228"/>
      <c r="M2" s="231"/>
      <c r="N2" s="19"/>
      <c r="O2" s="16"/>
      <c r="P2" s="16"/>
      <c r="Q2" s="16"/>
      <c r="R2" s="16"/>
      <c r="S2" s="16"/>
      <c r="T2" s="16"/>
      <c r="U2" s="16"/>
      <c r="V2" s="16"/>
      <c r="W2" s="16"/>
      <c r="X2" s="16"/>
      <c r="Y2" s="16"/>
      <c r="Z2" s="16"/>
    </row>
    <row r="3" spans="1:26">
      <c r="A3" s="16"/>
      <c r="B3" s="20" t="s">
        <v>24</v>
      </c>
      <c r="C3" s="21">
        <v>2020</v>
      </c>
      <c r="D3" s="22">
        <f t="shared" ref="D3:M3" si="0">C3+1</f>
        <v>2021</v>
      </c>
      <c r="E3" s="22">
        <f t="shared" si="0"/>
        <v>2022</v>
      </c>
      <c r="F3" s="22">
        <f t="shared" si="0"/>
        <v>2023</v>
      </c>
      <c r="G3" s="22">
        <f t="shared" si="0"/>
        <v>2024</v>
      </c>
      <c r="H3" s="22">
        <f t="shared" si="0"/>
        <v>2025</v>
      </c>
      <c r="I3" s="23">
        <f t="shared" si="0"/>
        <v>2026</v>
      </c>
      <c r="J3" s="23">
        <f t="shared" si="0"/>
        <v>2027</v>
      </c>
      <c r="K3" s="23">
        <f t="shared" si="0"/>
        <v>2028</v>
      </c>
      <c r="L3" s="23">
        <f t="shared" si="0"/>
        <v>2029</v>
      </c>
      <c r="M3" s="24">
        <f t="shared" si="0"/>
        <v>2030</v>
      </c>
      <c r="N3" s="19"/>
      <c r="O3" s="16"/>
      <c r="P3" s="16"/>
      <c r="Q3" s="16"/>
      <c r="R3" s="16"/>
      <c r="S3" s="16"/>
      <c r="T3" s="16"/>
      <c r="U3" s="16"/>
      <c r="V3" s="16"/>
      <c r="W3" s="16"/>
      <c r="X3" s="16"/>
      <c r="Y3" s="16"/>
      <c r="Z3" s="16"/>
    </row>
    <row r="4" spans="1:26">
      <c r="A4" s="16"/>
      <c r="B4" s="20" t="s">
        <v>25</v>
      </c>
      <c r="C4" s="25">
        <v>21052</v>
      </c>
      <c r="D4" s="26">
        <v>21644</v>
      </c>
      <c r="E4" s="26">
        <v>28799</v>
      </c>
      <c r="F4" s="26">
        <v>40575</v>
      </c>
      <c r="G4" s="26">
        <v>51084</v>
      </c>
      <c r="H4" s="26">
        <v>60456</v>
      </c>
      <c r="I4" s="27">
        <f t="shared" ref="I4:M4" si="1">H4*(1+I5)</f>
        <v>75087.561120000013</v>
      </c>
      <c r="J4" s="27">
        <f t="shared" si="1"/>
        <v>90594.268804696811</v>
      </c>
      <c r="K4" s="27">
        <f t="shared" si="1"/>
        <v>106086.79471298802</v>
      </c>
      <c r="L4" s="27">
        <f t="shared" si="1"/>
        <v>120462.08583057146</v>
      </c>
      <c r="M4" s="28">
        <f t="shared" si="1"/>
        <v>132508.29441362861</v>
      </c>
      <c r="N4" s="19"/>
      <c r="O4" s="16"/>
      <c r="P4" s="16"/>
      <c r="Q4" s="16"/>
      <c r="R4" s="16"/>
      <c r="S4" s="16"/>
      <c r="T4" s="16"/>
      <c r="U4" s="16"/>
      <c r="V4" s="16"/>
      <c r="W4" s="16"/>
      <c r="X4" s="16"/>
      <c r="Y4" s="16"/>
      <c r="Z4" s="16"/>
    </row>
    <row r="5" spans="1:26">
      <c r="A5" s="16"/>
      <c r="B5" s="20" t="s">
        <v>26</v>
      </c>
      <c r="C5" s="29"/>
      <c r="D5" s="30">
        <v>2.81E-2</v>
      </c>
      <c r="E5" s="30">
        <v>0.3306</v>
      </c>
      <c r="F5" s="30">
        <v>0.40889999999999999</v>
      </c>
      <c r="G5" s="30">
        <v>0.25900000000000001</v>
      </c>
      <c r="H5" s="30">
        <v>0.1835</v>
      </c>
      <c r="I5" s="31">
        <f>AVERAGE(D5:H5)</f>
        <v>0.24202000000000004</v>
      </c>
      <c r="J5" s="31">
        <f t="shared" ref="J5:L5" si="2">I5-($I5-$M5)/4</f>
        <v>0.20651500000000003</v>
      </c>
      <c r="K5" s="31">
        <f t="shared" si="2"/>
        <v>0.17101000000000002</v>
      </c>
      <c r="L5" s="31">
        <f t="shared" si="2"/>
        <v>0.13550500000000001</v>
      </c>
      <c r="M5" s="32">
        <v>0.1</v>
      </c>
      <c r="N5" s="19"/>
      <c r="O5" s="16"/>
      <c r="P5" s="16"/>
      <c r="Q5" s="16"/>
      <c r="R5" s="16"/>
      <c r="S5" s="16"/>
      <c r="T5" s="16"/>
      <c r="U5" s="16"/>
      <c r="V5" s="16"/>
      <c r="W5" s="16"/>
      <c r="X5" s="16"/>
      <c r="Y5" s="16"/>
      <c r="Z5" s="16"/>
    </row>
    <row r="6" spans="1:26">
      <c r="A6" s="16"/>
      <c r="B6" s="16"/>
      <c r="C6" s="33"/>
      <c r="D6" s="33"/>
      <c r="E6" s="33"/>
      <c r="F6" s="33"/>
      <c r="G6" s="33"/>
      <c r="H6" s="33"/>
      <c r="I6" s="33"/>
      <c r="J6" s="33"/>
      <c r="K6" s="33"/>
      <c r="L6" s="33"/>
      <c r="M6" s="33"/>
      <c r="N6" s="16"/>
      <c r="O6" s="16"/>
      <c r="P6" s="16"/>
      <c r="Q6" s="16"/>
      <c r="R6" s="16"/>
      <c r="S6" s="16"/>
      <c r="T6" s="16"/>
      <c r="U6" s="16"/>
      <c r="V6" s="16"/>
      <c r="W6" s="16"/>
      <c r="X6" s="16"/>
      <c r="Y6" s="16"/>
      <c r="Z6" s="16"/>
    </row>
    <row r="7" spans="1:26">
      <c r="A7" s="16"/>
      <c r="B7" s="16"/>
      <c r="C7" s="16" t="s">
        <v>27</v>
      </c>
      <c r="D7" s="16"/>
      <c r="E7" s="16"/>
      <c r="F7" s="16"/>
      <c r="G7" s="16"/>
      <c r="H7" s="16"/>
      <c r="I7" s="16"/>
      <c r="J7" s="16"/>
      <c r="K7" s="16"/>
      <c r="L7" s="16"/>
      <c r="M7" s="16"/>
      <c r="N7" s="16"/>
      <c r="O7" s="16"/>
      <c r="P7" s="16"/>
      <c r="Q7" s="16"/>
      <c r="R7" s="16"/>
      <c r="S7" s="16"/>
      <c r="T7" s="16"/>
      <c r="U7" s="16"/>
      <c r="V7" s="16"/>
      <c r="W7" s="16"/>
      <c r="X7" s="16"/>
      <c r="Y7" s="16"/>
      <c r="Z7" s="16"/>
    </row>
    <row r="8" spans="1:26">
      <c r="A8" s="16"/>
      <c r="C8" s="34" t="s">
        <v>28</v>
      </c>
      <c r="D8" s="16"/>
      <c r="E8" s="16"/>
      <c r="F8" s="16"/>
      <c r="G8" s="16"/>
      <c r="H8" s="16"/>
      <c r="I8" s="16"/>
      <c r="J8" s="16"/>
      <c r="K8" s="16"/>
      <c r="L8" s="16"/>
      <c r="M8" s="16"/>
      <c r="N8" s="16"/>
      <c r="O8" s="16"/>
      <c r="P8" s="16"/>
      <c r="Q8" s="16"/>
      <c r="R8" s="16"/>
      <c r="S8" s="16"/>
      <c r="T8" s="16"/>
      <c r="U8" s="16"/>
      <c r="V8" s="16"/>
      <c r="W8" s="16"/>
      <c r="X8" s="16"/>
      <c r="Y8" s="16"/>
      <c r="Z8" s="16"/>
    </row>
    <row r="9" spans="1:26">
      <c r="A9" s="16"/>
      <c r="B9" s="16"/>
      <c r="D9" s="16"/>
      <c r="E9" s="16"/>
      <c r="F9" s="16"/>
      <c r="G9" s="16"/>
      <c r="H9" s="16"/>
      <c r="I9" s="16"/>
      <c r="J9" s="16"/>
      <c r="K9" s="16"/>
      <c r="L9" s="16"/>
      <c r="M9" s="16"/>
      <c r="N9" s="16"/>
      <c r="O9" s="16"/>
      <c r="P9" s="16"/>
      <c r="Q9" s="16"/>
      <c r="R9" s="16"/>
      <c r="S9" s="16"/>
      <c r="T9" s="16"/>
      <c r="U9" s="16"/>
      <c r="V9" s="16"/>
      <c r="W9" s="16"/>
      <c r="X9" s="16"/>
      <c r="Y9" s="16"/>
      <c r="Z9" s="16"/>
    </row>
    <row r="10" spans="1:26">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C2:H2"/>
    <mergeCell ref="I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5"/>
  <sheetViews>
    <sheetView workbookViewId="0"/>
  </sheetViews>
  <sheetFormatPr defaultColWidth="12.5703125" defaultRowHeight="15.75" customHeight="1"/>
  <cols>
    <col min="1" max="1" width="25.140625" customWidth="1"/>
    <col min="8" max="8" width="16.42578125" customWidth="1"/>
  </cols>
  <sheetData>
    <row r="1" spans="1:25">
      <c r="A1" s="16"/>
      <c r="B1" s="17"/>
      <c r="C1" s="17"/>
      <c r="D1" s="17"/>
      <c r="E1" s="17"/>
      <c r="F1" s="17"/>
      <c r="G1" s="17"/>
      <c r="H1" s="17"/>
      <c r="I1" s="17"/>
      <c r="J1" s="17"/>
      <c r="K1" s="17"/>
      <c r="L1" s="17"/>
      <c r="M1" s="16"/>
      <c r="N1" s="16"/>
      <c r="O1" s="16"/>
      <c r="P1" s="16"/>
      <c r="Q1" s="16"/>
      <c r="R1" s="16"/>
      <c r="S1" s="16"/>
      <c r="T1" s="16"/>
      <c r="U1" s="16"/>
      <c r="V1" s="16"/>
      <c r="W1" s="16"/>
      <c r="X1" s="16"/>
      <c r="Y1" s="16"/>
    </row>
    <row r="2" spans="1:25">
      <c r="A2" s="18"/>
      <c r="B2" s="227" t="s">
        <v>22</v>
      </c>
      <c r="C2" s="228"/>
      <c r="D2" s="228"/>
      <c r="E2" s="228"/>
      <c r="F2" s="228"/>
      <c r="G2" s="229"/>
      <c r="H2" s="230" t="s">
        <v>23</v>
      </c>
      <c r="I2" s="228"/>
      <c r="J2" s="228"/>
      <c r="K2" s="228"/>
      <c r="L2" s="231"/>
      <c r="M2" s="19"/>
      <c r="N2" s="16"/>
      <c r="O2" s="16"/>
      <c r="P2" s="16"/>
      <c r="Q2" s="16"/>
      <c r="R2" s="16"/>
      <c r="S2" s="16"/>
      <c r="T2" s="16"/>
      <c r="U2" s="16"/>
      <c r="V2" s="16"/>
      <c r="W2" s="16"/>
      <c r="X2" s="16"/>
      <c r="Y2" s="16"/>
    </row>
    <row r="3" spans="1:25">
      <c r="A3" s="20" t="s">
        <v>29</v>
      </c>
      <c r="B3" s="35">
        <v>2020</v>
      </c>
      <c r="C3" s="36">
        <f t="shared" ref="C3:L3" si="0">B3+1</f>
        <v>2021</v>
      </c>
      <c r="D3" s="36">
        <f t="shared" si="0"/>
        <v>2022</v>
      </c>
      <c r="E3" s="36">
        <f t="shared" si="0"/>
        <v>2023</v>
      </c>
      <c r="F3" s="36">
        <f t="shared" si="0"/>
        <v>2024</v>
      </c>
      <c r="G3" s="36">
        <f t="shared" si="0"/>
        <v>2025</v>
      </c>
      <c r="H3" s="37">
        <f t="shared" si="0"/>
        <v>2026</v>
      </c>
      <c r="I3" s="37">
        <f t="shared" si="0"/>
        <v>2027</v>
      </c>
      <c r="J3" s="37">
        <f t="shared" si="0"/>
        <v>2028</v>
      </c>
      <c r="K3" s="37">
        <f t="shared" si="0"/>
        <v>2029</v>
      </c>
      <c r="L3" s="38">
        <f t="shared" si="0"/>
        <v>2030</v>
      </c>
      <c r="M3" s="19"/>
      <c r="N3" s="16"/>
      <c r="O3" s="16"/>
      <c r="P3" s="16"/>
      <c r="Q3" s="16"/>
      <c r="R3" s="16"/>
      <c r="S3" s="16"/>
      <c r="T3" s="16"/>
      <c r="U3" s="16"/>
      <c r="V3" s="16"/>
      <c r="W3" s="16"/>
      <c r="X3" s="16"/>
      <c r="Y3" s="16"/>
    </row>
    <row r="4" spans="1:25">
      <c r="A4" s="39"/>
      <c r="B4" s="40"/>
      <c r="C4" s="41"/>
      <c r="D4" s="41"/>
      <c r="E4" s="41"/>
      <c r="F4" s="41"/>
      <c r="G4" s="41"/>
      <c r="H4" s="42"/>
      <c r="I4" s="42"/>
      <c r="J4" s="42"/>
      <c r="K4" s="42"/>
      <c r="L4" s="43"/>
      <c r="M4" s="44"/>
      <c r="N4" s="45"/>
      <c r="O4" s="45"/>
      <c r="P4" s="45"/>
      <c r="Q4" s="45"/>
      <c r="R4" s="45"/>
      <c r="S4" s="45"/>
      <c r="T4" s="45"/>
      <c r="U4" s="45"/>
      <c r="V4" s="45"/>
      <c r="W4" s="45"/>
      <c r="X4" s="45"/>
      <c r="Y4" s="45"/>
    </row>
    <row r="5" spans="1:25">
      <c r="A5" s="20" t="s">
        <v>25</v>
      </c>
      <c r="B5" s="46">
        <f>Revenue!C4</f>
        <v>21052</v>
      </c>
      <c r="C5" s="47">
        <f>Revenue!D4</f>
        <v>21644</v>
      </c>
      <c r="D5" s="47">
        <f>Revenue!E4</f>
        <v>28799</v>
      </c>
      <c r="E5" s="47">
        <f>Revenue!F4</f>
        <v>40575</v>
      </c>
      <c r="F5" s="47">
        <f>Revenue!G4</f>
        <v>51084</v>
      </c>
      <c r="G5" s="47">
        <f>Revenue!H4</f>
        <v>60456</v>
      </c>
      <c r="H5" s="48">
        <f>Revenue!I4</f>
        <v>75087.561120000013</v>
      </c>
      <c r="I5" s="48">
        <f>Revenue!J4</f>
        <v>90594.268804696811</v>
      </c>
      <c r="J5" s="48">
        <f>Revenue!K4</f>
        <v>106086.79471298802</v>
      </c>
      <c r="K5" s="48">
        <f>Revenue!L4</f>
        <v>120462.08583057146</v>
      </c>
      <c r="L5" s="49">
        <f>Revenue!M4</f>
        <v>132508.29441362861</v>
      </c>
      <c r="M5" s="19"/>
      <c r="N5" s="16"/>
      <c r="O5" s="16"/>
      <c r="P5" s="16"/>
      <c r="Q5" s="16"/>
      <c r="R5" s="16"/>
      <c r="S5" s="16"/>
      <c r="T5" s="16"/>
      <c r="U5" s="16"/>
      <c r="V5" s="16"/>
      <c r="W5" s="16"/>
      <c r="X5" s="16"/>
      <c r="Y5" s="16"/>
    </row>
    <row r="6" spans="1:25">
      <c r="A6" s="20" t="s">
        <v>30</v>
      </c>
      <c r="B6" s="50"/>
      <c r="C6" s="51">
        <f>Revenue!D5</f>
        <v>2.81E-2</v>
      </c>
      <c r="D6" s="51">
        <f>Revenue!E5</f>
        <v>0.3306</v>
      </c>
      <c r="E6" s="51">
        <f>Revenue!F5</f>
        <v>0.40889999999999999</v>
      </c>
      <c r="F6" s="51">
        <f>Revenue!G5</f>
        <v>0.25900000000000001</v>
      </c>
      <c r="G6" s="51">
        <f>Revenue!H5</f>
        <v>0.1835</v>
      </c>
      <c r="H6" s="51">
        <f>Revenue!I5</f>
        <v>0.24202000000000004</v>
      </c>
      <c r="I6" s="51">
        <f>Revenue!J5</f>
        <v>0.20651500000000003</v>
      </c>
      <c r="J6" s="51">
        <f>Revenue!K5</f>
        <v>0.17101000000000002</v>
      </c>
      <c r="K6" s="51">
        <f>Revenue!L5</f>
        <v>0.13550500000000001</v>
      </c>
      <c r="L6" s="52">
        <f>Revenue!M5</f>
        <v>0.1</v>
      </c>
      <c r="M6" s="19"/>
      <c r="N6" s="16"/>
      <c r="O6" s="16"/>
      <c r="P6" s="16"/>
      <c r="Q6" s="16"/>
      <c r="R6" s="16"/>
      <c r="S6" s="16"/>
      <c r="T6" s="16"/>
      <c r="U6" s="16"/>
      <c r="V6" s="16"/>
      <c r="W6" s="16"/>
      <c r="X6" s="16"/>
      <c r="Y6" s="16"/>
    </row>
    <row r="7" spans="1:25">
      <c r="A7" s="20"/>
      <c r="B7" s="53"/>
      <c r="C7" s="16"/>
      <c r="D7" s="16"/>
      <c r="E7" s="16"/>
      <c r="F7" s="16"/>
      <c r="G7" s="16"/>
      <c r="H7" s="16"/>
      <c r="I7" s="16"/>
      <c r="J7" s="16"/>
      <c r="K7" s="16"/>
      <c r="L7" s="54"/>
      <c r="M7" s="19"/>
      <c r="N7" s="16"/>
      <c r="O7" s="16"/>
      <c r="P7" s="16"/>
      <c r="Q7" s="16"/>
      <c r="R7" s="16"/>
      <c r="S7" s="16"/>
      <c r="T7" s="16"/>
      <c r="U7" s="16"/>
      <c r="V7" s="16"/>
      <c r="W7" s="16"/>
      <c r="X7" s="16"/>
      <c r="Y7" s="16"/>
    </row>
    <row r="8" spans="1:25">
      <c r="A8" s="20" t="s">
        <v>31</v>
      </c>
      <c r="B8" s="55">
        <v>2463</v>
      </c>
      <c r="C8" s="56">
        <v>1725</v>
      </c>
      <c r="D8" s="56">
        <v>3344</v>
      </c>
      <c r="E8" s="56">
        <v>4882</v>
      </c>
      <c r="F8" s="56">
        <v>5292</v>
      </c>
      <c r="G8" s="56">
        <v>5694</v>
      </c>
      <c r="H8" s="57">
        <f t="shared" ref="H8:L8" si="1">H10-H9</f>
        <v>8935.4197732800021</v>
      </c>
      <c r="I8" s="57">
        <f t="shared" si="1"/>
        <v>11233.689331782405</v>
      </c>
      <c r="J8" s="57">
        <f t="shared" si="1"/>
        <v>13685.196517975455</v>
      </c>
      <c r="K8" s="57">
        <f t="shared" si="1"/>
        <v>15539.609072143719</v>
      </c>
      <c r="L8" s="58">
        <f t="shared" si="1"/>
        <v>17093.569979358093</v>
      </c>
      <c r="M8" s="19"/>
      <c r="N8" s="16"/>
      <c r="O8" s="16"/>
      <c r="P8" s="16"/>
      <c r="Q8" s="16"/>
      <c r="R8" s="16"/>
      <c r="S8" s="16"/>
      <c r="T8" s="16"/>
      <c r="U8" s="16"/>
      <c r="V8" s="16"/>
      <c r="W8" s="16"/>
      <c r="X8" s="16"/>
      <c r="Y8" s="16"/>
    </row>
    <row r="9" spans="1:25">
      <c r="A9" s="20" t="s">
        <v>32</v>
      </c>
      <c r="B9" s="59">
        <v>348</v>
      </c>
      <c r="C9" s="60">
        <v>375</v>
      </c>
      <c r="D9" s="60">
        <v>399</v>
      </c>
      <c r="E9" s="60">
        <v>441</v>
      </c>
      <c r="F9" s="60">
        <v>584</v>
      </c>
      <c r="G9" s="60">
        <v>693</v>
      </c>
      <c r="H9" s="57">
        <f>H5*Assumptions!B7</f>
        <v>825.96317232000013</v>
      </c>
      <c r="I9" s="57">
        <f>I5*Assumptions!C7</f>
        <v>996.53695685166485</v>
      </c>
      <c r="J9" s="57">
        <f>J5*Assumptions!D7</f>
        <v>1166.9547418428681</v>
      </c>
      <c r="K9" s="57">
        <f>K5*Assumptions!E7</f>
        <v>1325.082944136286</v>
      </c>
      <c r="L9" s="58">
        <f>L5*Assumptions!F7</f>
        <v>1457.5912385499146</v>
      </c>
      <c r="M9" s="19"/>
      <c r="N9" s="16"/>
      <c r="O9" s="16"/>
      <c r="P9" s="16"/>
      <c r="Q9" s="16"/>
      <c r="R9" s="16"/>
      <c r="S9" s="16"/>
      <c r="T9" s="16"/>
      <c r="U9" s="16"/>
      <c r="V9" s="16"/>
      <c r="W9" s="16"/>
      <c r="X9" s="16"/>
      <c r="Y9" s="16"/>
    </row>
    <row r="10" spans="1:25">
      <c r="A10" s="20" t="s">
        <v>33</v>
      </c>
      <c r="B10" s="61">
        <f t="shared" ref="B10:G10" si="2">SUM(B8,B9)</f>
        <v>2811</v>
      </c>
      <c r="C10" s="62">
        <f t="shared" si="2"/>
        <v>2100</v>
      </c>
      <c r="D10" s="62">
        <f t="shared" si="2"/>
        <v>3743</v>
      </c>
      <c r="E10" s="62">
        <f t="shared" si="2"/>
        <v>5323</v>
      </c>
      <c r="F10" s="62">
        <f t="shared" si="2"/>
        <v>5876</v>
      </c>
      <c r="G10" s="62">
        <f t="shared" si="2"/>
        <v>6387</v>
      </c>
      <c r="H10" s="57">
        <f>H5*Assumptions!B2</f>
        <v>9761.3829456000021</v>
      </c>
      <c r="I10" s="57">
        <f>I5*Assumptions!B3</f>
        <v>12230.22628863407</v>
      </c>
      <c r="J10" s="57">
        <f>J5*Assumptions!B4</f>
        <v>14852.151259818324</v>
      </c>
      <c r="K10" s="57">
        <f>K5*Assumptions!B5</f>
        <v>16864.692016280005</v>
      </c>
      <c r="L10" s="58">
        <f>L5*Assumptions!B6</f>
        <v>18551.161217908008</v>
      </c>
      <c r="M10" s="19"/>
      <c r="N10" s="16"/>
      <c r="O10" s="16"/>
      <c r="P10" s="16"/>
      <c r="Q10" s="16"/>
      <c r="R10" s="16"/>
      <c r="S10" s="16"/>
      <c r="T10" s="16"/>
      <c r="U10" s="16"/>
      <c r="V10" s="16"/>
      <c r="W10" s="16"/>
      <c r="X10" s="16"/>
      <c r="Y10" s="16"/>
    </row>
    <row r="11" spans="1:25">
      <c r="A11" s="20" t="s">
        <v>34</v>
      </c>
      <c r="B11" s="63">
        <f t="shared" ref="B11:L11" si="3">B10/B5</f>
        <v>0.13352650579517386</v>
      </c>
      <c r="C11" s="64">
        <f t="shared" si="3"/>
        <v>9.7024579560155241E-2</v>
      </c>
      <c r="D11" s="64">
        <f t="shared" si="3"/>
        <v>0.12996979061772979</v>
      </c>
      <c r="E11" s="64">
        <f t="shared" si="3"/>
        <v>0.13118915588416513</v>
      </c>
      <c r="F11" s="64">
        <f t="shared" si="3"/>
        <v>0.11502623130530107</v>
      </c>
      <c r="G11" s="64">
        <f t="shared" si="3"/>
        <v>0.10564708217546645</v>
      </c>
      <c r="H11" s="64">
        <f t="shared" si="3"/>
        <v>0.13</v>
      </c>
      <c r="I11" s="64">
        <f t="shared" si="3"/>
        <v>0.13500000000000001</v>
      </c>
      <c r="J11" s="64">
        <f t="shared" si="3"/>
        <v>0.14000000000000001</v>
      </c>
      <c r="K11" s="64">
        <f t="shared" si="3"/>
        <v>0.14000000000000001</v>
      </c>
      <c r="L11" s="65">
        <f t="shared" si="3"/>
        <v>0.14000000000000001</v>
      </c>
      <c r="M11" s="19"/>
      <c r="N11" s="16"/>
      <c r="O11" s="16"/>
      <c r="P11" s="16"/>
      <c r="Q11" s="16"/>
      <c r="R11" s="16"/>
      <c r="S11" s="16"/>
      <c r="T11" s="16"/>
      <c r="U11" s="16"/>
      <c r="V11" s="16"/>
      <c r="W11" s="16"/>
      <c r="X11" s="16"/>
      <c r="Y11" s="16"/>
    </row>
    <row r="12" spans="1:25">
      <c r="A12" s="20" t="s">
        <v>35</v>
      </c>
      <c r="B12" s="63">
        <f t="shared" ref="B12:L12" si="4">B8/B5</f>
        <v>0.1169960098802964</v>
      </c>
      <c r="C12" s="64">
        <f t="shared" si="4"/>
        <v>7.9698761781556091E-2</v>
      </c>
      <c r="D12" s="64">
        <f t="shared" si="4"/>
        <v>0.11611514288690579</v>
      </c>
      <c r="E12" s="64">
        <f t="shared" si="4"/>
        <v>0.12032039433148491</v>
      </c>
      <c r="F12" s="64">
        <f t="shared" si="4"/>
        <v>0.10359408033826638</v>
      </c>
      <c r="G12" s="64">
        <f t="shared" si="4"/>
        <v>9.4184200079396582E-2</v>
      </c>
      <c r="H12" s="64">
        <f t="shared" si="4"/>
        <v>0.11900000000000001</v>
      </c>
      <c r="I12" s="64">
        <f t="shared" si="4"/>
        <v>0.12400000000000001</v>
      </c>
      <c r="J12" s="64">
        <f t="shared" si="4"/>
        <v>0.129</v>
      </c>
      <c r="K12" s="64">
        <f t="shared" si="4"/>
        <v>0.129</v>
      </c>
      <c r="L12" s="65">
        <f t="shared" si="4"/>
        <v>0.12900000000000003</v>
      </c>
      <c r="M12" s="19"/>
      <c r="N12" s="16"/>
      <c r="O12" s="16"/>
      <c r="P12" s="16"/>
      <c r="Q12" s="16"/>
      <c r="R12" s="16"/>
      <c r="S12" s="16"/>
      <c r="T12" s="16"/>
      <c r="U12" s="16"/>
      <c r="V12" s="16"/>
      <c r="W12" s="16"/>
      <c r="X12" s="16"/>
      <c r="Y12" s="16"/>
    </row>
    <row r="13" spans="1:25">
      <c r="A13" s="20" t="s">
        <v>36</v>
      </c>
      <c r="B13" s="66">
        <v>166</v>
      </c>
      <c r="C13" s="67">
        <v>203</v>
      </c>
      <c r="D13" s="68">
        <v>218</v>
      </c>
      <c r="E13" s="68">
        <v>300</v>
      </c>
      <c r="F13" s="68">
        <v>619</v>
      </c>
      <c r="G13" s="68">
        <v>953</v>
      </c>
      <c r="H13" s="69">
        <f t="shared" ref="H13:L13" si="5">900</f>
        <v>900</v>
      </c>
      <c r="I13" s="69">
        <f t="shared" si="5"/>
        <v>900</v>
      </c>
      <c r="J13" s="69">
        <f t="shared" si="5"/>
        <v>900</v>
      </c>
      <c r="K13" s="69">
        <f t="shared" si="5"/>
        <v>900</v>
      </c>
      <c r="L13" s="70">
        <f t="shared" si="5"/>
        <v>900</v>
      </c>
      <c r="M13" s="19"/>
      <c r="N13" s="16"/>
      <c r="O13" s="16"/>
      <c r="P13" s="16"/>
      <c r="Q13" s="16"/>
      <c r="R13" s="16"/>
      <c r="S13" s="16"/>
      <c r="T13" s="16"/>
      <c r="U13" s="16"/>
      <c r="V13" s="16"/>
      <c r="W13" s="16"/>
      <c r="X13" s="16"/>
      <c r="Y13" s="16"/>
    </row>
    <row r="14" spans="1:25">
      <c r="A14" s="20" t="s">
        <v>37</v>
      </c>
      <c r="B14" s="71">
        <f t="shared" ref="B14:G14" si="6">B16/(1-B15)</f>
        <v>2102.816901408451</v>
      </c>
      <c r="C14" s="57">
        <f t="shared" si="6"/>
        <v>1334.2465753424658</v>
      </c>
      <c r="D14" s="57">
        <f t="shared" si="6"/>
        <v>2892.1052631578946</v>
      </c>
      <c r="E14" s="57">
        <f t="shared" si="6"/>
        <v>4424.3243243243242</v>
      </c>
      <c r="F14" s="57">
        <f t="shared" si="6"/>
        <v>4600</v>
      </c>
      <c r="G14" s="57">
        <f t="shared" si="6"/>
        <v>4509.4594594594591</v>
      </c>
      <c r="H14" s="72">
        <f t="shared" ref="H14:L14" si="7">H8-H13</f>
        <v>8035.4197732800021</v>
      </c>
      <c r="I14" s="72">
        <f t="shared" si="7"/>
        <v>10333.689331782405</v>
      </c>
      <c r="J14" s="72">
        <f t="shared" si="7"/>
        <v>12785.196517975455</v>
      </c>
      <c r="K14" s="72">
        <f t="shared" si="7"/>
        <v>14639.609072143719</v>
      </c>
      <c r="L14" s="58">
        <f t="shared" si="7"/>
        <v>16193.569979358093</v>
      </c>
      <c r="M14" s="19"/>
      <c r="N14" s="16"/>
      <c r="O14" s="16"/>
      <c r="P14" s="16"/>
      <c r="Q14" s="16"/>
      <c r="R14" s="16"/>
      <c r="S14" s="16"/>
      <c r="T14" s="16"/>
      <c r="U14" s="16"/>
      <c r="V14" s="16"/>
      <c r="W14" s="16"/>
      <c r="X14" s="16"/>
      <c r="Y14" s="16"/>
    </row>
    <row r="15" spans="1:25">
      <c r="A15" s="20" t="s">
        <v>38</v>
      </c>
      <c r="B15" s="73">
        <v>0.28999999999999998</v>
      </c>
      <c r="C15" s="74">
        <v>0.27</v>
      </c>
      <c r="D15" s="74">
        <v>0.24</v>
      </c>
      <c r="E15" s="74">
        <v>0.26</v>
      </c>
      <c r="F15" s="74">
        <v>0.24</v>
      </c>
      <c r="G15" s="75">
        <v>0.26</v>
      </c>
      <c r="H15" s="76">
        <v>0.25</v>
      </c>
      <c r="I15" s="76">
        <v>0.25</v>
      </c>
      <c r="J15" s="76">
        <v>0.25</v>
      </c>
      <c r="K15" s="76">
        <v>0.25</v>
      </c>
      <c r="L15" s="77">
        <v>0.25</v>
      </c>
      <c r="M15" s="19"/>
      <c r="N15" s="16"/>
      <c r="O15" s="16"/>
      <c r="P15" s="16"/>
      <c r="Q15" s="16"/>
      <c r="R15" s="16"/>
      <c r="S15" s="16"/>
      <c r="T15" s="16"/>
      <c r="U15" s="16"/>
      <c r="V15" s="16"/>
      <c r="W15" s="16"/>
      <c r="X15" s="16"/>
      <c r="Y15" s="16"/>
    </row>
    <row r="16" spans="1:25">
      <c r="A16" s="20" t="s">
        <v>39</v>
      </c>
      <c r="B16" s="66">
        <v>1493</v>
      </c>
      <c r="C16" s="67">
        <v>974</v>
      </c>
      <c r="D16" s="68">
        <v>2198</v>
      </c>
      <c r="E16" s="68">
        <v>3274</v>
      </c>
      <c r="F16" s="68">
        <v>3496</v>
      </c>
      <c r="G16" s="68">
        <v>3337</v>
      </c>
      <c r="H16" s="27">
        <f t="shared" ref="H16:L16" si="8">H14-H18</f>
        <v>6026.5648299600016</v>
      </c>
      <c r="I16" s="27">
        <f t="shared" si="8"/>
        <v>7750.2669988368034</v>
      </c>
      <c r="J16" s="27">
        <f t="shared" si="8"/>
        <v>9588.8973884815914</v>
      </c>
      <c r="K16" s="27">
        <f t="shared" si="8"/>
        <v>10979.706804107789</v>
      </c>
      <c r="L16" s="58">
        <f t="shared" si="8"/>
        <v>12145.17748451857</v>
      </c>
      <c r="M16" s="19"/>
      <c r="N16" s="16"/>
      <c r="O16" s="16"/>
      <c r="P16" s="16"/>
      <c r="Q16" s="16"/>
      <c r="R16" s="16"/>
      <c r="S16" s="16"/>
      <c r="T16" s="16"/>
      <c r="U16" s="16"/>
      <c r="V16" s="16"/>
      <c r="W16" s="16"/>
      <c r="X16" s="16"/>
      <c r="Y16" s="16"/>
    </row>
    <row r="17" spans="1:25">
      <c r="A17" s="20" t="s">
        <v>40</v>
      </c>
      <c r="B17" s="78">
        <f t="shared" ref="B17:L17" si="9">B16/B5</f>
        <v>7.0919627588827666E-2</v>
      </c>
      <c r="C17" s="79">
        <f t="shared" si="9"/>
        <v>4.5000924043614859E-2</v>
      </c>
      <c r="D17" s="79">
        <f t="shared" si="9"/>
        <v>7.632209451717073E-2</v>
      </c>
      <c r="E17" s="79">
        <f t="shared" si="9"/>
        <v>8.0690080098582875E-2</v>
      </c>
      <c r="F17" s="79">
        <f t="shared" si="9"/>
        <v>6.8436300994440535E-2</v>
      </c>
      <c r="G17" s="79">
        <f t="shared" si="9"/>
        <v>5.5197168188434564E-2</v>
      </c>
      <c r="H17" s="79">
        <f t="shared" si="9"/>
        <v>8.0260495081585365E-2</v>
      </c>
      <c r="I17" s="79">
        <f t="shared" si="9"/>
        <v>8.5549197549624631E-2</v>
      </c>
      <c r="J17" s="79">
        <f t="shared" si="9"/>
        <v>9.0387285377259485E-2</v>
      </c>
      <c r="K17" s="79">
        <f t="shared" si="9"/>
        <v>9.1146577185709871E-2</v>
      </c>
      <c r="L17" s="80">
        <f t="shared" si="9"/>
        <v>9.1655979259736259E-2</v>
      </c>
      <c r="M17" s="19"/>
      <c r="N17" s="16"/>
      <c r="O17" s="16"/>
      <c r="P17" s="16"/>
      <c r="Q17" s="16"/>
      <c r="R17" s="16"/>
      <c r="S17" s="16"/>
      <c r="T17" s="16"/>
      <c r="U17" s="16"/>
      <c r="V17" s="16"/>
      <c r="W17" s="16"/>
      <c r="X17" s="16"/>
      <c r="Y17" s="16"/>
    </row>
    <row r="18" spans="1:25">
      <c r="A18" s="20" t="s">
        <v>41</v>
      </c>
      <c r="B18" s="81">
        <f t="shared" ref="B18:G18" si="10">B14-B16</f>
        <v>609.81690140845103</v>
      </c>
      <c r="C18" s="82">
        <f t="shared" si="10"/>
        <v>360.2465753424658</v>
      </c>
      <c r="D18" s="82">
        <f t="shared" si="10"/>
        <v>694.10526315789457</v>
      </c>
      <c r="E18" s="82">
        <f t="shared" si="10"/>
        <v>1150.3243243243242</v>
      </c>
      <c r="F18" s="82">
        <f t="shared" si="10"/>
        <v>1104</v>
      </c>
      <c r="G18" s="82">
        <f t="shared" si="10"/>
        <v>1172.4594594594591</v>
      </c>
      <c r="H18" s="82">
        <f t="shared" ref="H18:L18" si="11">H14*H15</f>
        <v>2008.8549433200005</v>
      </c>
      <c r="I18" s="82">
        <f t="shared" si="11"/>
        <v>2583.4223329456013</v>
      </c>
      <c r="J18" s="82">
        <f t="shared" si="11"/>
        <v>3196.2991294938638</v>
      </c>
      <c r="K18" s="82">
        <f t="shared" si="11"/>
        <v>3659.9022680359299</v>
      </c>
      <c r="L18" s="83">
        <f t="shared" si="11"/>
        <v>4048.3924948395234</v>
      </c>
      <c r="M18" s="19"/>
      <c r="N18" s="16"/>
      <c r="O18" s="16"/>
      <c r="P18" s="16"/>
      <c r="Q18" s="16"/>
      <c r="R18" s="16"/>
      <c r="S18" s="16"/>
      <c r="T18" s="16"/>
      <c r="U18" s="16"/>
      <c r="V18" s="16"/>
      <c r="W18" s="16"/>
      <c r="X18" s="16"/>
      <c r="Y18" s="16"/>
    </row>
    <row r="19" spans="1:25">
      <c r="A19" s="16"/>
      <c r="B19" s="33"/>
      <c r="C19" s="33"/>
      <c r="D19" s="33"/>
      <c r="E19" s="33"/>
      <c r="F19" s="33"/>
      <c r="G19" s="33"/>
      <c r="H19" s="33"/>
      <c r="I19" s="33"/>
      <c r="J19" s="33"/>
      <c r="K19" s="33"/>
      <c r="L19" s="33"/>
      <c r="M19" s="16"/>
      <c r="N19" s="16"/>
      <c r="O19" s="16"/>
      <c r="P19" s="16"/>
      <c r="Q19" s="16"/>
      <c r="R19" s="16"/>
      <c r="S19" s="16"/>
      <c r="T19" s="16"/>
      <c r="U19" s="16"/>
      <c r="V19" s="16"/>
      <c r="W19" s="16"/>
      <c r="X19" s="16"/>
      <c r="Y19" s="16"/>
    </row>
    <row r="20" spans="1:25">
      <c r="A20" s="16"/>
      <c r="B20" s="34" t="s">
        <v>28</v>
      </c>
      <c r="C20" s="16"/>
      <c r="D20" s="16"/>
      <c r="E20" s="16"/>
      <c r="F20" s="16"/>
      <c r="G20" s="16"/>
      <c r="H20" s="16"/>
      <c r="I20" s="16"/>
      <c r="J20" s="16"/>
      <c r="K20" s="16"/>
      <c r="L20" s="16"/>
      <c r="M20" s="16"/>
      <c r="N20" s="16"/>
      <c r="O20" s="16"/>
      <c r="P20" s="16"/>
      <c r="Q20" s="16"/>
      <c r="R20" s="16"/>
      <c r="S20" s="16"/>
      <c r="T20" s="16"/>
      <c r="U20" s="16"/>
      <c r="V20" s="16"/>
      <c r="W20" s="16"/>
      <c r="X20" s="16"/>
      <c r="Y20" s="16"/>
    </row>
    <row r="21" spans="1:25">
      <c r="A21" s="16"/>
      <c r="B21" s="84"/>
      <c r="C21" s="17"/>
      <c r="D21" s="17"/>
      <c r="E21" s="17"/>
      <c r="F21" s="17"/>
      <c r="G21" s="17"/>
      <c r="H21" s="17"/>
      <c r="I21" s="16"/>
      <c r="J21" s="16"/>
      <c r="K21" s="16"/>
      <c r="L21" s="16"/>
      <c r="M21" s="16"/>
      <c r="N21" s="16"/>
      <c r="O21" s="16"/>
      <c r="P21" s="16"/>
      <c r="Q21" s="16"/>
      <c r="R21" s="16"/>
      <c r="S21" s="16"/>
      <c r="T21" s="16"/>
      <c r="U21" s="16"/>
      <c r="V21" s="16"/>
      <c r="W21" s="16"/>
      <c r="X21" s="16"/>
      <c r="Y21" s="16"/>
    </row>
    <row r="22" spans="1:25">
      <c r="B22" s="232" t="s">
        <v>42</v>
      </c>
      <c r="C22" s="233"/>
      <c r="D22" s="233"/>
      <c r="E22" s="233"/>
      <c r="F22" s="233"/>
      <c r="G22" s="233"/>
      <c r="H22" s="234"/>
    </row>
    <row r="23" spans="1:25">
      <c r="A23" s="18"/>
      <c r="B23" s="29" t="s">
        <v>43</v>
      </c>
      <c r="C23" s="85"/>
      <c r="D23" s="85"/>
      <c r="E23" s="85"/>
      <c r="F23" s="86" t="s">
        <v>44</v>
      </c>
      <c r="G23" s="85"/>
      <c r="H23" s="87"/>
      <c r="I23" s="19"/>
      <c r="J23" s="16"/>
      <c r="K23" s="16"/>
      <c r="L23" s="16"/>
      <c r="M23" s="16"/>
      <c r="N23" s="16"/>
      <c r="O23" s="16"/>
      <c r="P23" s="16"/>
      <c r="Q23" s="16"/>
      <c r="R23" s="16"/>
      <c r="S23" s="16"/>
      <c r="T23" s="16"/>
      <c r="U23" s="16"/>
      <c r="V23" s="16"/>
      <c r="W23" s="16"/>
      <c r="X23" s="16"/>
      <c r="Y23" s="16"/>
    </row>
    <row r="24" spans="1:25">
      <c r="A24" s="16"/>
      <c r="B24" s="33"/>
      <c r="C24" s="33"/>
      <c r="D24" s="33"/>
      <c r="E24" s="33"/>
      <c r="F24" s="33"/>
      <c r="G24" s="33"/>
      <c r="H24" s="33"/>
      <c r="I24" s="16"/>
      <c r="J24" s="16"/>
      <c r="K24" s="16"/>
      <c r="L24" s="16"/>
      <c r="M24" s="16"/>
      <c r="N24" s="16"/>
      <c r="O24" s="16"/>
      <c r="P24" s="16"/>
      <c r="Q24" s="16"/>
      <c r="R24" s="16"/>
      <c r="S24" s="16"/>
      <c r="T24" s="16"/>
      <c r="U24" s="16"/>
      <c r="V24" s="16"/>
      <c r="W24" s="16"/>
      <c r="X24" s="16"/>
      <c r="Y24" s="16"/>
    </row>
    <row r="25" spans="1:25">
      <c r="A25" s="16"/>
      <c r="C25" s="16"/>
      <c r="D25" s="16"/>
      <c r="E25" s="16"/>
      <c r="F25" s="16"/>
      <c r="G25" s="16"/>
      <c r="H25" s="16"/>
      <c r="I25" s="16"/>
      <c r="J25" s="16"/>
      <c r="K25" s="16"/>
      <c r="L25" s="16"/>
      <c r="M25" s="16"/>
      <c r="N25" s="16"/>
      <c r="O25" s="16"/>
      <c r="P25" s="16"/>
      <c r="Q25" s="16"/>
      <c r="R25" s="16"/>
      <c r="S25" s="16"/>
      <c r="T25" s="16"/>
      <c r="U25" s="16"/>
      <c r="V25" s="16"/>
      <c r="W25" s="16"/>
      <c r="X25" s="16"/>
      <c r="Y25" s="16"/>
    </row>
    <row r="26" spans="1:25">
      <c r="A26" s="16"/>
      <c r="B26" s="16"/>
      <c r="C26" s="16"/>
      <c r="D26" s="16"/>
      <c r="E26" s="16"/>
      <c r="F26" s="16"/>
      <c r="G26" s="16"/>
      <c r="H26" s="16"/>
      <c r="I26" s="16"/>
      <c r="J26" s="16"/>
      <c r="K26" s="16"/>
      <c r="L26" s="16"/>
      <c r="M26" s="16"/>
      <c r="N26" s="16"/>
      <c r="O26" s="16"/>
      <c r="P26" s="16"/>
      <c r="Q26" s="16"/>
      <c r="R26" s="16"/>
      <c r="S26" s="16"/>
      <c r="T26" s="16"/>
      <c r="U26" s="16"/>
      <c r="V26" s="16"/>
      <c r="W26" s="16"/>
      <c r="X26" s="16"/>
      <c r="Y26" s="16"/>
    </row>
    <row r="27" spans="1:25">
      <c r="A27" s="16"/>
      <c r="B27" s="16"/>
      <c r="C27" s="16"/>
      <c r="D27" s="16"/>
      <c r="E27" s="16"/>
      <c r="F27" s="16"/>
      <c r="G27" s="16"/>
      <c r="H27" s="16"/>
      <c r="I27" s="16"/>
      <c r="J27" s="16"/>
      <c r="K27" s="16"/>
      <c r="L27" s="16"/>
      <c r="M27" s="16"/>
      <c r="N27" s="16"/>
      <c r="O27" s="16"/>
      <c r="P27" s="16"/>
      <c r="Q27" s="16"/>
      <c r="R27" s="16"/>
      <c r="S27" s="16"/>
      <c r="T27" s="16"/>
      <c r="U27" s="16"/>
      <c r="V27" s="16"/>
      <c r="W27" s="16"/>
      <c r="X27" s="16"/>
      <c r="Y27" s="16"/>
    </row>
    <row r="28" spans="1:25">
      <c r="A28" s="16"/>
      <c r="B28" s="33"/>
      <c r="C28" s="16"/>
      <c r="D28" s="16"/>
      <c r="E28" s="16"/>
      <c r="F28" s="16"/>
      <c r="G28" s="16"/>
      <c r="H28" s="16"/>
      <c r="I28" s="16"/>
      <c r="J28" s="16"/>
      <c r="K28" s="16"/>
      <c r="L28" s="16"/>
      <c r="M28" s="16"/>
      <c r="N28" s="16"/>
      <c r="O28" s="16"/>
      <c r="P28" s="16"/>
      <c r="Q28" s="16"/>
      <c r="R28" s="16"/>
      <c r="S28" s="16"/>
      <c r="T28" s="16"/>
      <c r="U28" s="16"/>
      <c r="V28" s="16"/>
      <c r="W28" s="16"/>
      <c r="X28" s="16"/>
      <c r="Y28" s="16"/>
    </row>
    <row r="29" spans="1:25">
      <c r="A29" s="16"/>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c r="A30" s="16"/>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c r="A31" s="16"/>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c r="A32" s="16"/>
      <c r="B32" s="16"/>
      <c r="C32" s="16"/>
      <c r="D32" s="16"/>
      <c r="E32" s="16"/>
      <c r="F32" s="16"/>
      <c r="G32" s="16"/>
      <c r="H32" s="16"/>
      <c r="I32" s="16"/>
      <c r="J32" s="16"/>
      <c r="K32" s="16"/>
      <c r="L32" s="16"/>
      <c r="M32" s="16"/>
      <c r="N32" s="16"/>
      <c r="O32" s="16"/>
      <c r="P32" s="16"/>
      <c r="Q32" s="16"/>
      <c r="R32" s="16"/>
      <c r="S32" s="16"/>
      <c r="T32" s="16"/>
      <c r="U32" s="16"/>
      <c r="V32" s="16"/>
      <c r="W32" s="16"/>
      <c r="X32" s="16"/>
      <c r="Y32" s="16"/>
    </row>
    <row r="33" spans="1:25">
      <c r="A33" s="16"/>
      <c r="C33" s="16"/>
      <c r="D33" s="16"/>
      <c r="E33" s="16"/>
      <c r="F33" s="16"/>
      <c r="G33" s="16"/>
      <c r="H33" s="16"/>
      <c r="I33" s="16"/>
      <c r="J33" s="16"/>
      <c r="K33" s="16"/>
      <c r="L33" s="16"/>
      <c r="M33" s="16"/>
      <c r="N33" s="16"/>
      <c r="O33" s="16"/>
      <c r="P33" s="16"/>
      <c r="Q33" s="16"/>
      <c r="R33" s="16"/>
      <c r="S33" s="16"/>
      <c r="T33" s="16"/>
      <c r="U33" s="16"/>
      <c r="V33" s="16"/>
      <c r="W33" s="16"/>
      <c r="X33" s="16"/>
      <c r="Y33" s="16"/>
    </row>
    <row r="34" spans="1:25">
      <c r="A34" s="16"/>
      <c r="B34" s="16"/>
      <c r="C34" s="16"/>
      <c r="D34" s="16"/>
      <c r="E34" s="16"/>
      <c r="F34" s="16"/>
      <c r="G34" s="16"/>
      <c r="H34" s="16"/>
      <c r="I34" s="16"/>
      <c r="J34" s="16"/>
      <c r="K34" s="16"/>
      <c r="L34" s="16"/>
      <c r="M34" s="16"/>
      <c r="N34" s="16"/>
      <c r="O34" s="16"/>
      <c r="P34" s="16"/>
      <c r="Q34" s="16"/>
      <c r="R34" s="16"/>
      <c r="S34" s="16"/>
      <c r="T34" s="16"/>
      <c r="U34" s="16"/>
      <c r="V34" s="16"/>
      <c r="W34" s="16"/>
      <c r="X34" s="16"/>
      <c r="Y34" s="16"/>
    </row>
    <row r="35" spans="1:25">
      <c r="A35" s="16"/>
      <c r="C35" s="16"/>
      <c r="D35" s="16"/>
      <c r="E35" s="16"/>
      <c r="F35" s="16"/>
      <c r="G35" s="16"/>
      <c r="H35" s="16"/>
      <c r="I35" s="16"/>
      <c r="J35" s="16"/>
      <c r="K35" s="16"/>
      <c r="L35" s="16"/>
      <c r="M35" s="16"/>
      <c r="N35" s="16"/>
      <c r="O35" s="16"/>
      <c r="P35" s="16"/>
      <c r="Q35" s="16"/>
      <c r="R35" s="16"/>
      <c r="S35" s="16"/>
      <c r="T35" s="16"/>
      <c r="U35" s="16"/>
      <c r="V35" s="16"/>
      <c r="W35" s="16"/>
      <c r="X35" s="16"/>
      <c r="Y35" s="16"/>
    </row>
    <row r="36" spans="1:25">
      <c r="A36" s="16"/>
      <c r="B36" s="16"/>
      <c r="C36" s="16"/>
      <c r="D36" s="16"/>
      <c r="E36" s="16"/>
      <c r="F36" s="16"/>
      <c r="G36" s="16"/>
      <c r="H36" s="16"/>
      <c r="I36" s="16"/>
      <c r="J36" s="16"/>
      <c r="K36" s="16"/>
      <c r="L36" s="16"/>
      <c r="M36" s="16"/>
      <c r="N36" s="16"/>
      <c r="O36" s="16"/>
      <c r="P36" s="16"/>
      <c r="Q36" s="16"/>
      <c r="R36" s="16"/>
      <c r="S36" s="16"/>
      <c r="T36" s="16"/>
      <c r="U36" s="16"/>
      <c r="V36" s="16"/>
      <c r="W36" s="16"/>
      <c r="X36" s="16"/>
      <c r="Y36" s="16"/>
    </row>
    <row r="37" spans="1:25">
      <c r="A37" s="16"/>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c r="A38" s="16"/>
      <c r="B38" s="16"/>
      <c r="C38" s="16"/>
      <c r="D38" s="16"/>
      <c r="E38" s="16"/>
      <c r="F38" s="16"/>
      <c r="G38" s="16"/>
      <c r="H38" s="16"/>
      <c r="I38" s="16"/>
      <c r="J38" s="16"/>
      <c r="K38" s="16"/>
      <c r="L38" s="16"/>
      <c r="M38" s="16"/>
      <c r="N38" s="16"/>
      <c r="O38" s="16"/>
      <c r="P38" s="16"/>
      <c r="Q38" s="16"/>
      <c r="R38" s="16"/>
      <c r="S38" s="16"/>
      <c r="T38" s="16"/>
      <c r="U38" s="16"/>
      <c r="V38" s="16"/>
      <c r="W38" s="16"/>
      <c r="X38" s="16"/>
      <c r="Y38" s="16"/>
    </row>
    <row r="39" spans="1:25">
      <c r="A39" s="16"/>
      <c r="B39" s="16"/>
      <c r="C39" s="16"/>
      <c r="D39" s="16"/>
      <c r="E39" s="16"/>
      <c r="F39" s="16"/>
      <c r="G39" s="16"/>
      <c r="H39" s="16"/>
      <c r="I39" s="16"/>
      <c r="J39" s="16"/>
      <c r="K39" s="16"/>
      <c r="L39" s="16"/>
      <c r="M39" s="16"/>
      <c r="N39" s="16"/>
      <c r="O39" s="16"/>
      <c r="P39" s="16"/>
      <c r="Q39" s="16"/>
      <c r="R39" s="16"/>
      <c r="S39" s="16"/>
      <c r="T39" s="16"/>
      <c r="U39" s="16"/>
      <c r="V39" s="16"/>
      <c r="W39" s="16"/>
      <c r="X39" s="16"/>
      <c r="Y39" s="16"/>
    </row>
    <row r="40" spans="1:25">
      <c r="A40" s="16"/>
      <c r="B40" s="16"/>
      <c r="C40" s="16"/>
      <c r="D40" s="16"/>
      <c r="E40" s="16"/>
      <c r="F40" s="16"/>
      <c r="G40" s="16"/>
      <c r="H40" s="16"/>
      <c r="I40" s="16"/>
      <c r="J40" s="16"/>
      <c r="K40" s="16"/>
      <c r="L40" s="16"/>
      <c r="M40" s="16"/>
      <c r="N40" s="16"/>
      <c r="O40" s="16"/>
      <c r="P40" s="16"/>
      <c r="Q40" s="16"/>
      <c r="R40" s="16"/>
      <c r="S40" s="16"/>
      <c r="T40" s="16"/>
      <c r="U40" s="16"/>
      <c r="V40" s="16"/>
      <c r="W40" s="16"/>
      <c r="X40" s="16"/>
      <c r="Y40" s="16"/>
    </row>
    <row r="41" spans="1:25">
      <c r="A41" s="16"/>
      <c r="B41" s="16"/>
      <c r="C41" s="16"/>
      <c r="D41" s="16"/>
      <c r="E41" s="16"/>
      <c r="F41" s="16"/>
      <c r="G41" s="16"/>
      <c r="H41" s="16"/>
      <c r="I41" s="16"/>
      <c r="J41" s="16"/>
      <c r="K41" s="16"/>
      <c r="L41" s="16"/>
      <c r="M41" s="16"/>
      <c r="N41" s="16"/>
      <c r="O41" s="16"/>
      <c r="P41" s="16"/>
      <c r="Q41" s="16"/>
      <c r="R41" s="16"/>
      <c r="S41" s="16"/>
      <c r="T41" s="16"/>
      <c r="U41" s="16"/>
      <c r="V41" s="16"/>
      <c r="W41" s="16"/>
      <c r="X41" s="16"/>
      <c r="Y41" s="16"/>
    </row>
    <row r="42" spans="1:25">
      <c r="A42" s="16"/>
      <c r="B42" s="16"/>
      <c r="C42" s="16"/>
      <c r="D42" s="16"/>
      <c r="E42" s="16"/>
      <c r="F42" s="16"/>
      <c r="G42" s="16"/>
      <c r="H42" s="16"/>
      <c r="I42" s="16"/>
      <c r="J42" s="16"/>
      <c r="K42" s="16"/>
      <c r="L42" s="16"/>
      <c r="M42" s="16"/>
      <c r="N42" s="16"/>
      <c r="O42" s="16"/>
      <c r="P42" s="16"/>
      <c r="Q42" s="16"/>
      <c r="R42" s="16"/>
      <c r="S42" s="16"/>
      <c r="T42" s="16"/>
      <c r="U42" s="16"/>
      <c r="V42" s="16"/>
      <c r="W42" s="16"/>
      <c r="X42" s="16"/>
      <c r="Y42" s="16"/>
    </row>
    <row r="43" spans="1:25">
      <c r="A43" s="16"/>
      <c r="B43" s="16"/>
      <c r="C43" s="16"/>
      <c r="D43" s="16"/>
      <c r="E43" s="16"/>
      <c r="F43" s="16"/>
      <c r="G43" s="16"/>
      <c r="H43" s="16"/>
      <c r="I43" s="16"/>
      <c r="J43" s="16"/>
      <c r="K43" s="16"/>
      <c r="L43" s="16"/>
      <c r="M43" s="16"/>
      <c r="N43" s="16"/>
      <c r="O43" s="16"/>
      <c r="P43" s="16"/>
      <c r="Q43" s="16"/>
      <c r="R43" s="16"/>
      <c r="S43" s="16"/>
      <c r="T43" s="16"/>
      <c r="U43" s="16"/>
      <c r="V43" s="16"/>
      <c r="W43" s="16"/>
      <c r="X43" s="16"/>
      <c r="Y43" s="16"/>
    </row>
    <row r="44" spans="1:25">
      <c r="A44" s="16"/>
      <c r="B44" s="16"/>
      <c r="C44" s="16"/>
      <c r="D44" s="16"/>
      <c r="E44" s="16"/>
      <c r="F44" s="16"/>
      <c r="G44" s="16"/>
      <c r="H44" s="16"/>
      <c r="I44" s="16"/>
      <c r="J44" s="16"/>
      <c r="K44" s="16"/>
      <c r="L44" s="16"/>
      <c r="M44" s="16"/>
      <c r="N44" s="16"/>
      <c r="O44" s="16"/>
      <c r="P44" s="16"/>
      <c r="Q44" s="16"/>
      <c r="R44" s="16"/>
      <c r="S44" s="16"/>
      <c r="T44" s="16"/>
      <c r="U44" s="16"/>
      <c r="V44" s="16"/>
      <c r="W44" s="16"/>
      <c r="X44" s="16"/>
      <c r="Y44" s="16"/>
    </row>
    <row r="45" spans="1:25">
      <c r="A45" s="16"/>
      <c r="B45" s="16"/>
      <c r="C45" s="16"/>
      <c r="D45" s="16"/>
      <c r="E45" s="16"/>
      <c r="F45" s="16"/>
      <c r="G45" s="16"/>
      <c r="H45" s="16"/>
      <c r="I45" s="16"/>
      <c r="J45" s="16"/>
      <c r="K45" s="16"/>
      <c r="L45" s="16"/>
      <c r="M45" s="16"/>
      <c r="N45" s="16"/>
      <c r="O45" s="16"/>
      <c r="P45" s="16"/>
      <c r="Q45" s="16"/>
      <c r="R45" s="16"/>
      <c r="S45" s="16"/>
      <c r="T45" s="16"/>
      <c r="U45" s="16"/>
      <c r="V45" s="16"/>
      <c r="W45" s="16"/>
      <c r="X45" s="16"/>
      <c r="Y45" s="16"/>
    </row>
    <row r="46" spans="1:25">
      <c r="A46" s="16"/>
      <c r="B46" s="16"/>
      <c r="C46" s="16"/>
      <c r="D46" s="16"/>
      <c r="E46" s="16"/>
      <c r="F46" s="16"/>
      <c r="G46" s="16"/>
      <c r="H46" s="16"/>
      <c r="I46" s="16"/>
      <c r="J46" s="16"/>
      <c r="K46" s="16"/>
      <c r="L46" s="16"/>
      <c r="M46" s="16"/>
      <c r="N46" s="16"/>
      <c r="O46" s="16"/>
      <c r="P46" s="16"/>
      <c r="Q46" s="16"/>
      <c r="R46" s="16"/>
      <c r="S46" s="16"/>
      <c r="T46" s="16"/>
      <c r="U46" s="16"/>
      <c r="V46" s="16"/>
      <c r="W46" s="16"/>
      <c r="X46" s="16"/>
      <c r="Y46" s="16"/>
    </row>
    <row r="47" spans="1:25">
      <c r="A47" s="16"/>
      <c r="B47" s="16"/>
      <c r="C47" s="16"/>
      <c r="D47" s="16"/>
      <c r="E47" s="16"/>
      <c r="F47" s="16"/>
      <c r="G47" s="16"/>
      <c r="H47" s="16"/>
      <c r="I47" s="16"/>
      <c r="J47" s="16"/>
      <c r="K47" s="16"/>
      <c r="L47" s="16"/>
      <c r="M47" s="16"/>
      <c r="N47" s="16"/>
      <c r="O47" s="16"/>
      <c r="P47" s="16"/>
      <c r="Q47" s="16"/>
      <c r="R47" s="16"/>
      <c r="S47" s="16"/>
      <c r="T47" s="16"/>
      <c r="U47" s="16"/>
      <c r="V47" s="16"/>
      <c r="W47" s="16"/>
      <c r="X47" s="16"/>
      <c r="Y47" s="16"/>
    </row>
    <row r="48" spans="1:25">
      <c r="A48" s="16"/>
      <c r="B48" s="16"/>
      <c r="C48" s="16"/>
      <c r="D48" s="16"/>
      <c r="E48" s="16"/>
      <c r="F48" s="16"/>
      <c r="G48" s="16"/>
      <c r="H48" s="16"/>
      <c r="I48" s="16"/>
      <c r="J48" s="16"/>
      <c r="K48" s="16"/>
      <c r="L48" s="16"/>
      <c r="M48" s="16"/>
      <c r="N48" s="16"/>
      <c r="O48" s="16"/>
      <c r="P48" s="16"/>
      <c r="Q48" s="16"/>
      <c r="R48" s="16"/>
      <c r="S48" s="16"/>
      <c r="T48" s="16"/>
      <c r="U48" s="16"/>
      <c r="V48" s="16"/>
      <c r="W48" s="16"/>
      <c r="X48" s="16"/>
      <c r="Y48" s="16"/>
    </row>
    <row r="49" spans="1:25">
      <c r="A49" s="16"/>
      <c r="B49" s="16"/>
      <c r="C49" s="16"/>
      <c r="D49" s="16"/>
      <c r="E49" s="16"/>
      <c r="F49" s="16"/>
      <c r="G49" s="16"/>
      <c r="H49" s="16"/>
      <c r="I49" s="16"/>
      <c r="J49" s="16"/>
      <c r="K49" s="16"/>
      <c r="L49" s="16"/>
      <c r="M49" s="16"/>
      <c r="N49" s="16"/>
      <c r="O49" s="16"/>
      <c r="P49" s="16"/>
      <c r="Q49" s="16"/>
      <c r="R49" s="16"/>
      <c r="S49" s="16"/>
      <c r="T49" s="16"/>
      <c r="U49" s="16"/>
      <c r="V49" s="16"/>
      <c r="W49" s="16"/>
      <c r="X49" s="16"/>
      <c r="Y49" s="16"/>
    </row>
    <row r="50" spans="1:25">
      <c r="A50" s="16"/>
      <c r="B50" s="16"/>
      <c r="C50" s="16"/>
      <c r="D50" s="16"/>
      <c r="E50" s="16"/>
      <c r="F50" s="16"/>
      <c r="G50" s="16"/>
      <c r="H50" s="16"/>
      <c r="I50" s="16"/>
      <c r="J50" s="16"/>
      <c r="K50" s="16"/>
      <c r="L50" s="16"/>
      <c r="M50" s="16"/>
      <c r="N50" s="16"/>
      <c r="O50" s="16"/>
      <c r="P50" s="16"/>
      <c r="Q50" s="16"/>
      <c r="R50" s="16"/>
      <c r="S50" s="16"/>
      <c r="T50" s="16"/>
      <c r="U50" s="16"/>
      <c r="V50" s="16"/>
      <c r="W50" s="16"/>
      <c r="X50" s="16"/>
      <c r="Y50" s="16"/>
    </row>
    <row r="51" spans="1:25">
      <c r="A51" s="16"/>
      <c r="B51" s="16"/>
      <c r="C51" s="16"/>
      <c r="D51" s="16"/>
      <c r="E51" s="16"/>
      <c r="F51" s="16"/>
      <c r="G51" s="16"/>
      <c r="H51" s="16"/>
      <c r="I51" s="16"/>
      <c r="J51" s="16"/>
      <c r="K51" s="16"/>
      <c r="L51" s="16"/>
      <c r="M51" s="16"/>
      <c r="N51" s="16"/>
      <c r="O51" s="16"/>
      <c r="P51" s="16"/>
      <c r="Q51" s="16"/>
      <c r="R51" s="16"/>
      <c r="S51" s="16"/>
      <c r="T51" s="16"/>
      <c r="U51" s="16"/>
      <c r="V51" s="16"/>
      <c r="W51" s="16"/>
      <c r="X51" s="16"/>
      <c r="Y51" s="16"/>
    </row>
    <row r="52" spans="1:25">
      <c r="A52" s="16"/>
      <c r="B52" s="16"/>
      <c r="C52" s="16"/>
      <c r="D52" s="16"/>
      <c r="E52" s="16"/>
      <c r="F52" s="16"/>
      <c r="G52" s="16"/>
      <c r="H52" s="16"/>
      <c r="I52" s="16"/>
      <c r="J52" s="16"/>
      <c r="K52" s="16"/>
      <c r="L52" s="16"/>
      <c r="M52" s="16"/>
      <c r="N52" s="16"/>
      <c r="O52" s="16"/>
      <c r="P52" s="16"/>
      <c r="Q52" s="16"/>
      <c r="R52" s="16"/>
      <c r="S52" s="16"/>
      <c r="T52" s="16"/>
      <c r="U52" s="16"/>
      <c r="V52" s="16"/>
      <c r="W52" s="16"/>
      <c r="X52" s="16"/>
      <c r="Y52" s="16"/>
    </row>
    <row r="53" spans="1:25">
      <c r="A53" s="16"/>
      <c r="B53" s="16"/>
      <c r="C53" s="16"/>
      <c r="D53" s="16"/>
      <c r="E53" s="16"/>
      <c r="F53" s="16"/>
      <c r="G53" s="16"/>
      <c r="H53" s="16"/>
      <c r="I53" s="16"/>
      <c r="J53" s="16"/>
      <c r="K53" s="16"/>
      <c r="L53" s="16"/>
      <c r="M53" s="16"/>
      <c r="N53" s="16"/>
      <c r="O53" s="16"/>
      <c r="P53" s="16"/>
      <c r="Q53" s="16"/>
      <c r="R53" s="16"/>
      <c r="S53" s="16"/>
      <c r="T53" s="16"/>
      <c r="U53" s="16"/>
      <c r="V53" s="16"/>
      <c r="W53" s="16"/>
      <c r="X53" s="16"/>
      <c r="Y53" s="16"/>
    </row>
    <row r="54" spans="1:25">
      <c r="A54" s="16"/>
      <c r="B54" s="16"/>
      <c r="C54" s="16"/>
      <c r="D54" s="16"/>
      <c r="E54" s="16"/>
      <c r="F54" s="16"/>
      <c r="G54" s="16"/>
      <c r="H54" s="16"/>
      <c r="I54" s="16"/>
      <c r="J54" s="16"/>
      <c r="K54" s="16"/>
      <c r="L54" s="16"/>
      <c r="M54" s="16"/>
      <c r="N54" s="16"/>
      <c r="O54" s="16"/>
      <c r="P54" s="16"/>
      <c r="Q54" s="16"/>
      <c r="R54" s="16"/>
      <c r="S54" s="16"/>
      <c r="T54" s="16"/>
      <c r="U54" s="16"/>
      <c r="V54" s="16"/>
      <c r="W54" s="16"/>
      <c r="X54" s="16"/>
      <c r="Y54" s="16"/>
    </row>
    <row r="55" spans="1:25">
      <c r="A55" s="16"/>
      <c r="B55" s="16"/>
      <c r="C55" s="16"/>
      <c r="D55" s="16"/>
      <c r="E55" s="16"/>
      <c r="F55" s="16"/>
      <c r="G55" s="16"/>
      <c r="H55" s="16"/>
      <c r="I55" s="16"/>
      <c r="J55" s="16"/>
      <c r="K55" s="16"/>
      <c r="L55" s="16"/>
      <c r="M55" s="16"/>
      <c r="N55" s="16"/>
      <c r="O55" s="16"/>
      <c r="P55" s="16"/>
      <c r="Q55" s="16"/>
      <c r="R55" s="16"/>
      <c r="S55" s="16"/>
      <c r="T55" s="16"/>
      <c r="U55" s="16"/>
      <c r="V55" s="16"/>
      <c r="W55" s="16"/>
      <c r="X55" s="16"/>
      <c r="Y55" s="16"/>
    </row>
    <row r="56" spans="1:25">
      <c r="A56" s="16"/>
      <c r="B56" s="16"/>
      <c r="C56" s="16"/>
      <c r="D56" s="16"/>
      <c r="E56" s="16"/>
      <c r="F56" s="16"/>
      <c r="G56" s="16"/>
      <c r="H56" s="16"/>
      <c r="I56" s="16"/>
      <c r="J56" s="16"/>
      <c r="K56" s="16"/>
      <c r="L56" s="16"/>
      <c r="M56" s="16"/>
      <c r="N56" s="16"/>
      <c r="O56" s="16"/>
      <c r="P56" s="16"/>
      <c r="Q56" s="16"/>
      <c r="R56" s="16"/>
      <c r="S56" s="16"/>
      <c r="T56" s="16"/>
      <c r="U56" s="16"/>
      <c r="V56" s="16"/>
      <c r="W56" s="16"/>
      <c r="X56" s="16"/>
      <c r="Y56" s="16"/>
    </row>
    <row r="57" spans="1:25">
      <c r="A57" s="16"/>
      <c r="B57" s="16"/>
      <c r="C57" s="16"/>
      <c r="D57" s="16"/>
      <c r="E57" s="16"/>
      <c r="F57" s="16"/>
      <c r="G57" s="16"/>
      <c r="H57" s="16"/>
      <c r="I57" s="16"/>
      <c r="J57" s="16"/>
      <c r="K57" s="16"/>
      <c r="L57" s="16"/>
      <c r="M57" s="16"/>
      <c r="N57" s="16"/>
      <c r="O57" s="16"/>
      <c r="P57" s="16"/>
      <c r="Q57" s="16"/>
      <c r="R57" s="16"/>
      <c r="S57" s="16"/>
      <c r="T57" s="16"/>
      <c r="U57" s="16"/>
      <c r="V57" s="16"/>
      <c r="W57" s="16"/>
      <c r="X57" s="16"/>
      <c r="Y57" s="16"/>
    </row>
    <row r="58" spans="1:25">
      <c r="A58" s="16"/>
      <c r="B58" s="16"/>
      <c r="C58" s="16"/>
      <c r="D58" s="16"/>
      <c r="E58" s="16"/>
      <c r="F58" s="16"/>
      <c r="G58" s="16"/>
      <c r="H58" s="16"/>
      <c r="I58" s="16"/>
      <c r="J58" s="16"/>
      <c r="K58" s="16"/>
      <c r="L58" s="16"/>
      <c r="M58" s="16"/>
      <c r="N58" s="16"/>
      <c r="O58" s="16"/>
      <c r="P58" s="16"/>
      <c r="Q58" s="16"/>
      <c r="R58" s="16"/>
      <c r="S58" s="16"/>
      <c r="T58" s="16"/>
      <c r="U58" s="16"/>
      <c r="V58" s="16"/>
      <c r="W58" s="16"/>
      <c r="X58" s="16"/>
      <c r="Y58" s="16"/>
    </row>
    <row r="59" spans="1:25">
      <c r="A59" s="16"/>
      <c r="B59" s="16"/>
      <c r="C59" s="16"/>
      <c r="D59" s="16"/>
      <c r="E59" s="16"/>
      <c r="F59" s="16"/>
      <c r="G59" s="16"/>
      <c r="H59" s="16"/>
      <c r="I59" s="16"/>
      <c r="J59" s="16"/>
      <c r="K59" s="16"/>
      <c r="L59" s="16"/>
      <c r="M59" s="16"/>
      <c r="N59" s="16"/>
      <c r="O59" s="16"/>
      <c r="P59" s="16"/>
      <c r="Q59" s="16"/>
      <c r="R59" s="16"/>
      <c r="S59" s="16"/>
      <c r="T59" s="16"/>
      <c r="U59" s="16"/>
      <c r="V59" s="16"/>
      <c r="W59" s="16"/>
      <c r="X59" s="16"/>
      <c r="Y59" s="16"/>
    </row>
    <row r="60" spans="1:25">
      <c r="A60" s="16"/>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c r="A61" s="16"/>
      <c r="B61" s="16"/>
      <c r="C61" s="16"/>
      <c r="D61" s="16"/>
      <c r="E61" s="16"/>
      <c r="F61" s="16"/>
      <c r="G61" s="16"/>
      <c r="H61" s="16"/>
      <c r="I61" s="16"/>
      <c r="J61" s="16"/>
      <c r="K61" s="16"/>
      <c r="L61" s="16"/>
      <c r="M61" s="16"/>
      <c r="N61" s="16"/>
      <c r="O61" s="16"/>
      <c r="P61" s="16"/>
      <c r="Q61" s="16"/>
      <c r="R61" s="16"/>
      <c r="S61" s="16"/>
      <c r="T61" s="16"/>
      <c r="U61" s="16"/>
      <c r="V61" s="16"/>
      <c r="W61" s="16"/>
      <c r="X61" s="16"/>
      <c r="Y61" s="16"/>
    </row>
    <row r="62" spans="1:25">
      <c r="A62" s="16"/>
      <c r="B62" s="16"/>
      <c r="C62" s="16"/>
      <c r="D62" s="16"/>
      <c r="E62" s="16"/>
      <c r="F62" s="16"/>
      <c r="G62" s="16"/>
      <c r="H62" s="16"/>
      <c r="I62" s="16"/>
      <c r="J62" s="16"/>
      <c r="K62" s="16"/>
      <c r="L62" s="16"/>
      <c r="M62" s="16"/>
      <c r="N62" s="16"/>
      <c r="O62" s="16"/>
      <c r="P62" s="16"/>
      <c r="Q62" s="16"/>
      <c r="R62" s="16"/>
      <c r="S62" s="16"/>
      <c r="T62" s="16"/>
      <c r="U62" s="16"/>
      <c r="V62" s="16"/>
      <c r="W62" s="16"/>
      <c r="X62" s="16"/>
      <c r="Y62" s="16"/>
    </row>
    <row r="63" spans="1:25">
      <c r="A63" s="16"/>
      <c r="B63" s="16"/>
      <c r="C63" s="16"/>
      <c r="D63" s="16"/>
      <c r="E63" s="16"/>
      <c r="F63" s="16"/>
      <c r="G63" s="16"/>
      <c r="H63" s="16"/>
      <c r="I63" s="16"/>
      <c r="J63" s="16"/>
      <c r="K63" s="16"/>
      <c r="L63" s="16"/>
      <c r="M63" s="16"/>
      <c r="N63" s="16"/>
      <c r="O63" s="16"/>
      <c r="P63" s="16"/>
      <c r="Q63" s="16"/>
      <c r="R63" s="16"/>
      <c r="S63" s="16"/>
      <c r="T63" s="16"/>
      <c r="U63" s="16"/>
      <c r="V63" s="16"/>
      <c r="W63" s="16"/>
      <c r="X63" s="16"/>
      <c r="Y63" s="16"/>
    </row>
    <row r="64" spans="1:25">
      <c r="A64" s="16"/>
      <c r="B64" s="16"/>
      <c r="C64" s="16"/>
      <c r="D64" s="16"/>
      <c r="E64" s="16"/>
      <c r="F64" s="16"/>
      <c r="G64" s="16"/>
      <c r="H64" s="16"/>
      <c r="I64" s="16"/>
      <c r="J64" s="16"/>
      <c r="K64" s="16"/>
      <c r="L64" s="16"/>
      <c r="M64" s="16"/>
      <c r="N64" s="16"/>
      <c r="O64" s="16"/>
      <c r="P64" s="16"/>
      <c r="Q64" s="16"/>
      <c r="R64" s="16"/>
      <c r="S64" s="16"/>
      <c r="T64" s="16"/>
      <c r="U64" s="16"/>
      <c r="V64" s="16"/>
      <c r="W64" s="16"/>
      <c r="X64" s="16"/>
      <c r="Y64" s="16"/>
    </row>
    <row r="65" spans="1:25">
      <c r="A65" s="16"/>
      <c r="B65" s="16"/>
      <c r="C65" s="16"/>
      <c r="D65" s="16"/>
      <c r="E65" s="16"/>
      <c r="F65" s="16"/>
      <c r="G65" s="16"/>
      <c r="H65" s="16"/>
      <c r="I65" s="16"/>
      <c r="J65" s="16"/>
      <c r="K65" s="16"/>
      <c r="L65" s="16"/>
      <c r="M65" s="16"/>
      <c r="N65" s="16"/>
      <c r="O65" s="16"/>
      <c r="P65" s="16"/>
      <c r="Q65" s="16"/>
      <c r="R65" s="16"/>
      <c r="S65" s="16"/>
      <c r="T65" s="16"/>
      <c r="U65" s="16"/>
      <c r="V65" s="16"/>
      <c r="W65" s="16"/>
      <c r="X65" s="16"/>
      <c r="Y65" s="16"/>
    </row>
    <row r="66" spans="1:25">
      <c r="A66" s="16"/>
      <c r="B66" s="16"/>
      <c r="C66" s="16"/>
      <c r="D66" s="16"/>
      <c r="E66" s="16"/>
      <c r="F66" s="16"/>
      <c r="G66" s="16"/>
      <c r="H66" s="16"/>
      <c r="I66" s="16"/>
      <c r="J66" s="16"/>
      <c r="K66" s="16"/>
      <c r="L66" s="16"/>
      <c r="M66" s="16"/>
      <c r="N66" s="16"/>
      <c r="O66" s="16"/>
      <c r="P66" s="16"/>
      <c r="Q66" s="16"/>
      <c r="R66" s="16"/>
      <c r="S66" s="16"/>
      <c r="T66" s="16"/>
      <c r="U66" s="16"/>
      <c r="V66" s="16"/>
      <c r="W66" s="16"/>
      <c r="X66" s="16"/>
      <c r="Y66" s="16"/>
    </row>
    <row r="67" spans="1:25">
      <c r="A67" s="16"/>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c r="A68" s="16"/>
      <c r="B68" s="16"/>
      <c r="C68" s="16"/>
      <c r="D68" s="16"/>
      <c r="E68" s="16"/>
      <c r="F68" s="16"/>
      <c r="G68" s="16"/>
      <c r="H68" s="16"/>
      <c r="I68" s="16"/>
      <c r="J68" s="16"/>
      <c r="K68" s="16"/>
      <c r="L68" s="16"/>
      <c r="M68" s="16"/>
      <c r="N68" s="16"/>
      <c r="O68" s="16"/>
      <c r="P68" s="16"/>
      <c r="Q68" s="16"/>
      <c r="R68" s="16"/>
      <c r="S68" s="16"/>
      <c r="T68" s="16"/>
      <c r="U68" s="16"/>
      <c r="V68" s="16"/>
      <c r="W68" s="16"/>
      <c r="X68" s="16"/>
      <c r="Y68" s="16"/>
    </row>
    <row r="69" spans="1:25">
      <c r="A69" s="16"/>
      <c r="B69" s="16"/>
      <c r="C69" s="16"/>
      <c r="D69" s="16"/>
      <c r="E69" s="16"/>
      <c r="F69" s="16"/>
      <c r="G69" s="16"/>
      <c r="H69" s="16"/>
      <c r="I69" s="16"/>
      <c r="J69" s="16"/>
      <c r="K69" s="16"/>
      <c r="L69" s="16"/>
      <c r="M69" s="16"/>
      <c r="N69" s="16"/>
      <c r="O69" s="16"/>
      <c r="P69" s="16"/>
      <c r="Q69" s="16"/>
      <c r="R69" s="16"/>
      <c r="S69" s="16"/>
      <c r="T69" s="16"/>
      <c r="U69" s="16"/>
      <c r="V69" s="16"/>
      <c r="W69" s="16"/>
      <c r="X69" s="16"/>
      <c r="Y69" s="16"/>
    </row>
    <row r="70" spans="1:25">
      <c r="A70" s="16"/>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25">
      <c r="A71" s="16"/>
      <c r="B71" s="16"/>
      <c r="C71" s="16"/>
      <c r="D71" s="16"/>
      <c r="E71" s="16"/>
      <c r="F71" s="16"/>
      <c r="G71" s="16"/>
      <c r="H71" s="16"/>
      <c r="I71" s="16"/>
      <c r="J71" s="16"/>
      <c r="K71" s="16"/>
      <c r="L71" s="16"/>
      <c r="M71" s="16"/>
      <c r="N71" s="16"/>
      <c r="O71" s="16"/>
      <c r="P71" s="16"/>
      <c r="Q71" s="16"/>
      <c r="R71" s="16"/>
      <c r="S71" s="16"/>
      <c r="T71" s="16"/>
      <c r="U71" s="16"/>
      <c r="V71" s="16"/>
      <c r="W71" s="16"/>
      <c r="X71" s="16"/>
      <c r="Y71" s="16"/>
    </row>
    <row r="72" spans="1:25">
      <c r="A72" s="16"/>
      <c r="B72" s="16"/>
      <c r="C72" s="16"/>
      <c r="D72" s="16"/>
      <c r="E72" s="16"/>
      <c r="F72" s="16"/>
      <c r="G72" s="16"/>
      <c r="H72" s="16"/>
      <c r="I72" s="16"/>
      <c r="J72" s="16"/>
      <c r="K72" s="16"/>
      <c r="L72" s="16"/>
      <c r="M72" s="16"/>
      <c r="N72" s="16"/>
      <c r="O72" s="16"/>
      <c r="P72" s="16"/>
      <c r="Q72" s="16"/>
      <c r="R72" s="16"/>
      <c r="S72" s="16"/>
      <c r="T72" s="16"/>
      <c r="U72" s="16"/>
      <c r="V72" s="16"/>
      <c r="W72" s="16"/>
      <c r="X72" s="16"/>
      <c r="Y72" s="16"/>
    </row>
    <row r="73" spans="1:25">
      <c r="A73" s="16"/>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c r="A74" s="16"/>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c r="A75" s="16"/>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c r="A76" s="16"/>
      <c r="B76" s="16"/>
      <c r="C76" s="16"/>
      <c r="D76" s="16"/>
      <c r="E76" s="16"/>
      <c r="F76" s="16"/>
      <c r="G76" s="16"/>
      <c r="H76" s="16"/>
      <c r="I76" s="16"/>
      <c r="J76" s="16"/>
      <c r="K76" s="16"/>
      <c r="L76" s="16"/>
      <c r="M76" s="16"/>
      <c r="N76" s="16"/>
      <c r="O76" s="16"/>
      <c r="P76" s="16"/>
      <c r="Q76" s="16"/>
      <c r="R76" s="16"/>
      <c r="S76" s="16"/>
      <c r="T76" s="16"/>
      <c r="U76" s="16"/>
      <c r="V76" s="16"/>
      <c r="W76" s="16"/>
      <c r="X76" s="16"/>
      <c r="Y76" s="16"/>
    </row>
    <row r="77" spans="1:25">
      <c r="A77" s="16"/>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c r="A78" s="16"/>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c r="A79" s="16"/>
      <c r="B79" s="16"/>
      <c r="C79" s="16"/>
      <c r="D79" s="16"/>
      <c r="E79" s="16"/>
      <c r="F79" s="16"/>
      <c r="G79" s="16"/>
      <c r="H79" s="16"/>
      <c r="I79" s="16"/>
      <c r="J79" s="16"/>
      <c r="K79" s="16"/>
      <c r="L79" s="16"/>
      <c r="M79" s="16"/>
      <c r="N79" s="16"/>
      <c r="O79" s="16"/>
      <c r="P79" s="16"/>
      <c r="Q79" s="16"/>
      <c r="R79" s="16"/>
      <c r="S79" s="16"/>
      <c r="T79" s="16"/>
      <c r="U79" s="16"/>
      <c r="V79" s="16"/>
      <c r="W79" s="16"/>
      <c r="X79" s="16"/>
      <c r="Y79" s="16"/>
    </row>
    <row r="80" spans="1:25">
      <c r="A80" s="16"/>
      <c r="B80" s="16"/>
      <c r="C80" s="16"/>
      <c r="D80" s="16"/>
      <c r="E80" s="16"/>
      <c r="F80" s="16"/>
      <c r="G80" s="16"/>
      <c r="H80" s="16"/>
      <c r="I80" s="16"/>
      <c r="J80" s="16"/>
      <c r="K80" s="16"/>
      <c r="L80" s="16"/>
      <c r="M80" s="16"/>
      <c r="N80" s="16"/>
      <c r="O80" s="16"/>
      <c r="P80" s="16"/>
      <c r="Q80" s="16"/>
      <c r="R80" s="16"/>
      <c r="S80" s="16"/>
      <c r="T80" s="16"/>
      <c r="U80" s="16"/>
      <c r="V80" s="16"/>
      <c r="W80" s="16"/>
      <c r="X80" s="16"/>
      <c r="Y80" s="16"/>
    </row>
    <row r="81" spans="1:25">
      <c r="A81" s="16"/>
      <c r="B81" s="16"/>
      <c r="C81" s="16"/>
      <c r="D81" s="16"/>
      <c r="E81" s="16"/>
      <c r="F81" s="16"/>
      <c r="G81" s="16"/>
      <c r="H81" s="16"/>
      <c r="I81" s="16"/>
      <c r="J81" s="16"/>
      <c r="K81" s="16"/>
      <c r="L81" s="16"/>
      <c r="M81" s="16"/>
      <c r="N81" s="16"/>
      <c r="O81" s="16"/>
      <c r="P81" s="16"/>
      <c r="Q81" s="16"/>
      <c r="R81" s="16"/>
      <c r="S81" s="16"/>
      <c r="T81" s="16"/>
      <c r="U81" s="16"/>
      <c r="V81" s="16"/>
      <c r="W81" s="16"/>
      <c r="X81" s="16"/>
      <c r="Y81" s="16"/>
    </row>
    <row r="82" spans="1:25">
      <c r="A82" s="16"/>
      <c r="B82" s="16"/>
      <c r="C82" s="16"/>
      <c r="D82" s="16"/>
      <c r="E82" s="16"/>
      <c r="F82" s="16"/>
      <c r="G82" s="16"/>
      <c r="H82" s="16"/>
      <c r="I82" s="16"/>
      <c r="J82" s="16"/>
      <c r="K82" s="16"/>
      <c r="L82" s="16"/>
      <c r="M82" s="16"/>
      <c r="N82" s="16"/>
      <c r="O82" s="16"/>
      <c r="P82" s="16"/>
      <c r="Q82" s="16"/>
      <c r="R82" s="16"/>
      <c r="S82" s="16"/>
      <c r="T82" s="16"/>
      <c r="U82" s="16"/>
      <c r="V82" s="16"/>
      <c r="W82" s="16"/>
      <c r="X82" s="16"/>
      <c r="Y82" s="16"/>
    </row>
    <row r="83" spans="1:25">
      <c r="A83" s="16"/>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25">
      <c r="A84" s="16"/>
      <c r="B84" s="16"/>
      <c r="C84" s="16"/>
      <c r="D84" s="16"/>
      <c r="E84" s="16"/>
      <c r="F84" s="16"/>
      <c r="G84" s="16"/>
      <c r="H84" s="16"/>
      <c r="I84" s="16"/>
      <c r="J84" s="16"/>
      <c r="K84" s="16"/>
      <c r="L84" s="16"/>
      <c r="M84" s="16"/>
      <c r="N84" s="16"/>
      <c r="O84" s="16"/>
      <c r="P84" s="16"/>
      <c r="Q84" s="16"/>
      <c r="R84" s="16"/>
      <c r="S84" s="16"/>
      <c r="T84" s="16"/>
      <c r="U84" s="16"/>
      <c r="V84" s="16"/>
      <c r="W84" s="16"/>
      <c r="X84" s="16"/>
      <c r="Y84" s="16"/>
    </row>
    <row r="85" spans="1:25">
      <c r="A85" s="16"/>
      <c r="B85" s="16"/>
      <c r="C85" s="16"/>
      <c r="D85" s="16"/>
      <c r="E85" s="16"/>
      <c r="F85" s="16"/>
      <c r="G85" s="16"/>
      <c r="H85" s="16"/>
      <c r="I85" s="16"/>
      <c r="J85" s="16"/>
      <c r="K85" s="16"/>
      <c r="L85" s="16"/>
      <c r="M85" s="16"/>
      <c r="N85" s="16"/>
      <c r="O85" s="16"/>
      <c r="P85" s="16"/>
      <c r="Q85" s="16"/>
      <c r="R85" s="16"/>
      <c r="S85" s="16"/>
      <c r="T85" s="16"/>
      <c r="U85" s="16"/>
      <c r="V85" s="16"/>
      <c r="W85" s="16"/>
      <c r="X85" s="16"/>
      <c r="Y85" s="16"/>
    </row>
    <row r="86" spans="1:25">
      <c r="A86" s="16"/>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c r="A87" s="16"/>
      <c r="B87" s="16"/>
      <c r="C87" s="16"/>
      <c r="D87" s="16"/>
      <c r="E87" s="16"/>
      <c r="F87" s="16"/>
      <c r="G87" s="16"/>
      <c r="H87" s="16"/>
      <c r="I87" s="16"/>
      <c r="J87" s="16"/>
      <c r="K87" s="16"/>
      <c r="L87" s="16"/>
      <c r="M87" s="16"/>
      <c r="N87" s="16"/>
      <c r="O87" s="16"/>
      <c r="P87" s="16"/>
      <c r="Q87" s="16"/>
      <c r="R87" s="16"/>
      <c r="S87" s="16"/>
      <c r="T87" s="16"/>
      <c r="U87" s="16"/>
      <c r="V87" s="16"/>
      <c r="W87" s="16"/>
      <c r="X87" s="16"/>
      <c r="Y87" s="16"/>
    </row>
    <row r="88" spans="1:25">
      <c r="A88" s="16"/>
      <c r="B88" s="16"/>
      <c r="C88" s="16"/>
      <c r="D88" s="16"/>
      <c r="E88" s="16"/>
      <c r="F88" s="16"/>
      <c r="G88" s="16"/>
      <c r="H88" s="16"/>
      <c r="I88" s="16"/>
      <c r="J88" s="16"/>
      <c r="K88" s="16"/>
      <c r="L88" s="16"/>
      <c r="M88" s="16"/>
      <c r="N88" s="16"/>
      <c r="O88" s="16"/>
      <c r="P88" s="16"/>
      <c r="Q88" s="16"/>
      <c r="R88" s="16"/>
      <c r="S88" s="16"/>
      <c r="T88" s="16"/>
      <c r="U88" s="16"/>
      <c r="V88" s="16"/>
      <c r="W88" s="16"/>
      <c r="X88" s="16"/>
      <c r="Y88" s="16"/>
    </row>
    <row r="89" spans="1:25">
      <c r="A89" s="16"/>
      <c r="B89" s="16"/>
      <c r="C89" s="16"/>
      <c r="D89" s="16"/>
      <c r="E89" s="16"/>
      <c r="F89" s="16"/>
      <c r="G89" s="16"/>
      <c r="H89" s="16"/>
      <c r="I89" s="16"/>
      <c r="J89" s="16"/>
      <c r="K89" s="16"/>
      <c r="L89" s="16"/>
      <c r="M89" s="16"/>
      <c r="N89" s="16"/>
      <c r="O89" s="16"/>
      <c r="P89" s="16"/>
      <c r="Q89" s="16"/>
      <c r="R89" s="16"/>
      <c r="S89" s="16"/>
      <c r="T89" s="16"/>
      <c r="U89" s="16"/>
      <c r="V89" s="16"/>
      <c r="W89" s="16"/>
      <c r="X89" s="16"/>
      <c r="Y89" s="16"/>
    </row>
    <row r="90" spans="1:25">
      <c r="A90" s="16"/>
      <c r="B90" s="16"/>
      <c r="C90" s="16"/>
      <c r="D90" s="16"/>
      <c r="E90" s="16"/>
      <c r="F90" s="16"/>
      <c r="G90" s="16"/>
      <c r="H90" s="16"/>
      <c r="I90" s="16"/>
      <c r="J90" s="16"/>
      <c r="K90" s="16"/>
      <c r="L90" s="16"/>
      <c r="M90" s="16"/>
      <c r="N90" s="16"/>
      <c r="O90" s="16"/>
      <c r="P90" s="16"/>
      <c r="Q90" s="16"/>
      <c r="R90" s="16"/>
      <c r="S90" s="16"/>
      <c r="T90" s="16"/>
      <c r="U90" s="16"/>
      <c r="V90" s="16"/>
      <c r="W90" s="16"/>
      <c r="X90" s="16"/>
      <c r="Y90" s="16"/>
    </row>
    <row r="91" spans="1:25">
      <c r="A91" s="16"/>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c r="A92" s="16"/>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25">
      <c r="A93" s="16"/>
      <c r="B93" s="16"/>
      <c r="C93" s="16"/>
      <c r="D93" s="16"/>
      <c r="E93" s="16"/>
      <c r="F93" s="16"/>
      <c r="G93" s="16"/>
      <c r="H93" s="16"/>
      <c r="I93" s="16"/>
      <c r="J93" s="16"/>
      <c r="K93" s="16"/>
      <c r="L93" s="16"/>
      <c r="M93" s="16"/>
      <c r="N93" s="16"/>
      <c r="O93" s="16"/>
      <c r="P93" s="16"/>
      <c r="Q93" s="16"/>
      <c r="R93" s="16"/>
      <c r="S93" s="16"/>
      <c r="T93" s="16"/>
      <c r="U93" s="16"/>
      <c r="V93" s="16"/>
      <c r="W93" s="16"/>
      <c r="X93" s="16"/>
      <c r="Y93" s="16"/>
    </row>
    <row r="94" spans="1:25">
      <c r="A94" s="16"/>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25">
      <c r="A95" s="16"/>
      <c r="B95" s="16"/>
      <c r="C95" s="16"/>
      <c r="D95" s="16"/>
      <c r="E95" s="16"/>
      <c r="F95" s="16"/>
      <c r="G95" s="16"/>
      <c r="H95" s="16"/>
      <c r="I95" s="16"/>
      <c r="J95" s="16"/>
      <c r="K95" s="16"/>
      <c r="L95" s="16"/>
      <c r="M95" s="16"/>
      <c r="N95" s="16"/>
      <c r="O95" s="16"/>
      <c r="P95" s="16"/>
      <c r="Q95" s="16"/>
      <c r="R95" s="16"/>
      <c r="S95" s="16"/>
      <c r="T95" s="16"/>
      <c r="U95" s="16"/>
      <c r="V95" s="16"/>
      <c r="W95" s="16"/>
      <c r="X95" s="16"/>
      <c r="Y95" s="16"/>
    </row>
    <row r="96" spans="1:25">
      <c r="A96" s="16"/>
      <c r="B96" s="16"/>
      <c r="C96" s="16"/>
      <c r="D96" s="16"/>
      <c r="E96" s="16"/>
      <c r="F96" s="16"/>
      <c r="G96" s="16"/>
      <c r="H96" s="16"/>
      <c r="I96" s="16"/>
      <c r="J96" s="16"/>
      <c r="K96" s="16"/>
      <c r="L96" s="16"/>
      <c r="M96" s="16"/>
      <c r="N96" s="16"/>
      <c r="O96" s="16"/>
      <c r="P96" s="16"/>
      <c r="Q96" s="16"/>
      <c r="R96" s="16"/>
      <c r="S96" s="16"/>
      <c r="T96" s="16"/>
      <c r="U96" s="16"/>
      <c r="V96" s="16"/>
      <c r="W96" s="16"/>
      <c r="X96" s="16"/>
      <c r="Y96" s="16"/>
    </row>
    <row r="97" spans="1:25">
      <c r="A97" s="16"/>
      <c r="B97" s="16"/>
      <c r="C97" s="16"/>
      <c r="D97" s="16"/>
      <c r="E97" s="16"/>
      <c r="F97" s="16"/>
      <c r="G97" s="16"/>
      <c r="H97" s="16"/>
      <c r="I97" s="16"/>
      <c r="J97" s="16"/>
      <c r="K97" s="16"/>
      <c r="L97" s="16"/>
      <c r="M97" s="16"/>
      <c r="N97" s="16"/>
      <c r="O97" s="16"/>
      <c r="P97" s="16"/>
      <c r="Q97" s="16"/>
      <c r="R97" s="16"/>
      <c r="S97" s="16"/>
      <c r="T97" s="16"/>
      <c r="U97" s="16"/>
      <c r="V97" s="16"/>
      <c r="W97" s="16"/>
      <c r="X97" s="16"/>
      <c r="Y97" s="16"/>
    </row>
    <row r="98" spans="1:25">
      <c r="A98" s="16"/>
      <c r="B98" s="16"/>
      <c r="C98" s="16"/>
      <c r="D98" s="16"/>
      <c r="E98" s="16"/>
      <c r="F98" s="16"/>
      <c r="G98" s="16"/>
      <c r="H98" s="16"/>
      <c r="I98" s="16"/>
      <c r="J98" s="16"/>
      <c r="K98" s="16"/>
      <c r="L98" s="16"/>
      <c r="M98" s="16"/>
      <c r="N98" s="16"/>
      <c r="O98" s="16"/>
      <c r="P98" s="16"/>
      <c r="Q98" s="16"/>
      <c r="R98" s="16"/>
      <c r="S98" s="16"/>
      <c r="T98" s="16"/>
      <c r="U98" s="16"/>
      <c r="V98" s="16"/>
      <c r="W98" s="16"/>
      <c r="X98" s="16"/>
      <c r="Y98" s="16"/>
    </row>
    <row r="99" spans="1:25">
      <c r="A99" s="16"/>
      <c r="B99" s="16"/>
      <c r="C99" s="16"/>
      <c r="D99" s="16"/>
      <c r="E99" s="16"/>
      <c r="F99" s="16"/>
      <c r="G99" s="16"/>
      <c r="H99" s="16"/>
      <c r="I99" s="16"/>
      <c r="J99" s="16"/>
      <c r="K99" s="16"/>
      <c r="L99" s="16"/>
      <c r="M99" s="16"/>
      <c r="N99" s="16"/>
      <c r="O99" s="16"/>
      <c r="P99" s="16"/>
      <c r="Q99" s="16"/>
      <c r="R99" s="16"/>
      <c r="S99" s="16"/>
      <c r="T99" s="16"/>
      <c r="U99" s="16"/>
      <c r="V99" s="16"/>
      <c r="W99" s="16"/>
      <c r="X99" s="16"/>
      <c r="Y99" s="16"/>
    </row>
    <row r="100" spans="1: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spans="1: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spans="1: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spans="1: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spans="1: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spans="1: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spans="1: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spans="1: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spans="1: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spans="1: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spans="1: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spans="1: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spans="1: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spans="1: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spans="1: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spans="1: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spans="1: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spans="1: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spans="1: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spans="1: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spans="1: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spans="1: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spans="1: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spans="1: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spans="1: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spans="1: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spans="1: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spans="1: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spans="1: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spans="1: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spans="1: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spans="1: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spans="1: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spans="1: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spans="1: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spans="1: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spans="1: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spans="1: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spans="1: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spans="1: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spans="1: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spans="1: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spans="1: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spans="1: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spans="1: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spans="1: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spans="1: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spans="1: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spans="1: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spans="1: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spans="1: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spans="1: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spans="1: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spans="1: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spans="1: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spans="1: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spans="1: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spans="1: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spans="1: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spans="1: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spans="1: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spans="1: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spans="1: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spans="1: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spans="1: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spans="1: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spans="1: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spans="1: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spans="1: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spans="1: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spans="1: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spans="1: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spans="1: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spans="1: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spans="1: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spans="1: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spans="1: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spans="1: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spans="1: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spans="1: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spans="1: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spans="1: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spans="1: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spans="1: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spans="1: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spans="1: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spans="1: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spans="1: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spans="1: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spans="1: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spans="1: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spans="1: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spans="1: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spans="1: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spans="1: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spans="1: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spans="1: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spans="1: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spans="1: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spans="1: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spans="1: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spans="1: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spans="1: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spans="1: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spans="1: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spans="1: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spans="1: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spans="1: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spans="1: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spans="1: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spans="1: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spans="1: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spans="1: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spans="1: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spans="1: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spans="1: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spans="1: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spans="1: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spans="1: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spans="1: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spans="1: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spans="1: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spans="1: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spans="1: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spans="1: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spans="1: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spans="1: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spans="1: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spans="1: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spans="1: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spans="1: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spans="1: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spans="1: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spans="1: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spans="1: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spans="1: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spans="1: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spans="1: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spans="1: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spans="1: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spans="1: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spans="1: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spans="1: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spans="1: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spans="1: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spans="1: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spans="1: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spans="1: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spans="1: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spans="1: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spans="1: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spans="1: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spans="1: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spans="1: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spans="1: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spans="1: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spans="1: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spans="1: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spans="1: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spans="1: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spans="1: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spans="1: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spans="1: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spans="1: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spans="1: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spans="1: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spans="1: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spans="1: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spans="1: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spans="1: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spans="1: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spans="1: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spans="1: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spans="1: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spans="1: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spans="1: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spans="1: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spans="1: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spans="1: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spans="1: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spans="1: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spans="1: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spans="1: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spans="1: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spans="1: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spans="1: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spans="1: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spans="1: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spans="1: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spans="1: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spans="1: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spans="1: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spans="1: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spans="1: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spans="1: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spans="1: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spans="1: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spans="1: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spans="1: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spans="1: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spans="1: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spans="1: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spans="1: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spans="1: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spans="1: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spans="1: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spans="1: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spans="1: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spans="1: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spans="1: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spans="1: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spans="1: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spans="1: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spans="1: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spans="1: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spans="1: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spans="1: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spans="1: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spans="1: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spans="1: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spans="1: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spans="1: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spans="1: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spans="1: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spans="1: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spans="1: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spans="1: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spans="1: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spans="1: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spans="1: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spans="1: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spans="1: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spans="1: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spans="1: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spans="1: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spans="1: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spans="1: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spans="1: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spans="1: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spans="1: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spans="1: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spans="1: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spans="1: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spans="1: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spans="1: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spans="1: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spans="1: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spans="1: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spans="1: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spans="1: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spans="1: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spans="1: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spans="1: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spans="1: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spans="1: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spans="1: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spans="1: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spans="1: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spans="1: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spans="1: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spans="1: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spans="1: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spans="1: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spans="1: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spans="1: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spans="1: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spans="1: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spans="1: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spans="1: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spans="1: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spans="1: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spans="1: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spans="1: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spans="1: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spans="1: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spans="1: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spans="1: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spans="1: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spans="1: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spans="1: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spans="1: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spans="1: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spans="1: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spans="1: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spans="1: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spans="1: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spans="1: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spans="1: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spans="1: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spans="1: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spans="1: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spans="1: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spans="1: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spans="1: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spans="1: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spans="1: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spans="1: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spans="1: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spans="1: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spans="1: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spans="1: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spans="1: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spans="1: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spans="1: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spans="1: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spans="1: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spans="1: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spans="1: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spans="1: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spans="1: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spans="1: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spans="1: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spans="1: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spans="1: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spans="1: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spans="1: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spans="1: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spans="1: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spans="1: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spans="1: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spans="1: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spans="1: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spans="1: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spans="1: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spans="1: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spans="1: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spans="1: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spans="1: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spans="1: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spans="1: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spans="1: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spans="1: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spans="1: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spans="1: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spans="1: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spans="1: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spans="1: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spans="1: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spans="1: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spans="1: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spans="1: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spans="1: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spans="1: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spans="1: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spans="1: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spans="1: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spans="1: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spans="1: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spans="1: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spans="1: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spans="1: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spans="1: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spans="1: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spans="1: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spans="1: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spans="1: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spans="1: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spans="1: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spans="1: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spans="1: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spans="1: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spans="1: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spans="1: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spans="1: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spans="1: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spans="1: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spans="1: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spans="1: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spans="1: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spans="1: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spans="1: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spans="1: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spans="1: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spans="1: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spans="1: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spans="1: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spans="1: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spans="1: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spans="1: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spans="1: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spans="1: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spans="1: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spans="1: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spans="1: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spans="1: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spans="1: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spans="1: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spans="1: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spans="1: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spans="1: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spans="1: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spans="1: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spans="1: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spans="1: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spans="1: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spans="1: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spans="1: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spans="1: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spans="1: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spans="1: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spans="1: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spans="1: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spans="1: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spans="1: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spans="1: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spans="1: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spans="1: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spans="1: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spans="1: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spans="1: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spans="1: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spans="1: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spans="1: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spans="1: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spans="1: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spans="1: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spans="1: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spans="1: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spans="1: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spans="1: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spans="1: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spans="1: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spans="1: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spans="1: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spans="1: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spans="1: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spans="1: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spans="1: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spans="1: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spans="1: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spans="1: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spans="1: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spans="1: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spans="1: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spans="1: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spans="1: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spans="1: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spans="1: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spans="1: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spans="1: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spans="1: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spans="1: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spans="1: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spans="1: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spans="1: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spans="1: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spans="1: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spans="1: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spans="1: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spans="1: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spans="1: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spans="1: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spans="1: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spans="1: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spans="1: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spans="1: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spans="1: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spans="1: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spans="1: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spans="1: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spans="1: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spans="1: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spans="1: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spans="1: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spans="1: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spans="1: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spans="1: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spans="1: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spans="1: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spans="1: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spans="1: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spans="1: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spans="1: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spans="1: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spans="1: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spans="1: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spans="1: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spans="1: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spans="1: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spans="1: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spans="1: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spans="1: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spans="1: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spans="1: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spans="1: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spans="1: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spans="1: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spans="1: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spans="1: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spans="1: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spans="1: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spans="1: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spans="1: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spans="1: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spans="1: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spans="1: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spans="1: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spans="1: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spans="1: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spans="1: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spans="1: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spans="1: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spans="1: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spans="1: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spans="1: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spans="1: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spans="1: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spans="1: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spans="1: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spans="1: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spans="1: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spans="1: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spans="1: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spans="1: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spans="1: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spans="1: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spans="1: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spans="1: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spans="1: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spans="1: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spans="1: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spans="1: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spans="1: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spans="1: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spans="1: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spans="1: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spans="1: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spans="1: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spans="1: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spans="1: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spans="1: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spans="1: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spans="1: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spans="1: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spans="1: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spans="1: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spans="1: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spans="1: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spans="1: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spans="1: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spans="1: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spans="1: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spans="1: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spans="1: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spans="1: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spans="1: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spans="1: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spans="1: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spans="1: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spans="1: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spans="1: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spans="1: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spans="1: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spans="1: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spans="1: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spans="1: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spans="1: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spans="1: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spans="1: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spans="1: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spans="1: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spans="1: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spans="1: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spans="1: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spans="1: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spans="1: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spans="1: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spans="1: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spans="1: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spans="1: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spans="1: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spans="1: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spans="1: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spans="1: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spans="1: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spans="1: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spans="1: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spans="1: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spans="1: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spans="1: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spans="1: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spans="1: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spans="1: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spans="1: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spans="1: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spans="1: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spans="1: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spans="1: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spans="1: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spans="1: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spans="1: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spans="1: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spans="1: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spans="1: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spans="1: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spans="1: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spans="1: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spans="1: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spans="1: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spans="1: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spans="1: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spans="1: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spans="1: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spans="1: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spans="1: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spans="1: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spans="1: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spans="1: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spans="1: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spans="1: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spans="1: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spans="1: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spans="1: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spans="1: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spans="1: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spans="1: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spans="1: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spans="1: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spans="1: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spans="1: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spans="1: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spans="1: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spans="1: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spans="1: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spans="1: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spans="1: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spans="1: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spans="1: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spans="1: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spans="1: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spans="1: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spans="1: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spans="1: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spans="1: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spans="1: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spans="1: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spans="1: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spans="1: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spans="1: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spans="1: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spans="1: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spans="1: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spans="1: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spans="1: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spans="1: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spans="1: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spans="1: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spans="1: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spans="1: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spans="1: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spans="1: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spans="1: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spans="1: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spans="1: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spans="1: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spans="1: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spans="1: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spans="1: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spans="1: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spans="1: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spans="1: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spans="1: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spans="1: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spans="1: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spans="1: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spans="1: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spans="1: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spans="1: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spans="1: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spans="1: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spans="1: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spans="1: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spans="1: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spans="1: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spans="1: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spans="1: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spans="1: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spans="1: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spans="1: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spans="1: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spans="1: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spans="1: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spans="1: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spans="1: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spans="1: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spans="1: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spans="1: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spans="1: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spans="1: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spans="1: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spans="1: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spans="1: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spans="1: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spans="1: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spans="1: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spans="1: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spans="1: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spans="1: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spans="1: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spans="1: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spans="1: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spans="1: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spans="1: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spans="1: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spans="1: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spans="1: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spans="1: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spans="1: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spans="1: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spans="1: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spans="1: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spans="1: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spans="1: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spans="1: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spans="1: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spans="1: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spans="1: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spans="1: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spans="1: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spans="1: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spans="1: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spans="1: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spans="1: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spans="1: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spans="1: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spans="1: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spans="1: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spans="1: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row r="984" spans="1: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row>
    <row r="985" spans="1: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row>
    <row r="986" spans="1: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row>
    <row r="987" spans="1: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row>
    <row r="988" spans="1: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row>
    <row r="989" spans="1: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row>
    <row r="990" spans="1: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row>
    <row r="991" spans="1: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row>
    <row r="992" spans="1: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row>
    <row r="993" spans="1: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row>
    <row r="994" spans="1: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row>
    <row r="995" spans="1: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row>
    <row r="996" spans="1: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row>
    <row r="997" spans="1: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row>
    <row r="998" spans="1: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row>
    <row r="999" spans="1: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row>
    <row r="1000" spans="1: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row>
    <row r="1001" spans="1:2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row>
    <row r="1002" spans="1:25">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row>
    <row r="1003" spans="1:25">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row>
    <row r="1004" spans="1:25">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row>
    <row r="1005" spans="1:2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row>
  </sheetData>
  <mergeCells count="3">
    <mergeCell ref="B2:G2"/>
    <mergeCell ref="H2:L2"/>
    <mergeCell ref="B22:H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3"/>
  <sheetViews>
    <sheetView workbookViewId="0"/>
  </sheetViews>
  <sheetFormatPr defaultColWidth="12.5703125" defaultRowHeight="15.75" customHeight="1"/>
  <cols>
    <col min="2" max="2" width="24" customWidth="1"/>
  </cols>
  <sheetData>
    <row r="1" spans="1:26">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c r="A2" s="16"/>
      <c r="B2" s="16"/>
      <c r="C2" s="17"/>
      <c r="D2" s="17"/>
      <c r="E2" s="17"/>
      <c r="F2" s="17"/>
      <c r="G2" s="17"/>
      <c r="H2" s="17"/>
      <c r="I2" s="17"/>
      <c r="J2" s="17"/>
      <c r="K2" s="17"/>
      <c r="L2" s="17"/>
      <c r="M2" s="17"/>
      <c r="N2" s="16"/>
      <c r="O2" s="16"/>
      <c r="P2" s="16"/>
      <c r="Q2" s="16"/>
      <c r="R2" s="16"/>
      <c r="S2" s="16"/>
      <c r="T2" s="16"/>
      <c r="U2" s="16"/>
      <c r="V2" s="16"/>
      <c r="W2" s="16"/>
      <c r="X2" s="16"/>
      <c r="Y2" s="16"/>
      <c r="Z2" s="16"/>
    </row>
    <row r="3" spans="1:26">
      <c r="A3" s="16"/>
      <c r="B3" s="18"/>
      <c r="C3" s="235" t="s">
        <v>22</v>
      </c>
      <c r="D3" s="236"/>
      <c r="E3" s="236"/>
      <c r="F3" s="236"/>
      <c r="G3" s="236"/>
      <c r="H3" s="237"/>
      <c r="I3" s="238" t="s">
        <v>23</v>
      </c>
      <c r="J3" s="236"/>
      <c r="K3" s="236"/>
      <c r="L3" s="236"/>
      <c r="M3" s="239"/>
      <c r="N3" s="19"/>
      <c r="O3" s="16"/>
      <c r="P3" s="16"/>
      <c r="Q3" s="16"/>
      <c r="R3" s="16"/>
      <c r="S3" s="16"/>
      <c r="T3" s="16"/>
      <c r="U3" s="16"/>
      <c r="V3" s="16"/>
      <c r="W3" s="16"/>
      <c r="X3" s="16"/>
      <c r="Y3" s="16"/>
      <c r="Z3" s="16"/>
    </row>
    <row r="4" spans="1:26">
      <c r="A4" s="16"/>
      <c r="B4" s="18"/>
      <c r="C4" s="88">
        <v>2020</v>
      </c>
      <c r="D4" s="89">
        <f t="shared" ref="D4:M4" si="0">C4+1</f>
        <v>2021</v>
      </c>
      <c r="E4" s="89">
        <f t="shared" si="0"/>
        <v>2022</v>
      </c>
      <c r="F4" s="89">
        <f t="shared" si="0"/>
        <v>2023</v>
      </c>
      <c r="G4" s="89">
        <f t="shared" si="0"/>
        <v>2024</v>
      </c>
      <c r="H4" s="89">
        <f t="shared" si="0"/>
        <v>2025</v>
      </c>
      <c r="I4" s="90">
        <f t="shared" si="0"/>
        <v>2026</v>
      </c>
      <c r="J4" s="90">
        <f t="shared" si="0"/>
        <v>2027</v>
      </c>
      <c r="K4" s="90">
        <f t="shared" si="0"/>
        <v>2028</v>
      </c>
      <c r="L4" s="90">
        <f t="shared" si="0"/>
        <v>2029</v>
      </c>
      <c r="M4" s="91">
        <f t="shared" si="0"/>
        <v>2030</v>
      </c>
      <c r="N4" s="19"/>
      <c r="O4" s="16"/>
      <c r="P4" s="16"/>
      <c r="Q4" s="16"/>
      <c r="R4" s="16"/>
      <c r="S4" s="16"/>
      <c r="T4" s="16"/>
      <c r="U4" s="16"/>
      <c r="V4" s="16"/>
      <c r="W4" s="16"/>
      <c r="X4" s="16"/>
      <c r="Y4" s="16"/>
      <c r="Z4" s="16"/>
    </row>
    <row r="5" spans="1:26">
      <c r="A5" s="16"/>
      <c r="B5" s="20" t="s">
        <v>45</v>
      </c>
      <c r="C5" s="92">
        <v>89</v>
      </c>
      <c r="D5" s="93">
        <v>89</v>
      </c>
      <c r="E5" s="93">
        <v>89</v>
      </c>
      <c r="F5" s="93">
        <v>89</v>
      </c>
      <c r="G5" s="93">
        <v>89</v>
      </c>
      <c r="H5" s="93">
        <v>89</v>
      </c>
      <c r="I5" s="93">
        <v>89</v>
      </c>
      <c r="J5" s="93">
        <v>89</v>
      </c>
      <c r="K5" s="93">
        <v>89</v>
      </c>
      <c r="L5" s="93">
        <v>89</v>
      </c>
      <c r="M5" s="94">
        <v>89</v>
      </c>
      <c r="N5" s="95"/>
      <c r="O5" s="16"/>
      <c r="P5" s="16"/>
      <c r="Q5" s="16"/>
      <c r="R5" s="16"/>
      <c r="S5" s="16"/>
      <c r="T5" s="16"/>
      <c r="U5" s="16"/>
      <c r="V5" s="16"/>
      <c r="W5" s="16"/>
      <c r="X5" s="16"/>
      <c r="Y5" s="16"/>
      <c r="Z5" s="16"/>
    </row>
    <row r="6" spans="1:26">
      <c r="A6" s="16"/>
      <c r="B6" s="20" t="s">
        <v>46</v>
      </c>
      <c r="C6" s="66">
        <v>6580</v>
      </c>
      <c r="D6" s="68">
        <v>7408</v>
      </c>
      <c r="E6" s="68">
        <v>9214</v>
      </c>
      <c r="F6" s="68">
        <v>11762</v>
      </c>
      <c r="G6" s="68">
        <v>9304</v>
      </c>
      <c r="H6" s="68">
        <v>11535</v>
      </c>
      <c r="I6" s="62">
        <f>H6+'Profit and Loss'!H16</f>
        <v>17561.56482996</v>
      </c>
      <c r="J6" s="62">
        <f>I6+'Profit and Loss'!I16</f>
        <v>25311.831828796803</v>
      </c>
      <c r="K6" s="62">
        <f>J6+'Profit and Loss'!J16</f>
        <v>34900.729217278393</v>
      </c>
      <c r="L6" s="62">
        <f>K6+'Profit and Loss'!K16</f>
        <v>45880.43602138618</v>
      </c>
      <c r="M6" s="96">
        <f>L6+'Profit and Loss'!L16</f>
        <v>58025.613505904752</v>
      </c>
      <c r="N6" s="19"/>
      <c r="O6" s="16"/>
      <c r="P6" s="16"/>
      <c r="Q6" s="16"/>
      <c r="R6" s="16"/>
      <c r="S6" s="16"/>
      <c r="T6" s="16"/>
      <c r="U6" s="16"/>
      <c r="V6" s="16"/>
      <c r="W6" s="16"/>
      <c r="X6" s="16"/>
      <c r="Y6" s="16"/>
      <c r="Z6" s="16"/>
    </row>
    <row r="7" spans="1:26">
      <c r="A7" s="16"/>
      <c r="B7" s="20" t="s">
        <v>47</v>
      </c>
      <c r="C7" s="61">
        <f t="shared" ref="C7:M7" si="1">C5+C6</f>
        <v>6669</v>
      </c>
      <c r="D7" s="62">
        <f t="shared" si="1"/>
        <v>7497</v>
      </c>
      <c r="E7" s="62">
        <f t="shared" si="1"/>
        <v>9303</v>
      </c>
      <c r="F7" s="62">
        <f t="shared" si="1"/>
        <v>11851</v>
      </c>
      <c r="G7" s="62">
        <f t="shared" si="1"/>
        <v>9393</v>
      </c>
      <c r="H7" s="62">
        <f t="shared" si="1"/>
        <v>11624</v>
      </c>
      <c r="I7" s="62">
        <f t="shared" si="1"/>
        <v>17650.56482996</v>
      </c>
      <c r="J7" s="62">
        <f t="shared" si="1"/>
        <v>25400.831828796803</v>
      </c>
      <c r="K7" s="62">
        <f t="shared" si="1"/>
        <v>34989.729217278393</v>
      </c>
      <c r="L7" s="62">
        <f t="shared" si="1"/>
        <v>45969.43602138618</v>
      </c>
      <c r="M7" s="96">
        <f t="shared" si="1"/>
        <v>58114.613505904752</v>
      </c>
      <c r="N7" s="19"/>
      <c r="O7" s="16"/>
      <c r="P7" s="16"/>
      <c r="Q7" s="16"/>
      <c r="R7" s="16"/>
      <c r="S7" s="16"/>
      <c r="T7" s="16"/>
      <c r="U7" s="16"/>
      <c r="V7" s="16"/>
      <c r="W7" s="16"/>
      <c r="X7" s="16"/>
      <c r="Y7" s="16"/>
      <c r="Z7" s="16"/>
    </row>
    <row r="8" spans="1:26">
      <c r="A8" s="16"/>
      <c r="B8" s="20" t="s">
        <v>48</v>
      </c>
      <c r="C8" s="97">
        <v>3562</v>
      </c>
      <c r="D8" s="98">
        <v>5638</v>
      </c>
      <c r="E8" s="98">
        <v>7275</v>
      </c>
      <c r="F8" s="98">
        <v>9367</v>
      </c>
      <c r="G8" s="98">
        <v>15528</v>
      </c>
      <c r="H8" s="98">
        <v>12967</v>
      </c>
      <c r="I8" s="62">
        <f t="shared" ref="I8:M8" si="2">H8-1000</f>
        <v>11967</v>
      </c>
      <c r="J8" s="62">
        <f t="shared" si="2"/>
        <v>10967</v>
      </c>
      <c r="K8" s="62">
        <f t="shared" si="2"/>
        <v>9967</v>
      </c>
      <c r="L8" s="62">
        <f t="shared" si="2"/>
        <v>8967</v>
      </c>
      <c r="M8" s="96">
        <f t="shared" si="2"/>
        <v>7967</v>
      </c>
      <c r="N8" s="19"/>
      <c r="O8" s="16"/>
      <c r="P8" s="16"/>
      <c r="Q8" s="16"/>
      <c r="R8" s="16"/>
      <c r="S8" s="16"/>
      <c r="T8" s="16"/>
      <c r="U8" s="16"/>
      <c r="V8" s="16"/>
      <c r="W8" s="16"/>
      <c r="X8" s="16"/>
      <c r="Y8" s="16"/>
      <c r="Z8" s="16"/>
    </row>
    <row r="9" spans="1:26">
      <c r="A9" s="16"/>
      <c r="B9" s="20" t="s">
        <v>26</v>
      </c>
      <c r="C9" s="97"/>
      <c r="D9" s="79">
        <f t="shared" ref="D9:H9" si="3">(D8-C8)/C8</f>
        <v>0.5828186412128018</v>
      </c>
      <c r="E9" s="79">
        <f t="shared" si="3"/>
        <v>0.29035118836466833</v>
      </c>
      <c r="F9" s="79">
        <f t="shared" si="3"/>
        <v>0.28756013745704467</v>
      </c>
      <c r="G9" s="79">
        <f t="shared" si="3"/>
        <v>0.65773460019216401</v>
      </c>
      <c r="H9" s="79">
        <f t="shared" si="3"/>
        <v>-0.16492787223080888</v>
      </c>
      <c r="I9" s="16"/>
      <c r="J9" s="16"/>
      <c r="K9" s="16"/>
      <c r="L9" s="16"/>
      <c r="M9" s="54"/>
      <c r="N9" s="19"/>
      <c r="O9" s="16"/>
      <c r="P9" s="16"/>
      <c r="Q9" s="16"/>
      <c r="R9" s="16"/>
      <c r="S9" s="16"/>
      <c r="T9" s="16"/>
      <c r="U9" s="16"/>
      <c r="V9" s="16"/>
      <c r="W9" s="16"/>
      <c r="X9" s="16"/>
      <c r="Y9" s="16"/>
      <c r="Z9" s="16"/>
    </row>
    <row r="10" spans="1:26">
      <c r="A10" s="16"/>
      <c r="B10" s="20"/>
      <c r="C10" s="97"/>
      <c r="D10" s="79"/>
      <c r="E10" s="79"/>
      <c r="F10" s="79"/>
      <c r="G10" s="79"/>
      <c r="H10" s="79"/>
      <c r="I10" s="16"/>
      <c r="J10" s="16"/>
      <c r="K10" s="16"/>
      <c r="L10" s="16"/>
      <c r="M10" s="54"/>
      <c r="N10" s="19"/>
      <c r="O10" s="16"/>
      <c r="P10" s="16"/>
      <c r="Q10" s="16"/>
      <c r="R10" s="16"/>
      <c r="S10" s="16"/>
      <c r="T10" s="16"/>
      <c r="U10" s="16"/>
      <c r="V10" s="16"/>
      <c r="W10" s="16"/>
      <c r="X10" s="16"/>
      <c r="Y10" s="16"/>
      <c r="Z10" s="16"/>
    </row>
    <row r="11" spans="1:26">
      <c r="A11" s="16"/>
      <c r="B11" s="20" t="s">
        <v>49</v>
      </c>
      <c r="C11" s="66">
        <v>3313</v>
      </c>
      <c r="D11" s="68">
        <v>3309</v>
      </c>
      <c r="E11" s="68">
        <v>4610</v>
      </c>
      <c r="F11" s="68">
        <v>5802</v>
      </c>
      <c r="G11" s="68">
        <v>6626</v>
      </c>
      <c r="H11" s="68">
        <v>16056</v>
      </c>
      <c r="I11" s="57">
        <f>($H11/Revenue!$H4)*Revenue!I4</f>
        <v>19941.873120000004</v>
      </c>
      <c r="J11" s="57">
        <f>($H11/Revenue!$H4)*Revenue!J4</f>
        <v>24060.169047376803</v>
      </c>
      <c r="K11" s="57">
        <f>($H11/Revenue!$H4)*Revenue!K4</f>
        <v>28174.698556168711</v>
      </c>
      <c r="L11" s="57">
        <f>($H11/Revenue!$H4)*Revenue!L4</f>
        <v>31992.511084022353</v>
      </c>
      <c r="M11" s="58">
        <f>($H11/Revenue!$H4)*Revenue!M4</f>
        <v>35191.76219242459</v>
      </c>
      <c r="N11" s="19"/>
      <c r="O11" s="16"/>
      <c r="P11" s="16"/>
      <c r="Q11" s="16"/>
      <c r="R11" s="16"/>
      <c r="S11" s="16"/>
      <c r="T11" s="16"/>
      <c r="U11" s="16"/>
      <c r="V11" s="16"/>
      <c r="W11" s="16"/>
      <c r="X11" s="16"/>
      <c r="Y11" s="16"/>
      <c r="Z11" s="16"/>
    </row>
    <row r="12" spans="1:26">
      <c r="A12" s="16"/>
      <c r="B12" s="20" t="s">
        <v>50</v>
      </c>
      <c r="C12" s="66">
        <v>13544</v>
      </c>
      <c r="D12" s="68">
        <v>16444</v>
      </c>
      <c r="E12" s="68">
        <v>21188</v>
      </c>
      <c r="F12" s="68">
        <v>27020</v>
      </c>
      <c r="G12" s="68">
        <v>31547</v>
      </c>
      <c r="H12" s="68">
        <v>40647</v>
      </c>
      <c r="I12" s="62">
        <f t="shared" ref="I12:M12" si="4">I7+I8+I11</f>
        <v>49559.437949960004</v>
      </c>
      <c r="J12" s="62">
        <f t="shared" si="4"/>
        <v>60428.000876173603</v>
      </c>
      <c r="K12" s="62">
        <f t="shared" si="4"/>
        <v>73131.427773447096</v>
      </c>
      <c r="L12" s="62">
        <f t="shared" si="4"/>
        <v>86928.94710540853</v>
      </c>
      <c r="M12" s="96">
        <f t="shared" si="4"/>
        <v>101273.37569832934</v>
      </c>
      <c r="N12" s="19"/>
      <c r="O12" s="16"/>
      <c r="P12" s="16"/>
      <c r="Q12" s="16"/>
      <c r="R12" s="16"/>
      <c r="S12" s="16"/>
      <c r="T12" s="16"/>
      <c r="U12" s="16"/>
      <c r="V12" s="16"/>
      <c r="W12" s="16"/>
      <c r="X12" s="16"/>
      <c r="Y12" s="16"/>
      <c r="Z12" s="16"/>
    </row>
    <row r="13" spans="1:26">
      <c r="A13" s="16"/>
      <c r="B13" s="20"/>
      <c r="C13" s="66"/>
      <c r="D13" s="68"/>
      <c r="E13" s="68"/>
      <c r="F13" s="68"/>
      <c r="G13" s="68"/>
      <c r="H13" s="68"/>
      <c r="I13" s="16"/>
      <c r="J13" s="16"/>
      <c r="K13" s="16"/>
      <c r="L13" s="16"/>
      <c r="M13" s="54"/>
      <c r="N13" s="19"/>
      <c r="O13" s="16"/>
      <c r="P13" s="16"/>
      <c r="Q13" s="16"/>
      <c r="R13" s="16"/>
      <c r="S13" s="16"/>
      <c r="T13" s="16"/>
      <c r="U13" s="16"/>
      <c r="V13" s="16"/>
      <c r="W13" s="16"/>
      <c r="X13" s="16"/>
      <c r="Y13" s="16"/>
      <c r="Z13" s="16"/>
    </row>
    <row r="14" spans="1:26">
      <c r="A14" s="16"/>
      <c r="B14" s="20" t="s">
        <v>51</v>
      </c>
      <c r="C14" s="99">
        <f>'Fixed Assets'!C8</f>
        <v>2523</v>
      </c>
      <c r="D14" s="48">
        <f>'Fixed Assets'!D8</f>
        <v>2544</v>
      </c>
      <c r="E14" s="48">
        <f>'Fixed Assets'!E8</f>
        <v>2998</v>
      </c>
      <c r="F14" s="48">
        <f>'Fixed Assets'!F8</f>
        <v>3709</v>
      </c>
      <c r="G14" s="48">
        <f>'Fixed Assets'!G8</f>
        <v>4003</v>
      </c>
      <c r="H14" s="48">
        <f>'Fixed Assets'!H8</f>
        <v>4708</v>
      </c>
      <c r="I14" s="48">
        <f>'Fixed Assets'!I8</f>
        <v>5383.7880500800002</v>
      </c>
      <c r="J14" s="48">
        <f>'Fixed Assets'!J8</f>
        <v>6199.1364693222713</v>
      </c>
      <c r="K14" s="48">
        <f>'Fixed Assets'!K8</f>
        <v>7153.9176217391632</v>
      </c>
      <c r="L14" s="48">
        <f>'Fixed Assets'!L8</f>
        <v>8238.0763942143076</v>
      </c>
      <c r="M14" s="49">
        <f>'Fixed Assets'!M8</f>
        <v>9430.6510439369667</v>
      </c>
      <c r="N14" s="19"/>
      <c r="O14" s="16"/>
      <c r="P14" s="16"/>
      <c r="Q14" s="16"/>
      <c r="R14" s="16"/>
      <c r="S14" s="16"/>
      <c r="T14" s="16"/>
      <c r="U14" s="16"/>
      <c r="V14" s="16"/>
      <c r="W14" s="16"/>
      <c r="X14" s="16"/>
      <c r="Y14" s="16"/>
      <c r="Z14" s="16"/>
    </row>
    <row r="15" spans="1:26">
      <c r="A15" s="16"/>
      <c r="B15" s="20" t="s">
        <v>52</v>
      </c>
      <c r="C15" s="100">
        <v>18</v>
      </c>
      <c r="D15" s="67">
        <v>32</v>
      </c>
      <c r="E15" s="67">
        <v>85</v>
      </c>
      <c r="F15" s="67">
        <v>144</v>
      </c>
      <c r="G15" s="67">
        <v>97</v>
      </c>
      <c r="H15" s="67">
        <v>93</v>
      </c>
      <c r="I15" s="101">
        <f>(5/10000) * 'Fixed Assets'!I6</f>
        <v>0.75087561120000013</v>
      </c>
      <c r="J15" s="101">
        <f>(5/10000) * 'Fixed Assets'!J6</f>
        <v>0.90594268804696809</v>
      </c>
      <c r="K15" s="101">
        <f>(5/10000) * 'Fixed Assets'!K6</f>
        <v>1.0608679471298801</v>
      </c>
      <c r="L15" s="101">
        <f>(5/10000) * 'Fixed Assets'!L6</f>
        <v>1.2046208583057145</v>
      </c>
      <c r="M15" s="102">
        <f>(5/10000) * 'Fixed Assets'!M6</f>
        <v>1.3250829441362861</v>
      </c>
      <c r="N15" s="19"/>
      <c r="O15" s="16"/>
      <c r="P15" s="16"/>
      <c r="Q15" s="16"/>
      <c r="R15" s="16"/>
      <c r="S15" s="16"/>
      <c r="T15" s="16"/>
      <c r="U15" s="16"/>
      <c r="V15" s="16"/>
      <c r="W15" s="16"/>
      <c r="X15" s="16"/>
      <c r="Y15" s="16"/>
      <c r="Z15" s="16"/>
    </row>
    <row r="16" spans="1:26">
      <c r="A16" s="16"/>
      <c r="B16" s="20" t="s">
        <v>53</v>
      </c>
      <c r="C16" s="100">
        <v>158</v>
      </c>
      <c r="D16" s="68">
        <v>2824</v>
      </c>
      <c r="E16" s="67">
        <v>294</v>
      </c>
      <c r="F16" s="68">
        <v>2515</v>
      </c>
      <c r="G16" s="68">
        <v>2345</v>
      </c>
      <c r="H16" s="68">
        <v>1988</v>
      </c>
      <c r="I16" s="103">
        <v>1988</v>
      </c>
      <c r="J16" s="103">
        <v>1988</v>
      </c>
      <c r="K16" s="103">
        <v>1988</v>
      </c>
      <c r="L16" s="103">
        <v>1988</v>
      </c>
      <c r="M16" s="104">
        <v>1988</v>
      </c>
      <c r="N16" s="19"/>
      <c r="O16" s="16"/>
      <c r="P16" s="16"/>
      <c r="Q16" s="16"/>
      <c r="R16" s="16"/>
      <c r="S16" s="16"/>
      <c r="T16" s="16"/>
      <c r="U16" s="16"/>
      <c r="V16" s="16"/>
      <c r="W16" s="16"/>
      <c r="X16" s="16"/>
      <c r="Y16" s="16"/>
      <c r="Z16" s="16"/>
    </row>
    <row r="17" spans="1:26">
      <c r="A17" s="16"/>
      <c r="B17" s="20" t="s">
        <v>54</v>
      </c>
      <c r="C17" s="100">
        <v>381</v>
      </c>
      <c r="D17" s="67">
        <v>560</v>
      </c>
      <c r="E17" s="68">
        <v>1573</v>
      </c>
      <c r="F17" s="68">
        <v>1343</v>
      </c>
      <c r="G17" s="68">
        <v>1526</v>
      </c>
      <c r="H17" s="68">
        <v>1584</v>
      </c>
      <c r="I17" s="16">
        <f>(1.8/100)*Revenue!I4</f>
        <v>1351.5761001600004</v>
      </c>
      <c r="J17" s="16">
        <f>(1.8/100)*Revenue!J4</f>
        <v>1630.6968384845427</v>
      </c>
      <c r="K17" s="16">
        <f>(1.8/100)*Revenue!K4</f>
        <v>1909.5623048337845</v>
      </c>
      <c r="L17" s="16">
        <f>(1.8/100)*Revenue!L4</f>
        <v>2168.3175449502864</v>
      </c>
      <c r="M17" s="54">
        <f>(1.8/100)*Revenue!M4</f>
        <v>2385.1492994453151</v>
      </c>
      <c r="N17" s="19"/>
      <c r="O17" s="16"/>
      <c r="P17" s="16"/>
      <c r="Q17" s="16"/>
      <c r="R17" s="16"/>
      <c r="S17" s="16"/>
      <c r="T17" s="16"/>
      <c r="U17" s="16"/>
      <c r="V17" s="16"/>
      <c r="W17" s="16"/>
      <c r="X17" s="16"/>
      <c r="Y17" s="16"/>
      <c r="Z17" s="16"/>
    </row>
    <row r="18" spans="1:26">
      <c r="A18" s="16"/>
      <c r="B18" s="20" t="s">
        <v>55</v>
      </c>
      <c r="C18" s="46">
        <f>'Free Cash Flow'!C14</f>
        <v>1939</v>
      </c>
      <c r="D18" s="47">
        <f>'Free Cash Flow'!D14</f>
        <v>1731</v>
      </c>
      <c r="E18" s="47">
        <f>'Free Cash Flow'!E14</f>
        <v>2518</v>
      </c>
      <c r="F18" s="47">
        <f>'Free Cash Flow'!F14</f>
        <v>2762</v>
      </c>
      <c r="G18" s="47">
        <f>'Free Cash Flow'!G14</f>
        <v>3801</v>
      </c>
      <c r="H18" s="47">
        <f>'Free Cash Flow'!H14</f>
        <v>3656</v>
      </c>
      <c r="I18" s="48">
        <f>'Free Cash Flow'!I14</f>
        <v>4542.797447760001</v>
      </c>
      <c r="J18" s="48">
        <f>'Free Cash Flow'!J14</f>
        <v>5480.9532626841565</v>
      </c>
      <c r="K18" s="48">
        <f>'Free Cash Flow'!K14</f>
        <v>6418.2510801357748</v>
      </c>
      <c r="L18" s="48">
        <f>'Free Cash Flow'!L14</f>
        <v>7287.9561927495733</v>
      </c>
      <c r="M18" s="49">
        <f>'Free Cash Flow'!M14</f>
        <v>8016.7518120245313</v>
      </c>
      <c r="N18" s="19"/>
      <c r="O18" s="16"/>
      <c r="P18" s="16"/>
      <c r="Q18" s="16"/>
      <c r="R18" s="16"/>
      <c r="S18" s="16"/>
      <c r="T18" s="16"/>
      <c r="U18" s="16"/>
      <c r="V18" s="16"/>
      <c r="W18" s="16"/>
      <c r="X18" s="16"/>
      <c r="Y18" s="16"/>
      <c r="Z18" s="16"/>
    </row>
    <row r="19" spans="1:26">
      <c r="A19" s="16"/>
      <c r="B19" s="20" t="s">
        <v>56</v>
      </c>
      <c r="C19" s="81">
        <f t="shared" ref="C19:M19" si="5">C14+C15+C16+C17+C18</f>
        <v>5019</v>
      </c>
      <c r="D19" s="82">
        <f t="shared" si="5"/>
        <v>7691</v>
      </c>
      <c r="E19" s="82">
        <f t="shared" si="5"/>
        <v>7468</v>
      </c>
      <c r="F19" s="82">
        <f t="shared" si="5"/>
        <v>10473</v>
      </c>
      <c r="G19" s="82">
        <f t="shared" si="5"/>
        <v>11772</v>
      </c>
      <c r="H19" s="82">
        <f t="shared" si="5"/>
        <v>12029</v>
      </c>
      <c r="I19" s="82">
        <f t="shared" si="5"/>
        <v>13266.912473611203</v>
      </c>
      <c r="J19" s="82">
        <f t="shared" si="5"/>
        <v>15299.692513179016</v>
      </c>
      <c r="K19" s="82">
        <f t="shared" si="5"/>
        <v>17470.79187465585</v>
      </c>
      <c r="L19" s="82">
        <f t="shared" si="5"/>
        <v>19683.554752772474</v>
      </c>
      <c r="M19" s="83">
        <f t="shared" si="5"/>
        <v>21821.877238350949</v>
      </c>
      <c r="N19" s="19"/>
      <c r="O19" s="16"/>
      <c r="P19" s="16"/>
      <c r="Q19" s="16"/>
      <c r="R19" s="16"/>
      <c r="S19" s="16"/>
      <c r="T19" s="16"/>
      <c r="U19" s="16"/>
      <c r="V19" s="16"/>
      <c r="W19" s="16"/>
      <c r="X19" s="16"/>
      <c r="Y19" s="16"/>
      <c r="Z19" s="16"/>
    </row>
    <row r="20" spans="1:26">
      <c r="A20" s="16"/>
      <c r="B20" s="16"/>
      <c r="C20" s="34" t="s">
        <v>28</v>
      </c>
      <c r="D20" s="105"/>
      <c r="E20" s="105"/>
      <c r="F20" s="105"/>
      <c r="G20" s="105"/>
      <c r="H20" s="105"/>
      <c r="I20" s="105"/>
      <c r="J20" s="105"/>
      <c r="K20" s="105"/>
      <c r="L20" s="105"/>
      <c r="M20" s="105"/>
      <c r="N20" s="16"/>
      <c r="O20" s="16"/>
      <c r="P20" s="16"/>
      <c r="Q20" s="16"/>
      <c r="R20" s="16"/>
      <c r="S20" s="16"/>
      <c r="T20" s="16"/>
      <c r="U20" s="16"/>
      <c r="V20" s="16"/>
      <c r="W20" s="16"/>
      <c r="X20" s="16"/>
      <c r="Y20" s="16"/>
      <c r="Z20" s="16"/>
    </row>
    <row r="21" spans="1:26">
      <c r="A21" s="16"/>
      <c r="B21" s="18"/>
      <c r="C21" s="240" t="s">
        <v>57</v>
      </c>
      <c r="D21" s="233"/>
      <c r="E21" s="233"/>
      <c r="F21" s="233"/>
      <c r="G21" s="233"/>
      <c r="H21" s="233"/>
      <c r="I21" s="234"/>
      <c r="J21" s="19"/>
      <c r="K21" s="16"/>
      <c r="L21" s="16"/>
      <c r="M21" s="16"/>
      <c r="N21" s="16"/>
      <c r="O21" s="16"/>
      <c r="P21" s="16"/>
      <c r="Q21" s="16"/>
      <c r="R21" s="16"/>
      <c r="S21" s="16"/>
      <c r="T21" s="16"/>
      <c r="U21" s="16"/>
      <c r="V21" s="16"/>
      <c r="W21" s="16"/>
      <c r="X21" s="16"/>
      <c r="Y21" s="16"/>
      <c r="Z21" s="16"/>
    </row>
    <row r="22" spans="1:26">
      <c r="A22" s="16"/>
      <c r="B22" s="16"/>
      <c r="C22" s="33"/>
      <c r="D22" s="33"/>
      <c r="E22" s="33"/>
      <c r="F22" s="33"/>
      <c r="G22" s="33"/>
      <c r="H22" s="33"/>
      <c r="I22" s="33"/>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33"/>
      <c r="D36" s="33"/>
      <c r="E36" s="33"/>
      <c r="F36" s="33"/>
      <c r="G36" s="33"/>
      <c r="H36" s="33"/>
      <c r="I36" s="33"/>
      <c r="J36" s="33"/>
      <c r="K36" s="33"/>
      <c r="L36" s="33"/>
      <c r="M36" s="33"/>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sheetData>
  <mergeCells count="3">
    <mergeCell ref="C3:H3"/>
    <mergeCell ref="I3:M3"/>
    <mergeCell ref="C21:I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9"/>
  <sheetViews>
    <sheetView workbookViewId="0"/>
  </sheetViews>
  <sheetFormatPr defaultColWidth="12.5703125" defaultRowHeight="15.75" customHeight="1"/>
  <cols>
    <col min="2" max="2" width="18" customWidth="1"/>
    <col min="11" max="11" width="11.85546875" customWidth="1"/>
  </cols>
  <sheetData>
    <row r="1" spans="1:26">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c r="A2" s="16"/>
      <c r="B2" s="16"/>
      <c r="C2" s="17"/>
      <c r="D2" s="17"/>
      <c r="E2" s="17"/>
      <c r="F2" s="17"/>
      <c r="G2" s="17"/>
      <c r="H2" s="17"/>
      <c r="I2" s="17"/>
      <c r="J2" s="17"/>
      <c r="K2" s="17"/>
      <c r="L2" s="17"/>
      <c r="M2" s="17"/>
      <c r="N2" s="16"/>
      <c r="O2" s="16"/>
      <c r="P2" s="16"/>
      <c r="Q2" s="16"/>
      <c r="R2" s="16"/>
      <c r="S2" s="16"/>
      <c r="T2" s="16"/>
      <c r="U2" s="16"/>
      <c r="V2" s="16"/>
      <c r="W2" s="16"/>
      <c r="X2" s="16"/>
      <c r="Y2" s="16"/>
      <c r="Z2" s="16"/>
    </row>
    <row r="3" spans="1:26">
      <c r="A3" s="16"/>
      <c r="B3" s="18"/>
      <c r="C3" s="227" t="s">
        <v>22</v>
      </c>
      <c r="D3" s="228"/>
      <c r="E3" s="228"/>
      <c r="F3" s="228"/>
      <c r="G3" s="228"/>
      <c r="H3" s="229"/>
      <c r="I3" s="230" t="s">
        <v>23</v>
      </c>
      <c r="J3" s="228"/>
      <c r="K3" s="228"/>
      <c r="L3" s="228"/>
      <c r="M3" s="231"/>
      <c r="N3" s="19"/>
      <c r="O3" s="16"/>
      <c r="P3" s="16"/>
      <c r="Q3" s="16"/>
      <c r="R3" s="16"/>
      <c r="S3" s="16"/>
      <c r="T3" s="16"/>
      <c r="U3" s="16"/>
      <c r="V3" s="16"/>
      <c r="W3" s="16"/>
      <c r="X3" s="16"/>
      <c r="Y3" s="16"/>
      <c r="Z3" s="16"/>
    </row>
    <row r="4" spans="1:26">
      <c r="A4" s="16"/>
      <c r="B4" s="20" t="s">
        <v>29</v>
      </c>
      <c r="C4" s="35">
        <v>2020</v>
      </c>
      <c r="D4" s="36">
        <f t="shared" ref="D4:M4" si="0">C4+1</f>
        <v>2021</v>
      </c>
      <c r="E4" s="36">
        <f t="shared" si="0"/>
        <v>2022</v>
      </c>
      <c r="F4" s="36">
        <f t="shared" si="0"/>
        <v>2023</v>
      </c>
      <c r="G4" s="36">
        <f t="shared" si="0"/>
        <v>2024</v>
      </c>
      <c r="H4" s="36">
        <f t="shared" si="0"/>
        <v>2025</v>
      </c>
      <c r="I4" s="37">
        <f t="shared" si="0"/>
        <v>2026</v>
      </c>
      <c r="J4" s="37">
        <f t="shared" si="0"/>
        <v>2027</v>
      </c>
      <c r="K4" s="37">
        <f t="shared" si="0"/>
        <v>2028</v>
      </c>
      <c r="L4" s="37">
        <f t="shared" si="0"/>
        <v>2029</v>
      </c>
      <c r="M4" s="38">
        <f t="shared" si="0"/>
        <v>2030</v>
      </c>
      <c r="N4" s="19"/>
      <c r="O4" s="16"/>
      <c r="P4" s="16"/>
      <c r="Q4" s="16"/>
      <c r="R4" s="16"/>
      <c r="S4" s="16"/>
      <c r="T4" s="16"/>
      <c r="U4" s="16"/>
      <c r="V4" s="16"/>
      <c r="W4" s="16"/>
      <c r="X4" s="16"/>
      <c r="Y4" s="16"/>
      <c r="Z4" s="16"/>
    </row>
    <row r="5" spans="1:26">
      <c r="A5" s="16"/>
      <c r="B5" s="20" t="s">
        <v>58</v>
      </c>
      <c r="C5" s="106">
        <v>2633</v>
      </c>
      <c r="D5" s="107">
        <v>2523</v>
      </c>
      <c r="E5" s="107">
        <v>2544</v>
      </c>
      <c r="F5" s="107">
        <v>2998</v>
      </c>
      <c r="G5" s="107">
        <v>3709</v>
      </c>
      <c r="H5" s="107">
        <v>4003</v>
      </c>
      <c r="I5" s="27">
        <f t="shared" ref="I5:M5" si="1">H8</f>
        <v>4708</v>
      </c>
      <c r="J5" s="27">
        <f t="shared" si="1"/>
        <v>5383.7880500800002</v>
      </c>
      <c r="K5" s="27">
        <f t="shared" si="1"/>
        <v>6199.1364693222713</v>
      </c>
      <c r="L5" s="27">
        <f t="shared" si="1"/>
        <v>7153.9176217391632</v>
      </c>
      <c r="M5" s="28">
        <f t="shared" si="1"/>
        <v>8238.0763942143076</v>
      </c>
      <c r="N5" s="19"/>
      <c r="O5" s="16"/>
      <c r="P5" s="16"/>
      <c r="Q5" s="16"/>
      <c r="R5" s="16"/>
      <c r="S5" s="16"/>
      <c r="T5" s="16"/>
      <c r="U5" s="16"/>
      <c r="V5" s="16"/>
      <c r="W5" s="16"/>
      <c r="X5" s="16"/>
      <c r="Y5" s="16"/>
      <c r="Z5" s="16"/>
    </row>
    <row r="6" spans="1:26">
      <c r="A6" s="16"/>
      <c r="B6" s="20" t="s">
        <v>59</v>
      </c>
      <c r="C6" s="71">
        <f t="shared" ref="C6:H6" si="2">C8-C5+C7</f>
        <v>238</v>
      </c>
      <c r="D6" s="57">
        <f t="shared" si="2"/>
        <v>396</v>
      </c>
      <c r="E6" s="57">
        <f t="shared" si="2"/>
        <v>853</v>
      </c>
      <c r="F6" s="57">
        <f t="shared" si="2"/>
        <v>1152</v>
      </c>
      <c r="G6" s="57">
        <f t="shared" si="2"/>
        <v>878</v>
      </c>
      <c r="H6" s="57">
        <f t="shared" si="2"/>
        <v>1398</v>
      </c>
      <c r="I6" s="57">
        <f>2*Revenue!I4/100</f>
        <v>1501.7512224000002</v>
      </c>
      <c r="J6" s="57">
        <f>2*Revenue!J4/100</f>
        <v>1811.8853760939362</v>
      </c>
      <c r="K6" s="57">
        <f>2*Revenue!K4/100</f>
        <v>2121.7358942597602</v>
      </c>
      <c r="L6" s="57">
        <f>2*Revenue!L4/100</f>
        <v>2409.2417166114292</v>
      </c>
      <c r="M6" s="58">
        <f>2*Revenue!M4/100</f>
        <v>2650.1658882725724</v>
      </c>
      <c r="N6" s="19"/>
      <c r="O6" s="16"/>
      <c r="P6" s="16"/>
      <c r="Q6" s="16"/>
      <c r="R6" s="16"/>
      <c r="S6" s="16"/>
      <c r="T6" s="16"/>
      <c r="U6" s="16"/>
      <c r="V6" s="16"/>
      <c r="W6" s="16"/>
      <c r="X6" s="16"/>
      <c r="Y6" s="16"/>
      <c r="Z6" s="16"/>
    </row>
    <row r="7" spans="1:26">
      <c r="A7" s="16"/>
      <c r="B7" s="20" t="s">
        <v>32</v>
      </c>
      <c r="C7" s="99">
        <f>'Profit and Loss'!B9</f>
        <v>348</v>
      </c>
      <c r="D7" s="48">
        <f>'Profit and Loss'!C9</f>
        <v>375</v>
      </c>
      <c r="E7" s="48">
        <f>'Profit and Loss'!D9</f>
        <v>399</v>
      </c>
      <c r="F7" s="48">
        <f>'Profit and Loss'!E9</f>
        <v>441</v>
      </c>
      <c r="G7" s="48">
        <f>'Profit and Loss'!F9</f>
        <v>584</v>
      </c>
      <c r="H7" s="48">
        <f>'Profit and Loss'!G9</f>
        <v>693</v>
      </c>
      <c r="I7" s="48">
        <f>'Profit and Loss'!H9</f>
        <v>825.96317232000013</v>
      </c>
      <c r="J7" s="48">
        <f>'Profit and Loss'!I9</f>
        <v>996.53695685166485</v>
      </c>
      <c r="K7" s="48">
        <f>'Profit and Loss'!J9</f>
        <v>1166.9547418428681</v>
      </c>
      <c r="L7" s="48">
        <f>'Profit and Loss'!K9</f>
        <v>1325.082944136286</v>
      </c>
      <c r="M7" s="49">
        <f>'Profit and Loss'!L9</f>
        <v>1457.5912385499146</v>
      </c>
      <c r="N7" s="19"/>
      <c r="O7" s="16"/>
      <c r="P7" s="16"/>
      <c r="Q7" s="16"/>
      <c r="R7" s="16"/>
      <c r="S7" s="16"/>
      <c r="T7" s="16"/>
      <c r="U7" s="16"/>
      <c r="V7" s="16"/>
      <c r="W7" s="16"/>
      <c r="X7" s="16"/>
      <c r="Y7" s="16"/>
      <c r="Z7" s="16"/>
    </row>
    <row r="8" spans="1:26">
      <c r="A8" s="16"/>
      <c r="B8" s="20" t="s">
        <v>60</v>
      </c>
      <c r="C8" s="108">
        <v>2523</v>
      </c>
      <c r="D8" s="109">
        <v>2544</v>
      </c>
      <c r="E8" s="109">
        <v>2998</v>
      </c>
      <c r="F8" s="109">
        <v>3709</v>
      </c>
      <c r="G8" s="109">
        <v>4003</v>
      </c>
      <c r="H8" s="109">
        <v>4708</v>
      </c>
      <c r="I8" s="82">
        <f t="shared" ref="I8:M8" si="3">I5+I6-I7</f>
        <v>5383.7880500800002</v>
      </c>
      <c r="J8" s="82">
        <f t="shared" si="3"/>
        <v>6199.1364693222713</v>
      </c>
      <c r="K8" s="82">
        <f t="shared" si="3"/>
        <v>7153.9176217391632</v>
      </c>
      <c r="L8" s="82">
        <f t="shared" si="3"/>
        <v>8238.0763942143076</v>
      </c>
      <c r="M8" s="83">
        <f t="shared" si="3"/>
        <v>9430.6510439369667</v>
      </c>
      <c r="N8" s="19"/>
      <c r="O8" s="16"/>
      <c r="P8" s="16"/>
      <c r="Q8" s="16"/>
      <c r="R8" s="16"/>
      <c r="S8" s="16"/>
      <c r="T8" s="16"/>
      <c r="U8" s="16"/>
      <c r="V8" s="16"/>
      <c r="W8" s="16"/>
      <c r="X8" s="16"/>
      <c r="Y8" s="16"/>
      <c r="Z8" s="16"/>
    </row>
    <row r="9" spans="1:26">
      <c r="A9" s="16"/>
      <c r="B9" s="16"/>
      <c r="C9" s="33"/>
      <c r="D9" s="33"/>
      <c r="E9" s="33"/>
      <c r="F9" s="33"/>
      <c r="G9" s="33"/>
      <c r="H9" s="33"/>
      <c r="I9" s="33"/>
      <c r="J9" s="33"/>
      <c r="K9" s="33"/>
      <c r="L9" s="33"/>
      <c r="M9" s="33"/>
      <c r="N9" s="16"/>
      <c r="O9" s="16"/>
      <c r="P9" s="16"/>
      <c r="Q9" s="16"/>
      <c r="R9" s="16"/>
      <c r="S9" s="16"/>
      <c r="T9" s="16"/>
      <c r="U9" s="16"/>
      <c r="V9" s="16"/>
      <c r="W9" s="16"/>
      <c r="X9" s="16"/>
      <c r="Y9" s="16"/>
      <c r="Z9" s="16"/>
    </row>
    <row r="10" spans="1:26">
      <c r="A10" s="16"/>
      <c r="B10" s="16"/>
      <c r="C10" s="34" t="s">
        <v>28</v>
      </c>
      <c r="D10" s="16"/>
      <c r="E10" s="16"/>
      <c r="F10" s="16"/>
      <c r="G10" s="16"/>
      <c r="H10" s="16"/>
      <c r="I10" s="16"/>
      <c r="J10" s="16"/>
      <c r="K10" s="16"/>
      <c r="L10" s="16"/>
      <c r="M10" s="16"/>
      <c r="N10" s="16"/>
      <c r="O10" s="16"/>
      <c r="P10" s="16"/>
      <c r="Q10" s="16"/>
      <c r="R10" s="16"/>
      <c r="S10" s="16"/>
      <c r="T10" s="16"/>
      <c r="U10" s="16"/>
      <c r="V10" s="16"/>
      <c r="W10" s="16"/>
      <c r="X10" s="16"/>
      <c r="Y10" s="16"/>
      <c r="Z10" s="16"/>
    </row>
    <row r="11" spans="1:26">
      <c r="A11" s="16"/>
      <c r="B11" s="16"/>
      <c r="C11" s="17"/>
      <c r="D11" s="17"/>
      <c r="E11" s="17"/>
      <c r="F11" s="17"/>
      <c r="G11" s="17"/>
      <c r="H11" s="17"/>
      <c r="I11" s="17"/>
      <c r="J11" s="17"/>
      <c r="K11" s="17"/>
      <c r="L11" s="16"/>
      <c r="M11" s="16"/>
      <c r="N11" s="16"/>
      <c r="O11" s="16"/>
      <c r="P11" s="16"/>
      <c r="Q11" s="16"/>
      <c r="R11" s="16"/>
      <c r="S11" s="16"/>
      <c r="T11" s="16"/>
      <c r="U11" s="16"/>
      <c r="V11" s="16"/>
      <c r="W11" s="16"/>
      <c r="X11" s="16"/>
      <c r="Y11" s="16"/>
      <c r="Z11" s="16"/>
    </row>
    <row r="12" spans="1:26">
      <c r="A12" s="16"/>
      <c r="B12" s="18"/>
      <c r="C12" s="232" t="s">
        <v>42</v>
      </c>
      <c r="D12" s="233"/>
      <c r="E12" s="233"/>
      <c r="F12" s="233"/>
      <c r="G12" s="233"/>
      <c r="H12" s="233"/>
      <c r="I12" s="233"/>
      <c r="J12" s="233"/>
      <c r="K12" s="234"/>
      <c r="L12" s="19"/>
      <c r="M12" s="16"/>
      <c r="N12" s="16"/>
      <c r="O12" s="16"/>
      <c r="P12" s="16"/>
      <c r="Q12" s="16"/>
      <c r="R12" s="16"/>
      <c r="S12" s="16"/>
      <c r="T12" s="16"/>
      <c r="U12" s="16"/>
      <c r="V12" s="16"/>
      <c r="W12" s="16"/>
      <c r="X12" s="16"/>
      <c r="Y12" s="16"/>
      <c r="Z12" s="16"/>
    </row>
    <row r="13" spans="1:26">
      <c r="A13" s="16"/>
      <c r="B13" s="18"/>
      <c r="C13" s="29" t="s">
        <v>61</v>
      </c>
      <c r="D13" s="85"/>
      <c r="E13" s="85"/>
      <c r="F13" s="85"/>
      <c r="G13" s="85"/>
      <c r="H13" s="110" t="s">
        <v>62</v>
      </c>
      <c r="I13" s="111"/>
      <c r="J13" s="112"/>
      <c r="K13" s="113"/>
      <c r="L13" s="19"/>
      <c r="M13" s="16"/>
      <c r="N13" s="16"/>
      <c r="O13" s="16"/>
      <c r="P13" s="16"/>
      <c r="Q13" s="16"/>
      <c r="R13" s="16"/>
      <c r="S13" s="16"/>
      <c r="T13" s="16"/>
      <c r="U13" s="16"/>
      <c r="V13" s="16"/>
      <c r="W13" s="16"/>
      <c r="X13" s="16"/>
      <c r="Y13" s="16"/>
      <c r="Z13" s="16"/>
    </row>
    <row r="14" spans="1:26">
      <c r="A14" s="16"/>
      <c r="B14" s="16"/>
      <c r="C14" s="33"/>
      <c r="D14" s="33"/>
      <c r="E14" s="33"/>
      <c r="F14" s="33"/>
      <c r="G14" s="33"/>
      <c r="H14" s="33"/>
      <c r="I14" s="33"/>
      <c r="J14" s="33"/>
      <c r="K14" s="33"/>
      <c r="L14" s="16"/>
      <c r="M14" s="16"/>
      <c r="N14" s="16"/>
      <c r="O14" s="16"/>
      <c r="P14" s="16"/>
      <c r="Q14" s="16"/>
      <c r="R14" s="16"/>
      <c r="S14" s="16"/>
      <c r="T14" s="16"/>
      <c r="U14" s="16"/>
      <c r="V14" s="16"/>
      <c r="W14" s="16"/>
      <c r="X14" s="16"/>
      <c r="Y14" s="16"/>
      <c r="Z14" s="16"/>
    </row>
    <row r="15" spans="1:26">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mergeCells count="3">
    <mergeCell ref="C3:H3"/>
    <mergeCell ref="I3:M3"/>
    <mergeCell ref="C12:K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workbookViewId="0"/>
  </sheetViews>
  <sheetFormatPr defaultColWidth="12.5703125" defaultRowHeight="15.75" customHeight="1"/>
  <cols>
    <col min="1" max="1" width="10.7109375" customWidth="1"/>
    <col min="2" max="2" width="26.85546875" customWidth="1"/>
    <col min="11" max="11" width="15.28515625" customWidth="1"/>
  </cols>
  <sheetData>
    <row r="1" spans="1:26">
      <c r="A1" s="16"/>
      <c r="B1" s="16"/>
      <c r="C1" s="17"/>
      <c r="D1" s="17"/>
      <c r="E1" s="17"/>
      <c r="F1" s="17"/>
      <c r="G1" s="17"/>
      <c r="H1" s="17"/>
      <c r="I1" s="17"/>
      <c r="J1" s="17"/>
      <c r="K1" s="17"/>
      <c r="L1" s="17"/>
      <c r="M1" s="17"/>
      <c r="N1" s="16"/>
      <c r="O1" s="16"/>
      <c r="P1" s="16"/>
      <c r="Q1" s="16"/>
      <c r="R1" s="16"/>
      <c r="S1" s="16"/>
      <c r="T1" s="16"/>
      <c r="U1" s="16"/>
      <c r="V1" s="16"/>
      <c r="W1" s="16"/>
      <c r="X1" s="16"/>
      <c r="Y1" s="16"/>
      <c r="Z1" s="16"/>
    </row>
    <row r="2" spans="1:26">
      <c r="A2" s="16"/>
      <c r="B2" s="18"/>
      <c r="C2" s="227" t="s">
        <v>22</v>
      </c>
      <c r="D2" s="228"/>
      <c r="E2" s="228"/>
      <c r="F2" s="228"/>
      <c r="G2" s="228"/>
      <c r="H2" s="229"/>
      <c r="I2" s="230" t="s">
        <v>23</v>
      </c>
      <c r="J2" s="228"/>
      <c r="K2" s="228"/>
      <c r="L2" s="228"/>
      <c r="M2" s="231"/>
      <c r="N2" s="19"/>
      <c r="O2" s="16"/>
      <c r="P2" s="16"/>
      <c r="Q2" s="16"/>
      <c r="R2" s="16"/>
      <c r="S2" s="16"/>
      <c r="T2" s="16"/>
      <c r="U2" s="16"/>
      <c r="V2" s="16"/>
      <c r="W2" s="16"/>
      <c r="X2" s="16"/>
      <c r="Y2" s="16"/>
      <c r="Z2" s="16"/>
    </row>
    <row r="3" spans="1:26">
      <c r="A3" s="16"/>
      <c r="B3" s="20" t="s">
        <v>29</v>
      </c>
      <c r="C3" s="35">
        <v>2020</v>
      </c>
      <c r="D3" s="36">
        <f t="shared" ref="D3:M3" si="0">C3+1</f>
        <v>2021</v>
      </c>
      <c r="E3" s="36">
        <f t="shared" si="0"/>
        <v>2022</v>
      </c>
      <c r="F3" s="36">
        <f t="shared" si="0"/>
        <v>2023</v>
      </c>
      <c r="G3" s="36">
        <f t="shared" si="0"/>
        <v>2024</v>
      </c>
      <c r="H3" s="36">
        <f t="shared" si="0"/>
        <v>2025</v>
      </c>
      <c r="I3" s="37">
        <f t="shared" si="0"/>
        <v>2026</v>
      </c>
      <c r="J3" s="37">
        <f t="shared" si="0"/>
        <v>2027</v>
      </c>
      <c r="K3" s="37">
        <f t="shared" si="0"/>
        <v>2028</v>
      </c>
      <c r="L3" s="37">
        <f t="shared" si="0"/>
        <v>2029</v>
      </c>
      <c r="M3" s="38">
        <f t="shared" si="0"/>
        <v>2030</v>
      </c>
      <c r="N3" s="19"/>
      <c r="O3" s="16"/>
      <c r="P3" s="16"/>
      <c r="Q3" s="16"/>
      <c r="R3" s="16"/>
      <c r="S3" s="16"/>
      <c r="T3" s="16"/>
      <c r="U3" s="16"/>
      <c r="V3" s="16"/>
      <c r="W3" s="16"/>
      <c r="X3" s="16"/>
      <c r="Y3" s="16"/>
      <c r="Z3" s="16"/>
    </row>
    <row r="4" spans="1:26">
      <c r="A4" s="16"/>
      <c r="B4" s="18"/>
      <c r="C4" s="114"/>
      <c r="D4" s="115"/>
      <c r="E4" s="115"/>
      <c r="F4" s="115"/>
      <c r="G4" s="115"/>
      <c r="H4" s="115"/>
      <c r="I4" s="116"/>
      <c r="J4" s="116"/>
      <c r="K4" s="116"/>
      <c r="L4" s="116"/>
      <c r="M4" s="117"/>
      <c r="N4" s="19"/>
      <c r="O4" s="16"/>
      <c r="P4" s="16"/>
      <c r="Q4" s="16"/>
      <c r="R4" s="16"/>
      <c r="S4" s="16"/>
      <c r="T4" s="16"/>
      <c r="U4" s="16"/>
      <c r="V4" s="16"/>
      <c r="W4" s="16"/>
      <c r="X4" s="16"/>
      <c r="Y4" s="16"/>
      <c r="Z4" s="16"/>
    </row>
    <row r="5" spans="1:26">
      <c r="A5" s="16"/>
      <c r="B5" s="20" t="s">
        <v>63</v>
      </c>
      <c r="C5" s="46">
        <f>'Profit and Loss'!B8</f>
        <v>2463</v>
      </c>
      <c r="D5" s="47">
        <f>'Profit and Loss'!C8</f>
        <v>1725</v>
      </c>
      <c r="E5" s="47">
        <f>'Profit and Loss'!D8</f>
        <v>3344</v>
      </c>
      <c r="F5" s="47">
        <f>'Profit and Loss'!E8</f>
        <v>4882</v>
      </c>
      <c r="G5" s="47">
        <f>'Profit and Loss'!F8</f>
        <v>5292</v>
      </c>
      <c r="H5" s="47">
        <f>'Profit and Loss'!G8</f>
        <v>5694</v>
      </c>
      <c r="I5" s="48">
        <f>'Profit and Loss'!H8</f>
        <v>8935.4197732800021</v>
      </c>
      <c r="J5" s="48">
        <f>'Profit and Loss'!I8</f>
        <v>11233.689331782405</v>
      </c>
      <c r="K5" s="48">
        <f>'Profit and Loss'!J8</f>
        <v>13685.196517975455</v>
      </c>
      <c r="L5" s="48">
        <f>'Profit and Loss'!K8</f>
        <v>15539.609072143719</v>
      </c>
      <c r="M5" s="49">
        <f>'Profit and Loss'!L8</f>
        <v>17093.569979358093</v>
      </c>
      <c r="N5" s="19"/>
      <c r="O5" s="16"/>
      <c r="P5" s="16"/>
      <c r="Q5" s="16"/>
      <c r="R5" s="16"/>
      <c r="S5" s="16"/>
      <c r="T5" s="16"/>
      <c r="U5" s="16"/>
      <c r="V5" s="16"/>
      <c r="W5" s="16"/>
      <c r="X5" s="16"/>
      <c r="Y5" s="16"/>
      <c r="Z5" s="16"/>
    </row>
    <row r="6" spans="1:26">
      <c r="A6" s="16"/>
      <c r="B6" s="20" t="s">
        <v>38</v>
      </c>
      <c r="C6" s="118">
        <f>'Profit and Loss'!B15</f>
        <v>0.28999999999999998</v>
      </c>
      <c r="D6" s="119">
        <f>'Profit and Loss'!C15</f>
        <v>0.27</v>
      </c>
      <c r="E6" s="119">
        <f>'Profit and Loss'!D15</f>
        <v>0.24</v>
      </c>
      <c r="F6" s="119">
        <f>'Profit and Loss'!E15</f>
        <v>0.26</v>
      </c>
      <c r="G6" s="119">
        <f>'Profit and Loss'!F15</f>
        <v>0.24</v>
      </c>
      <c r="H6" s="119">
        <f>'Profit and Loss'!G15</f>
        <v>0.26</v>
      </c>
      <c r="I6" s="51">
        <f>'Profit and Loss'!H15</f>
        <v>0.25</v>
      </c>
      <c r="J6" s="51">
        <f>'Profit and Loss'!I15</f>
        <v>0.25</v>
      </c>
      <c r="K6" s="51">
        <f>'Profit and Loss'!J15</f>
        <v>0.25</v>
      </c>
      <c r="L6" s="51">
        <f>'Profit and Loss'!K15</f>
        <v>0.25</v>
      </c>
      <c r="M6" s="52">
        <f>'Profit and Loss'!L15</f>
        <v>0.25</v>
      </c>
      <c r="N6" s="19"/>
      <c r="O6" s="16"/>
      <c r="P6" s="16"/>
      <c r="Q6" s="16"/>
      <c r="R6" s="16"/>
      <c r="S6" s="16"/>
      <c r="T6" s="16"/>
      <c r="U6" s="16"/>
      <c r="V6" s="16"/>
      <c r="W6" s="16"/>
      <c r="X6" s="16"/>
      <c r="Y6" s="16"/>
      <c r="Z6" s="16"/>
    </row>
    <row r="7" spans="1:26">
      <c r="A7" s="16"/>
      <c r="B7" s="20" t="s">
        <v>64</v>
      </c>
      <c r="C7" s="53">
        <f t="shared" ref="C7:M7" si="1">C5*(1-C6)</f>
        <v>1748.73</v>
      </c>
      <c r="D7" s="16">
        <f t="shared" si="1"/>
        <v>1259.25</v>
      </c>
      <c r="E7" s="16">
        <f t="shared" si="1"/>
        <v>2541.44</v>
      </c>
      <c r="F7" s="16">
        <f t="shared" si="1"/>
        <v>3612.68</v>
      </c>
      <c r="G7" s="16">
        <f t="shared" si="1"/>
        <v>4021.92</v>
      </c>
      <c r="H7" s="16">
        <f t="shared" si="1"/>
        <v>4213.5600000000004</v>
      </c>
      <c r="I7" s="16">
        <f t="shared" si="1"/>
        <v>6701.5648299600016</v>
      </c>
      <c r="J7" s="16">
        <f t="shared" si="1"/>
        <v>8425.2669988368034</v>
      </c>
      <c r="K7" s="16">
        <f t="shared" si="1"/>
        <v>10263.897388481591</v>
      </c>
      <c r="L7" s="16">
        <f t="shared" si="1"/>
        <v>11654.706804107789</v>
      </c>
      <c r="M7" s="54">
        <f t="shared" si="1"/>
        <v>12820.17748451857</v>
      </c>
      <c r="N7" s="19"/>
      <c r="O7" s="16"/>
      <c r="P7" s="16"/>
      <c r="Q7" s="16"/>
      <c r="R7" s="16"/>
      <c r="S7" s="16"/>
      <c r="T7" s="16"/>
      <c r="U7" s="16"/>
      <c r="V7" s="16"/>
      <c r="W7" s="16"/>
      <c r="X7" s="16"/>
      <c r="Y7" s="16"/>
      <c r="Z7" s="16"/>
    </row>
    <row r="8" spans="1:26">
      <c r="A8" s="16"/>
      <c r="B8" s="20"/>
      <c r="C8" s="53"/>
      <c r="D8" s="16"/>
      <c r="E8" s="16"/>
      <c r="F8" s="16"/>
      <c r="G8" s="16"/>
      <c r="H8" s="16"/>
      <c r="I8" s="16"/>
      <c r="J8" s="16"/>
      <c r="K8" s="16"/>
      <c r="L8" s="16"/>
      <c r="M8" s="54"/>
      <c r="N8" s="19"/>
      <c r="O8" s="16"/>
      <c r="P8" s="16"/>
      <c r="Q8" s="16"/>
      <c r="R8" s="16"/>
      <c r="S8" s="16"/>
      <c r="T8" s="16"/>
      <c r="U8" s="16"/>
      <c r="V8" s="16"/>
      <c r="W8" s="16"/>
      <c r="X8" s="16"/>
      <c r="Y8" s="16"/>
      <c r="Z8" s="16"/>
    </row>
    <row r="9" spans="1:26">
      <c r="A9" s="16"/>
      <c r="B9" s="20" t="s">
        <v>32</v>
      </c>
      <c r="C9" s="50">
        <f>'Profit and Loss'!B9</f>
        <v>348</v>
      </c>
      <c r="D9" s="120">
        <f>'Profit and Loss'!C9</f>
        <v>375</v>
      </c>
      <c r="E9" s="120">
        <f>'Profit and Loss'!D9</f>
        <v>399</v>
      </c>
      <c r="F9" s="120">
        <f>'Profit and Loss'!E9</f>
        <v>441</v>
      </c>
      <c r="G9" s="120">
        <f>'Profit and Loss'!F9</f>
        <v>584</v>
      </c>
      <c r="H9" s="120">
        <f>'Profit and Loss'!G9</f>
        <v>693</v>
      </c>
      <c r="I9" s="48">
        <f>'Profit and Loss'!H9</f>
        <v>825.96317232000013</v>
      </c>
      <c r="J9" s="48">
        <f>'Profit and Loss'!I9</f>
        <v>996.53695685166485</v>
      </c>
      <c r="K9" s="48">
        <f>'Profit and Loss'!J9</f>
        <v>1166.9547418428681</v>
      </c>
      <c r="L9" s="48">
        <f>'Profit and Loss'!K9</f>
        <v>1325.082944136286</v>
      </c>
      <c r="M9" s="49">
        <f>'Profit and Loss'!L9</f>
        <v>1457.5912385499146</v>
      </c>
      <c r="N9" s="19"/>
      <c r="O9" s="16"/>
      <c r="P9" s="16"/>
      <c r="Q9" s="16"/>
      <c r="R9" s="16"/>
      <c r="S9" s="16"/>
      <c r="T9" s="16"/>
      <c r="U9" s="16"/>
      <c r="V9" s="16"/>
      <c r="W9" s="16"/>
      <c r="X9" s="16"/>
      <c r="Y9" s="16"/>
      <c r="Z9" s="16"/>
    </row>
    <row r="10" spans="1:26">
      <c r="A10" s="16"/>
      <c r="B10" s="20" t="s">
        <v>59</v>
      </c>
      <c r="C10" s="71">
        <f>'Fixed Assets'!C6</f>
        <v>238</v>
      </c>
      <c r="D10" s="57">
        <f>'Fixed Assets'!D6</f>
        <v>396</v>
      </c>
      <c r="E10" s="57">
        <f>'Fixed Assets'!E6</f>
        <v>853</v>
      </c>
      <c r="F10" s="57">
        <f>'Fixed Assets'!F6</f>
        <v>1152</v>
      </c>
      <c r="G10" s="57">
        <f>'Fixed Assets'!G6</f>
        <v>878</v>
      </c>
      <c r="H10" s="57">
        <f>'Fixed Assets'!H6</f>
        <v>1398</v>
      </c>
      <c r="I10" s="57">
        <f>'Fixed Assets'!I6</f>
        <v>1501.7512224000002</v>
      </c>
      <c r="J10" s="57">
        <f>'Fixed Assets'!J6</f>
        <v>1811.8853760939362</v>
      </c>
      <c r="K10" s="57">
        <f>'Fixed Assets'!K6</f>
        <v>2121.7358942597602</v>
      </c>
      <c r="L10" s="57">
        <f>'Fixed Assets'!L6</f>
        <v>2409.2417166114292</v>
      </c>
      <c r="M10" s="58">
        <f>'Fixed Assets'!M6</f>
        <v>2650.1658882725724</v>
      </c>
      <c r="N10" s="19"/>
      <c r="O10" s="16"/>
      <c r="P10" s="16"/>
      <c r="Q10" s="16"/>
      <c r="R10" s="16"/>
      <c r="S10" s="16"/>
      <c r="T10" s="16"/>
      <c r="U10" s="16"/>
      <c r="V10" s="16"/>
      <c r="W10" s="16"/>
      <c r="X10" s="16"/>
      <c r="Y10" s="16"/>
      <c r="Z10" s="16"/>
    </row>
    <row r="11" spans="1:26">
      <c r="A11" s="16"/>
      <c r="B11" s="20"/>
      <c r="C11" s="53"/>
      <c r="D11" s="16"/>
      <c r="E11" s="16"/>
      <c r="F11" s="16"/>
      <c r="G11" s="16"/>
      <c r="H11" s="16"/>
      <c r="I11" s="16"/>
      <c r="J11" s="16"/>
      <c r="K11" s="16"/>
      <c r="L11" s="16"/>
      <c r="M11" s="54"/>
      <c r="N11" s="19"/>
      <c r="O11" s="17"/>
      <c r="P11" s="17"/>
      <c r="Q11" s="16"/>
      <c r="R11" s="16"/>
      <c r="S11" s="16"/>
      <c r="T11" s="16"/>
      <c r="U11" s="16"/>
      <c r="V11" s="16"/>
      <c r="W11" s="16"/>
      <c r="X11" s="16"/>
      <c r="Y11" s="16"/>
      <c r="Z11" s="16"/>
    </row>
    <row r="12" spans="1:26">
      <c r="A12" s="16"/>
      <c r="B12" s="20" t="s">
        <v>65</v>
      </c>
      <c r="C12" s="55">
        <v>8103</v>
      </c>
      <c r="D12" s="56">
        <v>8408</v>
      </c>
      <c r="E12" s="56">
        <v>13609</v>
      </c>
      <c r="F12" s="56">
        <v>16584</v>
      </c>
      <c r="G12" s="56">
        <v>19051</v>
      </c>
      <c r="H12" s="56">
        <v>28184</v>
      </c>
      <c r="I12" s="121">
        <f>46.6*Revenue!I4/100</f>
        <v>34990.803481920011</v>
      </c>
      <c r="J12" s="121">
        <f>45*Revenue!J4/100</f>
        <v>40767.420962113567</v>
      </c>
      <c r="K12" s="121">
        <f>43*Revenue!K4/100</f>
        <v>45617.321726584843</v>
      </c>
      <c r="L12" s="121">
        <f>40*Revenue!L4/100</f>
        <v>48184.83433222858</v>
      </c>
      <c r="M12" s="122">
        <f>37*Revenue!M4/100</f>
        <v>49028.068933042588</v>
      </c>
      <c r="N12" s="123"/>
      <c r="O12" s="124" t="s">
        <v>66</v>
      </c>
      <c r="P12" s="125">
        <f>SUM(C19:M19)</f>
        <v>41945.277072597848</v>
      </c>
      <c r="Q12" s="19"/>
      <c r="R12" s="16"/>
      <c r="S12" s="16"/>
      <c r="T12" s="16"/>
      <c r="U12" s="16"/>
      <c r="V12" s="16"/>
      <c r="W12" s="16"/>
      <c r="X12" s="16"/>
      <c r="Y12" s="16"/>
      <c r="Z12" s="16"/>
    </row>
    <row r="13" spans="1:26">
      <c r="A13" s="16"/>
      <c r="B13" s="20" t="s">
        <v>67</v>
      </c>
      <c r="C13" s="55">
        <v>312</v>
      </c>
      <c r="D13" s="56">
        <v>366</v>
      </c>
      <c r="E13" s="56">
        <v>565</v>
      </c>
      <c r="F13" s="56">
        <v>674</v>
      </c>
      <c r="G13" s="56">
        <v>1018</v>
      </c>
      <c r="H13" s="56">
        <v>1068</v>
      </c>
      <c r="I13" s="121">
        <f>1.77*Revenue!I4/100</f>
        <v>1329.0498318240002</v>
      </c>
      <c r="J13" s="121">
        <f>1.77*Revenue!J4/100</f>
        <v>1603.5185578431335</v>
      </c>
      <c r="K13" s="121">
        <f>1.77*Revenue!K4/100</f>
        <v>1877.7362664198879</v>
      </c>
      <c r="L13" s="121">
        <f>1.77*Revenue!L4/100</f>
        <v>2132.1789192011147</v>
      </c>
      <c r="M13" s="122">
        <f>1.77*Revenue!M4/100</f>
        <v>2345.3968111212262</v>
      </c>
      <c r="N13" s="123"/>
      <c r="O13" s="126" t="s">
        <v>68</v>
      </c>
      <c r="P13" s="127">
        <f>AVERAGE(C19:M19)</f>
        <v>3813.2070065998046</v>
      </c>
      <c r="Q13" s="19"/>
      <c r="R13" s="16"/>
      <c r="S13" s="16"/>
      <c r="T13" s="16"/>
      <c r="U13" s="16"/>
      <c r="V13" s="16"/>
      <c r="W13" s="16"/>
      <c r="X13" s="16"/>
      <c r="Y13" s="16"/>
      <c r="Z13" s="16"/>
    </row>
    <row r="14" spans="1:26">
      <c r="A14" s="16"/>
      <c r="B14" s="20" t="s">
        <v>55</v>
      </c>
      <c r="C14" s="55">
        <v>1939</v>
      </c>
      <c r="D14" s="56">
        <v>1731</v>
      </c>
      <c r="E14" s="56">
        <v>2518</v>
      </c>
      <c r="F14" s="56">
        <v>2762</v>
      </c>
      <c r="G14" s="56">
        <v>3801</v>
      </c>
      <c r="H14" s="56">
        <v>3656</v>
      </c>
      <c r="I14" s="121">
        <f>6.05*Revenue!I4/100</f>
        <v>4542.797447760001</v>
      </c>
      <c r="J14" s="121">
        <f>6.05*Revenue!J4/100</f>
        <v>5480.9532626841565</v>
      </c>
      <c r="K14" s="121">
        <f>6.05*Revenue!K4/100</f>
        <v>6418.2510801357748</v>
      </c>
      <c r="L14" s="121">
        <f>6.05*Revenue!L4/100</f>
        <v>7287.9561927495733</v>
      </c>
      <c r="M14" s="122">
        <f>6.05*Revenue!M4/100</f>
        <v>8016.7518120245313</v>
      </c>
      <c r="N14" s="19"/>
      <c r="O14" s="33"/>
      <c r="P14" s="33"/>
      <c r="Q14" s="16"/>
      <c r="R14" s="16"/>
      <c r="S14" s="16"/>
      <c r="T14" s="16"/>
      <c r="U14" s="16"/>
      <c r="V14" s="16"/>
      <c r="W14" s="16"/>
      <c r="X14" s="16"/>
      <c r="Y14" s="16"/>
      <c r="Z14" s="16"/>
    </row>
    <row r="15" spans="1:26">
      <c r="A15" s="16"/>
      <c r="B15" s="20" t="s">
        <v>49</v>
      </c>
      <c r="C15" s="55">
        <v>3313</v>
      </c>
      <c r="D15" s="56">
        <v>3309</v>
      </c>
      <c r="E15" s="56">
        <v>4610</v>
      </c>
      <c r="F15" s="56">
        <v>5802</v>
      </c>
      <c r="G15" s="56">
        <v>6626</v>
      </c>
      <c r="H15" s="56">
        <v>16056</v>
      </c>
      <c r="I15" s="121">
        <f>26.55*Revenue!I4/100</f>
        <v>19935.747477360004</v>
      </c>
      <c r="J15" s="121">
        <f>26.55*Revenue!J4/100</f>
        <v>24052.778367647003</v>
      </c>
      <c r="K15" s="121">
        <f>26.55*Revenue!K4/100</f>
        <v>28166.043996298318</v>
      </c>
      <c r="L15" s="121">
        <f>26.55*Revenue!L4/100</f>
        <v>31982.683788016722</v>
      </c>
      <c r="M15" s="122">
        <f>26.55*Revenue!M4/100</f>
        <v>35180.952166818402</v>
      </c>
      <c r="N15" s="19"/>
      <c r="O15" s="16"/>
      <c r="P15" s="16"/>
      <c r="Q15" s="16"/>
      <c r="R15" s="16"/>
      <c r="S15" s="16"/>
      <c r="T15" s="16"/>
      <c r="U15" s="16"/>
      <c r="V15" s="16"/>
      <c r="W15" s="16"/>
      <c r="X15" s="16"/>
      <c r="Y15" s="16"/>
      <c r="Z15" s="16"/>
    </row>
    <row r="16" spans="1:26">
      <c r="A16" s="16"/>
      <c r="B16" s="20" t="s">
        <v>69</v>
      </c>
      <c r="C16" s="61">
        <f t="shared" ref="C16:M16" si="2">C12+C13+C14-C15</f>
        <v>7041</v>
      </c>
      <c r="D16" s="62">
        <f t="shared" si="2"/>
        <v>7196</v>
      </c>
      <c r="E16" s="62">
        <f t="shared" si="2"/>
        <v>12082</v>
      </c>
      <c r="F16" s="62">
        <f t="shared" si="2"/>
        <v>14218</v>
      </c>
      <c r="G16" s="62">
        <f t="shared" si="2"/>
        <v>17244</v>
      </c>
      <c r="H16" s="62">
        <f t="shared" si="2"/>
        <v>16852</v>
      </c>
      <c r="I16" s="57">
        <f t="shared" si="2"/>
        <v>20926.903284144006</v>
      </c>
      <c r="J16" s="57">
        <f t="shared" si="2"/>
        <v>23799.114414993852</v>
      </c>
      <c r="K16" s="57">
        <f t="shared" si="2"/>
        <v>25747.265076842192</v>
      </c>
      <c r="L16" s="57">
        <f t="shared" si="2"/>
        <v>25622.285656162545</v>
      </c>
      <c r="M16" s="58">
        <f t="shared" si="2"/>
        <v>24209.265389369939</v>
      </c>
      <c r="N16" s="19"/>
      <c r="O16" s="16"/>
      <c r="P16" s="16"/>
      <c r="Q16" s="16"/>
      <c r="R16" s="16"/>
      <c r="S16" s="16"/>
      <c r="T16" s="16"/>
      <c r="U16" s="16"/>
      <c r="V16" s="16"/>
      <c r="W16" s="16"/>
      <c r="X16" s="16"/>
      <c r="Y16" s="16"/>
      <c r="Z16" s="16"/>
    </row>
    <row r="17" spans="1:26">
      <c r="A17" s="16"/>
      <c r="B17" s="20" t="s">
        <v>70</v>
      </c>
      <c r="C17" s="53">
        <v>1352</v>
      </c>
      <c r="D17" s="62">
        <f t="shared" ref="D17:M17" si="3">D16-C16</f>
        <v>155</v>
      </c>
      <c r="E17" s="62">
        <f t="shared" si="3"/>
        <v>4886</v>
      </c>
      <c r="F17" s="62">
        <f t="shared" si="3"/>
        <v>2136</v>
      </c>
      <c r="G17" s="62">
        <f t="shared" si="3"/>
        <v>3026</v>
      </c>
      <c r="H17" s="62">
        <f t="shared" si="3"/>
        <v>-392</v>
      </c>
      <c r="I17" s="57">
        <f t="shared" si="3"/>
        <v>4074.9032841440057</v>
      </c>
      <c r="J17" s="57">
        <f t="shared" si="3"/>
        <v>2872.2111308498461</v>
      </c>
      <c r="K17" s="57">
        <f t="shared" si="3"/>
        <v>1948.15066184834</v>
      </c>
      <c r="L17" s="57">
        <f t="shared" si="3"/>
        <v>-124.97942067964686</v>
      </c>
      <c r="M17" s="58">
        <f t="shared" si="3"/>
        <v>-1413.020266792606</v>
      </c>
      <c r="N17" s="19"/>
      <c r="O17" s="16"/>
      <c r="P17" s="16"/>
      <c r="Q17" s="16"/>
      <c r="R17" s="16"/>
      <c r="S17" s="16"/>
      <c r="T17" s="16"/>
      <c r="U17" s="16"/>
      <c r="V17" s="16"/>
      <c r="W17" s="16"/>
      <c r="X17" s="16"/>
      <c r="Y17" s="16"/>
      <c r="Z17" s="16"/>
    </row>
    <row r="18" spans="1:26">
      <c r="A18" s="16"/>
      <c r="B18" s="20"/>
      <c r="C18" s="128"/>
      <c r="D18" s="17"/>
      <c r="E18" s="17"/>
      <c r="F18" s="17"/>
      <c r="G18" s="17"/>
      <c r="H18" s="17"/>
      <c r="I18" s="72"/>
      <c r="J18" s="72"/>
      <c r="K18" s="72"/>
      <c r="L18" s="72"/>
      <c r="M18" s="129"/>
      <c r="N18" s="19"/>
      <c r="O18" s="16"/>
      <c r="P18" s="16"/>
      <c r="Q18" s="16"/>
      <c r="R18" s="16"/>
      <c r="S18" s="16"/>
      <c r="T18" s="16"/>
      <c r="U18" s="16"/>
      <c r="V18" s="16"/>
      <c r="W18" s="16"/>
      <c r="X18" s="16"/>
      <c r="Y18" s="16"/>
      <c r="Z18" s="16"/>
    </row>
    <row r="19" spans="1:26">
      <c r="A19" s="16"/>
      <c r="B19" s="20" t="s">
        <v>71</v>
      </c>
      <c r="C19" s="130">
        <f t="shared" ref="C19:M19" si="4">C7+C9-C10-C17</f>
        <v>506.73</v>
      </c>
      <c r="D19" s="131">
        <f t="shared" si="4"/>
        <v>1083.25</v>
      </c>
      <c r="E19" s="131">
        <f t="shared" si="4"/>
        <v>-2798.56</v>
      </c>
      <c r="F19" s="131">
        <f t="shared" si="4"/>
        <v>765.67999999999984</v>
      </c>
      <c r="G19" s="131">
        <f t="shared" si="4"/>
        <v>701.92000000000007</v>
      </c>
      <c r="H19" s="131">
        <f t="shared" si="4"/>
        <v>3900.5600000000004</v>
      </c>
      <c r="I19" s="131">
        <f t="shared" si="4"/>
        <v>1950.8734957359957</v>
      </c>
      <c r="J19" s="131">
        <f t="shared" si="4"/>
        <v>4737.7074487446862</v>
      </c>
      <c r="K19" s="131">
        <f t="shared" si="4"/>
        <v>7360.9655742163595</v>
      </c>
      <c r="L19" s="131">
        <f t="shared" si="4"/>
        <v>10695.527452312293</v>
      </c>
      <c r="M19" s="132">
        <f t="shared" si="4"/>
        <v>13040.623101588517</v>
      </c>
      <c r="N19" s="19"/>
      <c r="O19" s="16"/>
      <c r="P19" s="16"/>
      <c r="Q19" s="16"/>
      <c r="R19" s="16"/>
      <c r="S19" s="16"/>
      <c r="T19" s="16"/>
      <c r="U19" s="16"/>
      <c r="V19" s="16"/>
      <c r="W19" s="16"/>
      <c r="X19" s="16"/>
      <c r="Y19" s="16"/>
      <c r="Z19" s="16"/>
    </row>
    <row r="20" spans="1:26">
      <c r="A20" s="16"/>
      <c r="B20" s="20" t="s">
        <v>72</v>
      </c>
      <c r="C20" s="53"/>
      <c r="D20" s="64">
        <f t="shared" ref="D20:M20" si="5">(D19-C19)/C19</f>
        <v>1.1377262052769719</v>
      </c>
      <c r="E20" s="64">
        <f t="shared" si="5"/>
        <v>-3.5834848834525732</v>
      </c>
      <c r="F20" s="64">
        <f t="shared" si="5"/>
        <v>-1.2735978503230232</v>
      </c>
      <c r="G20" s="64">
        <f t="shared" si="5"/>
        <v>-8.3272385330686163E-2</v>
      </c>
      <c r="H20" s="64">
        <f t="shared" si="5"/>
        <v>4.5569865511739227</v>
      </c>
      <c r="I20" s="64">
        <f t="shared" si="5"/>
        <v>-0.49984784345427441</v>
      </c>
      <c r="J20" s="64">
        <f t="shared" si="5"/>
        <v>1.4285057227441169</v>
      </c>
      <c r="K20" s="64">
        <f t="shared" si="5"/>
        <v>0.55369778608148079</v>
      </c>
      <c r="L20" s="64">
        <f t="shared" si="5"/>
        <v>0.4530060417312749</v>
      </c>
      <c r="M20" s="65">
        <f t="shared" si="5"/>
        <v>0.21925946707464447</v>
      </c>
      <c r="N20" s="19"/>
      <c r="O20" s="16"/>
      <c r="P20" s="16"/>
      <c r="Q20" s="16"/>
      <c r="R20" s="16"/>
      <c r="S20" s="16"/>
      <c r="T20" s="16"/>
      <c r="U20" s="16"/>
      <c r="V20" s="16"/>
      <c r="W20" s="16"/>
      <c r="X20" s="16"/>
      <c r="Y20" s="16"/>
      <c r="Z20" s="16"/>
    </row>
    <row r="21" spans="1:26">
      <c r="A21" s="16"/>
      <c r="B21" s="20" t="s">
        <v>73</v>
      </c>
      <c r="C21" s="133">
        <f>C19</f>
        <v>506.73</v>
      </c>
      <c r="D21" s="134">
        <f>C19+D19</f>
        <v>1589.98</v>
      </c>
      <c r="E21" s="134">
        <f>C19+D19+E19</f>
        <v>-1208.58</v>
      </c>
      <c r="F21" s="134">
        <f>SUM(C19:F19)</f>
        <v>-442.90000000000009</v>
      </c>
      <c r="G21" s="134">
        <f>SUM(C19:G19)</f>
        <v>259.02</v>
      </c>
      <c r="H21" s="134">
        <f>SUM(C19:H19)</f>
        <v>4159.58</v>
      </c>
      <c r="I21" s="134">
        <f>SUM(C19:I19)</f>
        <v>6110.4534957359956</v>
      </c>
      <c r="J21" s="134">
        <f>SUM(C19:J19)</f>
        <v>10848.160944480682</v>
      </c>
      <c r="K21" s="134">
        <f>SUM(C19:K19)</f>
        <v>18209.126518697041</v>
      </c>
      <c r="L21" s="134">
        <f>SUM(C19:L19)</f>
        <v>28904.653971009335</v>
      </c>
      <c r="M21" s="135">
        <f>SUM(C19:M19)</f>
        <v>41945.277072597848</v>
      </c>
      <c r="N21" s="19"/>
      <c r="O21" s="16"/>
      <c r="P21" s="16"/>
      <c r="Q21" s="16"/>
      <c r="R21" s="16"/>
      <c r="S21" s="16"/>
      <c r="T21" s="16"/>
      <c r="U21" s="16"/>
      <c r="V21" s="16"/>
      <c r="W21" s="16"/>
      <c r="X21" s="16"/>
      <c r="Y21" s="16"/>
      <c r="Z21" s="16"/>
    </row>
    <row r="22" spans="1:26">
      <c r="A22" s="16"/>
      <c r="B22" s="16"/>
      <c r="C22" s="136"/>
      <c r="D22" s="33"/>
      <c r="E22" s="33"/>
      <c r="F22" s="33"/>
      <c r="G22" s="33"/>
      <c r="H22" s="33"/>
      <c r="I22" s="33"/>
      <c r="J22" s="33"/>
      <c r="K22" s="33"/>
      <c r="L22" s="33"/>
      <c r="M22" s="33"/>
      <c r="N22" s="16"/>
      <c r="O22" s="16"/>
      <c r="P22" s="16"/>
      <c r="Q22" s="16"/>
      <c r="R22" s="16"/>
      <c r="S22" s="16"/>
      <c r="T22" s="16"/>
      <c r="U22" s="16"/>
      <c r="V22" s="16"/>
      <c r="W22" s="16"/>
      <c r="X22" s="16"/>
      <c r="Y22" s="16"/>
      <c r="Z22" s="16"/>
    </row>
    <row r="23" spans="1:26">
      <c r="A23" s="16"/>
      <c r="B23" s="16"/>
      <c r="C23" s="34" t="s">
        <v>28</v>
      </c>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7"/>
      <c r="D24" s="17"/>
      <c r="E24" s="17"/>
      <c r="F24" s="17"/>
      <c r="G24" s="17"/>
      <c r="H24" s="17"/>
      <c r="I24" s="17"/>
      <c r="J24" s="17"/>
      <c r="K24" s="17"/>
      <c r="L24" s="16"/>
      <c r="M24" s="16"/>
      <c r="N24" s="16"/>
      <c r="O24" s="16"/>
      <c r="P24" s="16"/>
      <c r="Q24" s="16"/>
      <c r="R24" s="16"/>
      <c r="S24" s="16"/>
      <c r="T24" s="16"/>
      <c r="U24" s="16"/>
      <c r="V24" s="16"/>
      <c r="W24" s="16"/>
      <c r="X24" s="16"/>
      <c r="Y24" s="16"/>
      <c r="Z24" s="16"/>
    </row>
    <row r="25" spans="1:26">
      <c r="A25" s="16"/>
      <c r="B25" s="18"/>
      <c r="C25" s="232" t="s">
        <v>42</v>
      </c>
      <c r="D25" s="233"/>
      <c r="E25" s="233"/>
      <c r="F25" s="233"/>
      <c r="G25" s="233"/>
      <c r="H25" s="233"/>
      <c r="I25" s="233"/>
      <c r="J25" s="233"/>
      <c r="K25" s="234"/>
      <c r="L25" s="137"/>
      <c r="M25" s="137"/>
      <c r="N25" s="19"/>
      <c r="O25" s="16"/>
      <c r="P25" s="16"/>
      <c r="Q25" s="16"/>
      <c r="R25" s="16"/>
      <c r="S25" s="16"/>
      <c r="T25" s="16"/>
      <c r="U25" s="16"/>
      <c r="V25" s="16"/>
      <c r="W25" s="16"/>
      <c r="X25" s="16"/>
      <c r="Y25" s="16"/>
      <c r="Z25" s="16"/>
    </row>
    <row r="26" spans="1:26">
      <c r="A26" s="16"/>
      <c r="B26" s="18"/>
      <c r="C26" s="138" t="s">
        <v>74</v>
      </c>
      <c r="D26" s="139"/>
      <c r="E26" s="139"/>
      <c r="F26" s="139"/>
      <c r="G26" s="139"/>
      <c r="H26" s="140" t="s">
        <v>75</v>
      </c>
      <c r="I26" s="139"/>
      <c r="J26" s="139"/>
      <c r="K26" s="141"/>
      <c r="L26" s="142"/>
      <c r="M26" s="33"/>
      <c r="N26" s="16"/>
      <c r="O26" s="16"/>
      <c r="P26" s="16"/>
      <c r="Q26" s="16"/>
      <c r="R26" s="16"/>
      <c r="S26" s="16"/>
      <c r="T26" s="16"/>
      <c r="U26" s="16"/>
      <c r="V26" s="16"/>
      <c r="W26" s="16"/>
      <c r="X26" s="16"/>
      <c r="Y26" s="16"/>
      <c r="Z26" s="16"/>
    </row>
    <row r="27" spans="1:26">
      <c r="A27" s="16"/>
      <c r="B27" s="16"/>
      <c r="C27" s="33"/>
      <c r="D27" s="33"/>
      <c r="E27" s="33"/>
      <c r="F27" s="33"/>
      <c r="G27" s="33"/>
      <c r="H27" s="33"/>
      <c r="I27" s="33"/>
      <c r="J27" s="33"/>
      <c r="K27" s="33"/>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sheetData>
  <mergeCells count="3">
    <mergeCell ref="C2:H2"/>
    <mergeCell ref="I2:M2"/>
    <mergeCell ref="C25:K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1"/>
  <sheetViews>
    <sheetView workbookViewId="0"/>
  </sheetViews>
  <sheetFormatPr defaultColWidth="12.5703125" defaultRowHeight="15.75" customHeight="1"/>
  <cols>
    <col min="3" max="3" width="19.85546875" customWidth="1"/>
    <col min="4" max="4" width="15.140625" customWidth="1"/>
    <col min="7" max="7" width="16.28515625" customWidth="1"/>
  </cols>
  <sheetData>
    <row r="1" spans="1:26">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c r="A2" s="16"/>
      <c r="B2" s="16"/>
      <c r="C2" s="17"/>
      <c r="D2" s="17"/>
      <c r="E2" s="16"/>
      <c r="F2" s="16"/>
      <c r="G2" s="17"/>
      <c r="H2" s="17"/>
      <c r="I2" s="16"/>
      <c r="J2" s="16"/>
      <c r="K2" s="16"/>
      <c r="L2" s="16"/>
      <c r="M2" s="16"/>
      <c r="N2" s="16"/>
      <c r="O2" s="16"/>
      <c r="P2" s="16"/>
      <c r="Q2" s="16"/>
      <c r="R2" s="16"/>
      <c r="S2" s="16"/>
      <c r="T2" s="16"/>
      <c r="U2" s="16"/>
      <c r="V2" s="16"/>
      <c r="W2" s="16"/>
      <c r="X2" s="16"/>
      <c r="Y2" s="16"/>
      <c r="Z2" s="16"/>
    </row>
    <row r="3" spans="1:26">
      <c r="A3" s="16"/>
      <c r="B3" s="18"/>
      <c r="C3" s="143" t="s">
        <v>76</v>
      </c>
      <c r="D3" s="144" t="s">
        <v>77</v>
      </c>
      <c r="E3" s="19"/>
      <c r="F3" s="18"/>
      <c r="G3" s="145" t="s">
        <v>78</v>
      </c>
      <c r="H3" s="144" t="s">
        <v>77</v>
      </c>
      <c r="I3" s="19"/>
      <c r="J3" s="16"/>
      <c r="K3" s="16"/>
      <c r="L3" s="16"/>
      <c r="M3" s="16"/>
      <c r="N3" s="16"/>
      <c r="O3" s="16"/>
      <c r="P3" s="16"/>
      <c r="Q3" s="16"/>
      <c r="R3" s="16"/>
      <c r="S3" s="16"/>
      <c r="T3" s="16"/>
      <c r="U3" s="16"/>
      <c r="V3" s="16"/>
      <c r="W3" s="16"/>
      <c r="X3" s="16"/>
      <c r="Y3" s="16"/>
      <c r="Z3" s="16"/>
    </row>
    <row r="4" spans="1:26">
      <c r="A4" s="16"/>
      <c r="B4" s="18"/>
      <c r="C4" s="146" t="s">
        <v>79</v>
      </c>
      <c r="D4" s="147">
        <v>312900</v>
      </c>
      <c r="E4" s="148"/>
      <c r="F4" s="18"/>
      <c r="G4" s="149" t="s">
        <v>80</v>
      </c>
      <c r="H4" s="150">
        <v>0.34</v>
      </c>
      <c r="I4" s="19"/>
      <c r="J4" s="16"/>
      <c r="K4" s="16"/>
      <c r="L4" s="16"/>
      <c r="M4" s="16"/>
      <c r="N4" s="16"/>
      <c r="O4" s="16"/>
      <c r="P4" s="16"/>
      <c r="Q4" s="16"/>
      <c r="R4" s="16"/>
      <c r="S4" s="16"/>
      <c r="T4" s="16"/>
      <c r="U4" s="16"/>
      <c r="V4" s="16"/>
      <c r="W4" s="16"/>
      <c r="X4" s="16"/>
      <c r="Y4" s="16"/>
      <c r="Z4" s="16"/>
    </row>
    <row r="5" spans="1:26">
      <c r="A5" s="16"/>
      <c r="B5" s="18"/>
      <c r="C5" s="151" t="s">
        <v>81</v>
      </c>
      <c r="D5" s="152">
        <v>12967</v>
      </c>
      <c r="E5" s="241">
        <f>AVERAGE(D5:D6)</f>
        <v>14247.5</v>
      </c>
      <c r="F5" s="123"/>
      <c r="G5" s="153" t="s">
        <v>82</v>
      </c>
      <c r="H5" s="154">
        <v>7.0000000000000007E-2</v>
      </c>
      <c r="I5" s="19"/>
      <c r="J5" s="16"/>
      <c r="K5" s="16"/>
      <c r="L5" s="16"/>
      <c r="M5" s="16"/>
      <c r="N5" s="16"/>
      <c r="O5" s="16"/>
      <c r="P5" s="16"/>
      <c r="Q5" s="16"/>
      <c r="R5" s="16"/>
      <c r="S5" s="16"/>
      <c r="T5" s="16"/>
      <c r="U5" s="16"/>
      <c r="V5" s="16"/>
      <c r="W5" s="16"/>
      <c r="X5" s="16"/>
      <c r="Y5" s="16"/>
      <c r="Z5" s="16"/>
    </row>
    <row r="6" spans="1:26">
      <c r="A6" s="16"/>
      <c r="B6" s="18"/>
      <c r="C6" s="151" t="s">
        <v>83</v>
      </c>
      <c r="D6" s="155">
        <v>15528</v>
      </c>
      <c r="E6" s="242"/>
      <c r="F6" s="123"/>
      <c r="G6" s="156" t="s">
        <v>84</v>
      </c>
      <c r="H6" s="157">
        <v>0.121</v>
      </c>
      <c r="I6" s="19"/>
      <c r="J6" s="16"/>
      <c r="K6" s="16"/>
      <c r="L6" s="158"/>
      <c r="M6" s="16"/>
      <c r="N6" s="16"/>
      <c r="O6" s="16"/>
      <c r="P6" s="16"/>
      <c r="Q6" s="16"/>
      <c r="R6" s="16"/>
      <c r="S6" s="16"/>
      <c r="T6" s="16"/>
      <c r="U6" s="16"/>
      <c r="V6" s="16"/>
      <c r="W6" s="16"/>
      <c r="X6" s="16"/>
      <c r="Y6" s="16"/>
      <c r="Z6" s="16"/>
    </row>
    <row r="7" spans="1:26">
      <c r="A7" s="16"/>
      <c r="B7" s="18"/>
      <c r="C7" s="151" t="s">
        <v>85</v>
      </c>
      <c r="D7" s="159">
        <f>'Profit and Loss'!G13/E5</f>
        <v>6.6888927882084573E-2</v>
      </c>
      <c r="E7" s="142"/>
      <c r="F7" s="16"/>
      <c r="G7" s="33"/>
      <c r="H7" s="33"/>
      <c r="I7" s="16"/>
      <c r="J7" s="16"/>
      <c r="K7" s="16"/>
      <c r="L7" s="16"/>
      <c r="M7" s="16"/>
      <c r="N7" s="16"/>
      <c r="O7" s="16"/>
      <c r="P7" s="16"/>
      <c r="Q7" s="16"/>
      <c r="R7" s="16"/>
      <c r="S7" s="16"/>
      <c r="T7" s="16"/>
      <c r="U7" s="16"/>
      <c r="V7" s="16"/>
      <c r="W7" s="16"/>
      <c r="X7" s="16"/>
      <c r="Y7" s="16"/>
      <c r="Z7" s="16"/>
    </row>
    <row r="8" spans="1:26">
      <c r="A8" s="16"/>
      <c r="B8" s="18"/>
      <c r="C8" s="151" t="s">
        <v>38</v>
      </c>
      <c r="D8" s="160">
        <v>0.26</v>
      </c>
      <c r="E8" s="19"/>
      <c r="F8" s="16"/>
      <c r="G8" s="16"/>
      <c r="H8" s="16"/>
      <c r="I8" s="16"/>
      <c r="J8" s="16"/>
      <c r="K8" s="16"/>
      <c r="L8" s="16"/>
      <c r="M8" s="16"/>
      <c r="N8" s="16"/>
      <c r="O8" s="16"/>
      <c r="P8" s="16"/>
      <c r="Q8" s="16"/>
      <c r="R8" s="16"/>
      <c r="S8" s="16"/>
      <c r="T8" s="16"/>
      <c r="U8" s="16"/>
      <c r="V8" s="16"/>
      <c r="W8" s="16"/>
      <c r="X8" s="16"/>
      <c r="Y8" s="16"/>
      <c r="Z8" s="16"/>
    </row>
    <row r="9" spans="1:26">
      <c r="A9" s="16" t="s">
        <v>86</v>
      </c>
      <c r="B9" s="18"/>
      <c r="C9" s="151"/>
      <c r="D9" s="161"/>
      <c r="E9" s="19"/>
      <c r="F9" s="16"/>
      <c r="G9" s="16"/>
      <c r="H9" s="16"/>
      <c r="I9" s="16"/>
      <c r="J9" s="16"/>
      <c r="K9" s="16"/>
      <c r="L9" s="16"/>
      <c r="M9" s="16"/>
      <c r="N9" s="16"/>
      <c r="O9" s="16"/>
      <c r="P9" s="16"/>
      <c r="Q9" s="16"/>
      <c r="R9" s="16"/>
      <c r="S9" s="16"/>
      <c r="T9" s="16"/>
      <c r="U9" s="16"/>
      <c r="V9" s="16"/>
      <c r="W9" s="16"/>
      <c r="X9" s="16"/>
      <c r="Y9" s="16"/>
      <c r="Z9" s="16"/>
    </row>
    <row r="10" spans="1:26">
      <c r="A10" s="16"/>
      <c r="B10" s="18"/>
      <c r="C10" s="151" t="s">
        <v>87</v>
      </c>
      <c r="D10" s="162">
        <f>H5+H4*(H6-H5)</f>
        <v>8.7340000000000001E-2</v>
      </c>
      <c r="E10" s="19"/>
      <c r="F10" s="16"/>
      <c r="G10" s="16"/>
      <c r="H10" s="16"/>
      <c r="I10" s="16"/>
      <c r="J10" s="16"/>
      <c r="K10" s="16"/>
      <c r="L10" s="16"/>
      <c r="M10" s="16"/>
      <c r="N10" s="16"/>
      <c r="O10" s="16"/>
      <c r="P10" s="16"/>
      <c r="Q10" s="16"/>
      <c r="R10" s="16"/>
      <c r="S10" s="16"/>
      <c r="T10" s="16"/>
      <c r="U10" s="16"/>
      <c r="V10" s="16"/>
      <c r="W10" s="16"/>
      <c r="X10" s="16"/>
      <c r="Y10" s="16"/>
      <c r="Z10" s="16"/>
    </row>
    <row r="11" spans="1:26">
      <c r="A11" s="16"/>
      <c r="B11" s="18"/>
      <c r="C11" s="151" t="s">
        <v>88</v>
      </c>
      <c r="D11" s="163">
        <f>D4+E5</f>
        <v>327147.5</v>
      </c>
      <c r="E11" s="19"/>
      <c r="F11" s="16"/>
      <c r="G11" s="16"/>
      <c r="H11" s="16"/>
      <c r="I11" s="16"/>
      <c r="J11" s="16"/>
      <c r="K11" s="16"/>
      <c r="L11" s="16"/>
      <c r="M11" s="16"/>
      <c r="N11" s="16"/>
      <c r="O11" s="16"/>
      <c r="P11" s="16"/>
      <c r="Q11" s="16"/>
      <c r="R11" s="16"/>
      <c r="S11" s="16"/>
      <c r="T11" s="16"/>
      <c r="U11" s="16"/>
      <c r="V11" s="16"/>
      <c r="W11" s="16"/>
      <c r="X11" s="16"/>
      <c r="Y11" s="16"/>
      <c r="Z11" s="16"/>
    </row>
    <row r="12" spans="1:26">
      <c r="A12" s="16"/>
      <c r="B12" s="18"/>
      <c r="C12" s="151" t="s">
        <v>89</v>
      </c>
      <c r="D12" s="163">
        <f>D4/D11</f>
        <v>0.95644930803383799</v>
      </c>
      <c r="E12" s="19"/>
      <c r="F12" s="16"/>
      <c r="G12" s="16"/>
      <c r="H12" s="16"/>
      <c r="I12" s="16"/>
      <c r="J12" s="16"/>
      <c r="K12" s="16"/>
      <c r="L12" s="16"/>
      <c r="M12" s="16"/>
      <c r="N12" s="16"/>
      <c r="O12" s="16"/>
      <c r="P12" s="16"/>
      <c r="Q12" s="16"/>
      <c r="R12" s="16"/>
      <c r="S12" s="16"/>
      <c r="T12" s="16"/>
      <c r="U12" s="16"/>
      <c r="V12" s="16"/>
      <c r="W12" s="16"/>
      <c r="X12" s="16"/>
      <c r="Y12" s="16"/>
      <c r="Z12" s="16"/>
    </row>
    <row r="13" spans="1:26">
      <c r="A13" s="16"/>
      <c r="B13" s="18"/>
      <c r="C13" s="164" t="s">
        <v>90</v>
      </c>
      <c r="D13" s="165">
        <f>D5/D11</f>
        <v>3.9636555376397493E-2</v>
      </c>
      <c r="E13" s="19"/>
      <c r="F13" s="16"/>
      <c r="G13" s="16"/>
      <c r="H13" s="16"/>
      <c r="I13" s="16"/>
      <c r="J13" s="16"/>
      <c r="K13" s="16"/>
      <c r="L13" s="16"/>
      <c r="M13" s="16"/>
      <c r="N13" s="16"/>
      <c r="O13" s="16"/>
      <c r="P13" s="16"/>
      <c r="Q13" s="16"/>
      <c r="R13" s="16"/>
      <c r="S13" s="16"/>
      <c r="T13" s="16"/>
      <c r="U13" s="16"/>
      <c r="V13" s="16"/>
      <c r="W13" s="16"/>
      <c r="X13" s="16"/>
      <c r="Y13" s="16"/>
      <c r="Z13" s="16"/>
    </row>
    <row r="14" spans="1:26">
      <c r="A14" s="16"/>
      <c r="B14" s="18"/>
      <c r="C14" s="166" t="s">
        <v>91</v>
      </c>
      <c r="D14" s="167">
        <f>D12*D10+D13*D7*(1-D8)</f>
        <v>8.5498205117284329E-2</v>
      </c>
      <c r="E14" s="19"/>
      <c r="F14" s="16"/>
      <c r="G14" s="16"/>
      <c r="H14" s="16"/>
      <c r="I14" s="16"/>
      <c r="J14" s="16"/>
      <c r="K14" s="16"/>
      <c r="L14" s="16"/>
      <c r="M14" s="16"/>
      <c r="N14" s="16"/>
      <c r="O14" s="16"/>
      <c r="P14" s="16"/>
      <c r="Q14" s="16"/>
      <c r="R14" s="16"/>
      <c r="S14" s="16"/>
      <c r="T14" s="16"/>
      <c r="U14" s="16"/>
      <c r="V14" s="16"/>
      <c r="W14" s="16"/>
      <c r="X14" s="16"/>
      <c r="Y14" s="16"/>
      <c r="Z14" s="16"/>
    </row>
    <row r="15" spans="1:26">
      <c r="A15" s="16"/>
      <c r="B15" s="16"/>
      <c r="C15" s="33"/>
      <c r="D15" s="33"/>
      <c r="E15" s="16"/>
      <c r="F15" s="16"/>
      <c r="G15" s="16"/>
      <c r="H15" s="16"/>
      <c r="I15" s="16"/>
      <c r="J15" s="16"/>
      <c r="K15" s="16"/>
      <c r="L15" s="16"/>
      <c r="M15" s="16"/>
      <c r="N15" s="16"/>
      <c r="O15" s="16"/>
      <c r="P15" s="16"/>
      <c r="Q15" s="16"/>
      <c r="R15" s="16"/>
      <c r="S15" s="16"/>
      <c r="T15" s="16"/>
      <c r="U15" s="16"/>
      <c r="V15" s="16"/>
      <c r="W15" s="16"/>
      <c r="X15" s="16"/>
      <c r="Y15" s="16"/>
      <c r="Z15" s="16"/>
    </row>
    <row r="16" spans="1:26">
      <c r="A16" s="16"/>
      <c r="B16" s="16"/>
      <c r="C16" s="84" t="s">
        <v>28</v>
      </c>
      <c r="D16" s="17"/>
      <c r="E16" s="17"/>
      <c r="F16" s="17"/>
      <c r="G16" s="17"/>
      <c r="H16" s="17"/>
      <c r="I16" s="17"/>
      <c r="J16" s="16"/>
      <c r="K16" s="16"/>
      <c r="L16" s="16"/>
      <c r="M16" s="16"/>
      <c r="N16" s="16"/>
      <c r="O16" s="16"/>
      <c r="P16" s="16"/>
      <c r="Q16" s="16"/>
      <c r="R16" s="16"/>
      <c r="S16" s="16"/>
      <c r="T16" s="16"/>
      <c r="U16" s="16"/>
      <c r="V16" s="16"/>
      <c r="W16" s="16"/>
      <c r="X16" s="16"/>
      <c r="Y16" s="16"/>
      <c r="Z16" s="16"/>
    </row>
    <row r="17" spans="1:26">
      <c r="A17" s="16"/>
      <c r="B17" s="18"/>
      <c r="C17" s="232" t="s">
        <v>42</v>
      </c>
      <c r="D17" s="233"/>
      <c r="E17" s="233"/>
      <c r="F17" s="233"/>
      <c r="G17" s="233"/>
      <c r="H17" s="233"/>
      <c r="I17" s="234"/>
      <c r="J17" s="19"/>
      <c r="K17" s="16"/>
      <c r="L17" s="16"/>
      <c r="M17" s="16"/>
      <c r="N17" s="16"/>
      <c r="O17" s="16"/>
      <c r="P17" s="16"/>
      <c r="Q17" s="16"/>
      <c r="R17" s="16"/>
      <c r="S17" s="16"/>
      <c r="T17" s="16"/>
      <c r="U17" s="16"/>
      <c r="V17" s="16"/>
      <c r="W17" s="16"/>
      <c r="X17" s="16"/>
      <c r="Y17" s="16"/>
      <c r="Z17" s="16"/>
    </row>
    <row r="18" spans="1:26">
      <c r="A18" s="16"/>
      <c r="B18" s="18"/>
      <c r="C18" s="29" t="s">
        <v>92</v>
      </c>
      <c r="D18" s="85"/>
      <c r="E18" s="85"/>
      <c r="F18" s="85"/>
      <c r="G18" s="86" t="s">
        <v>93</v>
      </c>
      <c r="H18" s="168"/>
      <c r="I18" s="87"/>
      <c r="J18" s="19"/>
      <c r="K18" s="16"/>
      <c r="L18" s="16"/>
      <c r="M18" s="16"/>
      <c r="N18" s="16"/>
      <c r="O18" s="16"/>
      <c r="P18" s="16"/>
      <c r="Q18" s="16"/>
      <c r="R18" s="16"/>
      <c r="S18" s="16"/>
      <c r="T18" s="16"/>
      <c r="U18" s="16"/>
      <c r="V18" s="16"/>
      <c r="W18" s="16"/>
      <c r="X18" s="16"/>
      <c r="Y18" s="16"/>
      <c r="Z18" s="16"/>
    </row>
    <row r="19" spans="1:26">
      <c r="A19" s="16"/>
      <c r="B19" s="16"/>
      <c r="C19" s="33"/>
      <c r="D19" s="33"/>
      <c r="E19" s="33"/>
      <c r="F19" s="33"/>
      <c r="G19" s="33"/>
      <c r="H19" s="33"/>
      <c r="I19" s="33"/>
      <c r="J19" s="16"/>
      <c r="K19" s="16"/>
      <c r="L19" s="16"/>
      <c r="M19" s="16"/>
      <c r="N19" s="16"/>
      <c r="O19" s="16"/>
      <c r="P19" s="16"/>
      <c r="Q19" s="16"/>
      <c r="R19" s="16"/>
      <c r="S19" s="16"/>
      <c r="T19" s="16"/>
      <c r="U19" s="16"/>
      <c r="V19" s="16"/>
      <c r="W19" s="16"/>
      <c r="X19" s="16"/>
      <c r="Y19" s="16"/>
      <c r="Z19" s="16"/>
    </row>
    <row r="20" spans="1:26">
      <c r="A20" s="16"/>
      <c r="B20" s="16"/>
      <c r="C20" s="16"/>
      <c r="D20" s="16" t="s">
        <v>86</v>
      </c>
      <c r="E20" s="16"/>
      <c r="F20" s="16"/>
      <c r="G20" s="16"/>
      <c r="H20" s="16"/>
      <c r="I20" s="16"/>
      <c r="J20" s="16"/>
      <c r="K20" s="16"/>
      <c r="L20" s="16"/>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mergeCells count="2">
    <mergeCell ref="E5:E6"/>
    <mergeCell ref="C17:I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topLeftCell="A8" workbookViewId="0"/>
  </sheetViews>
  <sheetFormatPr defaultColWidth="12.5703125" defaultRowHeight="15.75" customHeight="1"/>
  <cols>
    <col min="2" max="2" width="33.42578125" customWidth="1"/>
    <col min="3" max="3" width="10.42578125" customWidth="1"/>
    <col min="7" max="7" width="13.5703125" customWidth="1"/>
    <col min="11" max="11" width="14.42578125" customWidth="1"/>
  </cols>
  <sheetData>
    <row r="1" spans="1:26">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c r="A2" s="16"/>
      <c r="B2" s="16"/>
      <c r="C2" s="17"/>
      <c r="D2" s="17"/>
      <c r="E2" s="17"/>
      <c r="F2" s="17"/>
      <c r="G2" s="17"/>
      <c r="H2" s="17"/>
      <c r="I2" s="17"/>
      <c r="J2" s="17"/>
      <c r="K2" s="17"/>
      <c r="L2" s="17"/>
      <c r="M2" s="17"/>
      <c r="N2" s="16"/>
      <c r="O2" s="16"/>
      <c r="P2" s="16"/>
      <c r="Q2" s="16"/>
      <c r="R2" s="16"/>
      <c r="S2" s="16"/>
      <c r="T2" s="16"/>
      <c r="U2" s="16"/>
      <c r="V2" s="16"/>
      <c r="W2" s="16"/>
      <c r="X2" s="16"/>
      <c r="Y2" s="16"/>
      <c r="Z2" s="16"/>
    </row>
    <row r="3" spans="1:26">
      <c r="A3" s="16"/>
      <c r="B3" s="18"/>
      <c r="C3" s="35">
        <v>2020</v>
      </c>
      <c r="D3" s="36">
        <f t="shared" ref="D3:M3" si="0">C3+1</f>
        <v>2021</v>
      </c>
      <c r="E3" s="36">
        <f t="shared" si="0"/>
        <v>2022</v>
      </c>
      <c r="F3" s="36">
        <f t="shared" si="0"/>
        <v>2023</v>
      </c>
      <c r="G3" s="36">
        <f t="shared" si="0"/>
        <v>2024</v>
      </c>
      <c r="H3" s="36">
        <f t="shared" si="0"/>
        <v>2025</v>
      </c>
      <c r="I3" s="37">
        <f t="shared" si="0"/>
        <v>2026</v>
      </c>
      <c r="J3" s="37">
        <f t="shared" si="0"/>
        <v>2027</v>
      </c>
      <c r="K3" s="37">
        <f t="shared" si="0"/>
        <v>2028</v>
      </c>
      <c r="L3" s="37">
        <f t="shared" si="0"/>
        <v>2029</v>
      </c>
      <c r="M3" s="38">
        <f t="shared" si="0"/>
        <v>2030</v>
      </c>
      <c r="N3" s="19"/>
      <c r="O3" s="169" t="s">
        <v>91</v>
      </c>
      <c r="P3" s="170">
        <f>WACC!D14</f>
        <v>8.5498205117284329E-2</v>
      </c>
      <c r="Q3" s="16"/>
      <c r="R3" s="16"/>
      <c r="S3" s="16"/>
      <c r="T3" s="16"/>
      <c r="U3" s="16"/>
      <c r="V3" s="16"/>
      <c r="W3" s="16"/>
      <c r="X3" s="16"/>
      <c r="Y3" s="16"/>
      <c r="Z3" s="16"/>
    </row>
    <row r="4" spans="1:26">
      <c r="A4" s="16"/>
      <c r="B4" s="20" t="s">
        <v>94</v>
      </c>
      <c r="C4" s="171">
        <f>'Free Cash Flow'!C19</f>
        <v>506.73</v>
      </c>
      <c r="D4" s="172">
        <f>'Free Cash Flow'!D19</f>
        <v>1083.25</v>
      </c>
      <c r="E4" s="172">
        <f>'Free Cash Flow'!E19</f>
        <v>-2798.56</v>
      </c>
      <c r="F4" s="172">
        <f>'Free Cash Flow'!F19</f>
        <v>765.67999999999984</v>
      </c>
      <c r="G4" s="172">
        <f>'Free Cash Flow'!G19</f>
        <v>701.92000000000007</v>
      </c>
      <c r="H4" s="172">
        <f>'Free Cash Flow'!H19</f>
        <v>3900.5600000000004</v>
      </c>
      <c r="I4" s="172">
        <f>'Free Cash Flow'!I19</f>
        <v>1950.8734957359957</v>
      </c>
      <c r="J4" s="172">
        <f>'Free Cash Flow'!J19</f>
        <v>4737.7074487446862</v>
      </c>
      <c r="K4" s="172">
        <f>'Free Cash Flow'!K19</f>
        <v>7360.9655742163595</v>
      </c>
      <c r="L4" s="172">
        <f>'Free Cash Flow'!L19</f>
        <v>10695.527452312293</v>
      </c>
      <c r="M4" s="173">
        <f>'Free Cash Flow'!M19</f>
        <v>13040.623101588517</v>
      </c>
      <c r="N4" s="19"/>
      <c r="O4" s="16"/>
      <c r="P4" s="16"/>
      <c r="Q4" s="16"/>
      <c r="R4" s="16"/>
      <c r="S4" s="16"/>
      <c r="T4" s="16"/>
      <c r="U4" s="16"/>
      <c r="V4" s="16"/>
      <c r="W4" s="16"/>
      <c r="X4" s="16"/>
      <c r="Y4" s="16"/>
      <c r="Z4" s="16"/>
    </row>
    <row r="5" spans="1:26">
      <c r="A5" s="16"/>
      <c r="B5" s="20" t="s">
        <v>95</v>
      </c>
      <c r="C5" s="53"/>
      <c r="D5" s="16"/>
      <c r="E5" s="16"/>
      <c r="F5" s="16"/>
      <c r="G5" s="16"/>
      <c r="H5" s="16"/>
      <c r="I5" s="16">
        <v>1</v>
      </c>
      <c r="J5" s="16">
        <v>2</v>
      </c>
      <c r="K5" s="16">
        <v>3</v>
      </c>
      <c r="L5" s="16">
        <v>4</v>
      </c>
      <c r="M5" s="54">
        <v>5</v>
      </c>
      <c r="N5" s="19"/>
      <c r="O5" s="16"/>
      <c r="P5" s="16"/>
      <c r="Q5" s="16"/>
      <c r="R5" s="16"/>
      <c r="S5" s="16"/>
      <c r="T5" s="16"/>
      <c r="U5" s="16"/>
      <c r="V5" s="16"/>
      <c r="W5" s="16"/>
      <c r="X5" s="16"/>
      <c r="Y5" s="16"/>
      <c r="Z5" s="16"/>
    </row>
    <row r="6" spans="1:26">
      <c r="A6" s="16"/>
      <c r="B6" s="20" t="s">
        <v>96</v>
      </c>
      <c r="C6" s="53"/>
      <c r="D6" s="16"/>
      <c r="E6" s="16"/>
      <c r="F6" s="16"/>
      <c r="G6" s="16"/>
      <c r="H6" s="16"/>
      <c r="I6" s="57">
        <f t="shared" ref="I6:M6" si="1">1/(POWER((1 + $P$3),I5))</f>
        <v>0.92123597743945917</v>
      </c>
      <c r="J6" s="57">
        <f t="shared" si="1"/>
        <v>0.84867572612883568</v>
      </c>
      <c r="K6" s="57">
        <f t="shared" si="1"/>
        <v>0.78183061208944071</v>
      </c>
      <c r="L6" s="57">
        <f t="shared" si="1"/>
        <v>0.72025048812030656</v>
      </c>
      <c r="M6" s="58">
        <f t="shared" si="1"/>
        <v>0.66352066242475816</v>
      </c>
      <c r="N6" s="19"/>
      <c r="O6" s="16"/>
      <c r="P6" s="16"/>
      <c r="Q6" s="16"/>
      <c r="R6" s="16"/>
      <c r="S6" s="16"/>
      <c r="T6" s="16"/>
      <c r="U6" s="16"/>
      <c r="V6" s="16"/>
      <c r="W6" s="16"/>
      <c r="X6" s="16"/>
      <c r="Y6" s="16"/>
      <c r="Z6" s="16"/>
    </row>
    <row r="7" spans="1:26">
      <c r="A7" s="16"/>
      <c r="B7" s="20" t="s">
        <v>97</v>
      </c>
      <c r="C7" s="29"/>
      <c r="D7" s="85"/>
      <c r="E7" s="85"/>
      <c r="F7" s="85"/>
      <c r="G7" s="85"/>
      <c r="H7" s="85"/>
      <c r="I7" s="82">
        <f t="shared" ref="I7:M7" si="2">I4*I6</f>
        <v>1797.2148517050846</v>
      </c>
      <c r="J7" s="82">
        <f t="shared" si="2"/>
        <v>4020.7773092493903</v>
      </c>
      <c r="K7" s="82">
        <f t="shared" si="2"/>
        <v>5755.0282204588775</v>
      </c>
      <c r="L7" s="82">
        <f t="shared" si="2"/>
        <v>7703.4588682320682</v>
      </c>
      <c r="M7" s="83">
        <f t="shared" si="2"/>
        <v>8652.7228787976164</v>
      </c>
      <c r="N7" s="19"/>
      <c r="O7" s="16"/>
      <c r="P7" s="16"/>
      <c r="Q7" s="16"/>
      <c r="R7" s="16"/>
      <c r="S7" s="16"/>
      <c r="T7" s="16"/>
      <c r="U7" s="16"/>
      <c r="V7" s="16"/>
      <c r="W7" s="16"/>
      <c r="X7" s="16"/>
      <c r="Y7" s="16"/>
      <c r="Z7" s="16"/>
    </row>
    <row r="8" spans="1:26">
      <c r="A8" s="16"/>
      <c r="B8" s="174"/>
      <c r="C8" s="33"/>
      <c r="D8" s="33"/>
      <c r="E8" s="33"/>
      <c r="F8" s="33"/>
      <c r="G8" s="33"/>
      <c r="H8" s="33"/>
      <c r="I8" s="27"/>
      <c r="J8" s="27"/>
      <c r="K8" s="27"/>
      <c r="L8" s="27"/>
      <c r="M8" s="27"/>
      <c r="N8" s="16"/>
      <c r="O8" s="16"/>
      <c r="P8" s="16"/>
      <c r="Q8" s="16"/>
      <c r="R8" s="16"/>
      <c r="S8" s="16"/>
      <c r="T8" s="16"/>
      <c r="U8" s="16"/>
      <c r="V8" s="16"/>
      <c r="W8" s="16"/>
      <c r="X8" s="16"/>
      <c r="Y8" s="16"/>
      <c r="Z8" s="16"/>
    </row>
    <row r="9" spans="1:26">
      <c r="A9" s="16"/>
      <c r="B9" s="16"/>
      <c r="C9" s="16"/>
      <c r="D9" s="16"/>
      <c r="E9" s="16"/>
      <c r="F9" s="16"/>
      <c r="G9" s="16"/>
      <c r="H9" s="16"/>
      <c r="I9" s="57"/>
      <c r="J9" s="57"/>
      <c r="K9" s="57"/>
      <c r="L9" s="57"/>
      <c r="M9" s="57"/>
      <c r="N9" s="16"/>
      <c r="O9" s="16"/>
      <c r="P9" s="16"/>
      <c r="Q9" s="16"/>
      <c r="R9" s="16"/>
      <c r="S9" s="16"/>
      <c r="T9" s="16"/>
      <c r="U9" s="16"/>
      <c r="V9" s="16"/>
      <c r="W9" s="16"/>
      <c r="X9" s="16"/>
      <c r="Y9" s="16"/>
      <c r="Z9" s="16"/>
    </row>
    <row r="10" spans="1:26">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c r="A11" s="16"/>
      <c r="B11" s="17"/>
      <c r="C11" s="17"/>
      <c r="D11" s="16"/>
      <c r="E11" s="16"/>
      <c r="F11" s="17"/>
      <c r="G11" s="17"/>
      <c r="H11" s="17"/>
      <c r="I11" s="17"/>
      <c r="J11" s="17"/>
      <c r="K11" s="17"/>
      <c r="L11" s="17"/>
      <c r="M11" s="17"/>
      <c r="N11" s="17"/>
      <c r="O11" s="17"/>
      <c r="P11" s="17"/>
      <c r="Q11" s="16"/>
      <c r="R11" s="16"/>
      <c r="S11" s="16"/>
      <c r="T11" s="16"/>
      <c r="U11" s="16"/>
      <c r="V11" s="16"/>
      <c r="W11" s="16"/>
      <c r="X11" s="16"/>
      <c r="Y11" s="16"/>
      <c r="Z11" s="16"/>
    </row>
    <row r="12" spans="1:26">
      <c r="A12" s="18"/>
      <c r="B12" s="175" t="s">
        <v>76</v>
      </c>
      <c r="C12" s="176" t="s">
        <v>77</v>
      </c>
      <c r="D12" s="19"/>
      <c r="E12" s="18"/>
      <c r="F12" s="16"/>
      <c r="G12" s="16"/>
      <c r="H12" s="16"/>
      <c r="I12" s="18"/>
      <c r="J12" s="232" t="s">
        <v>98</v>
      </c>
      <c r="K12" s="233"/>
      <c r="L12" s="233"/>
      <c r="M12" s="233"/>
      <c r="N12" s="233"/>
      <c r="O12" s="233"/>
      <c r="P12" s="234"/>
      <c r="Q12" s="16"/>
      <c r="R12" s="243"/>
      <c r="S12" s="244"/>
      <c r="T12" s="244"/>
      <c r="U12" s="244"/>
      <c r="V12" s="244"/>
      <c r="W12" s="244"/>
      <c r="X12" s="245"/>
      <c r="Y12" s="16"/>
      <c r="Z12" s="16"/>
    </row>
    <row r="13" spans="1:26">
      <c r="A13" s="18"/>
      <c r="B13" s="151" t="s">
        <v>99</v>
      </c>
      <c r="C13" s="177">
        <v>0.05</v>
      </c>
      <c r="D13" s="19"/>
      <c r="E13" s="18"/>
      <c r="F13" s="16"/>
      <c r="G13" s="16"/>
      <c r="H13" s="16"/>
      <c r="I13" s="18"/>
      <c r="J13" s="178"/>
      <c r="K13" s="179"/>
      <c r="L13" s="246" t="s">
        <v>100</v>
      </c>
      <c r="M13" s="233"/>
      <c r="N13" s="233"/>
      <c r="O13" s="233"/>
      <c r="P13" s="234"/>
      <c r="Q13" s="53"/>
      <c r="R13" s="19"/>
      <c r="S13" s="16"/>
      <c r="T13" s="247"/>
      <c r="U13" s="244"/>
      <c r="V13" s="244"/>
      <c r="W13" s="244"/>
      <c r="X13" s="245"/>
      <c r="Y13" s="16"/>
      <c r="Z13" s="16"/>
    </row>
    <row r="14" spans="1:26" ht="15.75" customHeight="1">
      <c r="A14" s="18"/>
      <c r="B14" s="151"/>
      <c r="C14" s="162"/>
      <c r="D14" s="19"/>
      <c r="E14" s="18"/>
      <c r="F14" s="16"/>
      <c r="G14" s="16"/>
      <c r="H14" s="16"/>
      <c r="I14" s="18"/>
      <c r="J14" s="128"/>
      <c r="K14" s="180"/>
      <c r="L14" s="181">
        <v>7.4999999999999997E-2</v>
      </c>
      <c r="M14" s="181">
        <v>0.08</v>
      </c>
      <c r="N14" s="182">
        <v>8.5000000000000006E-2</v>
      </c>
      <c r="O14" s="181">
        <v>0.09</v>
      </c>
      <c r="P14" s="183">
        <v>9.5000000000000001E-2</v>
      </c>
      <c r="Q14" s="53"/>
      <c r="R14" s="19"/>
      <c r="S14" s="16"/>
      <c r="T14" s="184"/>
      <c r="U14" s="184"/>
      <c r="V14" s="184"/>
      <c r="W14" s="184"/>
      <c r="X14" s="184"/>
      <c r="Y14" s="16"/>
      <c r="Z14" s="16"/>
    </row>
    <row r="15" spans="1:26">
      <c r="A15" s="18"/>
      <c r="B15" s="185" t="s">
        <v>101</v>
      </c>
      <c r="C15" s="186">
        <f>M4*(1+C13)/(P3-C13)</f>
        <v>385728.07305124548</v>
      </c>
      <c r="D15" s="19"/>
      <c r="E15" s="18"/>
      <c r="F15" s="16"/>
      <c r="G15" s="16"/>
      <c r="H15" s="16"/>
      <c r="I15" s="18"/>
      <c r="J15" s="251" t="s">
        <v>102</v>
      </c>
      <c r="K15" s="187">
        <v>0.04</v>
      </c>
      <c r="L15" s="188">
        <f t="shared" ref="L15:P15" si="3">IF(L$14=$K15, "-", ($M$4*(1+$K15))/(L$14 - $K15)/((1+L$14)^5))</f>
        <v>269911.45532403607</v>
      </c>
      <c r="M15" s="188">
        <f t="shared" si="3"/>
        <v>230755.95300657456</v>
      </c>
      <c r="N15" s="188">
        <f t="shared" si="3"/>
        <v>200433.57731027843</v>
      </c>
      <c r="O15" s="188">
        <f t="shared" si="3"/>
        <v>176290.61321268079</v>
      </c>
      <c r="P15" s="189">
        <f t="shared" si="3"/>
        <v>156638.45726015436</v>
      </c>
      <c r="Q15" s="53"/>
      <c r="R15" s="252"/>
      <c r="S15" s="170"/>
      <c r="T15" s="57"/>
      <c r="U15" s="57"/>
      <c r="V15" s="57"/>
      <c r="W15" s="57"/>
      <c r="X15" s="57"/>
      <c r="Y15" s="16"/>
      <c r="Z15" s="16"/>
    </row>
    <row r="16" spans="1:26">
      <c r="A16" s="18"/>
      <c r="B16" s="185" t="s">
        <v>103</v>
      </c>
      <c r="C16" s="186">
        <f>C15*M6</f>
        <v>255938.5465467879</v>
      </c>
      <c r="D16" s="19"/>
      <c r="E16" s="18"/>
      <c r="F16" s="16"/>
      <c r="G16" s="16"/>
      <c r="H16" s="16"/>
      <c r="I16" s="18"/>
      <c r="J16" s="249"/>
      <c r="K16" s="187">
        <v>4.4999999999999998E-2</v>
      </c>
      <c r="L16" s="188">
        <f t="shared" ref="L16:P16" si="4">IF(L$14=$K16, "-", ($M$4*(1+$K16))/(L$14 - $K16)/((1+L$14)^5))</f>
        <v>316410.62431014801</v>
      </c>
      <c r="M16" s="188">
        <f t="shared" si="4"/>
        <v>264988.97900205536</v>
      </c>
      <c r="N16" s="188">
        <f t="shared" si="4"/>
        <v>226571.85031288085</v>
      </c>
      <c r="O16" s="188">
        <f t="shared" si="4"/>
        <v>196820.18248637969</v>
      </c>
      <c r="P16" s="189">
        <f t="shared" si="4"/>
        <v>173130.67944283408</v>
      </c>
      <c r="Q16" s="53"/>
      <c r="R16" s="253"/>
      <c r="S16" s="170"/>
      <c r="T16" s="57"/>
      <c r="U16" s="57"/>
      <c r="V16" s="57"/>
      <c r="W16" s="57"/>
      <c r="X16" s="57"/>
      <c r="Y16" s="16"/>
      <c r="Z16" s="16"/>
    </row>
    <row r="17" spans="1:26">
      <c r="A17" s="18"/>
      <c r="B17" s="185" t="s">
        <v>104</v>
      </c>
      <c r="C17" s="186">
        <f>SUM(I7:M7) + C16</f>
        <v>283867.74867523095</v>
      </c>
      <c r="D17" s="19"/>
      <c r="E17" s="18"/>
      <c r="F17" s="16"/>
      <c r="G17" s="16"/>
      <c r="H17" s="16"/>
      <c r="I17" s="18"/>
      <c r="J17" s="249"/>
      <c r="K17" s="190">
        <v>0.05</v>
      </c>
      <c r="L17" s="188">
        <f t="shared" ref="L17:P17" si="5">IF(L$14=$K17, "-", ($M$4*(1+$K17))/(L$14 - $K17)/((1+L$14)^5))</f>
        <v>381509.46089070488</v>
      </c>
      <c r="M17" s="188">
        <f t="shared" si="5"/>
        <v>310633.01366269652</v>
      </c>
      <c r="N17" s="191">
        <f t="shared" si="5"/>
        <v>260178.20131622686</v>
      </c>
      <c r="O17" s="188">
        <f t="shared" si="5"/>
        <v>222482.14407850342</v>
      </c>
      <c r="P17" s="189">
        <f t="shared" si="5"/>
        <v>193287.83988833154</v>
      </c>
      <c r="Q17" s="53"/>
      <c r="R17" s="253"/>
      <c r="S17" s="170"/>
      <c r="T17" s="57"/>
      <c r="U17" s="57"/>
      <c r="V17" s="57"/>
      <c r="W17" s="57"/>
      <c r="X17" s="57"/>
      <c r="Y17" s="16"/>
      <c r="Z17" s="16"/>
    </row>
    <row r="18" spans="1:26">
      <c r="A18" s="18"/>
      <c r="B18" s="185" t="s">
        <v>105</v>
      </c>
      <c r="C18" s="186">
        <f>C17-WACC!E5</f>
        <v>269620.24867523095</v>
      </c>
      <c r="D18" s="19"/>
      <c r="E18" s="18"/>
      <c r="F18" s="16"/>
      <c r="G18" s="16"/>
      <c r="H18" s="16"/>
      <c r="I18" s="18"/>
      <c r="J18" s="249"/>
      <c r="K18" s="187">
        <v>5.5E-2</v>
      </c>
      <c r="L18" s="188">
        <f t="shared" ref="L18:P18" si="6">IF(L$14=$K18, "-", ($M$4*(1+$K18))/(L$14 - $K18)/((1+L$14)^5))</f>
        <v>479157.71576153993</v>
      </c>
      <c r="M18" s="188">
        <f t="shared" si="6"/>
        <v>374534.66218759399</v>
      </c>
      <c r="N18" s="188">
        <f t="shared" si="6"/>
        <v>304986.66932068806</v>
      </c>
      <c r="O18" s="188">
        <f t="shared" si="6"/>
        <v>255476.09469694807</v>
      </c>
      <c r="P18" s="189">
        <f t="shared" si="6"/>
        <v>218484.29044520328</v>
      </c>
      <c r="Q18" s="53"/>
      <c r="R18" s="253"/>
      <c r="S18" s="170"/>
      <c r="T18" s="16"/>
      <c r="U18" s="16"/>
      <c r="V18" s="16"/>
      <c r="W18" s="16"/>
      <c r="X18" s="16"/>
      <c r="Y18" s="16"/>
      <c r="Z18" s="16"/>
    </row>
    <row r="19" spans="1:26">
      <c r="A19" s="18"/>
      <c r="B19" s="192" t="s">
        <v>106</v>
      </c>
      <c r="C19" s="193">
        <f>C18/88.73</f>
        <v>3038.6594012761293</v>
      </c>
      <c r="D19" s="19"/>
      <c r="E19" s="18"/>
      <c r="F19" s="16"/>
      <c r="G19" s="16"/>
      <c r="H19" s="16"/>
      <c r="I19" s="18"/>
      <c r="J19" s="250"/>
      <c r="K19" s="187">
        <v>0.06</v>
      </c>
      <c r="L19" s="194">
        <f t="shared" ref="L19:P19" si="7">IF(L$14=$K19, "-", ($M$4*(1+$K19))/(L$14 - $K19)/((1+L$14)^5))</f>
        <v>641904.8072129318</v>
      </c>
      <c r="M19" s="194">
        <f t="shared" si="7"/>
        <v>470387.13497494033</v>
      </c>
      <c r="N19" s="194">
        <f t="shared" si="7"/>
        <v>367718.52452693391</v>
      </c>
      <c r="O19" s="194">
        <f t="shared" si="7"/>
        <v>299468.02885487437</v>
      </c>
      <c r="P19" s="195">
        <f t="shared" si="7"/>
        <v>250879.72687546699</v>
      </c>
      <c r="Q19" s="53"/>
      <c r="R19" s="254"/>
      <c r="S19" s="170"/>
      <c r="T19" s="16"/>
      <c r="U19" s="16"/>
      <c r="V19" s="16"/>
      <c r="W19" s="16"/>
      <c r="X19" s="16"/>
      <c r="Y19" s="16"/>
      <c r="Z19" s="16"/>
    </row>
    <row r="20" spans="1:26">
      <c r="A20" s="16"/>
      <c r="B20" s="33"/>
      <c r="C20" s="33"/>
      <c r="D20" s="16"/>
      <c r="E20" s="18"/>
      <c r="F20" s="16"/>
      <c r="G20" s="16"/>
      <c r="H20" s="16"/>
      <c r="I20" s="16"/>
      <c r="J20" s="33"/>
      <c r="K20" s="33"/>
      <c r="L20" s="33"/>
      <c r="M20" s="33"/>
      <c r="N20" s="33"/>
      <c r="O20" s="33"/>
      <c r="P20" s="33"/>
      <c r="Q20" s="16"/>
      <c r="R20" s="16"/>
      <c r="S20" s="16"/>
      <c r="T20" s="16"/>
      <c r="U20" s="16"/>
      <c r="V20" s="16"/>
      <c r="W20" s="16"/>
      <c r="X20" s="16"/>
      <c r="Y20" s="16"/>
      <c r="Z20" s="16"/>
    </row>
    <row r="21" spans="1:26">
      <c r="A21" s="16"/>
      <c r="B21" s="17"/>
      <c r="C21" s="17"/>
      <c r="D21" s="17"/>
      <c r="E21" s="17"/>
      <c r="F21" s="17"/>
      <c r="G21" s="17"/>
      <c r="H21" s="17"/>
      <c r="I21" s="16"/>
      <c r="J21" s="17"/>
      <c r="K21" s="17"/>
      <c r="L21" s="17"/>
      <c r="M21" s="17"/>
      <c r="N21" s="17"/>
      <c r="O21" s="17"/>
      <c r="P21" s="17"/>
      <c r="Q21" s="16"/>
      <c r="R21" s="16"/>
      <c r="S21" s="16"/>
      <c r="T21" s="16"/>
      <c r="U21" s="16"/>
      <c r="V21" s="16"/>
      <c r="W21" s="16"/>
      <c r="X21" s="16"/>
      <c r="Y21" s="16"/>
      <c r="Z21" s="16"/>
    </row>
    <row r="22" spans="1:26">
      <c r="A22" s="16"/>
      <c r="B22" s="232" t="s">
        <v>107</v>
      </c>
      <c r="C22" s="233"/>
      <c r="D22" s="233"/>
      <c r="E22" s="233"/>
      <c r="F22" s="233"/>
      <c r="G22" s="233"/>
      <c r="H22" s="234"/>
      <c r="I22" s="123"/>
      <c r="J22" s="232" t="s">
        <v>108</v>
      </c>
      <c r="K22" s="233"/>
      <c r="L22" s="233"/>
      <c r="M22" s="233"/>
      <c r="N22" s="233"/>
      <c r="O22" s="233"/>
      <c r="P22" s="234"/>
      <c r="Q22" s="16"/>
      <c r="R22" s="243"/>
      <c r="S22" s="244"/>
      <c r="T22" s="244"/>
      <c r="U22" s="244"/>
      <c r="V22" s="244"/>
      <c r="W22" s="244"/>
      <c r="X22" s="245"/>
      <c r="Y22" s="16"/>
      <c r="Z22" s="16"/>
    </row>
    <row r="23" spans="1:26">
      <c r="A23" s="16"/>
      <c r="B23" s="178"/>
      <c r="C23" s="179"/>
      <c r="D23" s="246" t="s">
        <v>100</v>
      </c>
      <c r="E23" s="233"/>
      <c r="F23" s="233"/>
      <c r="G23" s="233"/>
      <c r="H23" s="234"/>
      <c r="I23" s="123"/>
      <c r="J23" s="178"/>
      <c r="K23" s="179"/>
      <c r="L23" s="246" t="s">
        <v>100</v>
      </c>
      <c r="M23" s="233"/>
      <c r="N23" s="233"/>
      <c r="O23" s="233"/>
      <c r="P23" s="234"/>
      <c r="Q23" s="16"/>
      <c r="R23" s="19"/>
      <c r="S23" s="16"/>
      <c r="T23" s="247"/>
      <c r="U23" s="244"/>
      <c r="V23" s="244"/>
      <c r="W23" s="244"/>
      <c r="X23" s="245"/>
      <c r="Y23" s="16"/>
      <c r="Z23" s="16"/>
    </row>
    <row r="24" spans="1:26" ht="15.75" customHeight="1">
      <c r="A24" s="16"/>
      <c r="B24" s="128"/>
      <c r="C24" s="180"/>
      <c r="D24" s="181">
        <v>7.4999999999999997E-2</v>
      </c>
      <c r="E24" s="181">
        <v>0.08</v>
      </c>
      <c r="F24" s="182">
        <v>8.5000000000000006E-2</v>
      </c>
      <c r="G24" s="181">
        <v>0.09</v>
      </c>
      <c r="H24" s="181">
        <v>9.5000000000000001E-2</v>
      </c>
      <c r="I24" s="123"/>
      <c r="J24" s="128"/>
      <c r="K24" s="180"/>
      <c r="L24" s="181">
        <v>7.4999999999999997E-2</v>
      </c>
      <c r="M24" s="181">
        <v>0.08</v>
      </c>
      <c r="N24" s="182">
        <v>8.5000000000000006E-2</v>
      </c>
      <c r="O24" s="181">
        <v>0.09</v>
      </c>
      <c r="P24" s="183">
        <v>9.5000000000000001E-2</v>
      </c>
      <c r="Q24" s="53"/>
      <c r="R24" s="19"/>
      <c r="S24" s="16"/>
      <c r="T24" s="184"/>
      <c r="U24" s="184"/>
      <c r="V24" s="184"/>
      <c r="W24" s="184"/>
      <c r="X24" s="184"/>
      <c r="Y24" s="16"/>
      <c r="Z24" s="16"/>
    </row>
    <row r="25" spans="1:26" ht="12.75">
      <c r="A25" s="16"/>
      <c r="B25" s="248" t="s">
        <v>102</v>
      </c>
      <c r="C25" s="187">
        <v>0.04</v>
      </c>
      <c r="D25" s="188">
        <f>IF(D$24=$C25, "-", (($M$4*(1+$C25))/((D$24 - $C25)*(1+D$24)^5)) - WACC!$E$5)</f>
        <v>255663.95532403601</v>
      </c>
      <c r="E25" s="188">
        <f>IF(E$24=$C25, "-", (($M$4*(1+$C25))/((E$24 - $C25)*(1+E$24)^5)) - WACC!$E$5)</f>
        <v>216508.45300657453</v>
      </c>
      <c r="F25" s="188">
        <f>IF(F$24=$C25, "-", (($M$4*(1+$C25))/((F$24 - $C25)*(1+F$24)^5)) - WACC!$E$5)</f>
        <v>186186.07731027843</v>
      </c>
      <c r="G25" s="188">
        <f>IF(G$24=$C25, "-", (($M$4*(1+$C25))/((G$24 - $C25)*(1+G$24)^5)) - WACC!$E$5)</f>
        <v>162043.11321268079</v>
      </c>
      <c r="H25" s="196">
        <f>IF(H$24=$C25, "-", (($M$4*(1+$C25))/((H$24 - $C25)*(1+H$24)^5)) - WACC!$E$5)</f>
        <v>142390.95726015436</v>
      </c>
      <c r="I25" s="123"/>
      <c r="J25" s="251" t="s">
        <v>102</v>
      </c>
      <c r="K25" s="187">
        <v>0.04</v>
      </c>
      <c r="L25" s="188">
        <f t="shared" ref="L25:P25" si="8">IF(D25="-", "-", ROUND(D25/88.73, 2))</f>
        <v>2881.37</v>
      </c>
      <c r="M25" s="188">
        <f t="shared" si="8"/>
        <v>2440.08</v>
      </c>
      <c r="N25" s="188">
        <f t="shared" si="8"/>
        <v>2098.34</v>
      </c>
      <c r="O25" s="188">
        <f t="shared" si="8"/>
        <v>1826.25</v>
      </c>
      <c r="P25" s="189">
        <f t="shared" si="8"/>
        <v>1604.77</v>
      </c>
      <c r="Q25" s="53"/>
      <c r="R25" s="252"/>
      <c r="S25" s="170"/>
      <c r="T25" s="57"/>
      <c r="U25" s="57"/>
      <c r="V25" s="57"/>
      <c r="W25" s="57"/>
      <c r="X25" s="57"/>
      <c r="Y25" s="16"/>
      <c r="Z25" s="16"/>
    </row>
    <row r="26" spans="1:26" ht="12.75">
      <c r="A26" s="16"/>
      <c r="B26" s="249"/>
      <c r="C26" s="187">
        <v>4.4999999999999998E-2</v>
      </c>
      <c r="D26" s="188">
        <f>IF(D$24=$C26, "-", (($M$4*(1+$C26))/((D$24 - $C26)*(1+D$24)^5)) - WACC!$E$5)</f>
        <v>302163.12431014801</v>
      </c>
      <c r="E26" s="188">
        <f>IF(E$24=$C26, "-", (($M$4*(1+$C26))/((E$24 - $C26)*(1+E$24)^5)) - WACC!$E$5)</f>
        <v>250741.47900205536</v>
      </c>
      <c r="F26" s="188">
        <f>IF(F$24=$C26, "-", (($M$4*(1+$C26))/((F$24 - $C26)*(1+F$24)^5)) - WACC!$E$5)</f>
        <v>212324.35031288085</v>
      </c>
      <c r="G26" s="188">
        <f>IF(G$24=$C26, "-", (($M$4*(1+$C26))/((G$24 - $C26)*(1+G$24)^5)) - WACC!$E$5)</f>
        <v>182572.68248637969</v>
      </c>
      <c r="H26" s="196">
        <f>IF(H$24=$C26, "-", (($M$4*(1+$C26))/((H$24 - $C26)*(1+H$24)^5)) - WACC!$E$5)</f>
        <v>158883.17944283408</v>
      </c>
      <c r="I26" s="123"/>
      <c r="J26" s="249"/>
      <c r="K26" s="187">
        <v>4.4999999999999998E-2</v>
      </c>
      <c r="L26" s="188">
        <f t="shared" ref="L26:P26" si="9">IF(D26="-", "-", ROUND(D26/88.73, 2))</f>
        <v>3405.42</v>
      </c>
      <c r="M26" s="188">
        <f t="shared" si="9"/>
        <v>2825.89</v>
      </c>
      <c r="N26" s="188">
        <f t="shared" si="9"/>
        <v>2392.9299999999998</v>
      </c>
      <c r="O26" s="188">
        <f t="shared" si="9"/>
        <v>2057.62</v>
      </c>
      <c r="P26" s="189">
        <f t="shared" si="9"/>
        <v>1790.64</v>
      </c>
      <c r="Q26" s="53"/>
      <c r="R26" s="253"/>
      <c r="S26" s="170"/>
      <c r="T26" s="57"/>
      <c r="U26" s="57"/>
      <c r="V26" s="57"/>
      <c r="W26" s="57"/>
      <c r="X26" s="57"/>
      <c r="Y26" s="16"/>
      <c r="Z26" s="16"/>
    </row>
    <row r="27" spans="1:26" ht="12.75">
      <c r="A27" s="16"/>
      <c r="B27" s="249"/>
      <c r="C27" s="190">
        <v>0.05</v>
      </c>
      <c r="D27" s="188">
        <f>IF(D$24=$C27, "-", (($M$4*(1+$C27))/((D$24 - $C27)*(1+D$24)^5)) - WACC!$E$5)</f>
        <v>367261.96089070488</v>
      </c>
      <c r="E27" s="188">
        <f>IF(E$24=$C27, "-", (($M$4*(1+$C27))/((E$24 - $C27)*(1+E$24)^5)) - WACC!$E$5)</f>
        <v>296385.51366269652</v>
      </c>
      <c r="F27" s="191">
        <f>IF(F$24=$C27, "-", (($M$4*(1+$C27))/((F$24 - $C27)*(1+F$24)^5)) - WACC!$E$5)</f>
        <v>245930.70131622688</v>
      </c>
      <c r="G27" s="188">
        <f>IF(G$24=$C27, "-", (($M$4*(1+$C27))/((G$24 - $C27)*(1+G$24)^5)) - WACC!$E$5)</f>
        <v>208234.64407850339</v>
      </c>
      <c r="H27" s="196">
        <f>IF(H$24=$C27, "-", (($M$4*(1+$C27))/((H$24 - $C27)*(1+H$24)^5)) - WACC!$E$5)</f>
        <v>179040.33988833151</v>
      </c>
      <c r="I27" s="123"/>
      <c r="J27" s="249"/>
      <c r="K27" s="190">
        <v>0.05</v>
      </c>
      <c r="L27" s="188">
        <f t="shared" ref="L27:P27" si="10">IF(D27="-", "-", ROUND(D27/88.73, 2))</f>
        <v>4139.1000000000004</v>
      </c>
      <c r="M27" s="188">
        <f t="shared" si="10"/>
        <v>3340.31</v>
      </c>
      <c r="N27" s="191">
        <f t="shared" si="10"/>
        <v>2771.67</v>
      </c>
      <c r="O27" s="188">
        <f t="shared" si="10"/>
        <v>2346.83</v>
      </c>
      <c r="P27" s="189">
        <f t="shared" si="10"/>
        <v>2017.81</v>
      </c>
      <c r="Q27" s="53"/>
      <c r="R27" s="253"/>
      <c r="S27" s="170"/>
      <c r="T27" s="57"/>
      <c r="U27" s="57"/>
      <c r="V27" s="57"/>
      <c r="W27" s="57"/>
      <c r="X27" s="57"/>
      <c r="Y27" s="16"/>
      <c r="Z27" s="16"/>
    </row>
    <row r="28" spans="1:26" ht="12.75">
      <c r="A28" s="16"/>
      <c r="B28" s="249"/>
      <c r="C28" s="187">
        <v>5.5E-2</v>
      </c>
      <c r="D28" s="188">
        <f>IF(D$24=$C28, "-", (($M$4*(1+$C28))/((D$24 - $C28)*(1+D$24)^5)) - WACC!$E$5)</f>
        <v>464910.21576153993</v>
      </c>
      <c r="E28" s="188">
        <f>IF(E$24=$C28, "-", (($M$4*(1+$C28))/((E$24 - $C28)*(1+E$24)^5)) - WACC!$E$5)</f>
        <v>360287.16218759405</v>
      </c>
      <c r="F28" s="188">
        <f>IF(F$24=$C28, "-", (($M$4*(1+$C28))/((F$24 - $C28)*(1+F$24)^5)) - WACC!$E$5)</f>
        <v>290739.16932068806</v>
      </c>
      <c r="G28" s="188">
        <f>IF(G$24=$C28, "-", (($M$4*(1+$C28))/((G$24 - $C28)*(1+G$24)^5)) - WACC!$E$5)</f>
        <v>241228.59469694807</v>
      </c>
      <c r="H28" s="196">
        <f>IF(H$24=$C28, "-", (($M$4*(1+$C28))/((H$24 - $C28)*(1+H$24)^5)) - WACC!$E$5)</f>
        <v>204236.79044520328</v>
      </c>
      <c r="I28" s="123"/>
      <c r="J28" s="249"/>
      <c r="K28" s="187">
        <v>5.5E-2</v>
      </c>
      <c r="L28" s="188">
        <f t="shared" ref="L28:P28" si="11">IF(D28="-", "-", ROUND(D28/88.73, 2))</f>
        <v>5239.6099999999997</v>
      </c>
      <c r="M28" s="188">
        <f t="shared" si="11"/>
        <v>4060.49</v>
      </c>
      <c r="N28" s="188">
        <f t="shared" si="11"/>
        <v>3276.67</v>
      </c>
      <c r="O28" s="188">
        <f t="shared" si="11"/>
        <v>2718.68</v>
      </c>
      <c r="P28" s="189">
        <f t="shared" si="11"/>
        <v>2301.7800000000002</v>
      </c>
      <c r="Q28" s="53"/>
      <c r="R28" s="253"/>
      <c r="S28" s="170"/>
      <c r="T28" s="16"/>
      <c r="U28" s="16"/>
      <c r="V28" s="16"/>
      <c r="W28" s="16"/>
      <c r="X28" s="16"/>
      <c r="Y28" s="16"/>
      <c r="Z28" s="16"/>
    </row>
    <row r="29" spans="1:26" ht="12.75">
      <c r="A29" s="16"/>
      <c r="B29" s="250"/>
      <c r="C29" s="187">
        <v>0.06</v>
      </c>
      <c r="D29" s="194">
        <f>IF(D$24=$C29, "-", (($M$4*(1+$C29))/((D$24 - $C29)*(1+D$24)^5)) - WACC!$E$5)</f>
        <v>627657.3072129318</v>
      </c>
      <c r="E29" s="194">
        <f>IF(E$24=$C29, "-", (($M$4*(1+$C29))/((E$24 - $C29)*(1+E$24)^5)) - WACC!$E$5)</f>
        <v>456139.63497494033</v>
      </c>
      <c r="F29" s="194">
        <f>IF(F$24=$C29, "-", (($M$4*(1+$C29))/((F$24 - $C29)*(1+F$24)^5)) - WACC!$E$5)</f>
        <v>353471.02452693379</v>
      </c>
      <c r="G29" s="194">
        <f>IF(G$24=$C29, "-", (($M$4*(1+$C29))/((G$24 - $C29)*(1+G$24)^5)) - WACC!$E$5)</f>
        <v>285220.52885487437</v>
      </c>
      <c r="H29" s="197">
        <f>IF(H$24=$C29, "-", (($M$4*(1+$C29))/((H$24 - $C29)*(1+H$24)^5)) - WACC!$E$5)</f>
        <v>236632.22687546699</v>
      </c>
      <c r="I29" s="198"/>
      <c r="J29" s="250"/>
      <c r="K29" s="187">
        <v>0.06</v>
      </c>
      <c r="L29" s="194">
        <f t="shared" ref="L29:P29" si="12">IF(D29="-", "-", ROUND(D29/88.73, 2))</f>
        <v>7073.79</v>
      </c>
      <c r="M29" s="194">
        <f t="shared" si="12"/>
        <v>5140.76</v>
      </c>
      <c r="N29" s="194">
        <f t="shared" si="12"/>
        <v>3983.67</v>
      </c>
      <c r="O29" s="194">
        <f t="shared" si="12"/>
        <v>3214.48</v>
      </c>
      <c r="P29" s="195">
        <f t="shared" si="12"/>
        <v>2666.88</v>
      </c>
      <c r="Q29" s="53"/>
      <c r="R29" s="254"/>
      <c r="S29" s="170"/>
      <c r="T29" s="16"/>
      <c r="U29" s="16"/>
      <c r="V29" s="16"/>
      <c r="W29" s="16"/>
      <c r="X29" s="16"/>
      <c r="Y29" s="16"/>
      <c r="Z29" s="16"/>
    </row>
    <row r="30" spans="1:26" ht="12.75">
      <c r="A30" s="16"/>
      <c r="B30" s="16"/>
      <c r="C30" s="33"/>
      <c r="D30" s="16"/>
      <c r="E30" s="33"/>
      <c r="F30" s="33"/>
      <c r="G30" s="33"/>
      <c r="H30" s="33"/>
      <c r="I30" s="33"/>
      <c r="J30" s="16"/>
      <c r="K30" s="33"/>
      <c r="L30" s="33"/>
      <c r="M30" s="33"/>
      <c r="N30" s="33"/>
      <c r="O30" s="33"/>
      <c r="P30" s="33"/>
      <c r="Q30" s="33"/>
      <c r="R30" s="16"/>
      <c r="S30" s="16"/>
      <c r="T30" s="16"/>
      <c r="U30" s="16"/>
      <c r="V30" s="16"/>
      <c r="W30" s="16"/>
      <c r="X30" s="16"/>
      <c r="Y30" s="16"/>
      <c r="Z30" s="16"/>
    </row>
    <row r="31" spans="1:26" ht="12.7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2.7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2.75">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sheetData>
  <mergeCells count="15">
    <mergeCell ref="B25:B29"/>
    <mergeCell ref="J25:J29"/>
    <mergeCell ref="R25:R29"/>
    <mergeCell ref="J12:P12"/>
    <mergeCell ref="R12:X12"/>
    <mergeCell ref="L13:P13"/>
    <mergeCell ref="T13:X13"/>
    <mergeCell ref="J15:J19"/>
    <mergeCell ref="R15:R19"/>
    <mergeCell ref="B22:H22"/>
    <mergeCell ref="J22:P22"/>
    <mergeCell ref="R22:X22"/>
    <mergeCell ref="D23:H23"/>
    <mergeCell ref="L23:P23"/>
    <mergeCell ref="T23:X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703125" defaultRowHeight="15.75" customHeight="1"/>
  <cols>
    <col min="1" max="1" width="23.7109375" customWidth="1"/>
    <col min="13" max="13" width="3.85546875" customWidth="1"/>
  </cols>
  <sheetData>
    <row r="1" spans="1:26" ht="12.75">
      <c r="A1" s="16"/>
      <c r="B1" s="17"/>
      <c r="C1" s="17"/>
      <c r="D1" s="17"/>
      <c r="E1" s="17"/>
      <c r="F1" s="17"/>
      <c r="G1" s="17"/>
      <c r="H1" s="17"/>
      <c r="I1" s="17"/>
      <c r="J1" s="17"/>
      <c r="K1" s="17"/>
      <c r="L1" s="17"/>
      <c r="M1" s="16"/>
      <c r="N1" s="16"/>
      <c r="O1" s="16"/>
      <c r="P1" s="16"/>
      <c r="Q1" s="16"/>
      <c r="R1" s="16"/>
      <c r="S1" s="16"/>
      <c r="T1" s="16"/>
      <c r="U1" s="16"/>
      <c r="V1" s="16"/>
      <c r="W1" s="16"/>
      <c r="X1" s="16"/>
      <c r="Y1" s="16"/>
      <c r="Z1" s="16"/>
    </row>
    <row r="2" spans="1:26" ht="12.75">
      <c r="A2" s="18"/>
      <c r="B2" s="258" t="s">
        <v>109</v>
      </c>
      <c r="C2" s="233"/>
      <c r="D2" s="233"/>
      <c r="E2" s="233"/>
      <c r="F2" s="233"/>
      <c r="G2" s="233"/>
      <c r="H2" s="233"/>
      <c r="I2" s="233"/>
      <c r="J2" s="233"/>
      <c r="K2" s="233"/>
      <c r="L2" s="234"/>
      <c r="M2" s="19"/>
      <c r="N2" s="199"/>
      <c r="O2" s="199"/>
      <c r="P2" s="199"/>
      <c r="Q2" s="199"/>
      <c r="R2" s="16"/>
      <c r="S2" s="16"/>
      <c r="T2" s="16"/>
      <c r="U2" s="16"/>
      <c r="V2" s="16"/>
      <c r="W2" s="16"/>
      <c r="X2" s="16"/>
      <c r="Y2" s="16"/>
      <c r="Z2" s="16"/>
    </row>
    <row r="3" spans="1:26" ht="12.75">
      <c r="A3" s="18"/>
      <c r="B3" s="255" t="s">
        <v>22</v>
      </c>
      <c r="C3" s="256"/>
      <c r="D3" s="256"/>
      <c r="E3" s="256"/>
      <c r="F3" s="256"/>
      <c r="G3" s="254"/>
      <c r="H3" s="257" t="s">
        <v>23</v>
      </c>
      <c r="I3" s="256"/>
      <c r="J3" s="256"/>
      <c r="K3" s="256"/>
      <c r="L3" s="242"/>
      <c r="M3" s="19"/>
      <c r="N3" s="259" t="s">
        <v>110</v>
      </c>
      <c r="O3" s="260"/>
      <c r="P3" s="260"/>
      <c r="Q3" s="261"/>
      <c r="R3" s="16"/>
      <c r="S3" s="16"/>
      <c r="T3" s="16"/>
      <c r="U3" s="16"/>
      <c r="V3" s="16"/>
      <c r="W3" s="16"/>
      <c r="X3" s="16"/>
      <c r="Y3" s="16"/>
      <c r="Z3" s="16"/>
    </row>
    <row r="4" spans="1:26" ht="12.75">
      <c r="A4" s="18"/>
      <c r="B4" s="88">
        <v>2020</v>
      </c>
      <c r="C4" s="89">
        <f t="shared" ref="C4:L4" si="0">B4+1</f>
        <v>2021</v>
      </c>
      <c r="D4" s="89">
        <f t="shared" si="0"/>
        <v>2022</v>
      </c>
      <c r="E4" s="89">
        <f t="shared" si="0"/>
        <v>2023</v>
      </c>
      <c r="F4" s="89">
        <f t="shared" si="0"/>
        <v>2024</v>
      </c>
      <c r="G4" s="89">
        <f t="shared" si="0"/>
        <v>2025</v>
      </c>
      <c r="H4" s="90">
        <f t="shared" si="0"/>
        <v>2026</v>
      </c>
      <c r="I4" s="90">
        <f t="shared" si="0"/>
        <v>2027</v>
      </c>
      <c r="J4" s="90">
        <f t="shared" si="0"/>
        <v>2028</v>
      </c>
      <c r="K4" s="90">
        <f t="shared" si="0"/>
        <v>2029</v>
      </c>
      <c r="L4" s="91">
        <f t="shared" si="0"/>
        <v>2030</v>
      </c>
      <c r="M4" s="19"/>
      <c r="N4" s="262"/>
      <c r="O4" s="263"/>
      <c r="P4" s="263"/>
      <c r="Q4" s="253"/>
      <c r="R4" s="16"/>
      <c r="S4" s="16"/>
      <c r="T4" s="16"/>
      <c r="U4" s="16"/>
      <c r="V4" s="16"/>
      <c r="W4" s="16"/>
      <c r="X4" s="16"/>
      <c r="Y4" s="16"/>
      <c r="Z4" s="16"/>
    </row>
    <row r="5" spans="1:26" ht="12.75">
      <c r="A5" s="20" t="s">
        <v>35</v>
      </c>
      <c r="B5" s="200">
        <f>'Profit and Loss'!B12</f>
        <v>0.1169960098802964</v>
      </c>
      <c r="C5" s="201">
        <f>'Profit and Loss'!C12</f>
        <v>7.9698761781556091E-2</v>
      </c>
      <c r="D5" s="201">
        <f>'Profit and Loss'!D12</f>
        <v>0.11611514288690579</v>
      </c>
      <c r="E5" s="201">
        <f>'Profit and Loss'!E12</f>
        <v>0.12032039433148491</v>
      </c>
      <c r="F5" s="201">
        <f>'Profit and Loss'!F12</f>
        <v>0.10359408033826638</v>
      </c>
      <c r="G5" s="201">
        <f>'Profit and Loss'!G12</f>
        <v>9.4184200079396582E-2</v>
      </c>
      <c r="H5" s="201">
        <f>'Profit and Loss'!H12</f>
        <v>0.11900000000000001</v>
      </c>
      <c r="I5" s="201">
        <f>'Profit and Loss'!I12</f>
        <v>0.12400000000000001</v>
      </c>
      <c r="J5" s="201">
        <f>'Profit and Loss'!J12</f>
        <v>0.129</v>
      </c>
      <c r="K5" s="201">
        <f>'Profit and Loss'!K12</f>
        <v>0.129</v>
      </c>
      <c r="L5" s="202">
        <f>'Profit and Loss'!L12</f>
        <v>0.12900000000000003</v>
      </c>
      <c r="M5" s="19"/>
      <c r="N5" s="262"/>
      <c r="O5" s="263"/>
      <c r="P5" s="263"/>
      <c r="Q5" s="253"/>
      <c r="R5" s="16"/>
      <c r="S5" s="16"/>
      <c r="T5" s="16"/>
      <c r="U5" s="16"/>
      <c r="V5" s="16"/>
      <c r="W5" s="16"/>
      <c r="X5" s="16"/>
      <c r="Y5" s="16"/>
      <c r="Z5" s="16"/>
    </row>
    <row r="6" spans="1:26" ht="12.75">
      <c r="A6" s="20" t="s">
        <v>40</v>
      </c>
      <c r="B6" s="203">
        <f>'Profit and Loss'!B17</f>
        <v>7.0919627588827666E-2</v>
      </c>
      <c r="C6" s="51">
        <f>'Profit and Loss'!C17</f>
        <v>4.5000924043614859E-2</v>
      </c>
      <c r="D6" s="51">
        <f>'Profit and Loss'!D17</f>
        <v>7.632209451717073E-2</v>
      </c>
      <c r="E6" s="51">
        <f>'Profit and Loss'!E17</f>
        <v>8.0690080098582875E-2</v>
      </c>
      <c r="F6" s="51">
        <f>'Profit and Loss'!F17</f>
        <v>6.8436300994440535E-2</v>
      </c>
      <c r="G6" s="51">
        <f>'Profit and Loss'!G17</f>
        <v>5.5197168188434564E-2</v>
      </c>
      <c r="H6" s="51">
        <f>'Profit and Loss'!H17</f>
        <v>8.0260495081585365E-2</v>
      </c>
      <c r="I6" s="51">
        <f>'Profit and Loss'!I17</f>
        <v>8.5549197549624631E-2</v>
      </c>
      <c r="J6" s="51">
        <f>'Profit and Loss'!J17</f>
        <v>9.0387285377259485E-2</v>
      </c>
      <c r="K6" s="51">
        <f>'Profit and Loss'!K17</f>
        <v>9.1146577185709871E-2</v>
      </c>
      <c r="L6" s="52">
        <f>'Profit and Loss'!L17</f>
        <v>9.1655979259736259E-2</v>
      </c>
      <c r="M6" s="19"/>
      <c r="N6" s="262"/>
      <c r="O6" s="263"/>
      <c r="P6" s="263"/>
      <c r="Q6" s="253"/>
      <c r="R6" s="16"/>
      <c r="S6" s="16"/>
      <c r="T6" s="16"/>
      <c r="U6" s="16"/>
      <c r="V6" s="16"/>
      <c r="W6" s="16"/>
      <c r="X6" s="16"/>
      <c r="Y6" s="16"/>
      <c r="Z6" s="16"/>
    </row>
    <row r="7" spans="1:26" ht="12.75">
      <c r="A7" s="20" t="s">
        <v>111</v>
      </c>
      <c r="B7" s="63">
        <f>'Profit and Loss'!B16/'Balance Sheet'!C7</f>
        <v>0.2238716449242765</v>
      </c>
      <c r="C7" s="64">
        <f>'Profit and Loss'!C16/'Balance Sheet'!D7</f>
        <v>0.12991863412031479</v>
      </c>
      <c r="D7" s="64">
        <f>'Profit and Loss'!D16/'Balance Sheet'!E7</f>
        <v>0.236267870579383</v>
      </c>
      <c r="E7" s="64">
        <f>'Profit and Loss'!E16/'Balance Sheet'!F7</f>
        <v>0.27626360644671338</v>
      </c>
      <c r="F7" s="64">
        <f>'Profit and Loss'!F16/'Balance Sheet'!G7</f>
        <v>0.37219205791546894</v>
      </c>
      <c r="G7" s="64">
        <f>'Profit and Loss'!G16/'Balance Sheet'!H7</f>
        <v>0.28707845836200963</v>
      </c>
      <c r="H7" s="64">
        <f>'Profit and Loss'!H16/'Balance Sheet'!I7</f>
        <v>0.34143750571259535</v>
      </c>
      <c r="I7" s="64">
        <f>'Profit and Loss'!I16/'Balance Sheet'!J7</f>
        <v>0.3051186296210332</v>
      </c>
      <c r="J7" s="64">
        <f>'Profit and Loss'!J16/'Balance Sheet'!K7</f>
        <v>0.27404891672458176</v>
      </c>
      <c r="K7" s="64">
        <f>'Profit and Loss'!K16/'Balance Sheet'!L7</f>
        <v>0.23884797714289432</v>
      </c>
      <c r="L7" s="65">
        <f>'Profit and Loss'!L16/'Balance Sheet'!M7</f>
        <v>0.20898663437354797</v>
      </c>
      <c r="M7" s="19"/>
      <c r="N7" s="262"/>
      <c r="O7" s="263"/>
      <c r="P7" s="263"/>
      <c r="Q7" s="253"/>
      <c r="R7" s="16"/>
      <c r="S7" s="16"/>
      <c r="T7" s="16"/>
      <c r="U7" s="16"/>
      <c r="V7" s="16"/>
      <c r="W7" s="16"/>
      <c r="X7" s="16"/>
      <c r="Y7" s="16"/>
      <c r="Z7" s="16"/>
    </row>
    <row r="8" spans="1:26" ht="12.75">
      <c r="A8" s="20" t="s">
        <v>112</v>
      </c>
      <c r="B8" s="63">
        <f>'Profit and Loss'!B8/('Balance Sheet'!C7+'Balance Sheet'!C8)</f>
        <v>0.24073893070081126</v>
      </c>
      <c r="C8" s="64">
        <f>'Profit and Loss'!C8/('Balance Sheet'!D7+'Balance Sheet'!D8)</f>
        <v>0.13132851161020176</v>
      </c>
      <c r="D8" s="64">
        <f>'Profit and Loss'!D8/('Balance Sheet'!E7+'Balance Sheet'!E8)</f>
        <v>0.20171311376523102</v>
      </c>
      <c r="E8" s="64">
        <f>'Profit and Loss'!E8/('Balance Sheet'!F7+'Balance Sheet'!F8)</f>
        <v>0.23008766141954945</v>
      </c>
      <c r="F8" s="64">
        <f>'Profit and Loss'!F8/('Balance Sheet'!G7+'Balance Sheet'!G8)</f>
        <v>0.21235102925243771</v>
      </c>
      <c r="G8" s="64">
        <f>'Profit and Loss'!G8/('Balance Sheet'!H7+'Balance Sheet'!H8)</f>
        <v>0.23154812736366964</v>
      </c>
      <c r="H8" s="64">
        <f>'Profit and Loss'!H8/('Balance Sheet'!I7+'Balance Sheet'!I8)</f>
        <v>0.30169326291948462</v>
      </c>
      <c r="I8" s="64">
        <f>'Profit and Loss'!I8/('Balance Sheet'!J7+'Balance Sheet'!J8)</f>
        <v>0.30889081825569098</v>
      </c>
      <c r="J8" s="64">
        <f>'Profit and Loss'!J8/('Balance Sheet'!K7+'Balance Sheet'!K8)</f>
        <v>0.30440818885720383</v>
      </c>
      <c r="K8" s="64">
        <f>'Profit and Loss'!K8/('Balance Sheet'!L7+'Balance Sheet'!L8)</f>
        <v>0.28286525660482076</v>
      </c>
      <c r="L8" s="65">
        <f>'Profit and Loss'!L8/('Balance Sheet'!M7+'Balance Sheet'!M8)</f>
        <v>0.25867361694839203</v>
      </c>
      <c r="M8" s="19"/>
      <c r="N8" s="262"/>
      <c r="O8" s="263"/>
      <c r="P8" s="263"/>
      <c r="Q8" s="253"/>
      <c r="R8" s="16"/>
      <c r="S8" s="16"/>
      <c r="T8" s="16"/>
      <c r="U8" s="16"/>
      <c r="V8" s="16"/>
      <c r="W8" s="16"/>
      <c r="X8" s="16"/>
      <c r="Y8" s="16"/>
      <c r="Z8" s="16"/>
    </row>
    <row r="9" spans="1:26" ht="12.75">
      <c r="A9" s="20" t="s">
        <v>113</v>
      </c>
      <c r="B9" s="204">
        <f>'Profit and Loss'!B16/'Balance Sheet'!C19</f>
        <v>0.29746961546124728</v>
      </c>
      <c r="C9" s="31">
        <f>'Profit and Loss'!C16/'Balance Sheet'!D19</f>
        <v>0.12664152905994019</v>
      </c>
      <c r="D9" s="31">
        <f>'Profit and Loss'!D16/'Balance Sheet'!E19</f>
        <v>0.29432244242099626</v>
      </c>
      <c r="E9" s="31">
        <f>'Profit and Loss'!E16/'Balance Sheet'!F19</f>
        <v>0.31261338680416306</v>
      </c>
      <c r="F9" s="31">
        <f>'Profit and Loss'!F16/'Balance Sheet'!G19</f>
        <v>0.29697587495752631</v>
      </c>
      <c r="G9" s="31">
        <f>'Profit and Loss'!G16/'Balance Sheet'!H19</f>
        <v>0.27741291877961594</v>
      </c>
      <c r="H9" s="31">
        <f>'Profit and Loss'!H16/'Balance Sheet'!I19</f>
        <v>0.45425526413528783</v>
      </c>
      <c r="I9" s="31">
        <f>'Profit and Loss'!I16/'Balance Sheet'!J19</f>
        <v>0.5065635791151224</v>
      </c>
      <c r="J9" s="31">
        <f>'Profit and Loss'!J16/'Balance Sheet'!K19</f>
        <v>0.54885304897895359</v>
      </c>
      <c r="K9" s="31">
        <f>'Profit and Loss'!K16/'Balance Sheet'!L19</f>
        <v>0.55781117496377386</v>
      </c>
      <c r="L9" s="32">
        <f>'Profit and Loss'!L16/'Balance Sheet'!M19</f>
        <v>0.55655970161787804</v>
      </c>
      <c r="M9" s="19"/>
      <c r="N9" s="264"/>
      <c r="O9" s="256"/>
      <c r="P9" s="256"/>
      <c r="Q9" s="254"/>
      <c r="R9" s="16"/>
      <c r="S9" s="16"/>
      <c r="T9" s="16"/>
      <c r="U9" s="16"/>
      <c r="V9" s="16"/>
      <c r="W9" s="16"/>
      <c r="X9" s="16"/>
      <c r="Y9" s="16"/>
      <c r="Z9" s="16"/>
    </row>
    <row r="10" spans="1:26" ht="12.75">
      <c r="A10" s="16"/>
      <c r="B10" s="105"/>
      <c r="C10" s="105"/>
      <c r="D10" s="105"/>
      <c r="E10" s="105"/>
      <c r="F10" s="105"/>
      <c r="G10" s="105"/>
      <c r="H10" s="105"/>
      <c r="I10" s="105"/>
      <c r="J10" s="105"/>
      <c r="K10" s="105"/>
      <c r="L10" s="105"/>
      <c r="M10" s="16"/>
      <c r="N10" s="16"/>
      <c r="O10" s="16"/>
      <c r="P10" s="16"/>
      <c r="Q10" s="16"/>
      <c r="R10" s="16"/>
      <c r="S10" s="16"/>
      <c r="T10" s="16"/>
      <c r="U10" s="16"/>
      <c r="V10" s="16"/>
      <c r="W10" s="16"/>
      <c r="X10" s="16"/>
      <c r="Y10" s="16"/>
      <c r="Z10" s="16"/>
    </row>
    <row r="11" spans="1:26" ht="12.75">
      <c r="A11" s="18"/>
      <c r="B11" s="258" t="s">
        <v>114</v>
      </c>
      <c r="C11" s="233"/>
      <c r="D11" s="233"/>
      <c r="E11" s="233"/>
      <c r="F11" s="233"/>
      <c r="G11" s="233"/>
      <c r="H11" s="233"/>
      <c r="I11" s="233"/>
      <c r="J11" s="233"/>
      <c r="K11" s="233"/>
      <c r="L11" s="234"/>
      <c r="M11" s="19"/>
      <c r="N11" s="259" t="s">
        <v>115</v>
      </c>
      <c r="O11" s="260"/>
      <c r="P11" s="260"/>
      <c r="Q11" s="260"/>
      <c r="R11" s="261"/>
      <c r="S11" s="16"/>
      <c r="T11" s="16"/>
      <c r="U11" s="16"/>
      <c r="V11" s="16"/>
      <c r="W11" s="16"/>
      <c r="X11" s="16"/>
      <c r="Y11" s="16"/>
      <c r="Z11" s="16"/>
    </row>
    <row r="12" spans="1:26" ht="12.75">
      <c r="A12" s="18"/>
      <c r="B12" s="255" t="s">
        <v>22</v>
      </c>
      <c r="C12" s="256"/>
      <c r="D12" s="256"/>
      <c r="E12" s="256"/>
      <c r="F12" s="256"/>
      <c r="G12" s="254"/>
      <c r="H12" s="257" t="s">
        <v>23</v>
      </c>
      <c r="I12" s="256"/>
      <c r="J12" s="256"/>
      <c r="K12" s="256"/>
      <c r="L12" s="242"/>
      <c r="M12" s="19"/>
      <c r="N12" s="262"/>
      <c r="O12" s="263"/>
      <c r="P12" s="263"/>
      <c r="Q12" s="263"/>
      <c r="R12" s="253"/>
      <c r="S12" s="16"/>
      <c r="T12" s="16"/>
      <c r="U12" s="16"/>
      <c r="V12" s="16"/>
      <c r="W12" s="16"/>
      <c r="X12" s="16"/>
      <c r="Y12" s="16"/>
      <c r="Z12" s="16"/>
    </row>
    <row r="13" spans="1:26" ht="12.75">
      <c r="A13" s="18"/>
      <c r="B13" s="88">
        <v>2020</v>
      </c>
      <c r="C13" s="89">
        <f t="shared" ref="C13:L13" si="1">B13+1</f>
        <v>2021</v>
      </c>
      <c r="D13" s="89">
        <f t="shared" si="1"/>
        <v>2022</v>
      </c>
      <c r="E13" s="89">
        <f t="shared" si="1"/>
        <v>2023</v>
      </c>
      <c r="F13" s="89">
        <f t="shared" si="1"/>
        <v>2024</v>
      </c>
      <c r="G13" s="89">
        <f t="shared" si="1"/>
        <v>2025</v>
      </c>
      <c r="H13" s="90">
        <f t="shared" si="1"/>
        <v>2026</v>
      </c>
      <c r="I13" s="90">
        <f t="shared" si="1"/>
        <v>2027</v>
      </c>
      <c r="J13" s="90">
        <f t="shared" si="1"/>
        <v>2028</v>
      </c>
      <c r="K13" s="90">
        <f t="shared" si="1"/>
        <v>2029</v>
      </c>
      <c r="L13" s="91">
        <f t="shared" si="1"/>
        <v>2030</v>
      </c>
      <c r="M13" s="19"/>
      <c r="N13" s="262"/>
      <c r="O13" s="263"/>
      <c r="P13" s="263"/>
      <c r="Q13" s="263"/>
      <c r="R13" s="253"/>
      <c r="S13" s="16"/>
      <c r="T13" s="16"/>
      <c r="U13" s="16"/>
      <c r="V13" s="16"/>
      <c r="W13" s="16"/>
      <c r="X13" s="16"/>
      <c r="Y13" s="16"/>
      <c r="Z13" s="16"/>
    </row>
    <row r="14" spans="1:26" ht="12.75">
      <c r="A14" s="20" t="s">
        <v>116</v>
      </c>
      <c r="B14" s="205">
        <f>('Balance Sheet'!C17+'Balance Sheet'!C18)/'Balance Sheet'!C11</f>
        <v>0.70027165710836103</v>
      </c>
      <c r="C14" s="206">
        <f>('Balance Sheet'!D17+'Balance Sheet'!D18)/'Balance Sheet'!D11</f>
        <v>0.6923541855545482</v>
      </c>
      <c r="D14" s="206">
        <f>('Balance Sheet'!E17+'Balance Sheet'!E18)/'Balance Sheet'!E11</f>
        <v>0.88741865509761386</v>
      </c>
      <c r="E14" s="206">
        <f>('Balance Sheet'!F17+'Balance Sheet'!F18)/'Balance Sheet'!F11</f>
        <v>0.70751465012064807</v>
      </c>
      <c r="F14" s="206">
        <f>('Balance Sheet'!G17+'Balance Sheet'!G18)/'Balance Sheet'!G11</f>
        <v>0.80395412013281009</v>
      </c>
      <c r="G14" s="206">
        <f>('Balance Sheet'!H17+'Balance Sheet'!H18)/'Balance Sheet'!H11</f>
        <v>0.32635774788241156</v>
      </c>
      <c r="H14" s="206">
        <f>('Balance Sheet'!I17+'Balance Sheet'!I18)/'Balance Sheet'!I11</f>
        <v>0.29557772795216741</v>
      </c>
      <c r="I14" s="206">
        <f>('Balance Sheet'!J17+'Balance Sheet'!J18)/'Balance Sheet'!J11</f>
        <v>0.29557772795216741</v>
      </c>
      <c r="J14" s="206">
        <f>('Balance Sheet'!K17+'Balance Sheet'!K18)/'Balance Sheet'!K11</f>
        <v>0.29557772795216741</v>
      </c>
      <c r="K14" s="206">
        <f>('Balance Sheet'!L17+'Balance Sheet'!L18)/'Balance Sheet'!L11</f>
        <v>0.29557772795216741</v>
      </c>
      <c r="L14" s="207">
        <f>('Balance Sheet'!M17+'Balance Sheet'!M18)/'Balance Sheet'!M11</f>
        <v>0.29557772795216741</v>
      </c>
      <c r="M14" s="19"/>
      <c r="N14" s="262"/>
      <c r="O14" s="263"/>
      <c r="P14" s="263"/>
      <c r="Q14" s="263"/>
      <c r="R14" s="253"/>
      <c r="S14" s="16"/>
      <c r="T14" s="16"/>
      <c r="U14" s="16"/>
      <c r="V14" s="16"/>
      <c r="W14" s="16"/>
      <c r="X14" s="16"/>
      <c r="Y14" s="16"/>
      <c r="Z14" s="16"/>
    </row>
    <row r="15" spans="1:26" ht="12.75">
      <c r="A15" s="20" t="s">
        <v>117</v>
      </c>
      <c r="B15" s="208">
        <f>('Balance Sheet'!C17+'Balance Sheet'!C16)/'Balance Sheet'!C11</f>
        <v>0.16269242378508905</v>
      </c>
      <c r="C15" s="209">
        <f>('Balance Sheet'!D17+'Balance Sheet'!D16)/'Balance Sheet'!D11</f>
        <v>1.0226654578422485</v>
      </c>
      <c r="D15" s="209">
        <f>('Balance Sheet'!E17+'Balance Sheet'!E16)/'Balance Sheet'!E11</f>
        <v>0.40498915401301516</v>
      </c>
      <c r="E15" s="209">
        <f>('Balance Sheet'!F17+'Balance Sheet'!F16)/'Balance Sheet'!F11</f>
        <v>0.66494312306101344</v>
      </c>
      <c r="F15" s="209">
        <f>('Balance Sheet'!G17+'Balance Sheet'!G16)/'Balance Sheet'!G11</f>
        <v>0.5842137035919106</v>
      </c>
      <c r="G15" s="209">
        <f>('Balance Sheet'!H17+'Balance Sheet'!H16)/'Balance Sheet'!H11</f>
        <v>0.22247135027404086</v>
      </c>
      <c r="H15" s="209">
        <f>('Balance Sheet'!I17+'Balance Sheet'!I16)/'Balance Sheet'!I11</f>
        <v>0.16746551740973065</v>
      </c>
      <c r="I15" s="209">
        <f>('Balance Sheet'!J17+'Balance Sheet'!J16)/'Balance Sheet'!J11</f>
        <v>0.15040197063283214</v>
      </c>
      <c r="J15" s="209">
        <f>('Balance Sheet'!K17+'Balance Sheet'!K16)/'Balance Sheet'!K11</f>
        <v>0.13833554588219127</v>
      </c>
      <c r="K15" s="209">
        <f>('Balance Sheet'!L17+'Balance Sheet'!L16)/'Balance Sheet'!L11</f>
        <v>0.12991532718499324</v>
      </c>
      <c r="L15" s="210">
        <f>('Balance Sheet'!M17+'Balance Sheet'!M16)/'Balance Sheet'!M11</f>
        <v>0.12426627787302685</v>
      </c>
      <c r="M15" s="19"/>
      <c r="N15" s="264"/>
      <c r="O15" s="256"/>
      <c r="P15" s="256"/>
      <c r="Q15" s="256"/>
      <c r="R15" s="254"/>
      <c r="S15" s="16"/>
      <c r="T15" s="16"/>
      <c r="U15" s="16"/>
      <c r="V15" s="16"/>
      <c r="W15" s="16"/>
      <c r="X15" s="16"/>
      <c r="Y15" s="16"/>
      <c r="Z15" s="16"/>
    </row>
    <row r="16" spans="1:26" ht="12.75">
      <c r="A16" s="20"/>
      <c r="B16" s="211"/>
      <c r="C16" s="211"/>
      <c r="D16" s="211"/>
      <c r="E16" s="211"/>
      <c r="F16" s="211"/>
      <c r="G16" s="211"/>
      <c r="H16" s="211"/>
      <c r="I16" s="211"/>
      <c r="J16" s="211"/>
      <c r="K16" s="211"/>
      <c r="L16" s="211"/>
      <c r="M16" s="16"/>
      <c r="N16" s="16"/>
      <c r="O16" s="16"/>
      <c r="P16" s="16"/>
      <c r="Q16" s="16"/>
      <c r="R16" s="16"/>
      <c r="S16" s="16"/>
      <c r="T16" s="16"/>
      <c r="U16" s="16"/>
      <c r="V16" s="16"/>
      <c r="W16" s="16"/>
      <c r="X16" s="16"/>
      <c r="Y16" s="16"/>
      <c r="Z16" s="16"/>
    </row>
    <row r="17" spans="1:26" ht="12.75">
      <c r="A17" s="18"/>
      <c r="B17" s="258" t="s">
        <v>118</v>
      </c>
      <c r="C17" s="233"/>
      <c r="D17" s="233"/>
      <c r="E17" s="233"/>
      <c r="F17" s="233"/>
      <c r="G17" s="233"/>
      <c r="H17" s="233"/>
      <c r="I17" s="233"/>
      <c r="J17" s="233"/>
      <c r="K17" s="233"/>
      <c r="L17" s="234"/>
      <c r="M17" s="16"/>
      <c r="N17" s="259" t="s">
        <v>119</v>
      </c>
      <c r="O17" s="260"/>
      <c r="P17" s="260"/>
      <c r="Q17" s="261"/>
      <c r="R17" s="16"/>
      <c r="S17" s="16"/>
      <c r="T17" s="16"/>
      <c r="U17" s="16"/>
      <c r="V17" s="16"/>
      <c r="W17" s="16"/>
      <c r="X17" s="16"/>
      <c r="Y17" s="16"/>
      <c r="Z17" s="16"/>
    </row>
    <row r="18" spans="1:26" ht="12.75">
      <c r="A18" s="18"/>
      <c r="B18" s="255" t="s">
        <v>22</v>
      </c>
      <c r="C18" s="256"/>
      <c r="D18" s="256"/>
      <c r="E18" s="256"/>
      <c r="F18" s="256"/>
      <c r="G18" s="254"/>
      <c r="H18" s="257" t="s">
        <v>23</v>
      </c>
      <c r="I18" s="256"/>
      <c r="J18" s="256"/>
      <c r="K18" s="256"/>
      <c r="L18" s="242"/>
      <c r="M18" s="16"/>
      <c r="N18" s="262"/>
      <c r="O18" s="263"/>
      <c r="P18" s="263"/>
      <c r="Q18" s="253"/>
      <c r="R18" s="16"/>
      <c r="S18" s="16"/>
      <c r="T18" s="16"/>
      <c r="U18" s="16"/>
      <c r="V18" s="16"/>
      <c r="W18" s="16"/>
      <c r="X18" s="16"/>
      <c r="Y18" s="16"/>
      <c r="Z18" s="16"/>
    </row>
    <row r="19" spans="1:26" ht="12.75">
      <c r="A19" s="18"/>
      <c r="B19" s="88">
        <v>2020</v>
      </c>
      <c r="C19" s="89">
        <f t="shared" ref="C19:L19" si="2">B19+1</f>
        <v>2021</v>
      </c>
      <c r="D19" s="89">
        <f t="shared" si="2"/>
        <v>2022</v>
      </c>
      <c r="E19" s="89">
        <f t="shared" si="2"/>
        <v>2023</v>
      </c>
      <c r="F19" s="89">
        <f t="shared" si="2"/>
        <v>2024</v>
      </c>
      <c r="G19" s="89">
        <f t="shared" si="2"/>
        <v>2025</v>
      </c>
      <c r="H19" s="90">
        <f t="shared" si="2"/>
        <v>2026</v>
      </c>
      <c r="I19" s="90">
        <f t="shared" si="2"/>
        <v>2027</v>
      </c>
      <c r="J19" s="90">
        <f t="shared" si="2"/>
        <v>2028</v>
      </c>
      <c r="K19" s="90">
        <f t="shared" si="2"/>
        <v>2029</v>
      </c>
      <c r="L19" s="91">
        <f t="shared" si="2"/>
        <v>2030</v>
      </c>
      <c r="M19" s="16"/>
      <c r="N19" s="262"/>
      <c r="O19" s="263"/>
      <c r="P19" s="263"/>
      <c r="Q19" s="253"/>
      <c r="R19" s="16"/>
      <c r="S19" s="16"/>
      <c r="T19" s="16"/>
      <c r="U19" s="16"/>
      <c r="V19" s="16"/>
      <c r="W19" s="16"/>
      <c r="X19" s="16"/>
      <c r="Y19" s="16"/>
      <c r="Z19" s="16"/>
    </row>
    <row r="20" spans="1:26" ht="12.75">
      <c r="A20" s="20" t="s">
        <v>120</v>
      </c>
      <c r="B20" s="205">
        <f>'Balance Sheet'!C8/'Balance Sheet'!C7</f>
        <v>0.53411306042884987</v>
      </c>
      <c r="C20" s="206">
        <f>'Balance Sheet'!D8/'Balance Sheet'!D7</f>
        <v>0.75203414699213023</v>
      </c>
      <c r="D20" s="212">
        <f>'Balance Sheet'!E8/'Balance Sheet'!E7</f>
        <v>0.78200580457916802</v>
      </c>
      <c r="E20" s="206">
        <f>'Balance Sheet'!F8/'Balance Sheet'!F7</f>
        <v>0.79039743481562741</v>
      </c>
      <c r="F20" s="212">
        <f>'Balance Sheet'!G8/'Balance Sheet'!G7</f>
        <v>1.653145959757266</v>
      </c>
      <c r="G20" s="206">
        <f>'Balance Sheet'!H8/'Balance Sheet'!H7</f>
        <v>1.1155368203716449</v>
      </c>
      <c r="H20" s="212">
        <f>'Balance Sheet'!I8/'Balance Sheet'!I7</f>
        <v>0.67799530016667009</v>
      </c>
      <c r="I20" s="206">
        <f>'Balance Sheet'!J8/'Balance Sheet'!J7</f>
        <v>0.43175751384514754</v>
      </c>
      <c r="J20" s="212">
        <f>'Balance Sheet'!K8/'Balance Sheet'!K7</f>
        <v>0.28485501954322534</v>
      </c>
      <c r="K20" s="206">
        <f>'Balance Sheet'!L8/'Balance Sheet'!L7</f>
        <v>0.19506439008362683</v>
      </c>
      <c r="L20" s="207">
        <f>'Balance Sheet'!M8/'Balance Sheet'!M7</f>
        <v>0.13709116381184416</v>
      </c>
      <c r="M20" s="19"/>
      <c r="N20" s="262"/>
      <c r="O20" s="263"/>
      <c r="P20" s="263"/>
      <c r="Q20" s="253"/>
      <c r="R20" s="16"/>
      <c r="S20" s="16"/>
      <c r="T20" s="16"/>
      <c r="U20" s="16"/>
      <c r="V20" s="16"/>
      <c r="W20" s="16"/>
      <c r="X20" s="16"/>
      <c r="Y20" s="16"/>
      <c r="Z20" s="16"/>
    </row>
    <row r="21" spans="1:26" ht="12.75">
      <c r="A21" s="20" t="s">
        <v>121</v>
      </c>
      <c r="B21" s="213">
        <f>'Balance Sheet'!C8/'Balance Sheet'!C19</f>
        <v>0.70970312811316993</v>
      </c>
      <c r="C21" s="214">
        <f>'Balance Sheet'!D8/'Balance Sheet'!D19</f>
        <v>0.73306462098556757</v>
      </c>
      <c r="D21" s="215">
        <f>'Balance Sheet'!E8/'Balance Sheet'!E19</f>
        <v>0.97415640064274234</v>
      </c>
      <c r="E21" s="214">
        <f>'Balance Sheet'!F8/'Balance Sheet'!F19</f>
        <v>0.89439511123842264</v>
      </c>
      <c r="F21" s="215">
        <f>'Balance Sheet'!G8/'Balance Sheet'!G19</f>
        <v>1.3190621814475025</v>
      </c>
      <c r="G21" s="214">
        <f>'Balance Sheet'!H8/'Balance Sheet'!H19</f>
        <v>1.0779782193033502</v>
      </c>
      <c r="H21" s="215">
        <f>'Balance Sheet'!I8/'Balance Sheet'!I19</f>
        <v>0.90201846313550216</v>
      </c>
      <c r="I21" s="214">
        <f>'Balance Sheet'!J8/'Balance Sheet'!J19</f>
        <v>0.71681179151496843</v>
      </c>
      <c r="J21" s="215">
        <f>'Balance Sheet'!K8/'Balance Sheet'!K19</f>
        <v>0.57049503374021138</v>
      </c>
      <c r="K21" s="214">
        <f>'Balance Sheet'!L8/'Balance Sheet'!L19</f>
        <v>0.45555795752476963</v>
      </c>
      <c r="L21" s="216">
        <f>'Balance Sheet'!M8/'Balance Sheet'!M19</f>
        <v>0.3650923297285516</v>
      </c>
      <c r="M21" s="19"/>
      <c r="N21" s="262"/>
      <c r="O21" s="263"/>
      <c r="P21" s="263"/>
      <c r="Q21" s="253"/>
      <c r="R21" s="16"/>
      <c r="S21" s="16"/>
      <c r="T21" s="16"/>
      <c r="U21" s="16"/>
      <c r="V21" s="16"/>
      <c r="W21" s="16"/>
      <c r="X21" s="16"/>
      <c r="Y21" s="16"/>
      <c r="Z21" s="16"/>
    </row>
    <row r="22" spans="1:26" ht="24.75" customHeight="1">
      <c r="A22" s="20" t="s">
        <v>122</v>
      </c>
      <c r="B22" s="81">
        <f>'Profit and Loss'!B8/'Profit and Loss'!B13</f>
        <v>14.837349397590362</v>
      </c>
      <c r="C22" s="217">
        <f>'Profit and Loss'!C8/'Profit and Loss'!C13</f>
        <v>8.4975369458128078</v>
      </c>
      <c r="D22" s="82">
        <f>'Profit and Loss'!D8/'Profit and Loss'!D13</f>
        <v>15.339449541284404</v>
      </c>
      <c r="E22" s="217">
        <f>'Profit and Loss'!E8/'Profit and Loss'!E13</f>
        <v>16.273333333333333</v>
      </c>
      <c r="F22" s="82">
        <f>'Profit and Loss'!F8/'Profit and Loss'!F13</f>
        <v>8.5492730210016159</v>
      </c>
      <c r="G22" s="217">
        <f>'Profit and Loss'!G8/'Profit and Loss'!G13</f>
        <v>5.9748163693599157</v>
      </c>
      <c r="H22" s="82">
        <f>'Profit and Loss'!H8/'Profit and Loss'!H13</f>
        <v>9.9282441925333362</v>
      </c>
      <c r="I22" s="217">
        <f>'Profit and Loss'!I8/'Profit and Loss'!I13</f>
        <v>12.481877035313783</v>
      </c>
      <c r="J22" s="82">
        <f>'Profit and Loss'!J8/'Profit and Loss'!J13</f>
        <v>15.205773908861618</v>
      </c>
      <c r="K22" s="217">
        <f>'Profit and Loss'!K8/'Profit and Loss'!K13</f>
        <v>17.266232302381912</v>
      </c>
      <c r="L22" s="127">
        <f>'Profit and Loss'!L8/'Profit and Loss'!L13</f>
        <v>18.992855532620105</v>
      </c>
      <c r="M22" s="19"/>
      <c r="N22" s="264"/>
      <c r="O22" s="256"/>
      <c r="P22" s="256"/>
      <c r="Q22" s="254"/>
      <c r="R22" s="16"/>
      <c r="S22" s="16"/>
      <c r="T22" s="16"/>
      <c r="U22" s="16"/>
      <c r="V22" s="16"/>
      <c r="W22" s="16"/>
      <c r="X22" s="16"/>
      <c r="Y22" s="16"/>
      <c r="Z22" s="16"/>
    </row>
    <row r="23" spans="1:26" ht="12.75">
      <c r="A23" s="16"/>
      <c r="B23" s="105"/>
      <c r="C23" s="105"/>
      <c r="D23" s="105"/>
      <c r="E23" s="105"/>
      <c r="F23" s="105"/>
      <c r="G23" s="105"/>
      <c r="H23" s="105"/>
      <c r="I23" s="105"/>
      <c r="J23" s="105"/>
      <c r="K23" s="105"/>
      <c r="L23" s="105"/>
      <c r="M23" s="16"/>
      <c r="N23" s="16"/>
      <c r="O23" s="16"/>
      <c r="P23" s="16"/>
      <c r="Q23" s="16"/>
      <c r="R23" s="16"/>
      <c r="S23" s="16"/>
      <c r="T23" s="16"/>
      <c r="U23" s="16"/>
      <c r="V23" s="16"/>
      <c r="W23" s="16"/>
      <c r="X23" s="16"/>
      <c r="Y23" s="16"/>
      <c r="Z23" s="16"/>
    </row>
    <row r="24" spans="1:26" ht="12.75">
      <c r="A24" s="18"/>
      <c r="B24" s="258" t="s">
        <v>123</v>
      </c>
      <c r="C24" s="233"/>
      <c r="D24" s="233"/>
      <c r="E24" s="233"/>
      <c r="F24" s="233"/>
      <c r="G24" s="233"/>
      <c r="H24" s="233"/>
      <c r="I24" s="233"/>
      <c r="J24" s="233"/>
      <c r="K24" s="233"/>
      <c r="L24" s="234"/>
      <c r="M24" s="19"/>
      <c r="N24" s="16"/>
      <c r="O24" s="16"/>
      <c r="P24" s="16"/>
      <c r="Q24" s="16"/>
      <c r="R24" s="16"/>
      <c r="S24" s="16"/>
      <c r="T24" s="16"/>
      <c r="U24" s="16"/>
      <c r="V24" s="16"/>
      <c r="W24" s="16"/>
      <c r="X24" s="16"/>
      <c r="Y24" s="16"/>
      <c r="Z24" s="16"/>
    </row>
    <row r="25" spans="1:26" ht="12.75">
      <c r="A25" s="18"/>
      <c r="B25" s="255" t="s">
        <v>22</v>
      </c>
      <c r="C25" s="256"/>
      <c r="D25" s="256"/>
      <c r="E25" s="256"/>
      <c r="F25" s="256"/>
      <c r="G25" s="254"/>
      <c r="H25" s="257" t="s">
        <v>23</v>
      </c>
      <c r="I25" s="256"/>
      <c r="J25" s="256"/>
      <c r="K25" s="256"/>
      <c r="L25" s="242"/>
      <c r="M25" s="19"/>
      <c r="N25" s="259" t="s">
        <v>124</v>
      </c>
      <c r="O25" s="260"/>
      <c r="P25" s="260"/>
      <c r="Q25" s="261"/>
      <c r="R25" s="16"/>
      <c r="S25" s="16"/>
      <c r="T25" s="16"/>
      <c r="U25" s="16"/>
      <c r="V25" s="16"/>
      <c r="W25" s="16"/>
      <c r="X25" s="16"/>
      <c r="Y25" s="16"/>
      <c r="Z25" s="16"/>
    </row>
    <row r="26" spans="1:26" ht="12.75">
      <c r="A26" s="18"/>
      <c r="B26" s="88">
        <v>2020</v>
      </c>
      <c r="C26" s="89">
        <f t="shared" ref="C26:L26" si="3">B26+1</f>
        <v>2021</v>
      </c>
      <c r="D26" s="89">
        <f t="shared" si="3"/>
        <v>2022</v>
      </c>
      <c r="E26" s="89">
        <f t="shared" si="3"/>
        <v>2023</v>
      </c>
      <c r="F26" s="89">
        <f t="shared" si="3"/>
        <v>2024</v>
      </c>
      <c r="G26" s="89">
        <f t="shared" si="3"/>
        <v>2025</v>
      </c>
      <c r="H26" s="90">
        <f t="shared" si="3"/>
        <v>2026</v>
      </c>
      <c r="I26" s="90">
        <f t="shared" si="3"/>
        <v>2027</v>
      </c>
      <c r="J26" s="90">
        <f t="shared" si="3"/>
        <v>2028</v>
      </c>
      <c r="K26" s="90">
        <f t="shared" si="3"/>
        <v>2029</v>
      </c>
      <c r="L26" s="91">
        <f t="shared" si="3"/>
        <v>2030</v>
      </c>
      <c r="M26" s="19"/>
      <c r="N26" s="262"/>
      <c r="O26" s="263"/>
      <c r="P26" s="263"/>
      <c r="Q26" s="253"/>
      <c r="R26" s="16"/>
      <c r="S26" s="16"/>
      <c r="T26" s="16"/>
      <c r="U26" s="16"/>
      <c r="V26" s="16"/>
      <c r="W26" s="16"/>
      <c r="X26" s="16"/>
      <c r="Y26" s="16"/>
      <c r="Z26" s="16"/>
    </row>
    <row r="27" spans="1:26" ht="12.75">
      <c r="A27" s="20" t="s">
        <v>125</v>
      </c>
      <c r="B27" s="218">
        <f>Revenue!C4/'Balance Sheet'!C19</f>
        <v>4.1944610480175335</v>
      </c>
      <c r="C27" s="219">
        <f>Revenue!D4/'Balance Sheet'!D19</f>
        <v>2.8141984137303342</v>
      </c>
      <c r="D27" s="219">
        <f>Revenue!E4/'Balance Sheet'!E19</f>
        <v>3.8563202999464381</v>
      </c>
      <c r="E27" s="219">
        <f>Revenue!F4/'Balance Sheet'!F19</f>
        <v>3.8742480664566026</v>
      </c>
      <c r="F27" s="219">
        <f>Revenue!G4/'Balance Sheet'!G19</f>
        <v>4.3394495412844041</v>
      </c>
      <c r="G27" s="219">
        <f>Revenue!H4/'Balance Sheet'!H19</f>
        <v>5.0258541857178489</v>
      </c>
      <c r="H27" s="219">
        <f>Revenue!I4/'Balance Sheet'!I19</f>
        <v>5.6597615511034922</v>
      </c>
      <c r="I27" s="219">
        <f>Revenue!J4/'Balance Sheet'!J19</f>
        <v>5.9213130412039154</v>
      </c>
      <c r="J27" s="219">
        <f>Revenue!K4/'Balance Sheet'!K19</f>
        <v>6.0722373361269169</v>
      </c>
      <c r="K27" s="219">
        <f>Revenue!L4/'Balance Sheet'!L19</f>
        <v>6.1199355169118581</v>
      </c>
      <c r="L27" s="220">
        <f>Revenue!M4/'Balance Sheet'!M19</f>
        <v>6.0722683464074922</v>
      </c>
      <c r="M27" s="19"/>
      <c r="N27" s="262"/>
      <c r="O27" s="263"/>
      <c r="P27" s="263"/>
      <c r="Q27" s="253"/>
      <c r="R27" s="16"/>
      <c r="S27" s="16"/>
      <c r="T27" s="16"/>
      <c r="U27" s="16"/>
      <c r="V27" s="16"/>
      <c r="W27" s="16"/>
      <c r="X27" s="16"/>
      <c r="Y27" s="16"/>
      <c r="Z27" s="16"/>
    </row>
    <row r="28" spans="1:26" ht="12.75">
      <c r="A28" s="20" t="s">
        <v>126</v>
      </c>
      <c r="B28" s="50">
        <f>Revenue!C4/'Balance Sheet'!C14</f>
        <v>8.3440348791121686</v>
      </c>
      <c r="C28" s="120">
        <f>Revenue!D4/'Balance Sheet'!D14</f>
        <v>8.5078616352201255</v>
      </c>
      <c r="D28" s="120">
        <f>Revenue!E4/'Balance Sheet'!E14</f>
        <v>9.6060707138092063</v>
      </c>
      <c r="E28" s="120">
        <f>Revenue!F4/'Balance Sheet'!F14</f>
        <v>10.939606362901051</v>
      </c>
      <c r="F28" s="120">
        <f>Revenue!G4/'Balance Sheet'!G14</f>
        <v>12.761428928303772</v>
      </c>
      <c r="G28" s="120">
        <f>Revenue!H4/'Balance Sheet'!H14</f>
        <v>12.841121495327103</v>
      </c>
      <c r="H28" s="120">
        <f>Revenue!I4/'Balance Sheet'!I14</f>
        <v>13.946975702151621</v>
      </c>
      <c r="I28" s="120">
        <f>Revenue!J4/'Balance Sheet'!J14</f>
        <v>14.614014266829191</v>
      </c>
      <c r="J28" s="120">
        <f>Revenue!K4/'Balance Sheet'!K14</f>
        <v>14.829188749757737</v>
      </c>
      <c r="K28" s="120">
        <f>Revenue!L4/'Balance Sheet'!L14</f>
        <v>14.622598779876977</v>
      </c>
      <c r="L28" s="221">
        <f>Revenue!M4/'Balance Sheet'!M14</f>
        <v>14.050810892724012</v>
      </c>
      <c r="M28" s="19"/>
      <c r="N28" s="262"/>
      <c r="O28" s="263"/>
      <c r="P28" s="263"/>
      <c r="Q28" s="253"/>
      <c r="R28" s="16"/>
      <c r="S28" s="16"/>
      <c r="T28" s="16"/>
      <c r="U28" s="16"/>
      <c r="V28" s="16"/>
      <c r="W28" s="16"/>
      <c r="X28" s="16"/>
      <c r="Y28" s="16"/>
      <c r="Z28" s="16"/>
    </row>
    <row r="29" spans="1:26" ht="12.75">
      <c r="A29" s="20" t="s">
        <v>127</v>
      </c>
      <c r="B29" s="71">
        <f>Revenue!C4/'Free Cash Flow'!C16</f>
        <v>2.989916205084505</v>
      </c>
      <c r="C29" s="57">
        <f>Revenue!D4/'Free Cash Flow'!D16</f>
        <v>3.0077821011673151</v>
      </c>
      <c r="D29" s="57">
        <f>Revenue!E4/'Free Cash Flow'!E16</f>
        <v>2.3836285383214699</v>
      </c>
      <c r="E29" s="57">
        <f>Revenue!F4/'Free Cash Flow'!F16</f>
        <v>2.8537769025179349</v>
      </c>
      <c r="F29" s="57">
        <f>Revenue!G4/'Free Cash Flow'!G16</f>
        <v>2.9624217118997911</v>
      </c>
      <c r="G29" s="57">
        <f>Revenue!H4/'Free Cash Flow'!H16</f>
        <v>3.5874673629242819</v>
      </c>
      <c r="H29" s="57">
        <f>Revenue!I4/'Free Cash Flow'!I16</f>
        <v>3.5880875493362034</v>
      </c>
      <c r="I29" s="57">
        <f>Revenue!J4/'Free Cash Flow'!J16</f>
        <v>3.806623524933384</v>
      </c>
      <c r="J29" s="57">
        <f>Revenue!K4/'Free Cash Flow'!K16</f>
        <v>4.1203131437989287</v>
      </c>
      <c r="K29" s="57">
        <f>Revenue!L4/'Free Cash Flow'!L16</f>
        <v>4.7014574518100618</v>
      </c>
      <c r="L29" s="58">
        <f>Revenue!M4/'Free Cash Flow'!M16</f>
        <v>5.4734537493158202</v>
      </c>
      <c r="M29" s="19"/>
      <c r="N29" s="262"/>
      <c r="O29" s="263"/>
      <c r="P29" s="263"/>
      <c r="Q29" s="253"/>
      <c r="R29" s="16"/>
      <c r="S29" s="16"/>
      <c r="T29" s="16"/>
      <c r="U29" s="16"/>
      <c r="V29" s="16"/>
      <c r="W29" s="16"/>
      <c r="X29" s="16"/>
      <c r="Y29" s="16"/>
      <c r="Z29" s="16"/>
    </row>
    <row r="30" spans="1:26" ht="12.75">
      <c r="A30" s="20" t="s">
        <v>128</v>
      </c>
      <c r="B30" s="71">
        <f>Revenue!C4/'Free Cash Flow'!C12</f>
        <v>2.59805010489942</v>
      </c>
      <c r="C30" s="57">
        <f>Revenue!D4/'Free Cash Flow'!D12</f>
        <v>2.5742150333016176</v>
      </c>
      <c r="D30" s="57">
        <f>Revenue!E4/'Free Cash Flow'!E12</f>
        <v>2.1161731207289294</v>
      </c>
      <c r="E30" s="57">
        <f>Revenue!F4/'Free Cash Flow'!F12</f>
        <v>2.4466353111432708</v>
      </c>
      <c r="F30" s="57">
        <f>Revenue!G4/'Free Cash Flow'!G12</f>
        <v>2.6814340454569314</v>
      </c>
      <c r="G30" s="57">
        <f>Revenue!H4/'Free Cash Flow'!H12</f>
        <v>2.1450468350837353</v>
      </c>
      <c r="H30" s="57">
        <f>Revenue!I4/'Free Cash Flow'!I12</f>
        <v>2.1459227467811157</v>
      </c>
      <c r="I30" s="57">
        <f>Revenue!J4/'Free Cash Flow'!J12</f>
        <v>2.2222222222222223</v>
      </c>
      <c r="J30" s="57">
        <f>Revenue!K4/'Free Cash Flow'!K12</f>
        <v>2.3255813953488373</v>
      </c>
      <c r="K30" s="57">
        <f>Revenue!L4/'Free Cash Flow'!L12</f>
        <v>2.5000000000000004</v>
      </c>
      <c r="L30" s="58">
        <f>Revenue!M4/'Free Cash Flow'!M12</f>
        <v>2.7027027027027026</v>
      </c>
      <c r="M30" s="19"/>
      <c r="N30" s="262"/>
      <c r="O30" s="263"/>
      <c r="P30" s="263"/>
      <c r="Q30" s="253"/>
      <c r="R30" s="16"/>
      <c r="S30" s="16"/>
      <c r="T30" s="16"/>
      <c r="U30" s="16"/>
      <c r="V30" s="16"/>
      <c r="W30" s="16"/>
      <c r="X30" s="16"/>
      <c r="Y30" s="16"/>
      <c r="Z30" s="16"/>
    </row>
    <row r="31" spans="1:26" ht="12.75">
      <c r="A31" s="20" t="s">
        <v>129</v>
      </c>
      <c r="B31" s="81">
        <f>Revenue!C4/'Free Cash Flow'!C13</f>
        <v>67.474358974358978</v>
      </c>
      <c r="C31" s="82">
        <f>Revenue!D4/'Free Cash Flow'!D13</f>
        <v>59.136612021857921</v>
      </c>
      <c r="D31" s="82">
        <f>Revenue!E4/'Free Cash Flow'!E13</f>
        <v>50.971681415929204</v>
      </c>
      <c r="E31" s="82">
        <f>Revenue!F4/'Free Cash Flow'!F13</f>
        <v>60.200296735905042</v>
      </c>
      <c r="F31" s="82">
        <f>Revenue!G4/'Free Cash Flow'!G13</f>
        <v>50.180746561886053</v>
      </c>
      <c r="G31" s="82">
        <f>Revenue!H4/'Free Cash Flow'!H13</f>
        <v>56.606741573033709</v>
      </c>
      <c r="H31" s="82">
        <f>Revenue!I4/'Free Cash Flow'!I13</f>
        <v>56.497175141242941</v>
      </c>
      <c r="I31" s="82">
        <f>Revenue!J4/'Free Cash Flow'!J13</f>
        <v>56.497175141242941</v>
      </c>
      <c r="J31" s="82">
        <f>Revenue!K4/'Free Cash Flow'!K13</f>
        <v>56.497175141242941</v>
      </c>
      <c r="K31" s="82">
        <f>Revenue!L4/'Free Cash Flow'!L13</f>
        <v>56.497175141242941</v>
      </c>
      <c r="L31" s="83">
        <f>Revenue!M4/'Free Cash Flow'!M13</f>
        <v>56.497175141242941</v>
      </c>
      <c r="M31" s="19"/>
      <c r="N31" s="264"/>
      <c r="O31" s="256"/>
      <c r="P31" s="256"/>
      <c r="Q31" s="254"/>
      <c r="R31" s="16"/>
      <c r="S31" s="16"/>
      <c r="T31" s="16"/>
      <c r="U31" s="16"/>
      <c r="V31" s="16"/>
      <c r="W31" s="16"/>
      <c r="X31" s="16"/>
      <c r="Y31" s="16"/>
      <c r="Z31" s="16"/>
    </row>
    <row r="32" spans="1:26" ht="12.75">
      <c r="A32" s="16"/>
      <c r="B32" s="33"/>
      <c r="C32" s="33"/>
      <c r="D32" s="33"/>
      <c r="E32" s="33"/>
      <c r="F32" s="33"/>
      <c r="G32" s="33"/>
      <c r="H32" s="33"/>
      <c r="I32" s="33"/>
      <c r="J32" s="33"/>
      <c r="K32" s="33"/>
      <c r="L32" s="33"/>
      <c r="M32" s="16"/>
      <c r="N32" s="16"/>
      <c r="O32" s="16"/>
      <c r="P32" s="16"/>
      <c r="Q32" s="16"/>
      <c r="R32" s="16"/>
      <c r="S32" s="16"/>
      <c r="T32" s="16"/>
      <c r="U32" s="16"/>
      <c r="V32" s="16"/>
      <c r="W32" s="16"/>
      <c r="X32" s="16"/>
      <c r="Y32" s="16"/>
      <c r="Z32" s="16"/>
    </row>
    <row r="33" spans="1:26" ht="12.7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6">
    <mergeCell ref="B17:L17"/>
    <mergeCell ref="N3:Q9"/>
    <mergeCell ref="N11:R15"/>
    <mergeCell ref="N17:Q22"/>
    <mergeCell ref="N25:Q31"/>
    <mergeCell ref="B3:G3"/>
    <mergeCell ref="H3:L3"/>
    <mergeCell ref="B2:L2"/>
    <mergeCell ref="B11:L11"/>
    <mergeCell ref="B12:G12"/>
    <mergeCell ref="H12:L12"/>
    <mergeCell ref="B18:G18"/>
    <mergeCell ref="H18:L18"/>
    <mergeCell ref="B24:L24"/>
    <mergeCell ref="B25:G25"/>
    <mergeCell ref="H25:L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
  <sheetViews>
    <sheetView workbookViewId="0"/>
  </sheetViews>
  <sheetFormatPr defaultColWidth="12.5703125" defaultRowHeight="15.75" customHeight="1"/>
  <cols>
    <col min="1" max="1" width="23.7109375" customWidth="1"/>
  </cols>
  <sheetData>
    <row r="1" spans="1:8">
      <c r="A1" s="222" t="s">
        <v>130</v>
      </c>
    </row>
    <row r="2" spans="1:8">
      <c r="A2" s="222" t="s">
        <v>131</v>
      </c>
      <c r="B2" s="223">
        <v>0.13</v>
      </c>
      <c r="C2" s="265" t="s">
        <v>132</v>
      </c>
    </row>
    <row r="3" spans="1:8">
      <c r="A3" s="222" t="s">
        <v>133</v>
      </c>
      <c r="B3" s="223">
        <v>0.13500000000000001</v>
      </c>
      <c r="C3" s="263"/>
    </row>
    <row r="4" spans="1:8">
      <c r="A4" s="222" t="s">
        <v>134</v>
      </c>
      <c r="B4" s="223">
        <v>0.14000000000000001</v>
      </c>
      <c r="C4" s="263"/>
    </row>
    <row r="5" spans="1:8">
      <c r="A5" s="222" t="s">
        <v>135</v>
      </c>
      <c r="B5" s="223">
        <v>0.14000000000000001</v>
      </c>
      <c r="C5" s="263"/>
    </row>
    <row r="6" spans="1:8">
      <c r="A6" s="222" t="s">
        <v>136</v>
      </c>
      <c r="B6" s="223">
        <v>0.14000000000000001</v>
      </c>
      <c r="C6" s="263"/>
    </row>
    <row r="7" spans="1:8">
      <c r="A7" s="222" t="s">
        <v>137</v>
      </c>
      <c r="B7" s="223">
        <v>1.0999999999999999E-2</v>
      </c>
      <c r="C7" s="223">
        <v>1.0999999999999999E-2</v>
      </c>
      <c r="D7" s="223">
        <v>1.0999999999999999E-2</v>
      </c>
      <c r="E7" s="223">
        <v>1.0999999999999999E-2</v>
      </c>
      <c r="F7" s="223">
        <v>1.0999999999999999E-2</v>
      </c>
      <c r="G7" s="223">
        <v>1.0999999999999999E-2</v>
      </c>
      <c r="H7" s="222" t="s">
        <v>138</v>
      </c>
    </row>
    <row r="8" spans="1:8">
      <c r="A8" s="222" t="s">
        <v>36</v>
      </c>
      <c r="B8" s="222">
        <v>900</v>
      </c>
    </row>
    <row r="9" spans="1:8">
      <c r="A9" s="222" t="s">
        <v>139</v>
      </c>
      <c r="B9" s="223">
        <v>0.25</v>
      </c>
    </row>
  </sheetData>
  <mergeCells count="1">
    <mergeCell ref="C2: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Titan</vt:lpstr>
      <vt:lpstr>Revenue</vt:lpstr>
      <vt:lpstr>Profit and Loss</vt:lpstr>
      <vt:lpstr>Balance Sheet</vt:lpstr>
      <vt:lpstr>Fixed Assets</vt:lpstr>
      <vt:lpstr>Free Cash Flow</vt:lpstr>
      <vt:lpstr>WACC</vt:lpstr>
      <vt:lpstr>DCF</vt:lpstr>
      <vt:lpstr>Ratios</vt:lpstr>
      <vt:lpstr>Assumptions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Pandit</cp:lastModifiedBy>
  <dcterms:modified xsi:type="dcterms:W3CDTF">2025-07-01T09:51:38Z</dcterms:modified>
</cp:coreProperties>
</file>