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wner\Documents\"/>
    </mc:Choice>
  </mc:AlternateContent>
  <xr:revisionPtr revIDLastSave="0" documentId="8_{AE01AD1D-F5A8-478D-A405-CBA7CB6A4B87}" xr6:coauthVersionLast="47" xr6:coauthVersionMax="47" xr10:uidLastSave="{00000000-0000-0000-0000-000000000000}"/>
  <bookViews>
    <workbookView xWindow="-96" yWindow="-96" windowWidth="23232" windowHeight="12432" activeTab="1" xr2:uid="{DFF820D8-2211-4657-9B8C-3EBFEC71C4D5}"/>
  </bookViews>
  <sheets>
    <sheet name="READ ME" sheetId="1" r:id="rId1"/>
    <sheet name="DCF" sheetId="2" r:id="rId2"/>
    <sheet name="WACC" sheetId="3" r:id="rId3"/>
    <sheet name="Income Statement" sheetId="4" r:id="rId4"/>
    <sheet name="Balance Shee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1" i="2" l="1"/>
  <c r="N86" i="2"/>
  <c r="J86" i="2"/>
  <c r="K86" i="2" s="1"/>
  <c r="L86" i="2" s="1"/>
  <c r="M86" i="2" s="1"/>
  <c r="N85" i="2"/>
  <c r="J85" i="2"/>
  <c r="K85" i="2" s="1"/>
  <c r="L85" i="2" s="1"/>
  <c r="M85" i="2" s="1"/>
  <c r="N84" i="2"/>
  <c r="J84" i="2"/>
  <c r="J97" i="2"/>
  <c r="I92" i="2"/>
  <c r="G99" i="2"/>
  <c r="I96" i="2"/>
  <c r="I97" i="2" s="1"/>
  <c r="L20" i="2"/>
  <c r="K84" i="2"/>
  <c r="L84" i="2" s="1"/>
  <c r="M84" i="2" s="1"/>
  <c r="K57" i="2"/>
  <c r="L57" i="2" s="1"/>
  <c r="M57" i="2" s="1"/>
  <c r="N56" i="2"/>
  <c r="J56" i="2"/>
  <c r="J55" i="2"/>
  <c r="O103" i="2"/>
  <c r="P20" i="2"/>
  <c r="D17" i="3"/>
  <c r="D15" i="3"/>
  <c r="D12" i="3"/>
  <c r="D5" i="3"/>
  <c r="D4" i="3"/>
  <c r="K97" i="2" l="1"/>
  <c r="L97" i="2" s="1"/>
  <c r="M97" i="2" s="1"/>
  <c r="N97" i="2" s="1"/>
  <c r="K56" i="2"/>
  <c r="L56" i="2" s="1"/>
  <c r="M56" i="2" s="1"/>
  <c r="H20" i="2"/>
  <c r="K83" i="2" l="1"/>
  <c r="L83" i="2"/>
  <c r="M83" i="2"/>
  <c r="N83" i="2"/>
  <c r="J83" i="2"/>
  <c r="N71" i="2"/>
  <c r="J71" i="2"/>
  <c r="N70" i="2"/>
  <c r="J70" i="2"/>
  <c r="N69" i="2"/>
  <c r="K69" i="2" s="1"/>
  <c r="L69" i="2" s="1"/>
  <c r="M69" i="2" s="1"/>
  <c r="J69" i="2"/>
  <c r="N63" i="2"/>
  <c r="J63" i="2"/>
  <c r="N62" i="2"/>
  <c r="J62" i="2"/>
  <c r="J60" i="2" s="1"/>
  <c r="N61" i="2"/>
  <c r="J61" i="2"/>
  <c r="N55" i="2"/>
  <c r="D21" i="2"/>
  <c r="D20" i="2"/>
  <c r="D19" i="2"/>
  <c r="I93" i="2" s="1"/>
  <c r="G50" i="2"/>
  <c r="H50" i="2"/>
  <c r="F50" i="2"/>
  <c r="G47" i="2"/>
  <c r="G83" i="2" s="1"/>
  <c r="H47" i="2"/>
  <c r="H83" i="2" s="1"/>
  <c r="F47" i="2"/>
  <c r="F83" i="2" s="1"/>
  <c r="F33" i="2"/>
  <c r="F68" i="2" s="1"/>
  <c r="G33" i="2"/>
  <c r="G68" i="2" s="1"/>
  <c r="H33" i="2"/>
  <c r="H68" i="2" s="1"/>
  <c r="H36" i="2"/>
  <c r="G36" i="2"/>
  <c r="F36" i="2"/>
  <c r="F44" i="2"/>
  <c r="F80" i="2" s="1"/>
  <c r="G44" i="2"/>
  <c r="G80" i="2" s="1"/>
  <c r="H44" i="2"/>
  <c r="H80" i="2" s="1"/>
  <c r="G79" i="2"/>
  <c r="H79" i="2"/>
  <c r="F79" i="2"/>
  <c r="G73" i="2"/>
  <c r="H73" i="2"/>
  <c r="F73" i="2"/>
  <c r="G67" i="2"/>
  <c r="H67" i="2"/>
  <c r="F67" i="2"/>
  <c r="F60" i="2"/>
  <c r="G59" i="2"/>
  <c r="H59" i="2"/>
  <c r="I59" i="2" s="1"/>
  <c r="I65" i="2" s="1"/>
  <c r="I82" i="2" s="1"/>
  <c r="F59" i="2"/>
  <c r="F54" i="2"/>
  <c r="G53" i="2"/>
  <c r="H53" i="2"/>
  <c r="F53" i="2"/>
  <c r="H38" i="2"/>
  <c r="H39" i="2" s="1"/>
  <c r="G38" i="2"/>
  <c r="G39" i="2" s="1"/>
  <c r="F38" i="2"/>
  <c r="F39" i="2" s="1"/>
  <c r="H30" i="2"/>
  <c r="G30" i="2"/>
  <c r="G28" i="2"/>
  <c r="G60" i="2" s="1"/>
  <c r="H28" i="2"/>
  <c r="H60" i="2" s="1"/>
  <c r="H26" i="2"/>
  <c r="H54" i="2" s="1"/>
  <c r="K70" i="2" l="1"/>
  <c r="L70" i="2" s="1"/>
  <c r="M70" i="2" s="1"/>
  <c r="M68" i="2" s="1"/>
  <c r="K71" i="2"/>
  <c r="L71" i="2" s="1"/>
  <c r="M71" i="2" s="1"/>
  <c r="K61" i="2"/>
  <c r="L61" i="2" s="1"/>
  <c r="M61" i="2" s="1"/>
  <c r="K55" i="2"/>
  <c r="L55" i="2" s="1"/>
  <c r="M55" i="2" s="1"/>
  <c r="K63" i="2"/>
  <c r="L63" i="2" s="1"/>
  <c r="M63" i="2" s="1"/>
  <c r="N60" i="2"/>
  <c r="K62" i="2"/>
  <c r="J59" i="2"/>
  <c r="H65" i="2"/>
  <c r="I79" i="2"/>
  <c r="F65" i="2"/>
  <c r="I67" i="2"/>
  <c r="G65" i="2"/>
  <c r="F76" i="2"/>
  <c r="H74" i="2"/>
  <c r="G74" i="2"/>
  <c r="F74" i="2"/>
  <c r="I74" i="2" s="1"/>
  <c r="G76" i="2"/>
  <c r="G77" i="2" s="1"/>
  <c r="H76" i="2"/>
  <c r="G26" i="2"/>
  <c r="G54" i="2" s="1"/>
  <c r="I88" i="2"/>
  <c r="H88" i="2"/>
  <c r="G88" i="2"/>
  <c r="F88" i="2"/>
  <c r="H82" i="2"/>
  <c r="G82" i="2"/>
  <c r="F82" i="2"/>
  <c r="N68" i="2"/>
  <c r="J68" i="2"/>
  <c r="F89" i="2"/>
  <c r="I89" i="2"/>
  <c r="F77" i="2" l="1"/>
  <c r="L68" i="2"/>
  <c r="K68" i="2"/>
  <c r="H77" i="2"/>
  <c r="L62" i="2"/>
  <c r="K60" i="2"/>
  <c r="K59" i="2" s="1"/>
  <c r="I73" i="2"/>
  <c r="I76" i="2" s="1"/>
  <c r="G89" i="2"/>
  <c r="H89" i="2"/>
  <c r="M62" i="2" l="1"/>
  <c r="M60" i="2" s="1"/>
  <c r="L60" i="2"/>
  <c r="L59" i="2" s="1"/>
  <c r="I91" i="2"/>
  <c r="I77" i="2"/>
  <c r="N54" i="2"/>
  <c r="J54" i="2"/>
  <c r="J53" i="2" s="1"/>
  <c r="L54" i="2"/>
  <c r="M54" i="2"/>
  <c r="K54" i="2"/>
  <c r="M59" i="2" l="1"/>
  <c r="N59" i="2" s="1"/>
  <c r="J65" i="2"/>
  <c r="K53" i="2"/>
  <c r="J79" i="2" l="1"/>
  <c r="J82" i="2"/>
  <c r="J67" i="2"/>
  <c r="L53" i="2"/>
  <c r="K65" i="2"/>
  <c r="K67" i="2" l="1"/>
  <c r="K79" i="2"/>
  <c r="J73" i="2"/>
  <c r="J76" i="2" s="1"/>
  <c r="M53" i="2"/>
  <c r="L65" i="2"/>
  <c r="J77" i="2" l="1"/>
  <c r="J91" i="2"/>
  <c r="L67" i="2"/>
  <c r="L79" i="2"/>
  <c r="K73" i="2"/>
  <c r="K76" i="2" s="1"/>
  <c r="N53" i="2"/>
  <c r="N65" i="2" s="1"/>
  <c r="M65" i="2"/>
  <c r="J92" i="2" l="1"/>
  <c r="J93" i="2" s="1"/>
  <c r="K77" i="2"/>
  <c r="M67" i="2"/>
  <c r="M79" i="2"/>
  <c r="N67" i="2"/>
  <c r="N79" i="2"/>
  <c r="L73" i="2"/>
  <c r="L76" i="2" s="1"/>
  <c r="L77" i="2" s="1"/>
  <c r="N73" i="2" l="1"/>
  <c r="N76" i="2" s="1"/>
  <c r="M73" i="2"/>
  <c r="M76" i="2" s="1"/>
  <c r="M77" i="2" l="1"/>
  <c r="N77" i="2"/>
  <c r="M82" i="2"/>
  <c r="M91" i="2" s="1"/>
  <c r="N82" i="2"/>
  <c r="N91" i="2" s="1"/>
  <c r="N92" i="2" s="1"/>
  <c r="N93" i="2" s="1"/>
  <c r="L82" i="2"/>
  <c r="L91" i="2" s="1"/>
  <c r="K82" i="2"/>
  <c r="L92" i="2" l="1"/>
  <c r="L93" i="2" s="1"/>
  <c r="M92" i="2"/>
  <c r="M93" i="2" s="1"/>
  <c r="O98" i="2"/>
  <c r="O99" i="2" s="1"/>
  <c r="K91" i="2"/>
  <c r="K92" i="2" l="1"/>
  <c r="K93" i="2" s="1"/>
  <c r="O100" i="2" s="1"/>
  <c r="O104" i="2" s="1"/>
  <c r="O106" i="2" s="1"/>
  <c r="U100" i="2" s="1"/>
  <c r="H5" i="2" l="1"/>
  <c r="H6" i="2" s="1"/>
</calcChain>
</file>

<file path=xl/sharedStrings.xml><?xml version="1.0" encoding="utf-8"?>
<sst xmlns="http://schemas.openxmlformats.org/spreadsheetml/2006/main" count="334" uniqueCount="237">
  <si>
    <t>Apple DCF</t>
  </si>
  <si>
    <t>Bullish</t>
  </si>
  <si>
    <t>Largest Company in the World with consistent consumer demand</t>
  </si>
  <si>
    <t>Growing Service revenue</t>
  </si>
  <si>
    <t>Attracts top talent in the industry</t>
  </si>
  <si>
    <t>Global presence</t>
  </si>
  <si>
    <t>Bearish</t>
  </si>
  <si>
    <t>Slowing/Declining product growth</t>
  </si>
  <si>
    <t>Lack of consumer-facing innovation within products</t>
  </si>
  <si>
    <t>Macroeconomics: higher interest rates, tariffs, inflation</t>
  </si>
  <si>
    <t>Net sales:</t>
  </si>
  <si>
    <t>   Products</t>
  </si>
  <si>
    <t>   Services</t>
  </si>
  <si>
    <t>Total net sales</t>
  </si>
  <si>
    <t>Cost of sales:</t>
  </si>
  <si>
    <t>185,233 </t>
  </si>
  <si>
    <t>189,282 </t>
  </si>
  <si>
    <t>201,471 </t>
  </si>
  <si>
    <t>25,119 </t>
  </si>
  <si>
    <t>24,855 </t>
  </si>
  <si>
    <t>22,075 </t>
  </si>
  <si>
    <t>Total cost of sales</t>
  </si>
  <si>
    <t>210,352 </t>
  </si>
  <si>
    <t>214,137 </t>
  </si>
  <si>
    <t>223,546 </t>
  </si>
  <si>
    <t>Gross margin</t>
  </si>
  <si>
    <t>180,683 </t>
  </si>
  <si>
    <t>169,148 </t>
  </si>
  <si>
    <t>170,782 </t>
  </si>
  <si>
    <t>Operating expenses:</t>
  </si>
  <si>
    <t>Research and development</t>
  </si>
  <si>
    <t>31,370 </t>
  </si>
  <si>
    <t>29,915 </t>
  </si>
  <si>
    <t>26,251 </t>
  </si>
  <si>
    <t>Selling, general and administrative</t>
  </si>
  <si>
    <t>26,097 </t>
  </si>
  <si>
    <t>24,932 </t>
  </si>
  <si>
    <t>25,094 </t>
  </si>
  <si>
    <t>Total operating expenses</t>
  </si>
  <si>
    <t>57,467 </t>
  </si>
  <si>
    <t>54,847 </t>
  </si>
  <si>
    <t>51,345 </t>
  </si>
  <si>
    <t>Operating income</t>
  </si>
  <si>
    <t>123,216 </t>
  </si>
  <si>
    <t>114,301 </t>
  </si>
  <si>
    <t>119,437 </t>
  </si>
  <si>
    <t>Other income/(expense), net</t>
  </si>
  <si>
    <t>269 </t>
  </si>
  <si>
    <t>Income before provision for income taxes</t>
  </si>
  <si>
    <t>123,485 </t>
  </si>
  <si>
    <t>113,736 </t>
  </si>
  <si>
    <t>119,103 </t>
  </si>
  <si>
    <t>Provision for income taxes</t>
  </si>
  <si>
    <t>29,749 </t>
  </si>
  <si>
    <t>16,741 </t>
  </si>
  <si>
    <t>19,300 </t>
  </si>
  <si>
    <t>Net income</t>
  </si>
  <si>
    <t>93,736 </t>
  </si>
  <si>
    <t>96,995 </t>
  </si>
  <si>
    <t>99,803 </t>
  </si>
  <si>
    <t>Earnings per share:</t>
  </si>
  <si>
    <t>Basic</t>
  </si>
  <si>
    <t>6.11 </t>
  </si>
  <si>
    <t>6.16 </t>
  </si>
  <si>
    <t>6.15 </t>
  </si>
  <si>
    <t>Diluted</t>
  </si>
  <si>
    <t>6.08 </t>
  </si>
  <si>
    <t>6.13 </t>
  </si>
  <si>
    <t>Shares used in computing earnings per share:</t>
  </si>
  <si>
    <t>15,343,783 </t>
  </si>
  <si>
    <t>15,744,231 </t>
  </si>
  <si>
    <t>16,215,963 </t>
  </si>
  <si>
    <t>15,408,095 </t>
  </si>
  <si>
    <t>15,812,547 </t>
  </si>
  <si>
    <t>16,325,819 </t>
  </si>
  <si>
    <t>Year ending September 30</t>
  </si>
  <si>
    <t>Current assets:</t>
  </si>
  <si>
    <t>Cash and cash equivalents</t>
  </si>
  <si>
    <t>29,943 </t>
  </si>
  <si>
    <t>29,965 </t>
  </si>
  <si>
    <t>Marketable securities</t>
  </si>
  <si>
    <t>35,228 </t>
  </si>
  <si>
    <t>31,590 </t>
  </si>
  <si>
    <t>Accounts receivable, net</t>
  </si>
  <si>
    <t>33,410 </t>
  </si>
  <si>
    <t>29,508 </t>
  </si>
  <si>
    <t>Vendor non-trade receivables</t>
  </si>
  <si>
    <t>32,833 </t>
  </si>
  <si>
    <t>31,477 </t>
  </si>
  <si>
    <t>Inventories</t>
  </si>
  <si>
    <t>7,286 </t>
  </si>
  <si>
    <t>6,331 </t>
  </si>
  <si>
    <t>Other current assets</t>
  </si>
  <si>
    <t>14,287 </t>
  </si>
  <si>
    <t>14,695 </t>
  </si>
  <si>
    <t>Total current assets</t>
  </si>
  <si>
    <t>152,987 </t>
  </si>
  <si>
    <t>143,566 </t>
  </si>
  <si>
    <t>Non-current assets:</t>
  </si>
  <si>
    <t>91,479 </t>
  </si>
  <si>
    <t>100,544 </t>
  </si>
  <si>
    <t>Property, plant and equipment, net</t>
  </si>
  <si>
    <t>45,680 </t>
  </si>
  <si>
    <t>43,715 </t>
  </si>
  <si>
    <t>Other non-current assets</t>
  </si>
  <si>
    <t>74,834 </t>
  </si>
  <si>
    <t>64,758 </t>
  </si>
  <si>
    <t>Total non-current assets</t>
  </si>
  <si>
    <t>211,993 </t>
  </si>
  <si>
    <t>209,017 </t>
  </si>
  <si>
    <t>Total assets</t>
  </si>
  <si>
    <t>364,980 </t>
  </si>
  <si>
    <t>352,583 </t>
  </si>
  <si>
    <t>LIABILITIES AND SHAREHOLDERS’ EQUITY:</t>
  </si>
  <si>
    <t>Current liabilities:</t>
  </si>
  <si>
    <t>Accounts payable</t>
  </si>
  <si>
    <t>68,960 </t>
  </si>
  <si>
    <t>62,611 </t>
  </si>
  <si>
    <t>Other current liabilities</t>
  </si>
  <si>
    <t>78,304 </t>
  </si>
  <si>
    <t>58,829 </t>
  </si>
  <si>
    <t>Deferred revenue</t>
  </si>
  <si>
    <t>8,249 </t>
  </si>
  <si>
    <t>8,061 </t>
  </si>
  <si>
    <t>Commercial paper</t>
  </si>
  <si>
    <t>9,967 </t>
  </si>
  <si>
    <t>5,985 </t>
  </si>
  <si>
    <t>Term debt</t>
  </si>
  <si>
    <t>10,912 </t>
  </si>
  <si>
    <t>9,822 </t>
  </si>
  <si>
    <t>Total current liabilities</t>
  </si>
  <si>
    <t>176,392 </t>
  </si>
  <si>
    <t>145,308 </t>
  </si>
  <si>
    <t>Non-current liabilities:</t>
  </si>
  <si>
    <t>85,750 </t>
  </si>
  <si>
    <t>95,281 </t>
  </si>
  <si>
    <t>Other non-current liabilities</t>
  </si>
  <si>
    <t>45,888 </t>
  </si>
  <si>
    <t>49,848 </t>
  </si>
  <si>
    <t>Total non-current liabilities</t>
  </si>
  <si>
    <t>131,638 </t>
  </si>
  <si>
    <t>145,129 </t>
  </si>
  <si>
    <t>Total liabilities</t>
  </si>
  <si>
    <t>308,030 </t>
  </si>
  <si>
    <t>290,437 </t>
  </si>
  <si>
    <t>Commitments and contingencies</t>
  </si>
  <si>
    <t>Shareholders’ equity:</t>
  </si>
  <si>
    <t>Common stock and additional paid-in capital, $0.00001 par value: 50,400,000 shares authorized; 15,116,786 and 15,550,061 shares issued and outstanding, respectively</t>
  </si>
  <si>
    <t>83,276 </t>
  </si>
  <si>
    <t>73,812 </t>
  </si>
  <si>
    <t>Accumulated deficit</t>
  </si>
  <si>
    <t>Accumulated other comprehensive loss</t>
  </si>
  <si>
    <t>Total shareholders’ equity</t>
  </si>
  <si>
    <t>56,950 </t>
  </si>
  <si>
    <t>62,146 </t>
  </si>
  <si>
    <t>Total liabilities and shareholders’ equity</t>
  </si>
  <si>
    <t>Ticker</t>
  </si>
  <si>
    <t>Current Share Price</t>
  </si>
  <si>
    <t>Date</t>
  </si>
  <si>
    <t>Implied Share Price TGR</t>
  </si>
  <si>
    <t>Fiscal Year End</t>
  </si>
  <si>
    <t>Percent Upside (Downside)</t>
  </si>
  <si>
    <t>Assumptions</t>
  </si>
  <si>
    <t>Switches</t>
  </si>
  <si>
    <t>Conservative Case</t>
  </si>
  <si>
    <t>Street Case</t>
  </si>
  <si>
    <t>Optimistic Case</t>
  </si>
  <si>
    <t>EBIT</t>
  </si>
  <si>
    <t>WACC</t>
  </si>
  <si>
    <t>TGR</t>
  </si>
  <si>
    <t>EBIT '30</t>
  </si>
  <si>
    <t>CapEx</t>
  </si>
  <si>
    <t>Exit Multiple</t>
  </si>
  <si>
    <t>Income Statement</t>
  </si>
  <si>
    <t>2022A</t>
  </si>
  <si>
    <t>2023A</t>
  </si>
  <si>
    <t>2025P</t>
  </si>
  <si>
    <t>2026P</t>
  </si>
  <si>
    <t>2027P</t>
  </si>
  <si>
    <t>2028P</t>
  </si>
  <si>
    <t>2029P</t>
  </si>
  <si>
    <t>2030P</t>
  </si>
  <si>
    <t xml:space="preserve">  % growth</t>
  </si>
  <si>
    <t>-</t>
  </si>
  <si>
    <t xml:space="preserve">  % revenue</t>
  </si>
  <si>
    <t>Taxes</t>
  </si>
  <si>
    <t xml:space="preserve">  % EBIT</t>
  </si>
  <si>
    <t>EBIAT</t>
  </si>
  <si>
    <t>Cash Flow Items</t>
  </si>
  <si>
    <t>Depreciation &amp; Amoritization</t>
  </si>
  <si>
    <t>Change in NWC</t>
  </si>
  <si>
    <t>DCF</t>
  </si>
  <si>
    <t xml:space="preserve">  Conservative Case</t>
  </si>
  <si>
    <t xml:space="preserve">  Street Case</t>
  </si>
  <si>
    <t xml:space="preserve">  Optimistic Case</t>
  </si>
  <si>
    <t>Unlevered Free Cash Flow</t>
  </si>
  <si>
    <t>PV of UFCF</t>
  </si>
  <si>
    <t>Period</t>
  </si>
  <si>
    <t>Discount Period</t>
  </si>
  <si>
    <t>Apple Discounted Cash Flow Analysis</t>
  </si>
  <si>
    <t>All numbers in $millions except for share price</t>
  </si>
  <si>
    <t>Product Revenue</t>
  </si>
  <si>
    <t>Service Revenue</t>
  </si>
  <si>
    <t>2024A</t>
  </si>
  <si>
    <t>AAPL</t>
  </si>
  <si>
    <t>Total Revenue</t>
  </si>
  <si>
    <t>Product Rev '30</t>
  </si>
  <si>
    <t>Service Rev '30</t>
  </si>
  <si>
    <t>Product Rev '26</t>
  </si>
  <si>
    <t>Service Rev '26</t>
  </si>
  <si>
    <t>EBIT '26</t>
  </si>
  <si>
    <t>x</t>
  </si>
  <si>
    <t>Product Rev</t>
  </si>
  <si>
    <t>Service Rev</t>
  </si>
  <si>
    <t>Market Cap</t>
  </si>
  <si>
    <t>% of Equity</t>
  </si>
  <si>
    <t>Cost of Equity</t>
  </si>
  <si>
    <t>Risk Free Rate</t>
  </si>
  <si>
    <t>Beta</t>
  </si>
  <si>
    <t>Equity Risk Premium</t>
  </si>
  <si>
    <t>Debt</t>
  </si>
  <si>
    <t>Cost of Debt</t>
  </si>
  <si>
    <t>% of Debt</t>
  </si>
  <si>
    <t>Tax Rate</t>
  </si>
  <si>
    <t>Total</t>
  </si>
  <si>
    <t>Terminal value</t>
  </si>
  <si>
    <t>Present value of Terminal Value</t>
  </si>
  <si>
    <t>Enterprsie Value</t>
  </si>
  <si>
    <t>(+) Cash</t>
  </si>
  <si>
    <t>(-) Minority Interest</t>
  </si>
  <si>
    <t>(-) Debt</t>
  </si>
  <si>
    <t>Equity Value</t>
  </si>
  <si>
    <t>Share Count</t>
  </si>
  <si>
    <t>Implied Share Price</t>
  </si>
  <si>
    <t>Step</t>
  </si>
  <si>
    <t>Discont Period with Mid Year Convention</t>
  </si>
  <si>
    <t>Stub Period Adjusted UFCF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</si>
</sst>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&quot;$&quot;* #,##0_);_(&quot;$&quot;* \(#,##0\);_(&quot;$&quot;* &quot;-&quot;??_);_(@_)"/>
    <numFmt numFmtId="172" formatCode="0.00000%"/>
    <numFmt numFmtId="181" formatCode="0.000"/>
  </numFmts>
  <fonts count="1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4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i/>
      <sz val="11"/>
      <color theme="8"/>
      <name val="Aptos Narrow"/>
      <family val="2"/>
      <scheme val="minor"/>
    </font>
    <font>
      <sz val="11"/>
      <color theme="3"/>
      <name val="Aptos Narrow"/>
      <family val="2"/>
      <scheme val="minor"/>
    </font>
    <font>
      <i/>
      <sz val="11"/>
      <color theme="6" tint="-0.249977111117893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0" tint="-4.9989318521683403E-2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FE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double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0">
    <xf numFmtId="0" fontId="0" fillId="0" borderId="0" xfId="0"/>
    <xf numFmtId="0" fontId="4" fillId="0" borderId="0" xfId="0" applyFont="1"/>
    <xf numFmtId="0" fontId="5" fillId="0" borderId="1" xfId="0" applyFont="1" applyBorder="1" applyAlignment="1">
      <alignment vertical="center" wrapText="1"/>
    </xf>
    <xf numFmtId="0" fontId="6" fillId="2" borderId="0" xfId="0" applyFont="1" applyFill="1" applyAlignment="1">
      <alignment horizontal="right" wrapText="1"/>
    </xf>
    <xf numFmtId="0" fontId="5" fillId="2" borderId="0" xfId="0" applyFont="1" applyFill="1" applyAlignment="1">
      <alignment vertical="center" wrapText="1"/>
    </xf>
    <xf numFmtId="0" fontId="6" fillId="3" borderId="0" xfId="0" applyFont="1" applyFill="1" applyAlignment="1">
      <alignment horizontal="right" wrapText="1"/>
    </xf>
    <xf numFmtId="0" fontId="5" fillId="3" borderId="0" xfId="0" applyFont="1" applyFill="1" applyAlignment="1">
      <alignment vertical="center" wrapText="1"/>
    </xf>
    <xf numFmtId="0" fontId="6" fillId="2" borderId="1" xfId="0" applyFont="1" applyFill="1" applyBorder="1" applyAlignment="1">
      <alignment horizontal="right" wrapText="1"/>
    </xf>
    <xf numFmtId="0" fontId="6" fillId="3" borderId="1" xfId="0" applyFont="1" applyFill="1" applyBorder="1" applyAlignment="1">
      <alignment horizontal="right" wrapText="1"/>
    </xf>
    <xf numFmtId="0" fontId="6" fillId="2" borderId="0" xfId="0" applyFont="1" applyFill="1" applyAlignment="1">
      <alignment horizontal="left" vertical="top" wrapText="1" indent="1"/>
    </xf>
    <xf numFmtId="0" fontId="5" fillId="2" borderId="1" xfId="0" applyFont="1" applyFill="1" applyBorder="1" applyAlignment="1">
      <alignment vertical="center" wrapText="1"/>
    </xf>
    <xf numFmtId="0" fontId="6" fillId="3" borderId="3" xfId="0" applyFont="1" applyFill="1" applyBorder="1" applyAlignment="1">
      <alignment horizontal="right" wrapText="1"/>
    </xf>
    <xf numFmtId="0" fontId="6" fillId="2" borderId="3" xfId="0" applyFont="1" applyFill="1" applyBorder="1" applyAlignment="1">
      <alignment horizontal="right" wrapText="1"/>
    </xf>
    <xf numFmtId="0" fontId="6" fillId="3" borderId="4" xfId="0" applyFont="1" applyFill="1" applyBorder="1" applyAlignment="1">
      <alignment horizontal="right" wrapText="1"/>
    </xf>
    <xf numFmtId="0" fontId="6" fillId="2" borderId="4" xfId="0" applyFont="1" applyFill="1" applyBorder="1" applyAlignment="1">
      <alignment horizontal="right" wrapText="1"/>
    </xf>
    <xf numFmtId="0" fontId="5" fillId="3" borderId="2" xfId="0" applyFont="1" applyFill="1" applyBorder="1" applyAlignment="1">
      <alignment vertical="center" wrapText="1"/>
    </xf>
    <xf numFmtId="0" fontId="7" fillId="2" borderId="0" xfId="0" applyFont="1" applyFill="1" applyAlignment="1">
      <alignment horizontal="center" wrapText="1"/>
    </xf>
    <xf numFmtId="3" fontId="0" fillId="0" borderId="0" xfId="0" applyNumberFormat="1"/>
    <xf numFmtId="3" fontId="6" fillId="3" borderId="0" xfId="0" applyNumberFormat="1" applyFont="1" applyFill="1" applyAlignment="1">
      <alignment horizontal="right" wrapText="1"/>
    </xf>
    <xf numFmtId="0" fontId="6" fillId="2" borderId="5" xfId="0" applyFont="1" applyFill="1" applyBorder="1" applyAlignment="1">
      <alignment horizontal="right" wrapText="1"/>
    </xf>
    <xf numFmtId="3" fontId="6" fillId="2" borderId="3" xfId="0" applyNumberFormat="1" applyFont="1" applyFill="1" applyBorder="1" applyAlignment="1">
      <alignment horizontal="right" wrapText="1"/>
    </xf>
    <xf numFmtId="0" fontId="7" fillId="2" borderId="0" xfId="0" applyFont="1" applyFill="1" applyAlignment="1">
      <alignment horizontal="left"/>
    </xf>
    <xf numFmtId="0" fontId="0" fillId="0" borderId="0" xfId="0" applyAlignment="1">
      <alignment wrapText="1"/>
    </xf>
    <xf numFmtId="0" fontId="8" fillId="0" borderId="0" xfId="0" applyFont="1"/>
    <xf numFmtId="0" fontId="0" fillId="0" borderId="6" xfId="0" applyBorder="1"/>
    <xf numFmtId="0" fontId="0" fillId="4" borderId="7" xfId="0" applyFill="1" applyBorder="1" applyAlignment="1">
      <alignment horizontal="center"/>
    </xf>
    <xf numFmtId="0" fontId="9" fillId="0" borderId="0" xfId="0" applyFont="1"/>
    <xf numFmtId="14" fontId="0" fillId="4" borderId="7" xfId="0" applyNumberFormat="1" applyFill="1" applyBorder="1"/>
    <xf numFmtId="44" fontId="0" fillId="4" borderId="7" xfId="0" applyNumberFormat="1" applyFill="1" applyBorder="1"/>
    <xf numFmtId="9" fontId="0" fillId="4" borderId="7" xfId="3" applyFont="1" applyFill="1" applyBorder="1"/>
    <xf numFmtId="14" fontId="0" fillId="0" borderId="0" xfId="0" applyNumberFormat="1"/>
    <xf numFmtId="0" fontId="2" fillId="5" borderId="0" xfId="0" applyFont="1" applyFill="1"/>
    <xf numFmtId="0" fontId="10" fillId="0" borderId="0" xfId="0" applyFont="1"/>
    <xf numFmtId="9" fontId="0" fillId="4" borderId="7" xfId="0" applyNumberFormat="1" applyFill="1" applyBorder="1"/>
    <xf numFmtId="0" fontId="0" fillId="4" borderId="7" xfId="0" applyFill="1" applyBorder="1" applyAlignment="1">
      <alignment horizontal="right"/>
    </xf>
    <xf numFmtId="10" fontId="0" fillId="4" borderId="7" xfId="0" applyNumberFormat="1" applyFill="1" applyBorder="1"/>
    <xf numFmtId="0" fontId="2" fillId="0" borderId="0" xfId="0" applyFont="1"/>
    <xf numFmtId="3" fontId="3" fillId="0" borderId="0" xfId="0" applyNumberFormat="1" applyFont="1"/>
    <xf numFmtId="9" fontId="11" fillId="0" borderId="0" xfId="3" applyFont="1"/>
    <xf numFmtId="9" fontId="0" fillId="0" borderId="0" xfId="3" applyFont="1"/>
    <xf numFmtId="3" fontId="12" fillId="0" borderId="0" xfId="0" applyNumberFormat="1" applyFont="1"/>
    <xf numFmtId="9" fontId="13" fillId="0" borderId="0" xfId="3" applyFont="1"/>
    <xf numFmtId="9" fontId="13" fillId="0" borderId="0" xfId="0" applyNumberFormat="1" applyFont="1"/>
    <xf numFmtId="0" fontId="0" fillId="0" borderId="8" xfId="0" applyBorder="1"/>
    <xf numFmtId="3" fontId="4" fillId="0" borderId="0" xfId="0" applyNumberFormat="1" applyFont="1"/>
    <xf numFmtId="1" fontId="6" fillId="2" borderId="0" xfId="0" applyNumberFormat="1" applyFont="1" applyFill="1" applyAlignment="1">
      <alignment horizontal="center" vertical="top" wrapText="1"/>
    </xf>
    <xf numFmtId="1" fontId="6" fillId="3" borderId="0" xfId="0" applyNumberFormat="1" applyFont="1" applyFill="1" applyAlignment="1">
      <alignment horizontal="right" vertical="top" wrapText="1"/>
    </xf>
    <xf numFmtId="1" fontId="6" fillId="2" borderId="0" xfId="0" applyNumberFormat="1" applyFont="1" applyFill="1" applyAlignment="1">
      <alignment horizontal="right" wrapText="1"/>
    </xf>
    <xf numFmtId="1" fontId="5" fillId="3" borderId="0" xfId="0" applyNumberFormat="1" applyFont="1" applyFill="1" applyAlignment="1">
      <alignment vertical="center" wrapText="1"/>
    </xf>
    <xf numFmtId="1" fontId="5" fillId="2" borderId="0" xfId="0" applyNumberFormat="1" applyFont="1" applyFill="1" applyAlignment="1">
      <alignment vertical="center" wrapText="1"/>
    </xf>
    <xf numFmtId="1" fontId="6" fillId="3" borderId="0" xfId="0" applyNumberFormat="1" applyFont="1" applyFill="1" applyAlignment="1">
      <alignment horizontal="right" wrapText="1"/>
    </xf>
    <xf numFmtId="1" fontId="5" fillId="2" borderId="2" xfId="0" applyNumberFormat="1" applyFont="1" applyFill="1" applyBorder="1" applyAlignment="1">
      <alignment vertical="center" wrapText="1"/>
    </xf>
    <xf numFmtId="37" fontId="5" fillId="3" borderId="0" xfId="1" applyNumberFormat="1" applyFont="1" applyFill="1" applyAlignment="1">
      <alignment vertical="center" wrapText="1"/>
    </xf>
    <xf numFmtId="37" fontId="5" fillId="2" borderId="0" xfId="1" applyNumberFormat="1" applyFont="1" applyFill="1" applyAlignment="1">
      <alignment vertical="center" wrapText="1"/>
    </xf>
    <xf numFmtId="37" fontId="6" fillId="3" borderId="0" xfId="1" applyNumberFormat="1" applyFont="1" applyFill="1" applyAlignment="1">
      <alignment horizontal="right" wrapText="1"/>
    </xf>
    <xf numFmtId="37" fontId="6" fillId="2" borderId="3" xfId="1" applyNumberFormat="1" applyFont="1" applyFill="1" applyBorder="1" applyAlignment="1">
      <alignment horizontal="right" wrapText="1"/>
    </xf>
    <xf numFmtId="37" fontId="6" fillId="3" borderId="4" xfId="1" applyNumberFormat="1" applyFont="1" applyFill="1" applyBorder="1" applyAlignment="1">
      <alignment horizontal="right" wrapText="1"/>
    </xf>
    <xf numFmtId="37" fontId="6" fillId="2" borderId="4" xfId="1" applyNumberFormat="1" applyFont="1" applyFill="1" applyBorder="1" applyAlignment="1">
      <alignment horizontal="right" wrapText="1"/>
    </xf>
    <xf numFmtId="37" fontId="5" fillId="3" borderId="1" xfId="1" applyNumberFormat="1" applyFont="1" applyFill="1" applyBorder="1" applyAlignment="1">
      <alignment vertical="center" wrapText="1"/>
    </xf>
    <xf numFmtId="37" fontId="5" fillId="2" borderId="1" xfId="1" applyNumberFormat="1" applyFont="1" applyFill="1" applyBorder="1" applyAlignment="1">
      <alignment vertical="center" wrapText="1"/>
    </xf>
    <xf numFmtId="37" fontId="6" fillId="3" borderId="1" xfId="1" applyNumberFormat="1" applyFont="1" applyFill="1" applyBorder="1" applyAlignment="1">
      <alignment horizontal="right" wrapText="1"/>
    </xf>
    <xf numFmtId="165" fontId="11" fillId="0" borderId="0" xfId="3" applyNumberFormat="1" applyFont="1"/>
    <xf numFmtId="164" fontId="3" fillId="0" borderId="0" xfId="1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164" fontId="3" fillId="0" borderId="6" xfId="1" applyNumberFormat="1" applyFont="1" applyBorder="1" applyAlignment="1">
      <alignment horizontal="right"/>
    </xf>
    <xf numFmtId="3" fontId="3" fillId="0" borderId="6" xfId="0" applyNumberFormat="1" applyFont="1" applyBorder="1" applyAlignment="1">
      <alignment horizontal="right"/>
    </xf>
    <xf numFmtId="0" fontId="0" fillId="0" borderId="6" xfId="0" applyBorder="1" applyAlignment="1">
      <alignment horizontal="right"/>
    </xf>
    <xf numFmtId="0" fontId="2" fillId="5" borderId="0" xfId="0" applyFont="1" applyFill="1" applyAlignment="1">
      <alignment horizontal="right"/>
    </xf>
    <xf numFmtId="3" fontId="3" fillId="0" borderId="6" xfId="0" applyNumberFormat="1" applyFont="1" applyBorder="1"/>
    <xf numFmtId="165" fontId="0" fillId="4" borderId="7" xfId="0" applyNumberFormat="1" applyFill="1" applyBorder="1"/>
    <xf numFmtId="1" fontId="0" fillId="4" borderId="7" xfId="0" applyNumberFormat="1" applyFill="1" applyBorder="1"/>
    <xf numFmtId="165" fontId="13" fillId="4" borderId="7" xfId="3" applyNumberFormat="1" applyFont="1" applyFill="1" applyBorder="1"/>
    <xf numFmtId="3" fontId="12" fillId="0" borderId="6" xfId="0" applyNumberFormat="1" applyFont="1" applyBorder="1"/>
    <xf numFmtId="165" fontId="13" fillId="0" borderId="0" xfId="3" applyNumberFormat="1" applyFont="1"/>
    <xf numFmtId="0" fontId="6" fillId="3" borderId="0" xfId="0" applyFont="1" applyFill="1" applyAlignment="1">
      <alignment horizontal="left" vertical="top" wrapText="1" indent="4"/>
    </xf>
    <xf numFmtId="0" fontId="6" fillId="2" borderId="0" xfId="0" applyFont="1" applyFill="1" applyAlignment="1">
      <alignment horizontal="left" vertical="top" wrapText="1" indent="4"/>
    </xf>
    <xf numFmtId="0" fontId="6" fillId="3" borderId="0" xfId="0" applyFont="1" applyFill="1" applyAlignment="1">
      <alignment horizontal="left" vertical="top" wrapText="1" indent="1"/>
    </xf>
    <xf numFmtId="0" fontId="5" fillId="2" borderId="0" xfId="0" applyFont="1" applyFill="1" applyAlignment="1">
      <alignment vertical="center" wrapText="1"/>
    </xf>
    <xf numFmtId="0" fontId="6" fillId="2" borderId="0" xfId="0" applyFont="1" applyFill="1" applyAlignment="1">
      <alignment horizontal="left" vertical="top" wrapText="1" indent="1"/>
    </xf>
    <xf numFmtId="0" fontId="6" fillId="3" borderId="0" xfId="0" applyFont="1" applyFill="1" applyAlignment="1">
      <alignment horizontal="left" vertical="top" wrapText="1" indent="7"/>
    </xf>
    <xf numFmtId="0" fontId="5" fillId="3" borderId="0" xfId="0" applyFont="1" applyFill="1" applyAlignment="1">
      <alignment vertical="center" wrapText="1"/>
    </xf>
    <xf numFmtId="0" fontId="6" fillId="2" borderId="0" xfId="0" applyFont="1" applyFill="1" applyAlignment="1">
      <alignment horizontal="left" wrapText="1" indent="5"/>
    </xf>
    <xf numFmtId="0" fontId="6" fillId="3" borderId="0" xfId="0" applyFont="1" applyFill="1" applyAlignment="1">
      <alignment horizontal="left" wrapText="1" indent="3"/>
    </xf>
    <xf numFmtId="0" fontId="6" fillId="2" borderId="0" xfId="0" applyFont="1" applyFill="1" applyAlignment="1">
      <alignment horizontal="left" wrapText="1"/>
    </xf>
    <xf numFmtId="0" fontId="6" fillId="3" borderId="0" xfId="0" applyFont="1" applyFill="1" applyAlignment="1">
      <alignment horizontal="left" wrapText="1"/>
    </xf>
    <xf numFmtId="0" fontId="6" fillId="2" borderId="0" xfId="0" applyFont="1" applyFill="1" applyAlignment="1">
      <alignment horizontal="left" wrapText="1" indent="3"/>
    </xf>
    <xf numFmtId="0" fontId="6" fillId="0" borderId="0" xfId="0" applyFont="1" applyAlignment="1">
      <alignment horizontal="left" wrapText="1"/>
    </xf>
    <xf numFmtId="0" fontId="6" fillId="2" borderId="0" xfId="0" applyFont="1" applyFill="1" applyAlignment="1">
      <alignment horizontal="left" vertical="top" wrapText="1" indent="10"/>
    </xf>
    <xf numFmtId="0" fontId="6" fillId="2" borderId="0" xfId="0" applyFont="1" applyFill="1" applyAlignment="1">
      <alignment horizontal="left" vertical="top" wrapText="1" indent="3"/>
    </xf>
    <xf numFmtId="0" fontId="6" fillId="2" borderId="0" xfId="0" applyFont="1" applyFill="1" applyAlignment="1">
      <alignment horizontal="left" vertical="center" wrapText="1" indent="4"/>
    </xf>
    <xf numFmtId="0" fontId="6" fillId="3" borderId="0" xfId="0" applyFont="1" applyFill="1" applyAlignment="1">
      <alignment horizontal="left" vertical="top" wrapText="1" indent="10"/>
    </xf>
    <xf numFmtId="0" fontId="6" fillId="2" borderId="0" xfId="0" applyFont="1" applyFill="1" applyAlignment="1">
      <alignment horizontal="left" vertical="top" indent="7"/>
    </xf>
    <xf numFmtId="0" fontId="14" fillId="6" borderId="0" xfId="0" applyFont="1" applyFill="1"/>
    <xf numFmtId="0" fontId="0" fillId="6" borderId="0" xfId="0" applyFill="1"/>
    <xf numFmtId="166" fontId="0" fillId="4" borderId="0" xfId="2" applyNumberFormat="1" applyFont="1" applyFill="1"/>
    <xf numFmtId="9" fontId="0" fillId="4" borderId="0" xfId="3" applyFont="1" applyFill="1"/>
    <xf numFmtId="10" fontId="0" fillId="4" borderId="0" xfId="0" applyNumberFormat="1" applyFill="1"/>
    <xf numFmtId="0" fontId="0" fillId="4" borderId="0" xfId="0" applyFill="1"/>
    <xf numFmtId="165" fontId="0" fillId="4" borderId="0" xfId="0" applyNumberFormat="1" applyFill="1"/>
    <xf numFmtId="9" fontId="0" fillId="4" borderId="0" xfId="0" applyNumberFormat="1" applyFill="1"/>
    <xf numFmtId="44" fontId="0" fillId="0" borderId="7" xfId="2" applyFont="1" applyBorder="1"/>
    <xf numFmtId="166" fontId="0" fillId="0" borderId="7" xfId="2" applyNumberFormat="1" applyFont="1" applyBorder="1"/>
    <xf numFmtId="166" fontId="0" fillId="0" borderId="7" xfId="0" applyNumberFormat="1" applyBorder="1"/>
    <xf numFmtId="164" fontId="0" fillId="0" borderId="7" xfId="1" applyNumberFormat="1" applyFont="1" applyBorder="1"/>
    <xf numFmtId="166" fontId="0" fillId="4" borderId="7" xfId="2" applyNumberFormat="1" applyFont="1" applyFill="1" applyBorder="1"/>
    <xf numFmtId="0" fontId="10" fillId="0" borderId="0" xfId="0" applyFont="1" applyAlignment="1">
      <alignment horizontal="right"/>
    </xf>
    <xf numFmtId="9" fontId="0" fillId="0" borderId="0" xfId="0" applyNumberFormat="1" applyAlignment="1">
      <alignment horizontal="left"/>
    </xf>
    <xf numFmtId="0" fontId="0" fillId="7" borderId="0" xfId="0" applyFill="1"/>
    <xf numFmtId="10" fontId="0" fillId="7" borderId="0" xfId="0" applyNumberFormat="1" applyFill="1"/>
    <xf numFmtId="44" fontId="15" fillId="7" borderId="7" xfId="0" applyNumberFormat="1" applyFont="1" applyFill="1" applyBorder="1"/>
    <xf numFmtId="10" fontId="0" fillId="7" borderId="7" xfId="0" applyNumberFormat="1" applyFill="1" applyBorder="1"/>
    <xf numFmtId="44" fontId="0" fillId="7" borderId="7" xfId="2" applyFont="1" applyFill="1" applyBorder="1"/>
    <xf numFmtId="10" fontId="0" fillId="0" borderId="0" xfId="0" applyNumberFormat="1"/>
    <xf numFmtId="44" fontId="4" fillId="7" borderId="7" xfId="2" applyFont="1" applyFill="1" applyBorder="1"/>
    <xf numFmtId="172" fontId="0" fillId="4" borderId="0" xfId="3" applyNumberFormat="1" applyFont="1" applyFill="1"/>
    <xf numFmtId="181" fontId="0" fillId="0" borderId="0" xfId="0" applyNumberFormat="1"/>
    <xf numFmtId="2" fontId="0" fillId="0" borderId="0" xfId="0" applyNumberFormat="1"/>
    <xf numFmtId="165" fontId="0" fillId="0" borderId="0" xfId="3" applyNumberFormat="1" applyFont="1"/>
    <xf numFmtId="181" fontId="0" fillId="0" borderId="0" xfId="3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7D6D1-2887-4714-A272-9C0C6E1FA5B8}">
  <dimension ref="B2:B13"/>
  <sheetViews>
    <sheetView showGridLines="0" workbookViewId="0">
      <selection activeCell="B13" sqref="B13"/>
    </sheetView>
  </sheetViews>
  <sheetFormatPr defaultRowHeight="14.4" x14ac:dyDescent="0.55000000000000004"/>
  <sheetData>
    <row r="2" spans="2:2" x14ac:dyDescent="0.55000000000000004">
      <c r="B2" s="1" t="s">
        <v>0</v>
      </c>
    </row>
    <row r="4" spans="2:2" x14ac:dyDescent="0.55000000000000004">
      <c r="B4" s="1" t="s">
        <v>1</v>
      </c>
    </row>
    <row r="5" spans="2:2" x14ac:dyDescent="0.55000000000000004">
      <c r="B5" t="s">
        <v>2</v>
      </c>
    </row>
    <row r="6" spans="2:2" x14ac:dyDescent="0.55000000000000004">
      <c r="B6" t="s">
        <v>3</v>
      </c>
    </row>
    <row r="7" spans="2:2" x14ac:dyDescent="0.55000000000000004">
      <c r="B7" t="s">
        <v>4</v>
      </c>
    </row>
    <row r="8" spans="2:2" x14ac:dyDescent="0.55000000000000004">
      <c r="B8" t="s">
        <v>5</v>
      </c>
    </row>
    <row r="10" spans="2:2" x14ac:dyDescent="0.55000000000000004">
      <c r="B10" s="1" t="s">
        <v>6</v>
      </c>
    </row>
    <row r="11" spans="2:2" x14ac:dyDescent="0.55000000000000004">
      <c r="B11" t="s">
        <v>7</v>
      </c>
    </row>
    <row r="12" spans="2:2" x14ac:dyDescent="0.55000000000000004">
      <c r="B12" t="s">
        <v>8</v>
      </c>
    </row>
    <row r="13" spans="2:2" x14ac:dyDescent="0.55000000000000004">
      <c r="B13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E10FE-4978-4F25-A17B-5702DF7B5A75}">
  <dimension ref="A2:Z106"/>
  <sheetViews>
    <sheetView showGridLines="0" tabSelected="1" zoomScale="79" workbookViewId="0">
      <selection activeCell="D12" sqref="D12"/>
    </sheetView>
  </sheetViews>
  <sheetFormatPr defaultRowHeight="14.4" x14ac:dyDescent="0.55000000000000004"/>
  <cols>
    <col min="3" max="3" width="8.9453125" bestFit="1" customWidth="1"/>
    <col min="6" max="14" width="13.578125" customWidth="1"/>
    <col min="15" max="15" width="14.47265625" bestFit="1" customWidth="1"/>
  </cols>
  <sheetData>
    <row r="2" spans="2:17" ht="18.3" x14ac:dyDescent="0.7">
      <c r="B2" s="23" t="s">
        <v>199</v>
      </c>
    </row>
    <row r="3" spans="2:17" x14ac:dyDescent="0.55000000000000004"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</row>
    <row r="4" spans="2:17" x14ac:dyDescent="0.55000000000000004">
      <c r="B4" t="s">
        <v>156</v>
      </c>
      <c r="C4" s="25" t="s">
        <v>204</v>
      </c>
      <c r="E4" t="s">
        <v>157</v>
      </c>
      <c r="H4" s="105">
        <v>244</v>
      </c>
      <c r="J4" s="26" t="s">
        <v>200</v>
      </c>
    </row>
    <row r="5" spans="2:17" x14ac:dyDescent="0.55000000000000004">
      <c r="B5" t="s">
        <v>158</v>
      </c>
      <c r="C5" s="27">
        <v>45713</v>
      </c>
      <c r="E5" t="s">
        <v>159</v>
      </c>
      <c r="H5" s="28">
        <f ca="1">O106</f>
        <v>151.71057271656153</v>
      </c>
      <c r="J5" s="26"/>
    </row>
    <row r="6" spans="2:17" x14ac:dyDescent="0.55000000000000004">
      <c r="B6" t="s">
        <v>160</v>
      </c>
      <c r="C6" s="27">
        <v>45930</v>
      </c>
      <c r="E6" t="s">
        <v>161</v>
      </c>
      <c r="H6" s="29">
        <f ca="1">(H5-H4)/H4</f>
        <v>-0.37823535771901012</v>
      </c>
    </row>
    <row r="8" spans="2:17" x14ac:dyDescent="0.55000000000000004">
      <c r="B8" s="31" t="s">
        <v>162</v>
      </c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</row>
    <row r="10" spans="2:17" x14ac:dyDescent="0.55000000000000004">
      <c r="B10" s="32" t="s">
        <v>163</v>
      </c>
      <c r="F10" s="32" t="s">
        <v>164</v>
      </c>
      <c r="J10" s="32" t="s">
        <v>165</v>
      </c>
      <c r="N10" s="32" t="s">
        <v>166</v>
      </c>
    </row>
    <row r="11" spans="2:17" x14ac:dyDescent="0.55000000000000004">
      <c r="B11" t="s">
        <v>212</v>
      </c>
      <c r="D11" s="25">
        <v>2</v>
      </c>
      <c r="F11" t="s">
        <v>208</v>
      </c>
      <c r="H11" s="33">
        <v>0</v>
      </c>
      <c r="J11" t="s">
        <v>208</v>
      </c>
      <c r="L11" s="33">
        <v>0.02</v>
      </c>
      <c r="N11" t="s">
        <v>208</v>
      </c>
      <c r="P11" s="33">
        <v>0.04</v>
      </c>
    </row>
    <row r="12" spans="2:17" x14ac:dyDescent="0.55000000000000004">
      <c r="B12" t="s">
        <v>213</v>
      </c>
      <c r="D12" s="25">
        <v>2</v>
      </c>
      <c r="F12" t="s">
        <v>206</v>
      </c>
      <c r="H12" s="70">
        <v>0.03</v>
      </c>
      <c r="J12" t="s">
        <v>206</v>
      </c>
      <c r="L12" s="33">
        <v>0.04</v>
      </c>
      <c r="N12" t="s">
        <v>206</v>
      </c>
      <c r="P12" s="33">
        <v>0.06</v>
      </c>
    </row>
    <row r="13" spans="2:17" x14ac:dyDescent="0.55000000000000004">
      <c r="B13" t="s">
        <v>167</v>
      </c>
      <c r="D13" s="25">
        <v>2</v>
      </c>
      <c r="F13" t="s">
        <v>209</v>
      </c>
      <c r="H13" s="33">
        <v>0.08</v>
      </c>
      <c r="J13" t="s">
        <v>209</v>
      </c>
      <c r="L13" s="33">
        <v>0.1</v>
      </c>
      <c r="N13" t="s">
        <v>209</v>
      </c>
      <c r="P13" s="33">
        <v>0.12</v>
      </c>
    </row>
    <row r="14" spans="2:17" x14ac:dyDescent="0.55000000000000004">
      <c r="B14" t="s">
        <v>168</v>
      </c>
      <c r="D14" s="25">
        <v>2</v>
      </c>
      <c r="F14" t="s">
        <v>207</v>
      </c>
      <c r="H14" s="33">
        <v>0.02</v>
      </c>
      <c r="J14" t="s">
        <v>207</v>
      </c>
      <c r="L14" s="33">
        <v>7.0000000000000007E-2</v>
      </c>
      <c r="N14" t="s">
        <v>207</v>
      </c>
      <c r="P14" s="33">
        <v>0.12</v>
      </c>
    </row>
    <row r="15" spans="2:17" x14ac:dyDescent="0.55000000000000004">
      <c r="B15" t="s">
        <v>169</v>
      </c>
      <c r="D15" s="25">
        <v>2</v>
      </c>
      <c r="F15" t="s">
        <v>210</v>
      </c>
      <c r="H15" s="33">
        <v>0.3</v>
      </c>
      <c r="J15" t="s">
        <v>210</v>
      </c>
      <c r="L15" s="33">
        <v>0.3</v>
      </c>
      <c r="N15" t="s">
        <v>210</v>
      </c>
      <c r="P15" s="33">
        <v>0.32</v>
      </c>
    </row>
    <row r="16" spans="2:17" x14ac:dyDescent="0.55000000000000004">
      <c r="B16" t="s">
        <v>171</v>
      </c>
      <c r="D16" s="25">
        <v>2</v>
      </c>
      <c r="F16" t="s">
        <v>170</v>
      </c>
      <c r="H16" s="33">
        <v>0.3</v>
      </c>
      <c r="J16" t="s">
        <v>170</v>
      </c>
      <c r="L16" s="33">
        <v>0.32</v>
      </c>
      <c r="N16" t="s">
        <v>170</v>
      </c>
      <c r="P16" s="33">
        <v>0.36</v>
      </c>
    </row>
    <row r="17" spans="1:16" x14ac:dyDescent="0.55000000000000004">
      <c r="B17" t="s">
        <v>172</v>
      </c>
      <c r="D17" s="25">
        <v>2</v>
      </c>
      <c r="F17" t="s">
        <v>171</v>
      </c>
      <c r="H17" s="33">
        <v>0.05</v>
      </c>
      <c r="J17" t="s">
        <v>171</v>
      </c>
      <c r="L17" s="33">
        <v>0.04</v>
      </c>
      <c r="N17" t="s">
        <v>171</v>
      </c>
      <c r="P17" s="33">
        <v>0.03</v>
      </c>
    </row>
    <row r="18" spans="1:16" x14ac:dyDescent="0.55000000000000004">
      <c r="F18" t="s">
        <v>172</v>
      </c>
      <c r="H18" s="34">
        <v>8</v>
      </c>
      <c r="J18" t="s">
        <v>172</v>
      </c>
      <c r="L18" s="34">
        <v>10</v>
      </c>
      <c r="N18" t="s">
        <v>172</v>
      </c>
      <c r="P18" s="34">
        <v>12</v>
      </c>
    </row>
    <row r="19" spans="1:16" x14ac:dyDescent="0.55000000000000004">
      <c r="B19" t="s">
        <v>168</v>
      </c>
      <c r="D19" s="35">
        <f>CHOOSE(D14, H20, L20, P20)</f>
        <v>7.6225296153212371E-2</v>
      </c>
    </row>
    <row r="20" spans="1:16" x14ac:dyDescent="0.55000000000000004">
      <c r="B20" t="s">
        <v>169</v>
      </c>
      <c r="D20" s="35">
        <f>CHOOSE(D15, H21, L21, P21)</f>
        <v>0.03</v>
      </c>
      <c r="F20" t="s">
        <v>168</v>
      </c>
      <c r="H20" s="35">
        <f>L20+1%</f>
        <v>8.6225296153212366E-2</v>
      </c>
      <c r="J20" t="s">
        <v>168</v>
      </c>
      <c r="L20" s="35">
        <f>WACC!D17</f>
        <v>7.6225296153212371E-2</v>
      </c>
      <c r="N20" t="s">
        <v>168</v>
      </c>
      <c r="P20" s="35">
        <f>L20-1%</f>
        <v>6.6225296153212376E-2</v>
      </c>
    </row>
    <row r="21" spans="1:16" x14ac:dyDescent="0.55000000000000004">
      <c r="B21" t="s">
        <v>172</v>
      </c>
      <c r="D21" s="71">
        <f>CHOOSE(D17, H18, L18, P18)</f>
        <v>10</v>
      </c>
      <c r="F21" t="s">
        <v>169</v>
      </c>
      <c r="H21" s="70">
        <v>0.02</v>
      </c>
      <c r="J21" t="s">
        <v>169</v>
      </c>
      <c r="L21" s="70">
        <v>0.03</v>
      </c>
      <c r="N21" t="s">
        <v>169</v>
      </c>
      <c r="P21" s="70">
        <v>0.04</v>
      </c>
    </row>
    <row r="24" spans="1:16" hidden="1" x14ac:dyDescent="0.55000000000000004">
      <c r="A24" t="s">
        <v>211</v>
      </c>
      <c r="B24" s="31" t="s">
        <v>173</v>
      </c>
      <c r="C24" s="31"/>
      <c r="D24" s="31"/>
      <c r="E24" s="31"/>
      <c r="F24" s="68" t="s">
        <v>174</v>
      </c>
      <c r="G24" s="68" t="s">
        <v>175</v>
      </c>
      <c r="H24" s="68" t="s">
        <v>203</v>
      </c>
      <c r="I24" s="68" t="s">
        <v>176</v>
      </c>
      <c r="J24" s="68" t="s">
        <v>177</v>
      </c>
      <c r="K24" s="68" t="s">
        <v>178</v>
      </c>
      <c r="L24" s="68" t="s">
        <v>179</v>
      </c>
      <c r="M24" s="68" t="s">
        <v>180</v>
      </c>
      <c r="N24" s="68" t="s">
        <v>181</v>
      </c>
      <c r="O24" s="36"/>
    </row>
    <row r="25" spans="1:16" hidden="1" x14ac:dyDescent="0.55000000000000004">
      <c r="B25" t="s">
        <v>201</v>
      </c>
      <c r="F25" s="62">
        <v>316199</v>
      </c>
      <c r="G25" s="62">
        <v>298085</v>
      </c>
      <c r="H25" s="62">
        <v>294866</v>
      </c>
      <c r="I25" s="63"/>
      <c r="J25" s="64"/>
      <c r="K25" s="64"/>
      <c r="L25" s="64"/>
      <c r="M25" s="64"/>
      <c r="N25" s="64"/>
    </row>
    <row r="26" spans="1:16" hidden="1" x14ac:dyDescent="0.55000000000000004">
      <c r="B26" s="26" t="s">
        <v>182</v>
      </c>
      <c r="F26" t="s">
        <v>183</v>
      </c>
      <c r="G26" s="61">
        <f>(G25-F25)/F25</f>
        <v>-5.728670868661824E-2</v>
      </c>
      <c r="H26" s="61">
        <f t="shared" ref="H26" si="0">(H25-G25)/G25</f>
        <v>-1.0798933190197427E-2</v>
      </c>
      <c r="I26" s="61"/>
      <c r="J26" s="61"/>
      <c r="K26" s="61"/>
      <c r="L26" s="61"/>
      <c r="M26" s="61"/>
      <c r="N26" s="61"/>
    </row>
    <row r="27" spans="1:16" hidden="1" x14ac:dyDescent="0.55000000000000004">
      <c r="B27" t="s">
        <v>202</v>
      </c>
      <c r="F27" s="37">
        <v>78129</v>
      </c>
      <c r="G27" s="37">
        <v>85200</v>
      </c>
      <c r="H27" s="37">
        <v>96169</v>
      </c>
      <c r="I27" s="37"/>
    </row>
    <row r="28" spans="1:16" hidden="1" x14ac:dyDescent="0.55000000000000004">
      <c r="B28" s="26" t="s">
        <v>182</v>
      </c>
      <c r="F28" t="s">
        <v>183</v>
      </c>
      <c r="G28" s="61">
        <f>(G27-F27)/F27</f>
        <v>9.0504166186691243E-2</v>
      </c>
      <c r="H28" s="61">
        <f t="shared" ref="H28" si="1">(H27-G27)/G27</f>
        <v>0.12874413145539906</v>
      </c>
      <c r="I28" s="61"/>
      <c r="J28" s="61"/>
      <c r="K28" s="61"/>
      <c r="L28" s="61"/>
      <c r="M28" s="61"/>
      <c r="N28" s="61"/>
      <c r="O28" s="39"/>
    </row>
    <row r="29" spans="1:16" hidden="1" x14ac:dyDescent="0.55000000000000004">
      <c r="B29" s="24" t="s">
        <v>205</v>
      </c>
      <c r="C29" s="24"/>
      <c r="D29" s="24"/>
      <c r="E29" s="24"/>
      <c r="F29" s="65">
        <v>394328</v>
      </c>
      <c r="G29" s="65">
        <v>383285</v>
      </c>
      <c r="H29" s="65">
        <v>391035</v>
      </c>
      <c r="I29" s="66"/>
      <c r="J29" s="67"/>
      <c r="K29" s="67"/>
      <c r="L29" s="67"/>
      <c r="M29" s="67"/>
      <c r="N29" s="67"/>
      <c r="O29" s="39"/>
    </row>
    <row r="30" spans="1:16" hidden="1" x14ac:dyDescent="0.55000000000000004">
      <c r="B30" s="26" t="s">
        <v>182</v>
      </c>
      <c r="F30" t="s">
        <v>183</v>
      </c>
      <c r="G30" s="61">
        <f>(G29-F29)/F29</f>
        <v>-2.8004605303199367E-2</v>
      </c>
      <c r="H30" s="61">
        <f t="shared" ref="H30" si="2">(H29-G29)/G29</f>
        <v>2.0219940775141214E-2</v>
      </c>
      <c r="I30" s="61"/>
      <c r="J30" s="61"/>
      <c r="K30" s="61"/>
      <c r="L30" s="61"/>
      <c r="M30" s="61"/>
      <c r="N30" s="61"/>
      <c r="O30" s="39"/>
    </row>
    <row r="31" spans="1:16" hidden="1" x14ac:dyDescent="0.55000000000000004"/>
    <row r="32" spans="1:16" hidden="1" x14ac:dyDescent="0.55000000000000004">
      <c r="B32" t="s">
        <v>167</v>
      </c>
      <c r="F32" s="62">
        <v>119437</v>
      </c>
      <c r="G32" s="62">
        <v>114301</v>
      </c>
      <c r="H32" s="62">
        <v>123216</v>
      </c>
      <c r="I32" s="63"/>
      <c r="J32" s="64"/>
      <c r="K32" s="64"/>
      <c r="L32" s="64"/>
      <c r="M32" s="64"/>
      <c r="N32" s="64"/>
    </row>
    <row r="33" spans="1:15" hidden="1" x14ac:dyDescent="0.55000000000000004">
      <c r="B33" s="26" t="s">
        <v>184</v>
      </c>
      <c r="F33" s="38">
        <f>F32/F29</f>
        <v>0.30288744395528594</v>
      </c>
      <c r="G33" s="38">
        <f>G32/G29</f>
        <v>0.29821412265024722</v>
      </c>
      <c r="H33" s="38">
        <f>H32/H29</f>
        <v>0.31510222870075566</v>
      </c>
      <c r="I33" s="38"/>
    </row>
    <row r="34" spans="1:15" hidden="1" x14ac:dyDescent="0.55000000000000004"/>
    <row r="35" spans="1:15" hidden="1" x14ac:dyDescent="0.55000000000000004">
      <c r="B35" t="s">
        <v>185</v>
      </c>
      <c r="F35" s="37">
        <v>19300</v>
      </c>
      <c r="G35" s="37">
        <v>16741</v>
      </c>
      <c r="H35" s="37">
        <v>29749</v>
      </c>
      <c r="I35" s="37"/>
    </row>
    <row r="36" spans="1:15" hidden="1" x14ac:dyDescent="0.55000000000000004">
      <c r="B36" s="26" t="s">
        <v>186</v>
      </c>
      <c r="F36" s="38">
        <f>F35/F32</f>
        <v>0.16159146663094351</v>
      </c>
      <c r="G36" s="38">
        <f>G35/G32</f>
        <v>0.14646416041854401</v>
      </c>
      <c r="H36" s="38">
        <f>H35/H32</f>
        <v>0.24143780028567718</v>
      </c>
      <c r="I36" s="38"/>
    </row>
    <row r="37" spans="1:15" hidden="1" x14ac:dyDescent="0.55000000000000004"/>
    <row r="38" spans="1:15" hidden="1" x14ac:dyDescent="0.55000000000000004">
      <c r="B38" t="s">
        <v>187</v>
      </c>
      <c r="F38" s="37">
        <f>F32-F35</f>
        <v>100137</v>
      </c>
      <c r="G38" s="37">
        <f>G32-G35</f>
        <v>97560</v>
      </c>
      <c r="H38" s="37">
        <f>H32-H35</f>
        <v>93467</v>
      </c>
      <c r="I38" s="37"/>
    </row>
    <row r="39" spans="1:15" hidden="1" x14ac:dyDescent="0.55000000000000004">
      <c r="B39" s="26" t="s">
        <v>184</v>
      </c>
      <c r="F39" s="38">
        <f>F38/F29</f>
        <v>0.2539434176624536</v>
      </c>
      <c r="G39" s="38">
        <f t="shared" ref="G39:H39" si="3">G38/G29</f>
        <v>0.25453644155132604</v>
      </c>
      <c r="H39" s="38">
        <f t="shared" si="3"/>
        <v>0.23902463973813085</v>
      </c>
      <c r="I39" s="38"/>
    </row>
    <row r="40" spans="1:15" hidden="1" x14ac:dyDescent="0.55000000000000004"/>
    <row r="41" spans="1:15" hidden="1" x14ac:dyDescent="0.55000000000000004"/>
    <row r="42" spans="1:15" hidden="1" x14ac:dyDescent="0.55000000000000004">
      <c r="A42" t="s">
        <v>211</v>
      </c>
      <c r="B42" s="31" t="s">
        <v>188</v>
      </c>
      <c r="C42" s="31"/>
      <c r="D42" s="31"/>
      <c r="E42" s="31"/>
      <c r="F42" s="68" t="s">
        <v>174</v>
      </c>
      <c r="G42" s="68" t="s">
        <v>175</v>
      </c>
      <c r="H42" s="68" t="s">
        <v>203</v>
      </c>
      <c r="I42" s="68" t="s">
        <v>176</v>
      </c>
      <c r="J42" s="68" t="s">
        <v>177</v>
      </c>
      <c r="K42" s="68" t="s">
        <v>178</v>
      </c>
      <c r="L42" s="68" t="s">
        <v>179</v>
      </c>
      <c r="M42" s="68" t="s">
        <v>180</v>
      </c>
      <c r="N42" s="68" t="s">
        <v>181</v>
      </c>
      <c r="O42" s="36"/>
    </row>
    <row r="43" spans="1:15" hidden="1" x14ac:dyDescent="0.55000000000000004">
      <c r="B43" t="s">
        <v>189</v>
      </c>
      <c r="F43" s="37">
        <v>11104</v>
      </c>
      <c r="G43" s="37">
        <v>11519</v>
      </c>
      <c r="H43" s="37">
        <v>11445</v>
      </c>
      <c r="I43" s="37"/>
    </row>
    <row r="44" spans="1:15" hidden="1" x14ac:dyDescent="0.55000000000000004">
      <c r="B44" s="26" t="s">
        <v>184</v>
      </c>
      <c r="F44" s="38">
        <f>F43/F29</f>
        <v>2.8159298857803657E-2</v>
      </c>
      <c r="G44" s="38">
        <f t="shared" ref="G44:H44" si="4">G43/G29</f>
        <v>3.0053354553400212E-2</v>
      </c>
      <c r="H44" s="38">
        <f t="shared" si="4"/>
        <v>2.9268479803598143E-2</v>
      </c>
      <c r="I44" s="38"/>
    </row>
    <row r="45" spans="1:15" hidden="1" x14ac:dyDescent="0.55000000000000004"/>
    <row r="46" spans="1:15" hidden="1" x14ac:dyDescent="0.55000000000000004">
      <c r="B46" t="s">
        <v>171</v>
      </c>
      <c r="F46" s="37">
        <v>10708</v>
      </c>
      <c r="G46" s="37">
        <v>10959</v>
      </c>
      <c r="H46" s="37">
        <v>9447</v>
      </c>
      <c r="I46" s="37"/>
    </row>
    <row r="47" spans="1:15" hidden="1" x14ac:dyDescent="0.55000000000000004">
      <c r="B47" s="26" t="s">
        <v>184</v>
      </c>
      <c r="F47" s="38">
        <f>F46/F29</f>
        <v>2.7155058732831552E-2</v>
      </c>
      <c r="G47" s="38">
        <f t="shared" ref="G47:H47" si="5">G46/G29</f>
        <v>2.859230076835775E-2</v>
      </c>
      <c r="H47" s="38">
        <f t="shared" si="5"/>
        <v>2.415896275269477E-2</v>
      </c>
      <c r="I47" s="38"/>
    </row>
    <row r="48" spans="1:15" hidden="1" x14ac:dyDescent="0.55000000000000004"/>
    <row r="49" spans="1:15" hidden="1" x14ac:dyDescent="0.55000000000000004">
      <c r="B49" t="s">
        <v>190</v>
      </c>
      <c r="F49" s="37">
        <v>0</v>
      </c>
      <c r="G49" s="37">
        <v>0</v>
      </c>
      <c r="H49" s="37">
        <v>0</v>
      </c>
      <c r="I49" s="37"/>
    </row>
    <row r="50" spans="1:15" hidden="1" x14ac:dyDescent="0.55000000000000004">
      <c r="B50" s="26" t="s">
        <v>184</v>
      </c>
      <c r="F50" s="38">
        <f>F49/F29</f>
        <v>0</v>
      </c>
      <c r="G50" s="38">
        <f t="shared" ref="G50:H50" si="6">G49/G29</f>
        <v>0</v>
      </c>
      <c r="H50" s="38">
        <f t="shared" si="6"/>
        <v>0</v>
      </c>
      <c r="I50" s="38"/>
    </row>
    <row r="51" spans="1:15" hidden="1" x14ac:dyDescent="0.55000000000000004"/>
    <row r="52" spans="1:15" x14ac:dyDescent="0.55000000000000004">
      <c r="A52" t="s">
        <v>211</v>
      </c>
      <c r="B52" s="31" t="s">
        <v>191</v>
      </c>
      <c r="C52" s="31"/>
      <c r="D52" s="31"/>
      <c r="E52" s="31"/>
      <c r="F52" s="68" t="s">
        <v>174</v>
      </c>
      <c r="G52" s="68" t="s">
        <v>175</v>
      </c>
      <c r="H52" s="68" t="s">
        <v>203</v>
      </c>
      <c r="I52" s="68" t="s">
        <v>176</v>
      </c>
      <c r="J52" s="68" t="s">
        <v>177</v>
      </c>
      <c r="K52" s="68" t="s">
        <v>178</v>
      </c>
      <c r="L52" s="68" t="s">
        <v>179</v>
      </c>
      <c r="M52" s="68" t="s">
        <v>180</v>
      </c>
      <c r="N52" s="68" t="s">
        <v>181</v>
      </c>
      <c r="O52" s="36"/>
    </row>
    <row r="53" spans="1:15" x14ac:dyDescent="0.55000000000000004">
      <c r="B53" t="s">
        <v>201</v>
      </c>
      <c r="F53" s="62">
        <f>F25</f>
        <v>316199</v>
      </c>
      <c r="G53" s="62">
        <f t="shared" ref="G53:H53" si="7">G25</f>
        <v>298085</v>
      </c>
      <c r="H53" s="62">
        <f t="shared" si="7"/>
        <v>294866</v>
      </c>
      <c r="I53" s="62">
        <v>294866</v>
      </c>
      <c r="J53" s="40">
        <f ca="1">I53*(1+J54)</f>
        <v>300763.32</v>
      </c>
      <c r="K53" s="40">
        <f t="shared" ref="K53:N53" ca="1" si="8">J53*(1+K54)</f>
        <v>308282.40299999999</v>
      </c>
      <c r="L53" s="40">
        <f t="shared" ca="1" si="8"/>
        <v>317530.87508999999</v>
      </c>
      <c r="M53" s="40">
        <f t="shared" ca="1" si="8"/>
        <v>328644.45571814995</v>
      </c>
      <c r="N53" s="40">
        <f t="shared" ca="1" si="8"/>
        <v>341790.23394687596</v>
      </c>
    </row>
    <row r="54" spans="1:15" x14ac:dyDescent="0.55000000000000004">
      <c r="B54" s="26" t="s">
        <v>182</v>
      </c>
      <c r="F54" t="str">
        <f>F26</f>
        <v>-</v>
      </c>
      <c r="G54" s="61">
        <f t="shared" ref="G54:H54" si="9">G26</f>
        <v>-5.728670868661824E-2</v>
      </c>
      <c r="H54" s="61">
        <f t="shared" si="9"/>
        <v>-1.0798933190197427E-2</v>
      </c>
      <c r="I54" s="41">
        <v>0</v>
      </c>
      <c r="J54" s="74">
        <f ca="1">OFFSET(J54, $D$11, 0)</f>
        <v>0.02</v>
      </c>
      <c r="K54" s="74">
        <f t="shared" ref="K54:N54" ca="1" si="10">OFFSET(K54, $D$11, 0)</f>
        <v>2.5000000000000001E-2</v>
      </c>
      <c r="L54" s="74">
        <f t="shared" ca="1" si="10"/>
        <v>3.0000000000000002E-2</v>
      </c>
      <c r="M54" s="74">
        <f t="shared" ca="1" si="10"/>
        <v>3.5000000000000003E-2</v>
      </c>
      <c r="N54" s="74">
        <f t="shared" ca="1" si="10"/>
        <v>0.04</v>
      </c>
    </row>
    <row r="55" spans="1:15" x14ac:dyDescent="0.55000000000000004">
      <c r="B55" t="s">
        <v>192</v>
      </c>
      <c r="J55" s="72">
        <f>H11</f>
        <v>0</v>
      </c>
      <c r="K55" s="72">
        <f>($N55-$J55)/4+J55</f>
        <v>7.4999999999999997E-3</v>
      </c>
      <c r="L55" s="72">
        <f>($N55-$J55)/4+K55</f>
        <v>1.4999999999999999E-2</v>
      </c>
      <c r="M55" s="72">
        <f>($N55-$J55)/4+L55</f>
        <v>2.2499999999999999E-2</v>
      </c>
      <c r="N55" s="72">
        <f>H12</f>
        <v>0.03</v>
      </c>
    </row>
    <row r="56" spans="1:15" x14ac:dyDescent="0.55000000000000004">
      <c r="B56" t="s">
        <v>193</v>
      </c>
      <c r="J56" s="72">
        <f>L11</f>
        <v>0.02</v>
      </c>
      <c r="K56" s="72">
        <f>($N56-$J56)/4+J56</f>
        <v>2.5000000000000001E-2</v>
      </c>
      <c r="L56" s="72">
        <f>($N56-$J56)/4+K56</f>
        <v>3.0000000000000002E-2</v>
      </c>
      <c r="M56" s="72">
        <f>($N56-$J56)/4+L56</f>
        <v>3.5000000000000003E-2</v>
      </c>
      <c r="N56" s="72">
        <f>L12</f>
        <v>0.04</v>
      </c>
    </row>
    <row r="57" spans="1:15" x14ac:dyDescent="0.55000000000000004">
      <c r="B57" t="s">
        <v>194</v>
      </c>
      <c r="J57" s="72">
        <v>0.04</v>
      </c>
      <c r="K57" s="72">
        <f>($N57-$J57)/4+J57</f>
        <v>0.04</v>
      </c>
      <c r="L57" s="72">
        <f>($N57-$J57)/4+K57</f>
        <v>0.04</v>
      </c>
      <c r="M57" s="72">
        <f>($N57-$J57)/4+L57</f>
        <v>0.04</v>
      </c>
      <c r="N57" s="72">
        <v>0.04</v>
      </c>
    </row>
    <row r="59" spans="1:15" x14ac:dyDescent="0.55000000000000004">
      <c r="B59" t="s">
        <v>202</v>
      </c>
      <c r="F59" s="37">
        <f>F27</f>
        <v>78129</v>
      </c>
      <c r="G59" s="37">
        <f t="shared" ref="G59:H59" si="11">G27</f>
        <v>85200</v>
      </c>
      <c r="H59" s="37">
        <f t="shared" si="11"/>
        <v>96169</v>
      </c>
      <c r="I59" s="62">
        <f>H59*(1+I60)</f>
        <v>107709.28000000001</v>
      </c>
      <c r="J59" s="40">
        <f ca="1">I59*(1+J60)</f>
        <v>118480.20800000003</v>
      </c>
      <c r="K59" s="40">
        <f t="shared" ref="K59" ca="1" si="12">J59*(1+K60)</f>
        <v>129439.62724000003</v>
      </c>
      <c r="L59" s="40">
        <f t="shared" ref="L59" ca="1" si="13">K59*(1+L60)</f>
        <v>140441.99555540003</v>
      </c>
      <c r="M59" s="40">
        <f t="shared" ref="M59" ca="1" si="14">L59*(1+M60)</f>
        <v>151326.25021094352</v>
      </c>
      <c r="N59" s="40">
        <f t="shared" ref="N59" ca="1" si="15">M59*(1+N60)</f>
        <v>161919.08772570957</v>
      </c>
    </row>
    <row r="60" spans="1:15" x14ac:dyDescent="0.55000000000000004">
      <c r="B60" s="26" t="s">
        <v>182</v>
      </c>
      <c r="F60" t="str">
        <f>F28</f>
        <v>-</v>
      </c>
      <c r="G60" s="61">
        <f t="shared" ref="G60:H60" si="16">G28</f>
        <v>9.0504166186691243E-2</v>
      </c>
      <c r="H60" s="61">
        <f t="shared" si="16"/>
        <v>0.12874413145539906</v>
      </c>
      <c r="I60" s="41">
        <v>0.12</v>
      </c>
      <c r="J60" s="74">
        <f ca="1">OFFSET(J60, $D$12, 0)</f>
        <v>0.1</v>
      </c>
      <c r="K60" s="74">
        <f t="shared" ref="K60:N60" ca="1" si="17">OFFSET(K60, $D$12, 0)</f>
        <v>9.2499999999999999E-2</v>
      </c>
      <c r="L60" s="74">
        <f t="shared" ca="1" si="17"/>
        <v>8.4999999999999992E-2</v>
      </c>
      <c r="M60" s="74">
        <f t="shared" ca="1" si="17"/>
        <v>7.7499999999999986E-2</v>
      </c>
      <c r="N60" s="74">
        <f t="shared" ca="1" si="17"/>
        <v>7.0000000000000007E-2</v>
      </c>
    </row>
    <row r="61" spans="1:15" x14ac:dyDescent="0.55000000000000004">
      <c r="B61" t="s">
        <v>192</v>
      </c>
      <c r="J61" s="72">
        <f>H13</f>
        <v>0.08</v>
      </c>
      <c r="K61" s="72">
        <f>($N61-$J61)/4+J61</f>
        <v>6.5000000000000002E-2</v>
      </c>
      <c r="L61" s="72">
        <f>($N61-$J61)/4+K61</f>
        <v>0.05</v>
      </c>
      <c r="M61" s="72">
        <f>($N61-$J61)/4+L61</f>
        <v>3.5000000000000003E-2</v>
      </c>
      <c r="N61" s="72">
        <f>H14</f>
        <v>0.02</v>
      </c>
    </row>
    <row r="62" spans="1:15" x14ac:dyDescent="0.55000000000000004">
      <c r="B62" t="s">
        <v>193</v>
      </c>
      <c r="J62" s="72">
        <f>L13</f>
        <v>0.1</v>
      </c>
      <c r="K62" s="72">
        <f>($N62-$J62)/4+J62</f>
        <v>9.2499999999999999E-2</v>
      </c>
      <c r="L62" s="72">
        <f>($N62-$J62)/4+K62</f>
        <v>8.4999999999999992E-2</v>
      </c>
      <c r="M62" s="72">
        <f>($N62-$J62)/4+L62</f>
        <v>7.7499999999999986E-2</v>
      </c>
      <c r="N62" s="72">
        <f>L14</f>
        <v>7.0000000000000007E-2</v>
      </c>
    </row>
    <row r="63" spans="1:15" x14ac:dyDescent="0.55000000000000004">
      <c r="B63" t="s">
        <v>194</v>
      </c>
      <c r="J63" s="72">
        <f>P13</f>
        <v>0.12</v>
      </c>
      <c r="K63" s="72">
        <f>($N63-$J63)/4+J63</f>
        <v>0.12</v>
      </c>
      <c r="L63" s="72">
        <f>($N63-$J63)/4+K63</f>
        <v>0.12</v>
      </c>
      <c r="M63" s="72">
        <f>($N63-$J63)/4+L63</f>
        <v>0.12</v>
      </c>
      <c r="N63" s="72">
        <f>P14</f>
        <v>0.12</v>
      </c>
    </row>
    <row r="65" spans="2:14" x14ac:dyDescent="0.55000000000000004">
      <c r="B65" s="24" t="s">
        <v>205</v>
      </c>
      <c r="C65" s="24"/>
      <c r="D65" s="24"/>
      <c r="E65" s="24"/>
      <c r="F65" s="69">
        <f>F53+F59</f>
        <v>394328</v>
      </c>
      <c r="G65" s="69">
        <f t="shared" ref="G65:N65" si="18">G53+G59</f>
        <v>383285</v>
      </c>
      <c r="H65" s="69">
        <f t="shared" si="18"/>
        <v>391035</v>
      </c>
      <c r="I65" s="65">
        <f t="shared" si="18"/>
        <v>402575.28</v>
      </c>
      <c r="J65" s="73">
        <f t="shared" ca="1" si="18"/>
        <v>419243.52800000005</v>
      </c>
      <c r="K65" s="73">
        <f t="shared" ca="1" si="18"/>
        <v>437722.03023999999</v>
      </c>
      <c r="L65" s="73">
        <f t="shared" ca="1" si="18"/>
        <v>457972.87064540002</v>
      </c>
      <c r="M65" s="73">
        <f t="shared" ca="1" si="18"/>
        <v>479970.70592909347</v>
      </c>
      <c r="N65" s="73">
        <f t="shared" ca="1" si="18"/>
        <v>503709.32167258556</v>
      </c>
    </row>
    <row r="67" spans="2:14" x14ac:dyDescent="0.55000000000000004">
      <c r="B67" t="s">
        <v>167</v>
      </c>
      <c r="F67" s="37">
        <f>F32</f>
        <v>119437</v>
      </c>
      <c r="G67" s="37">
        <f t="shared" ref="G67:H67" si="19">G32</f>
        <v>114301</v>
      </c>
      <c r="H67" s="37">
        <f t="shared" si="19"/>
        <v>123216</v>
      </c>
      <c r="I67" s="62">
        <f>I68*I65</f>
        <v>124798.3368</v>
      </c>
      <c r="J67" s="40">
        <f ca="1">J68*J65</f>
        <v>125773.05840000001</v>
      </c>
      <c r="K67" s="40">
        <f t="shared" ref="K67:N67" ca="1" si="20">K68*K65</f>
        <v>133505.21922319999</v>
      </c>
      <c r="L67" s="40">
        <f t="shared" ca="1" si="20"/>
        <v>141971.589900074</v>
      </c>
      <c r="M67" s="40">
        <f t="shared" ca="1" si="20"/>
        <v>151190.77236766444</v>
      </c>
      <c r="N67" s="40">
        <f t="shared" ca="1" si="20"/>
        <v>161186.9829352274</v>
      </c>
    </row>
    <row r="68" spans="2:14" x14ac:dyDescent="0.55000000000000004">
      <c r="B68" s="26" t="s">
        <v>184</v>
      </c>
      <c r="F68" s="38">
        <f>F33</f>
        <v>0.30288744395528594</v>
      </c>
      <c r="G68" s="38">
        <f>G33</f>
        <v>0.29821412265024722</v>
      </c>
      <c r="H68" s="38">
        <f>H33</f>
        <v>0.31510222870075566</v>
      </c>
      <c r="I68" s="41">
        <v>0.31</v>
      </c>
      <c r="J68" s="74">
        <f ca="1">OFFSET(J68, $D$15, 0)</f>
        <v>0.3</v>
      </c>
      <c r="K68" s="74">
        <f t="shared" ref="K68:N68" ca="1" si="21">OFFSET(K68, $D$15, 0)</f>
        <v>0.30499999999999999</v>
      </c>
      <c r="L68" s="74">
        <f t="shared" ca="1" si="21"/>
        <v>0.31</v>
      </c>
      <c r="M68" s="74">
        <f t="shared" ca="1" si="21"/>
        <v>0.315</v>
      </c>
      <c r="N68" s="74">
        <f t="shared" ca="1" si="21"/>
        <v>0.32</v>
      </c>
    </row>
    <row r="69" spans="2:14" x14ac:dyDescent="0.55000000000000004">
      <c r="B69" t="s">
        <v>192</v>
      </c>
      <c r="J69" s="72">
        <f>H15</f>
        <v>0.3</v>
      </c>
      <c r="K69" s="72">
        <f>($N69-$J69)/4+J69</f>
        <v>0.3</v>
      </c>
      <c r="L69" s="72">
        <f>($N69-$J69)/4+K69</f>
        <v>0.3</v>
      </c>
      <c r="M69" s="72">
        <f>($N69-$J69)/4+L69</f>
        <v>0.3</v>
      </c>
      <c r="N69" s="72">
        <f>H16</f>
        <v>0.3</v>
      </c>
    </row>
    <row r="70" spans="2:14" x14ac:dyDescent="0.55000000000000004">
      <c r="B70" t="s">
        <v>193</v>
      </c>
      <c r="J70" s="72">
        <f>L15</f>
        <v>0.3</v>
      </c>
      <c r="K70" s="72">
        <f>($N70-$J70)/4+J70</f>
        <v>0.30499999999999999</v>
      </c>
      <c r="L70" s="72">
        <f>($N70-$J70)/4+K70</f>
        <v>0.31</v>
      </c>
      <c r="M70" s="72">
        <f>($N70-$J70)/4+L70</f>
        <v>0.315</v>
      </c>
      <c r="N70" s="72">
        <f>L16</f>
        <v>0.32</v>
      </c>
    </row>
    <row r="71" spans="2:14" x14ac:dyDescent="0.55000000000000004">
      <c r="B71" t="s">
        <v>194</v>
      </c>
      <c r="J71" s="72">
        <f>P15</f>
        <v>0.32</v>
      </c>
      <c r="K71" s="72">
        <f>($N71-$J71)/4+J71</f>
        <v>0.33</v>
      </c>
      <c r="L71" s="72">
        <f>($N71-$J71)/4+K71</f>
        <v>0.34</v>
      </c>
      <c r="M71" s="72">
        <f>($N71-$J71)/4+L71</f>
        <v>0.35000000000000003</v>
      </c>
      <c r="N71" s="72">
        <f>P16</f>
        <v>0.36</v>
      </c>
    </row>
    <row r="73" spans="2:14" x14ac:dyDescent="0.55000000000000004">
      <c r="B73" t="s">
        <v>185</v>
      </c>
      <c r="F73" s="37">
        <f>F35</f>
        <v>19300</v>
      </c>
      <c r="G73" s="37">
        <f t="shared" ref="G73:H73" si="22">G35</f>
        <v>16741</v>
      </c>
      <c r="H73" s="37">
        <f t="shared" si="22"/>
        <v>29749</v>
      </c>
      <c r="I73" s="37">
        <f>I74*I67</f>
        <v>22858.62193798674</v>
      </c>
      <c r="J73" s="40">
        <f ca="1">J74*J67</f>
        <v>22639.150512</v>
      </c>
      <c r="K73" s="40">
        <f t="shared" ref="K73:N73" ca="1" si="23">K74*K67</f>
        <v>24030.939460176</v>
      </c>
      <c r="L73" s="40">
        <f t="shared" ca="1" si="23"/>
        <v>25554.886182013321</v>
      </c>
      <c r="M73" s="40">
        <f t="shared" ca="1" si="23"/>
        <v>27214.339026179598</v>
      </c>
      <c r="N73" s="40">
        <f t="shared" ca="1" si="23"/>
        <v>29013.65692834093</v>
      </c>
    </row>
    <row r="74" spans="2:14" x14ac:dyDescent="0.55000000000000004">
      <c r="B74" s="26" t="s">
        <v>186</v>
      </c>
      <c r="F74" s="38">
        <f>F73/F67</f>
        <v>0.16159146663094351</v>
      </c>
      <c r="G74" s="38">
        <f>G73/G67</f>
        <v>0.14646416041854401</v>
      </c>
      <c r="H74" s="38">
        <f>H73/H67</f>
        <v>0.24143780028567718</v>
      </c>
      <c r="I74" s="38">
        <f>AVERAGE(F74:H74)</f>
        <v>0.18316447577838824</v>
      </c>
      <c r="J74" s="42">
        <v>0.18</v>
      </c>
      <c r="K74" s="42">
        <v>0.18</v>
      </c>
      <c r="L74" s="42">
        <v>0.18</v>
      </c>
      <c r="M74" s="42">
        <v>0.18</v>
      </c>
      <c r="N74" s="42">
        <v>0.18</v>
      </c>
    </row>
    <row r="75" spans="2:14" x14ac:dyDescent="0.55000000000000004"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</row>
    <row r="76" spans="2:14" x14ac:dyDescent="0.55000000000000004">
      <c r="B76" t="s">
        <v>187</v>
      </c>
      <c r="F76" s="37">
        <f>F67-F73</f>
        <v>100137</v>
      </c>
      <c r="G76" s="37">
        <f>G67-G73</f>
        <v>97560</v>
      </c>
      <c r="H76" s="37">
        <f>H67-H73</f>
        <v>93467</v>
      </c>
      <c r="I76" s="37">
        <f t="shared" ref="I76" si="24">I67-I73</f>
        <v>101939.71486201326</v>
      </c>
      <c r="J76" s="40">
        <f ca="1">J67-J73</f>
        <v>103133.90788800002</v>
      </c>
      <c r="K76" s="40">
        <f ca="1">K67-K73</f>
        <v>109474.27976302399</v>
      </c>
      <c r="L76" s="40">
        <f t="shared" ref="L76:N76" ca="1" si="25">L67-L73</f>
        <v>116416.70371806069</v>
      </c>
      <c r="M76" s="40">
        <f t="shared" ca="1" si="25"/>
        <v>123976.43334148484</v>
      </c>
      <c r="N76" s="40">
        <f t="shared" ca="1" si="25"/>
        <v>132173.32600688646</v>
      </c>
    </row>
    <row r="77" spans="2:14" x14ac:dyDescent="0.55000000000000004">
      <c r="B77" t="s">
        <v>184</v>
      </c>
      <c r="F77" s="38">
        <f>F76/F65</f>
        <v>0.2539434176624536</v>
      </c>
      <c r="G77" s="38">
        <f t="shared" ref="G77:I77" si="26">G76/G65</f>
        <v>0.25453644155132604</v>
      </c>
      <c r="H77" s="38">
        <f t="shared" si="26"/>
        <v>0.23902463973813085</v>
      </c>
      <c r="I77" s="38">
        <f t="shared" si="26"/>
        <v>0.25321901250869966</v>
      </c>
      <c r="J77" s="41">
        <f ca="1">J76/J65</f>
        <v>0.246</v>
      </c>
      <c r="K77" s="41">
        <f ca="1">K76/K65</f>
        <v>0.25009999999999999</v>
      </c>
      <c r="L77" s="41">
        <f ca="1">L76/L65</f>
        <v>0.25419999999999998</v>
      </c>
      <c r="M77" s="41">
        <f t="shared" ref="M77:N77" ca="1" si="27">M76/M65</f>
        <v>0.25829999999999997</v>
      </c>
      <c r="N77" s="41">
        <f t="shared" ca="1" si="27"/>
        <v>0.26240000000000002</v>
      </c>
    </row>
    <row r="79" spans="2:14" x14ac:dyDescent="0.55000000000000004">
      <c r="B79" t="s">
        <v>189</v>
      </c>
      <c r="F79" s="37">
        <f>F43</f>
        <v>11104</v>
      </c>
      <c r="G79" s="37">
        <f t="shared" ref="G79:H79" si="28">G43</f>
        <v>11519</v>
      </c>
      <c r="H79" s="37">
        <f t="shared" si="28"/>
        <v>11445</v>
      </c>
      <c r="I79" s="37">
        <f>I80*I65</f>
        <v>12077.258400000001</v>
      </c>
      <c r="J79" s="40">
        <f ca="1">J80*J65</f>
        <v>12577.305840000001</v>
      </c>
      <c r="K79" s="40">
        <f t="shared" ref="K79:N79" ca="1" si="29">K80*K65</f>
        <v>13131.660907199999</v>
      </c>
      <c r="L79" s="40">
        <f t="shared" ca="1" si="29"/>
        <v>13739.186119362001</v>
      </c>
      <c r="M79" s="40">
        <f t="shared" ca="1" si="29"/>
        <v>14399.121177872803</v>
      </c>
      <c r="N79" s="40">
        <f t="shared" ca="1" si="29"/>
        <v>15111.279650177567</v>
      </c>
    </row>
    <row r="80" spans="2:14" x14ac:dyDescent="0.55000000000000004">
      <c r="B80" s="26" t="s">
        <v>184</v>
      </c>
      <c r="F80" s="38">
        <f>F44</f>
        <v>2.8159298857803657E-2</v>
      </c>
      <c r="G80" s="38">
        <f t="shared" ref="G80:H80" si="30">G44</f>
        <v>3.0053354553400212E-2</v>
      </c>
      <c r="H80" s="38">
        <f t="shared" si="30"/>
        <v>2.9268479803598143E-2</v>
      </c>
      <c r="I80" s="38">
        <v>0.03</v>
      </c>
      <c r="J80" s="41">
        <v>0.03</v>
      </c>
      <c r="K80" s="41">
        <v>0.03</v>
      </c>
      <c r="L80" s="41">
        <v>0.03</v>
      </c>
      <c r="M80" s="41">
        <v>0.03</v>
      </c>
      <c r="N80" s="41">
        <v>0.03</v>
      </c>
    </row>
    <row r="82" spans="2:14" x14ac:dyDescent="0.55000000000000004">
      <c r="B82" t="s">
        <v>171</v>
      </c>
      <c r="F82" s="37">
        <f>F46</f>
        <v>10708</v>
      </c>
      <c r="G82" s="37">
        <f>G46</f>
        <v>10959</v>
      </c>
      <c r="H82" s="37">
        <f>H46</f>
        <v>9447</v>
      </c>
      <c r="I82" s="37">
        <f>I83*I65</f>
        <v>12077.258400000001</v>
      </c>
      <c r="J82" s="40">
        <f ca="1">J83*J65</f>
        <v>16769.741120000002</v>
      </c>
      <c r="K82" s="40">
        <f t="shared" ref="K82:N82" ca="1" si="31">K83*K65</f>
        <v>17508.8812096</v>
      </c>
      <c r="L82" s="40">
        <f t="shared" ca="1" si="31"/>
        <v>18318.914825816002</v>
      </c>
      <c r="M82" s="40">
        <f t="shared" ca="1" si="31"/>
        <v>19198.82823716374</v>
      </c>
      <c r="N82" s="40">
        <f t="shared" ca="1" si="31"/>
        <v>20148.372866903424</v>
      </c>
    </row>
    <row r="83" spans="2:14" x14ac:dyDescent="0.55000000000000004">
      <c r="B83" s="26" t="s">
        <v>184</v>
      </c>
      <c r="F83" s="38">
        <f>F47</f>
        <v>2.7155058732831552E-2</v>
      </c>
      <c r="G83" s="38">
        <f t="shared" ref="G83:H83" si="32">G47</f>
        <v>2.859230076835775E-2</v>
      </c>
      <c r="H83" s="38">
        <f t="shared" si="32"/>
        <v>2.415896275269477E-2</v>
      </c>
      <c r="I83" s="38">
        <v>0.03</v>
      </c>
      <c r="J83" s="41">
        <f ca="1">OFFSET(J83, $D$16, 0)</f>
        <v>0.04</v>
      </c>
      <c r="K83" s="41">
        <f t="shared" ref="K83:N83" ca="1" si="33">OFFSET(K83, $D$16, 0)</f>
        <v>0.04</v>
      </c>
      <c r="L83" s="41">
        <f t="shared" ca="1" si="33"/>
        <v>0.04</v>
      </c>
      <c r="M83" s="41">
        <f t="shared" ca="1" si="33"/>
        <v>0.04</v>
      </c>
      <c r="N83" s="41">
        <f t="shared" ca="1" si="33"/>
        <v>0.04</v>
      </c>
    </row>
    <row r="84" spans="2:14" x14ac:dyDescent="0.55000000000000004">
      <c r="B84" t="s">
        <v>192</v>
      </c>
      <c r="J84" s="72">
        <f>H17</f>
        <v>0.05</v>
      </c>
      <c r="K84" s="72">
        <f>($N84-$J84)/4+J84</f>
        <v>0.05</v>
      </c>
      <c r="L84" s="72">
        <f>($N84-$J84)/4+K84</f>
        <v>0.05</v>
      </c>
      <c r="M84" s="72">
        <f>($N84-$J84)/4+L84</f>
        <v>0.05</v>
      </c>
      <c r="N84" s="72">
        <f>H17</f>
        <v>0.05</v>
      </c>
    </row>
    <row r="85" spans="2:14" x14ac:dyDescent="0.55000000000000004">
      <c r="B85" t="s">
        <v>193</v>
      </c>
      <c r="J85" s="72">
        <f>L17</f>
        <v>0.04</v>
      </c>
      <c r="K85" s="72">
        <f>($N85-$J85)/4+J85</f>
        <v>0.04</v>
      </c>
      <c r="L85" s="72">
        <f>($N85-$J85)/4+K85</f>
        <v>0.04</v>
      </c>
      <c r="M85" s="72">
        <f>($N85-$J85)/4+L85</f>
        <v>0.04</v>
      </c>
      <c r="N85" s="72">
        <f>L17</f>
        <v>0.04</v>
      </c>
    </row>
    <row r="86" spans="2:14" x14ac:dyDescent="0.55000000000000004">
      <c r="B86" t="s">
        <v>194</v>
      </c>
      <c r="J86" s="72">
        <f>P17</f>
        <v>0.03</v>
      </c>
      <c r="K86" s="72">
        <f>($N86-$J86)/4+J86</f>
        <v>0.03</v>
      </c>
      <c r="L86" s="72">
        <f>($N86-$J86)/4+K86</f>
        <v>0.03</v>
      </c>
      <c r="M86" s="72">
        <f>($N86-$J86)/4+L86</f>
        <v>0.03</v>
      </c>
      <c r="N86" s="72">
        <f>P17</f>
        <v>0.03</v>
      </c>
    </row>
    <row r="88" spans="2:14" x14ac:dyDescent="0.55000000000000004">
      <c r="B88" t="s">
        <v>190</v>
      </c>
      <c r="F88" s="37">
        <f t="shared" ref="F88:I89" si="34">F49</f>
        <v>0</v>
      </c>
      <c r="G88" s="37">
        <f t="shared" si="34"/>
        <v>0</v>
      </c>
      <c r="H88" s="37">
        <f t="shared" si="34"/>
        <v>0</v>
      </c>
      <c r="I88" s="37">
        <f t="shared" si="34"/>
        <v>0</v>
      </c>
      <c r="J88" s="40">
        <v>0</v>
      </c>
      <c r="K88" s="40">
        <v>0</v>
      </c>
      <c r="L88" s="40">
        <v>0</v>
      </c>
      <c r="M88" s="40">
        <v>0</v>
      </c>
      <c r="N88" s="40">
        <v>0</v>
      </c>
    </row>
    <row r="89" spans="2:14" x14ac:dyDescent="0.55000000000000004">
      <c r="B89" s="26" t="s">
        <v>184</v>
      </c>
      <c r="F89" s="38">
        <f t="shared" si="34"/>
        <v>0</v>
      </c>
      <c r="G89" s="38">
        <f t="shared" si="34"/>
        <v>0</v>
      </c>
      <c r="H89" s="38">
        <f t="shared" si="34"/>
        <v>0</v>
      </c>
      <c r="I89" s="38">
        <f t="shared" si="34"/>
        <v>0</v>
      </c>
      <c r="J89" s="41">
        <v>0</v>
      </c>
      <c r="K89" s="41">
        <v>0</v>
      </c>
      <c r="L89" s="41">
        <v>0</v>
      </c>
      <c r="M89" s="41">
        <v>0</v>
      </c>
      <c r="N89" s="41">
        <v>0</v>
      </c>
    </row>
    <row r="90" spans="2:14" x14ac:dyDescent="0.55000000000000004">
      <c r="J90" s="24"/>
      <c r="K90" s="24"/>
      <c r="L90" s="24"/>
      <c r="M90" s="24"/>
      <c r="N90" s="24"/>
    </row>
    <row r="91" spans="2:14" x14ac:dyDescent="0.55000000000000004">
      <c r="B91" t="s">
        <v>195</v>
      </c>
      <c r="F91" s="17"/>
      <c r="I91" s="44">
        <f>I76+I79-I82-I88</f>
        <v>101939.71486201326</v>
      </c>
      <c r="J91" s="44">
        <f ca="1">J76+J79-J82-J88</f>
        <v>98941.472608000011</v>
      </c>
      <c r="K91" s="44">
        <f ca="1">K76+K79-K82-K88</f>
        <v>105097.05946062399</v>
      </c>
      <c r="L91" s="44">
        <f t="shared" ref="L91:N91" ca="1" si="35">L76+L79-L82-L88</f>
        <v>111836.97501160669</v>
      </c>
      <c r="M91" s="44">
        <f t="shared" ca="1" si="35"/>
        <v>119176.72628219388</v>
      </c>
      <c r="N91" s="44">
        <f t="shared" ca="1" si="35"/>
        <v>127136.2327901606</v>
      </c>
    </row>
    <row r="92" spans="2:14" x14ac:dyDescent="0.55000000000000004">
      <c r="B92" t="s">
        <v>236</v>
      </c>
      <c r="F92" s="17"/>
      <c r="I92" s="44">
        <f>I91*I96</f>
        <v>60880.663042591252</v>
      </c>
      <c r="J92" s="44">
        <f ca="1">J91</f>
        <v>98941.472608000011</v>
      </c>
      <c r="K92" s="44">
        <f t="shared" ref="K92:N92" ca="1" si="36">K91</f>
        <v>105097.05946062399</v>
      </c>
      <c r="L92" s="44">
        <f t="shared" ca="1" si="36"/>
        <v>111836.97501160669</v>
      </c>
      <c r="M92" s="44">
        <f t="shared" ca="1" si="36"/>
        <v>119176.72628219388</v>
      </c>
      <c r="N92" s="44">
        <f t="shared" ca="1" si="36"/>
        <v>127136.2327901606</v>
      </c>
    </row>
    <row r="93" spans="2:14" x14ac:dyDescent="0.55000000000000004">
      <c r="B93" t="s">
        <v>196</v>
      </c>
      <c r="I93" s="44">
        <f>I92/(1+$D$19)^I97</f>
        <v>59559.730630169826</v>
      </c>
      <c r="J93" s="44">
        <f t="shared" ref="J93:N93" ca="1" si="37">J92/(1+$D$19)^J97</f>
        <v>91279.546695229277</v>
      </c>
      <c r="K93" s="44">
        <f t="shared" ca="1" si="37"/>
        <v>90091.221213041557</v>
      </c>
      <c r="L93" s="44">
        <f t="shared" ca="1" si="37"/>
        <v>89078.752216305526</v>
      </c>
      <c r="M93" s="44">
        <f t="shared" ca="1" si="37"/>
        <v>88201.702679099544</v>
      </c>
      <c r="N93" s="44">
        <f t="shared" ca="1" si="37"/>
        <v>87428.224832937587</v>
      </c>
    </row>
    <row r="95" spans="2:14" x14ac:dyDescent="0.55000000000000004">
      <c r="B95" t="s">
        <v>197</v>
      </c>
      <c r="I95">
        <v>1</v>
      </c>
      <c r="J95">
        <v>2</v>
      </c>
      <c r="K95">
        <v>3</v>
      </c>
      <c r="L95">
        <v>4</v>
      </c>
      <c r="M95">
        <v>5</v>
      </c>
      <c r="N95">
        <v>6</v>
      </c>
    </row>
    <row r="96" spans="2:14" x14ac:dyDescent="0.55000000000000004">
      <c r="B96" t="s">
        <v>198</v>
      </c>
      <c r="I96" s="119">
        <f>YEARFRAC(C5,C6)</f>
        <v>0.59722222222222221</v>
      </c>
      <c r="J96">
        <v>1.6</v>
      </c>
      <c r="K96">
        <v>2.6</v>
      </c>
      <c r="L96">
        <v>3.6</v>
      </c>
      <c r="M96">
        <v>4.5999999999999996</v>
      </c>
      <c r="N96">
        <v>5.6</v>
      </c>
    </row>
    <row r="97" spans="2:26" x14ac:dyDescent="0.55000000000000004">
      <c r="B97" t="s">
        <v>235</v>
      </c>
      <c r="G97" s="30">
        <v>45714</v>
      </c>
      <c r="I97" s="116">
        <f>I96/2</f>
        <v>0.2986111111111111</v>
      </c>
      <c r="J97" s="117">
        <f>I96+0.5</f>
        <v>1.0972222222222223</v>
      </c>
      <c r="K97" s="117">
        <f>J97+1</f>
        <v>2.0972222222222223</v>
      </c>
      <c r="L97" s="117">
        <f t="shared" ref="L97:N97" si="38">K97+1</f>
        <v>3.0972222222222223</v>
      </c>
      <c r="M97" s="117">
        <f t="shared" si="38"/>
        <v>4.0972222222222223</v>
      </c>
      <c r="N97" s="117">
        <f t="shared" si="38"/>
        <v>5.0972222222222223</v>
      </c>
    </row>
    <row r="98" spans="2:26" x14ac:dyDescent="0.55000000000000004">
      <c r="B98" t="s">
        <v>225</v>
      </c>
      <c r="G98" s="30">
        <v>45746</v>
      </c>
      <c r="O98" s="102">
        <f ca="1">(N91*(1+D20))/(D19-D20)</f>
        <v>2832871.4074612842</v>
      </c>
      <c r="W98" s="106" t="s">
        <v>234</v>
      </c>
      <c r="X98" s="107">
        <v>0.01</v>
      </c>
    </row>
    <row r="99" spans="2:26" x14ac:dyDescent="0.55000000000000004">
      <c r="B99" t="s">
        <v>226</v>
      </c>
      <c r="G99" s="119">
        <f>YEARFRAC(G97,G98)</f>
        <v>9.4444444444444442E-2</v>
      </c>
      <c r="O99" s="102">
        <f ca="1">O98/(1+D19)^N95</f>
        <v>1823088.2280345235</v>
      </c>
      <c r="T99" s="108"/>
      <c r="U99" s="108"/>
      <c r="V99" s="108"/>
      <c r="W99" s="109"/>
      <c r="X99" s="108" t="s">
        <v>168</v>
      </c>
      <c r="Y99" s="108"/>
      <c r="Z99" s="108"/>
    </row>
    <row r="100" spans="2:26" x14ac:dyDescent="0.55000000000000004">
      <c r="B100" t="s">
        <v>227</v>
      </c>
      <c r="H100" s="118"/>
      <c r="O100" s="102">
        <f ca="1">SUM(I93:N93,O99)</f>
        <v>2328727.406301307</v>
      </c>
      <c r="T100" s="108"/>
      <c r="U100" s="110">
        <f ca="1">O106</f>
        <v>151.71057271656153</v>
      </c>
      <c r="V100" s="111">
        <v>5.62E-2</v>
      </c>
      <c r="W100" s="111">
        <v>6.6199999999999995E-2</v>
      </c>
      <c r="X100" s="111">
        <v>7.6200000000000004E-2</v>
      </c>
      <c r="Y100" s="111">
        <v>8.6199999999999999E-2</v>
      </c>
      <c r="Z100" s="111">
        <v>9.6199999999999994E-2</v>
      </c>
    </row>
    <row r="101" spans="2:26" x14ac:dyDescent="0.55000000000000004">
      <c r="B101" t="s">
        <v>228</v>
      </c>
      <c r="O101" s="101">
        <f>30299+23476</f>
        <v>53775</v>
      </c>
      <c r="S101" s="106" t="s">
        <v>234</v>
      </c>
      <c r="T101" s="108"/>
      <c r="U101" s="111">
        <v>2.5000000000000001E-2</v>
      </c>
      <c r="V101" s="112">
        <f t="dataTable" ref="V101:Z105" dt2D="1" dtr="1" r1="D19" r2="D20" ca="1"/>
        <v>231.74049567666358</v>
      </c>
      <c r="W101" s="112">
        <v>174.36567860647062</v>
      </c>
      <c r="X101" s="112">
        <v>139.50918267470988</v>
      </c>
      <c r="Y101" s="112">
        <v>116.12424933829486</v>
      </c>
      <c r="Z101" s="112">
        <v>99.370847951702558</v>
      </c>
    </row>
    <row r="102" spans="2:26" x14ac:dyDescent="0.55000000000000004">
      <c r="B102" t="s">
        <v>229</v>
      </c>
      <c r="O102" s="101">
        <v>0</v>
      </c>
      <c r="S102" s="113">
        <v>2.5000000000000001E-3</v>
      </c>
      <c r="T102" s="108"/>
      <c r="U102" s="111">
        <v>2.75E-2</v>
      </c>
      <c r="V102" s="112">
        <v>249.56447264281221</v>
      </c>
      <c r="W102" s="112">
        <v>183.91495242885441</v>
      </c>
      <c r="X102" s="112">
        <v>145.33702855325663</v>
      </c>
      <c r="Y102" s="112">
        <v>119.98643727563766</v>
      </c>
      <c r="Z102" s="112">
        <v>102.0803295099998</v>
      </c>
    </row>
    <row r="103" spans="2:26" x14ac:dyDescent="0.55000000000000004">
      <c r="B103" t="s">
        <v>230</v>
      </c>
      <c r="O103" s="103">
        <f>WACC!D10</f>
        <v>83956</v>
      </c>
      <c r="T103" s="108" t="s">
        <v>169</v>
      </c>
      <c r="U103" s="111">
        <v>0.03</v>
      </c>
      <c r="V103" s="112">
        <v>270.78997193074485</v>
      </c>
      <c r="W103" s="112">
        <v>194.78318672394306</v>
      </c>
      <c r="X103" s="114">
        <v>151.79559368272831</v>
      </c>
      <c r="Y103" s="112">
        <v>124.19223623943446</v>
      </c>
      <c r="Z103" s="112">
        <v>104.99445469052495</v>
      </c>
    </row>
    <row r="104" spans="2:26" x14ac:dyDescent="0.55000000000000004">
      <c r="B104" t="s">
        <v>231</v>
      </c>
      <c r="O104" s="103">
        <f ca="1">O100+O101-O102-O103</f>
        <v>2298546.406301307</v>
      </c>
      <c r="S104" s="113"/>
      <c r="T104" s="108"/>
      <c r="U104" s="111">
        <v>3.2500000000000001E-2</v>
      </c>
      <c r="V104" s="112">
        <v>296.49342465495022</v>
      </c>
      <c r="W104" s="112">
        <v>207.26391868892625</v>
      </c>
      <c r="X104" s="112">
        <v>158.99312507415328</v>
      </c>
      <c r="Y104" s="112">
        <v>128.78963659650839</v>
      </c>
      <c r="Z104" s="112">
        <v>108.13731811127967</v>
      </c>
    </row>
    <row r="105" spans="2:26" x14ac:dyDescent="0.55000000000000004">
      <c r="B105" t="s">
        <v>232</v>
      </c>
      <c r="O105" s="104">
        <v>15150865</v>
      </c>
      <c r="T105" s="108"/>
      <c r="U105" s="111">
        <v>3.5000000000000003E-2</v>
      </c>
      <c r="V105" s="112">
        <v>328.25901245561926</v>
      </c>
      <c r="W105" s="112">
        <v>221.74476795599003</v>
      </c>
      <c r="X105" s="112">
        <v>167.0641432849259</v>
      </c>
      <c r="Y105" s="112">
        <v>133.8360018322029</v>
      </c>
      <c r="Z105" s="112">
        <v>111.53695141935097</v>
      </c>
    </row>
    <row r="106" spans="2:26" x14ac:dyDescent="0.55000000000000004">
      <c r="B106" t="s">
        <v>233</v>
      </c>
      <c r="O106" s="101">
        <f ca="1">O104/O105*1000</f>
        <v>151.71057271656153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4D38F-2E3E-4ADC-BFF2-B1DBA3511C98}">
  <dimension ref="B2:D17"/>
  <sheetViews>
    <sheetView showGridLines="0" workbookViewId="0">
      <selection activeCell="G17" sqref="G17"/>
    </sheetView>
  </sheetViews>
  <sheetFormatPr defaultRowHeight="14.4" x14ac:dyDescent="0.55000000000000004"/>
  <cols>
    <col min="4" max="4" width="15" customWidth="1"/>
  </cols>
  <sheetData>
    <row r="2" spans="2:4" x14ac:dyDescent="0.55000000000000004">
      <c r="B2" s="93" t="s">
        <v>168</v>
      </c>
      <c r="C2" s="94"/>
      <c r="D2" s="94"/>
    </row>
    <row r="3" spans="2:4" x14ac:dyDescent="0.55000000000000004">
      <c r="B3" t="s">
        <v>214</v>
      </c>
      <c r="D3" s="95">
        <v>3630000</v>
      </c>
    </row>
    <row r="4" spans="2:4" x14ac:dyDescent="0.55000000000000004">
      <c r="B4" t="s">
        <v>215</v>
      </c>
      <c r="D4" s="96">
        <f>D3/(D3+D10)</f>
        <v>0.97739445486160847</v>
      </c>
    </row>
    <row r="5" spans="2:4" x14ac:dyDescent="0.55000000000000004">
      <c r="B5" t="s">
        <v>216</v>
      </c>
      <c r="D5" s="97">
        <f>D6+(D7*D8)</f>
        <v>7.7039999999999997E-2</v>
      </c>
    </row>
    <row r="6" spans="2:4" x14ac:dyDescent="0.55000000000000004">
      <c r="B6" t="s">
        <v>217</v>
      </c>
      <c r="D6" s="97">
        <v>4.2999999999999997E-2</v>
      </c>
    </row>
    <row r="7" spans="2:4" x14ac:dyDescent="0.55000000000000004">
      <c r="B7" t="s">
        <v>218</v>
      </c>
      <c r="D7" s="98">
        <v>0.74</v>
      </c>
    </row>
    <row r="8" spans="2:4" x14ac:dyDescent="0.55000000000000004">
      <c r="B8" t="s">
        <v>219</v>
      </c>
      <c r="D8" s="97">
        <v>4.5999999999999999E-2</v>
      </c>
    </row>
    <row r="9" spans="2:4" x14ac:dyDescent="0.55000000000000004">
      <c r="D9" s="97"/>
    </row>
    <row r="10" spans="2:4" x14ac:dyDescent="0.55000000000000004">
      <c r="B10" t="s">
        <v>220</v>
      </c>
      <c r="D10" s="95">
        <v>83956</v>
      </c>
    </row>
    <row r="11" spans="2:4" x14ac:dyDescent="0.55000000000000004">
      <c r="B11" t="s">
        <v>221</v>
      </c>
      <c r="D11" s="99">
        <v>0.05</v>
      </c>
    </row>
    <row r="12" spans="2:4" x14ac:dyDescent="0.55000000000000004">
      <c r="B12" t="s">
        <v>222</v>
      </c>
      <c r="D12" s="96">
        <f>D10/(D10+D3)</f>
        <v>2.2605545138391515E-2</v>
      </c>
    </row>
    <row r="13" spans="2:4" x14ac:dyDescent="0.55000000000000004">
      <c r="B13" t="s">
        <v>223</v>
      </c>
      <c r="D13" s="100">
        <v>0.18</v>
      </c>
    </row>
    <row r="15" spans="2:4" x14ac:dyDescent="0.55000000000000004">
      <c r="B15" t="s">
        <v>224</v>
      </c>
      <c r="D15" s="95">
        <f>D10+D3</f>
        <v>3713956</v>
      </c>
    </row>
    <row r="17" spans="2:4" x14ac:dyDescent="0.55000000000000004">
      <c r="B17" s="1" t="s">
        <v>168</v>
      </c>
      <c r="D17" s="115">
        <f>D4*D5+D11*D12*(1-D13)</f>
        <v>7.6225296153212371E-2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7D82E-3DC3-4C29-A162-0AB6D25AFD2E}">
  <dimension ref="B1:G31"/>
  <sheetViews>
    <sheetView showGridLines="0" workbookViewId="0">
      <selection activeCell="H6" sqref="H6"/>
    </sheetView>
  </sheetViews>
  <sheetFormatPr defaultRowHeight="14.4" x14ac:dyDescent="0.55000000000000004"/>
  <cols>
    <col min="5" max="5" width="11.734375" bestFit="1" customWidth="1"/>
  </cols>
  <sheetData>
    <row r="1" spans="2:7" x14ac:dyDescent="0.55000000000000004">
      <c r="F1" t="s">
        <v>75</v>
      </c>
    </row>
    <row r="2" spans="2:7" ht="14.7" thickBot="1" x14ac:dyDescent="0.6">
      <c r="E2">
        <v>2022</v>
      </c>
      <c r="F2">
        <v>2023</v>
      </c>
      <c r="G2">
        <v>2024</v>
      </c>
    </row>
    <row r="3" spans="2:7" x14ac:dyDescent="0.55000000000000004">
      <c r="B3" s="87" t="s">
        <v>10</v>
      </c>
      <c r="C3" s="87"/>
      <c r="D3" s="87"/>
      <c r="E3" s="2"/>
      <c r="F3" s="2"/>
      <c r="G3" s="2"/>
    </row>
    <row r="4" spans="2:7" ht="14.7" thickBot="1" x14ac:dyDescent="0.6">
      <c r="B4" s="84" t="s">
        <v>11</v>
      </c>
      <c r="C4" s="84"/>
      <c r="D4" s="84"/>
      <c r="E4" s="55">
        <v>316199</v>
      </c>
      <c r="F4" s="55">
        <v>298085</v>
      </c>
      <c r="G4" s="55">
        <v>294866</v>
      </c>
    </row>
    <row r="5" spans="2:7" x14ac:dyDescent="0.55000000000000004">
      <c r="B5" s="85" t="s">
        <v>12</v>
      </c>
      <c r="C5" s="85"/>
      <c r="D5" s="85"/>
      <c r="E5" s="54">
        <v>78129</v>
      </c>
      <c r="F5" s="54">
        <v>85200</v>
      </c>
      <c r="G5" s="54">
        <v>96169</v>
      </c>
    </row>
    <row r="6" spans="2:7" ht="14.7" thickBot="1" x14ac:dyDescent="0.6">
      <c r="B6" s="86" t="s">
        <v>13</v>
      </c>
      <c r="C6" s="86"/>
      <c r="D6" s="86"/>
      <c r="E6" s="55">
        <v>394328</v>
      </c>
      <c r="F6" s="55">
        <v>383285</v>
      </c>
      <c r="G6" s="55">
        <v>391035</v>
      </c>
    </row>
    <row r="7" spans="2:7" x14ac:dyDescent="0.55000000000000004">
      <c r="B7" s="81"/>
      <c r="C7" s="81"/>
      <c r="D7" s="81"/>
      <c r="E7" s="52"/>
      <c r="F7" s="52"/>
      <c r="G7" s="52"/>
    </row>
    <row r="8" spans="2:7" x14ac:dyDescent="0.55000000000000004">
      <c r="B8" s="84" t="s">
        <v>14</v>
      </c>
      <c r="C8" s="84"/>
      <c r="D8" s="84"/>
      <c r="E8" s="53"/>
      <c r="F8" s="53"/>
      <c r="G8" s="53"/>
    </row>
    <row r="9" spans="2:7" x14ac:dyDescent="0.55000000000000004">
      <c r="B9" s="85" t="s">
        <v>11</v>
      </c>
      <c r="C9" s="85"/>
      <c r="D9" s="85"/>
      <c r="E9" s="54" t="s">
        <v>17</v>
      </c>
      <c r="F9" s="54" t="s">
        <v>16</v>
      </c>
      <c r="G9" s="54" t="s">
        <v>15</v>
      </c>
    </row>
    <row r="10" spans="2:7" ht="14.7" thickBot="1" x14ac:dyDescent="0.6">
      <c r="B10" s="84" t="s">
        <v>12</v>
      </c>
      <c r="C10" s="84"/>
      <c r="D10" s="84"/>
      <c r="E10" s="55" t="s">
        <v>20</v>
      </c>
      <c r="F10" s="55" t="s">
        <v>19</v>
      </c>
      <c r="G10" s="55" t="s">
        <v>18</v>
      </c>
    </row>
    <row r="11" spans="2:7" ht="14.7" thickBot="1" x14ac:dyDescent="0.6">
      <c r="B11" s="83" t="s">
        <v>21</v>
      </c>
      <c r="C11" s="83"/>
      <c r="D11" s="83"/>
      <c r="E11" s="56" t="s">
        <v>24</v>
      </c>
      <c r="F11" s="56" t="s">
        <v>23</v>
      </c>
      <c r="G11" s="56" t="s">
        <v>22</v>
      </c>
    </row>
    <row r="12" spans="2:7" ht="14.7" thickBot="1" x14ac:dyDescent="0.6">
      <c r="B12" s="82" t="s">
        <v>25</v>
      </c>
      <c r="C12" s="82"/>
      <c r="D12" s="82"/>
      <c r="E12" s="57" t="s">
        <v>28</v>
      </c>
      <c r="F12" s="57" t="s">
        <v>27</v>
      </c>
      <c r="G12" s="57" t="s">
        <v>26</v>
      </c>
    </row>
    <row r="13" spans="2:7" x14ac:dyDescent="0.55000000000000004">
      <c r="B13" s="81"/>
      <c r="C13" s="81"/>
      <c r="D13" s="81"/>
      <c r="E13" s="58"/>
      <c r="F13" s="58"/>
      <c r="G13" s="58"/>
    </row>
    <row r="14" spans="2:7" x14ac:dyDescent="0.55000000000000004">
      <c r="B14" s="79" t="s">
        <v>29</v>
      </c>
      <c r="C14" s="79"/>
      <c r="D14" s="79"/>
      <c r="E14" s="53"/>
      <c r="F14" s="53"/>
      <c r="G14" s="53"/>
    </row>
    <row r="15" spans="2:7" x14ac:dyDescent="0.55000000000000004">
      <c r="B15" s="75" t="s">
        <v>30</v>
      </c>
      <c r="C15" s="75"/>
      <c r="D15" s="75"/>
      <c r="E15" s="54" t="s">
        <v>33</v>
      </c>
      <c r="F15" s="54" t="s">
        <v>32</v>
      </c>
      <c r="G15" s="54" t="s">
        <v>31</v>
      </c>
    </row>
    <row r="16" spans="2:7" ht="14.7" thickBot="1" x14ac:dyDescent="0.6">
      <c r="B16" s="76" t="s">
        <v>34</v>
      </c>
      <c r="C16" s="76"/>
      <c r="D16" s="76"/>
      <c r="E16" s="55" t="s">
        <v>37</v>
      </c>
      <c r="F16" s="55" t="s">
        <v>36</v>
      </c>
      <c r="G16" s="55" t="s">
        <v>35</v>
      </c>
    </row>
    <row r="17" spans="2:7" ht="14.7" thickBot="1" x14ac:dyDescent="0.6">
      <c r="B17" s="80" t="s">
        <v>38</v>
      </c>
      <c r="C17" s="80"/>
      <c r="D17" s="80"/>
      <c r="E17" s="56" t="s">
        <v>41</v>
      </c>
      <c r="F17" s="56" t="s">
        <v>40</v>
      </c>
      <c r="G17" s="56" t="s">
        <v>39</v>
      </c>
    </row>
    <row r="18" spans="2:7" x14ac:dyDescent="0.55000000000000004">
      <c r="B18" s="78"/>
      <c r="C18" s="78"/>
      <c r="D18" s="78"/>
      <c r="E18" s="59"/>
      <c r="F18" s="59"/>
      <c r="G18" s="59"/>
    </row>
    <row r="19" spans="2:7" x14ac:dyDescent="0.55000000000000004">
      <c r="B19" s="77" t="s">
        <v>42</v>
      </c>
      <c r="C19" s="77"/>
      <c r="D19" s="77"/>
      <c r="E19" s="54" t="s">
        <v>45</v>
      </c>
      <c r="F19" s="54" t="s">
        <v>44</v>
      </c>
      <c r="G19" s="54" t="s">
        <v>43</v>
      </c>
    </row>
    <row r="20" spans="2:7" ht="14.7" thickBot="1" x14ac:dyDescent="0.6">
      <c r="B20" s="79" t="s">
        <v>46</v>
      </c>
      <c r="C20" s="79"/>
      <c r="D20" s="79"/>
      <c r="E20" s="55">
        <v>-334</v>
      </c>
      <c r="F20" s="55">
        <v>-565</v>
      </c>
      <c r="G20" s="55" t="s">
        <v>47</v>
      </c>
    </row>
    <row r="21" spans="2:7" ht="22.8" customHeight="1" x14ac:dyDescent="0.55000000000000004">
      <c r="B21" s="77" t="s">
        <v>48</v>
      </c>
      <c r="C21" s="77"/>
      <c r="D21" s="77"/>
      <c r="E21" s="60" t="s">
        <v>51</v>
      </c>
      <c r="F21" s="60" t="s">
        <v>50</v>
      </c>
      <c r="G21" s="60" t="s">
        <v>49</v>
      </c>
    </row>
    <row r="22" spans="2:7" ht="14.7" thickBot="1" x14ac:dyDescent="0.6">
      <c r="B22" s="79" t="s">
        <v>52</v>
      </c>
      <c r="C22" s="79"/>
      <c r="D22" s="79"/>
      <c r="E22" s="55" t="s">
        <v>55</v>
      </c>
      <c r="F22" s="55" t="s">
        <v>54</v>
      </c>
      <c r="G22" s="55" t="s">
        <v>53</v>
      </c>
    </row>
    <row r="23" spans="2:7" ht="14.7" thickBot="1" x14ac:dyDescent="0.6">
      <c r="B23" s="77" t="s">
        <v>56</v>
      </c>
      <c r="C23" s="77"/>
      <c r="D23" s="77"/>
      <c r="E23" s="60" t="s">
        <v>59</v>
      </c>
      <c r="F23" s="60" t="s">
        <v>58</v>
      </c>
      <c r="G23" s="60" t="s">
        <v>57</v>
      </c>
    </row>
    <row r="24" spans="2:7" ht="14.7" thickTop="1" x14ac:dyDescent="0.55000000000000004">
      <c r="B24" s="78"/>
      <c r="C24" s="78"/>
      <c r="D24" s="78"/>
      <c r="E24" s="51"/>
      <c r="F24" s="51"/>
      <c r="G24" s="51"/>
    </row>
    <row r="25" spans="2:7" x14ac:dyDescent="0.55000000000000004">
      <c r="B25" s="77" t="s">
        <v>60</v>
      </c>
      <c r="C25" s="77"/>
      <c r="D25" s="77"/>
      <c r="E25" s="48"/>
      <c r="F25" s="48"/>
      <c r="G25" s="48"/>
    </row>
    <row r="26" spans="2:7" x14ac:dyDescent="0.55000000000000004">
      <c r="B26" s="76" t="s">
        <v>61</v>
      </c>
      <c r="C26" s="76"/>
      <c r="D26" s="76"/>
      <c r="E26" s="47" t="s">
        <v>64</v>
      </c>
      <c r="F26" s="47" t="s">
        <v>63</v>
      </c>
      <c r="G26" s="47" t="s">
        <v>62</v>
      </c>
    </row>
    <row r="27" spans="2:7" x14ac:dyDescent="0.55000000000000004">
      <c r="B27" s="75" t="s">
        <v>65</v>
      </c>
      <c r="C27" s="75"/>
      <c r="D27" s="75"/>
      <c r="E27" s="50" t="s">
        <v>62</v>
      </c>
      <c r="F27" s="50" t="s">
        <v>67</v>
      </c>
      <c r="G27" s="50" t="s">
        <v>66</v>
      </c>
    </row>
    <row r="28" spans="2:7" x14ac:dyDescent="0.55000000000000004">
      <c r="B28" s="78"/>
      <c r="C28" s="78"/>
      <c r="D28" s="78"/>
      <c r="E28" s="49"/>
      <c r="F28" s="49"/>
      <c r="G28" s="49"/>
    </row>
    <row r="29" spans="2:7" ht="22.8" customHeight="1" x14ac:dyDescent="0.55000000000000004">
      <c r="B29" s="77" t="s">
        <v>68</v>
      </c>
      <c r="C29" s="77"/>
      <c r="D29" s="77"/>
      <c r="E29" s="48"/>
      <c r="F29" s="48"/>
      <c r="G29" s="48"/>
    </row>
    <row r="30" spans="2:7" ht="14.4" customHeight="1" x14ac:dyDescent="0.55000000000000004">
      <c r="B30" s="76" t="s">
        <v>61</v>
      </c>
      <c r="C30" s="76"/>
      <c r="D30" s="76"/>
      <c r="E30" s="45" t="s">
        <v>71</v>
      </c>
      <c r="F30" s="45" t="s">
        <v>70</v>
      </c>
      <c r="G30" s="45" t="s">
        <v>69</v>
      </c>
    </row>
    <row r="31" spans="2:7" ht="14.4" customHeight="1" x14ac:dyDescent="0.55000000000000004">
      <c r="B31" s="75" t="s">
        <v>65</v>
      </c>
      <c r="C31" s="75"/>
      <c r="D31" s="75"/>
      <c r="E31" s="46" t="s">
        <v>74</v>
      </c>
      <c r="F31" s="46" t="s">
        <v>73</v>
      </c>
      <c r="G31" s="46" t="s">
        <v>72</v>
      </c>
    </row>
  </sheetData>
  <mergeCells count="29">
    <mergeCell ref="B4:D4"/>
    <mergeCell ref="B5:D5"/>
    <mergeCell ref="B3:D3"/>
    <mergeCell ref="B10:D10"/>
    <mergeCell ref="B9:D9"/>
    <mergeCell ref="B8:D8"/>
    <mergeCell ref="B7:D7"/>
    <mergeCell ref="B6:D6"/>
    <mergeCell ref="B15:D15"/>
    <mergeCell ref="B14:D14"/>
    <mergeCell ref="B13:D13"/>
    <mergeCell ref="B12:D12"/>
    <mergeCell ref="B11:D11"/>
    <mergeCell ref="B20:D20"/>
    <mergeCell ref="B19:D19"/>
    <mergeCell ref="B18:D18"/>
    <mergeCell ref="B17:D17"/>
    <mergeCell ref="B16:D16"/>
    <mergeCell ref="B25:D25"/>
    <mergeCell ref="B23:D23"/>
    <mergeCell ref="B24:D24"/>
    <mergeCell ref="B22:D22"/>
    <mergeCell ref="B21:D21"/>
    <mergeCell ref="B31:D31"/>
    <mergeCell ref="B30:D30"/>
    <mergeCell ref="B29:D29"/>
    <mergeCell ref="B28:D28"/>
    <mergeCell ref="B26:D26"/>
    <mergeCell ref="B27:D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260BE-4815-4CD5-A9CA-B735ABF42C42}">
  <dimension ref="B1:I42"/>
  <sheetViews>
    <sheetView showGridLines="0" workbookViewId="0">
      <selection activeCell="G11" sqref="G11"/>
    </sheetView>
  </sheetViews>
  <sheetFormatPr defaultRowHeight="14.4" x14ac:dyDescent="0.55000000000000004"/>
  <sheetData>
    <row r="1" spans="2:8" x14ac:dyDescent="0.55000000000000004">
      <c r="E1">
        <v>2023</v>
      </c>
      <c r="F1">
        <v>2024</v>
      </c>
    </row>
    <row r="2" spans="2:8" ht="14.4" customHeight="1" x14ac:dyDescent="0.55000000000000004">
      <c r="B2" s="79" t="s">
        <v>76</v>
      </c>
      <c r="C2" s="79"/>
      <c r="D2" s="79"/>
      <c r="E2" s="9"/>
      <c r="F2" s="4"/>
    </row>
    <row r="3" spans="2:8" ht="14.4" customHeight="1" x14ac:dyDescent="0.55000000000000004">
      <c r="B3" s="9"/>
      <c r="C3" s="9"/>
      <c r="D3" s="9"/>
      <c r="E3" s="9"/>
      <c r="F3" s="4"/>
    </row>
    <row r="4" spans="2:8" ht="14.4" customHeight="1" x14ac:dyDescent="0.55000000000000004">
      <c r="B4" s="75" t="s">
        <v>77</v>
      </c>
      <c r="C4" s="75"/>
      <c r="D4" s="75"/>
      <c r="E4" s="5" t="s">
        <v>79</v>
      </c>
      <c r="F4" s="5" t="s">
        <v>78</v>
      </c>
    </row>
    <row r="5" spans="2:8" ht="14.4" customHeight="1" x14ac:dyDescent="0.55000000000000004">
      <c r="B5" s="76" t="s">
        <v>80</v>
      </c>
      <c r="C5" s="76"/>
      <c r="D5" s="76"/>
      <c r="E5" s="3" t="s">
        <v>82</v>
      </c>
      <c r="F5" s="3" t="s">
        <v>81</v>
      </c>
    </row>
    <row r="6" spans="2:8" ht="14.4" customHeight="1" x14ac:dyDescent="0.55000000000000004">
      <c r="B6" s="75" t="s">
        <v>83</v>
      </c>
      <c r="C6" s="75"/>
      <c r="D6" s="75"/>
      <c r="E6" s="5" t="s">
        <v>85</v>
      </c>
      <c r="F6" s="5" t="s">
        <v>84</v>
      </c>
    </row>
    <row r="7" spans="2:8" ht="14.4" customHeight="1" x14ac:dyDescent="0.55000000000000004">
      <c r="B7" s="76" t="s">
        <v>86</v>
      </c>
      <c r="C7" s="76"/>
      <c r="D7" s="76"/>
      <c r="E7" s="3" t="s">
        <v>88</v>
      </c>
      <c r="F7" s="3" t="s">
        <v>87</v>
      </c>
    </row>
    <row r="8" spans="2:8" ht="14.4" customHeight="1" x14ac:dyDescent="0.55000000000000004">
      <c r="B8" s="75" t="s">
        <v>89</v>
      </c>
      <c r="C8" s="75"/>
      <c r="D8" s="75"/>
      <c r="E8" s="5" t="s">
        <v>91</v>
      </c>
      <c r="F8" s="5" t="s">
        <v>90</v>
      </c>
    </row>
    <row r="9" spans="2:8" ht="14.7" customHeight="1" thickBot="1" x14ac:dyDescent="0.6">
      <c r="B9" s="76" t="s">
        <v>92</v>
      </c>
      <c r="C9" s="76"/>
      <c r="D9" s="76"/>
      <c r="E9" s="12" t="s">
        <v>94</v>
      </c>
      <c r="F9" s="12" t="s">
        <v>93</v>
      </c>
    </row>
    <row r="10" spans="2:8" ht="14.4" customHeight="1" x14ac:dyDescent="0.55000000000000004">
      <c r="B10" s="80" t="s">
        <v>95</v>
      </c>
      <c r="C10" s="80"/>
      <c r="D10" s="80"/>
      <c r="E10" s="8" t="s">
        <v>97</v>
      </c>
      <c r="F10" s="8" t="s">
        <v>96</v>
      </c>
    </row>
    <row r="11" spans="2:8" x14ac:dyDescent="0.55000000000000004">
      <c r="B11" s="78"/>
      <c r="C11" s="78"/>
      <c r="D11" s="78"/>
      <c r="E11" s="4"/>
      <c r="F11" s="4"/>
      <c r="H11" s="22"/>
    </row>
    <row r="12" spans="2:8" ht="14.4" customHeight="1" x14ac:dyDescent="0.55000000000000004">
      <c r="B12" s="77" t="s">
        <v>98</v>
      </c>
      <c r="C12" s="77"/>
      <c r="D12" s="77"/>
      <c r="E12" s="6"/>
      <c r="F12" s="6"/>
    </row>
    <row r="13" spans="2:8" ht="14.4" customHeight="1" x14ac:dyDescent="0.55000000000000004">
      <c r="B13" s="76" t="s">
        <v>80</v>
      </c>
      <c r="C13" s="76"/>
      <c r="D13" s="76"/>
      <c r="E13" s="3" t="s">
        <v>100</v>
      </c>
      <c r="F13" s="3" t="s">
        <v>99</v>
      </c>
    </row>
    <row r="14" spans="2:8" ht="14.4" customHeight="1" x14ac:dyDescent="0.55000000000000004">
      <c r="B14" s="75" t="s">
        <v>101</v>
      </c>
      <c r="C14" s="75"/>
      <c r="D14" s="75"/>
      <c r="E14" s="5" t="s">
        <v>103</v>
      </c>
      <c r="F14" s="5" t="s">
        <v>102</v>
      </c>
    </row>
    <row r="15" spans="2:8" ht="14.7" customHeight="1" thickBot="1" x14ac:dyDescent="0.6">
      <c r="B15" s="76" t="s">
        <v>104</v>
      </c>
      <c r="C15" s="76"/>
      <c r="D15" s="76"/>
      <c r="E15" s="12" t="s">
        <v>106</v>
      </c>
      <c r="F15" s="12" t="s">
        <v>105</v>
      </c>
    </row>
    <row r="16" spans="2:8" ht="14.7" customHeight="1" thickBot="1" x14ac:dyDescent="0.6">
      <c r="B16" s="80" t="s">
        <v>107</v>
      </c>
      <c r="C16" s="80"/>
      <c r="D16" s="80"/>
      <c r="E16" s="13" t="s">
        <v>109</v>
      </c>
      <c r="F16" s="13" t="s">
        <v>108</v>
      </c>
    </row>
    <row r="17" spans="2:9" ht="14.7" customHeight="1" thickBot="1" x14ac:dyDescent="0.6">
      <c r="B17" s="88" t="s">
        <v>110</v>
      </c>
      <c r="C17" s="88"/>
      <c r="D17" s="88"/>
      <c r="E17" s="7" t="s">
        <v>112</v>
      </c>
      <c r="F17" s="7" t="s">
        <v>111</v>
      </c>
    </row>
    <row r="18" spans="2:9" ht="14.7" thickTop="1" x14ac:dyDescent="0.55000000000000004">
      <c r="B18" s="81"/>
      <c r="C18" s="81"/>
      <c r="D18" s="81"/>
      <c r="E18" s="15"/>
      <c r="F18" s="15"/>
    </row>
    <row r="19" spans="2:9" ht="14.4" customHeight="1" x14ac:dyDescent="0.55000000000000004">
      <c r="B19" s="21" t="s">
        <v>113</v>
      </c>
      <c r="C19" s="16"/>
      <c r="D19" s="16"/>
      <c r="E19" s="16"/>
      <c r="F19" s="16"/>
    </row>
    <row r="20" spans="2:9" ht="14.4" customHeight="1" x14ac:dyDescent="0.55000000000000004">
      <c r="B20" s="77" t="s">
        <v>114</v>
      </c>
      <c r="C20" s="77"/>
      <c r="D20" s="77"/>
      <c r="E20" s="6"/>
      <c r="F20" s="6"/>
    </row>
    <row r="21" spans="2:9" ht="14.4" customHeight="1" x14ac:dyDescent="0.55000000000000004">
      <c r="B21" s="76" t="s">
        <v>115</v>
      </c>
      <c r="C21" s="76"/>
      <c r="D21" s="76"/>
      <c r="E21" s="3" t="s">
        <v>117</v>
      </c>
      <c r="F21" s="3" t="s">
        <v>116</v>
      </c>
    </row>
    <row r="22" spans="2:9" ht="14.4" customHeight="1" x14ac:dyDescent="0.55000000000000004">
      <c r="B22" s="75" t="s">
        <v>118</v>
      </c>
      <c r="C22" s="75"/>
      <c r="D22" s="75"/>
      <c r="E22" s="5" t="s">
        <v>120</v>
      </c>
      <c r="F22" s="5" t="s">
        <v>119</v>
      </c>
    </row>
    <row r="23" spans="2:9" ht="14.4" customHeight="1" x14ac:dyDescent="0.55000000000000004">
      <c r="B23" s="76" t="s">
        <v>121</v>
      </c>
      <c r="C23" s="76"/>
      <c r="D23" s="76"/>
      <c r="E23" s="3" t="s">
        <v>123</v>
      </c>
      <c r="F23" s="3" t="s">
        <v>122</v>
      </c>
    </row>
    <row r="24" spans="2:9" ht="14.4" customHeight="1" x14ac:dyDescent="0.55000000000000004">
      <c r="B24" s="75" t="s">
        <v>124</v>
      </c>
      <c r="C24" s="75"/>
      <c r="D24" s="75"/>
      <c r="E24" s="5" t="s">
        <v>126</v>
      </c>
      <c r="F24" s="5" t="s">
        <v>125</v>
      </c>
    </row>
    <row r="25" spans="2:9" ht="14.7" customHeight="1" thickBot="1" x14ac:dyDescent="0.6">
      <c r="B25" s="76" t="s">
        <v>127</v>
      </c>
      <c r="C25" s="76"/>
      <c r="D25" s="76"/>
      <c r="E25" s="12" t="s">
        <v>129</v>
      </c>
      <c r="F25" s="12" t="s">
        <v>128</v>
      </c>
    </row>
    <row r="26" spans="2:9" ht="14.4" customHeight="1" x14ac:dyDescent="0.55000000000000004">
      <c r="B26" s="80" t="s">
        <v>130</v>
      </c>
      <c r="C26" s="80"/>
      <c r="D26" s="80"/>
      <c r="E26" s="8" t="s">
        <v>132</v>
      </c>
      <c r="F26" s="8" t="s">
        <v>131</v>
      </c>
      <c r="I26" s="22"/>
    </row>
    <row r="27" spans="2:9" x14ac:dyDescent="0.55000000000000004">
      <c r="B27" s="78"/>
      <c r="C27" s="78"/>
      <c r="D27" s="78"/>
      <c r="E27" s="4"/>
      <c r="F27" s="4"/>
    </row>
    <row r="28" spans="2:9" ht="14.4" customHeight="1" x14ac:dyDescent="0.55000000000000004">
      <c r="B28" s="77" t="s">
        <v>133</v>
      </c>
      <c r="C28" s="77"/>
      <c r="D28" s="77"/>
      <c r="E28" s="6"/>
      <c r="F28" s="6"/>
    </row>
    <row r="29" spans="2:9" ht="14.4" customHeight="1" x14ac:dyDescent="0.55000000000000004">
      <c r="B29" s="76" t="s">
        <v>127</v>
      </c>
      <c r="C29" s="76"/>
      <c r="D29" s="76"/>
      <c r="E29" s="3" t="s">
        <v>135</v>
      </c>
      <c r="F29" s="3" t="s">
        <v>134</v>
      </c>
    </row>
    <row r="30" spans="2:9" ht="14.7" customHeight="1" thickBot="1" x14ac:dyDescent="0.6">
      <c r="B30" s="75" t="s">
        <v>136</v>
      </c>
      <c r="C30" s="75"/>
      <c r="D30" s="75"/>
      <c r="E30" s="11" t="s">
        <v>138</v>
      </c>
      <c r="F30" s="11" t="s">
        <v>137</v>
      </c>
    </row>
    <row r="31" spans="2:9" ht="14.7" customHeight="1" thickBot="1" x14ac:dyDescent="0.6">
      <c r="B31" s="92" t="s">
        <v>139</v>
      </c>
      <c r="C31" s="92"/>
      <c r="D31" s="92"/>
      <c r="E31" s="14" t="s">
        <v>141</v>
      </c>
      <c r="F31" s="14" t="s">
        <v>140</v>
      </c>
    </row>
    <row r="32" spans="2:9" ht="14.7" customHeight="1" thickBot="1" x14ac:dyDescent="0.6">
      <c r="B32" s="91" t="s">
        <v>142</v>
      </c>
      <c r="C32" s="91"/>
      <c r="D32" s="91"/>
      <c r="E32" s="13" t="s">
        <v>144</v>
      </c>
      <c r="F32" s="13" t="s">
        <v>143</v>
      </c>
    </row>
    <row r="33" spans="2:6" x14ac:dyDescent="0.55000000000000004">
      <c r="B33" s="78"/>
      <c r="C33" s="78"/>
      <c r="D33" s="78"/>
      <c r="E33" s="10"/>
      <c r="F33" s="10"/>
    </row>
    <row r="34" spans="2:6" ht="14.4" customHeight="1" x14ac:dyDescent="0.55000000000000004">
      <c r="B34" s="77" t="s">
        <v>145</v>
      </c>
      <c r="C34" s="77"/>
      <c r="D34" s="77"/>
      <c r="E34" s="6"/>
      <c r="F34" s="6"/>
    </row>
    <row r="35" spans="2:6" x14ac:dyDescent="0.55000000000000004">
      <c r="B35" s="78"/>
      <c r="C35" s="78"/>
      <c r="D35" s="78"/>
      <c r="E35" s="4"/>
      <c r="F35" s="4"/>
    </row>
    <row r="36" spans="2:6" ht="14.4" customHeight="1" x14ac:dyDescent="0.55000000000000004">
      <c r="B36" s="77" t="s">
        <v>146</v>
      </c>
      <c r="C36" s="77"/>
      <c r="D36" s="77"/>
      <c r="E36" s="6"/>
      <c r="F36" s="6"/>
    </row>
    <row r="37" spans="2:6" ht="57" customHeight="1" x14ac:dyDescent="0.55000000000000004">
      <c r="B37" s="90" t="s">
        <v>147</v>
      </c>
      <c r="C37" s="90"/>
      <c r="D37" s="90"/>
      <c r="E37" s="3" t="s">
        <v>149</v>
      </c>
      <c r="F37" s="3" t="s">
        <v>148</v>
      </c>
    </row>
    <row r="38" spans="2:6" ht="14.4" customHeight="1" x14ac:dyDescent="0.55000000000000004">
      <c r="B38" s="83" t="s">
        <v>150</v>
      </c>
      <c r="C38" s="83"/>
      <c r="D38" s="83"/>
      <c r="E38" s="5">
        <v>-214</v>
      </c>
      <c r="F38" s="18">
        <v>-19154</v>
      </c>
    </row>
    <row r="39" spans="2:6" ht="22.8" customHeight="1" thickBot="1" x14ac:dyDescent="0.6">
      <c r="B39" s="89" t="s">
        <v>151</v>
      </c>
      <c r="C39" s="89"/>
      <c r="D39" s="89"/>
      <c r="E39" s="20">
        <v>-11452</v>
      </c>
      <c r="F39" s="20">
        <v>-7172</v>
      </c>
    </row>
    <row r="40" spans="2:6" ht="14.7" customHeight="1" thickBot="1" x14ac:dyDescent="0.6">
      <c r="B40" s="80" t="s">
        <v>152</v>
      </c>
      <c r="C40" s="80"/>
      <c r="D40" s="80"/>
      <c r="E40" s="13" t="s">
        <v>154</v>
      </c>
      <c r="F40" s="13" t="s">
        <v>153</v>
      </c>
    </row>
    <row r="41" spans="2:6" ht="22.8" customHeight="1" thickBot="1" x14ac:dyDescent="0.6">
      <c r="B41" s="88" t="s">
        <v>155</v>
      </c>
      <c r="C41" s="88"/>
      <c r="D41" s="88"/>
      <c r="E41" s="19" t="s">
        <v>112</v>
      </c>
      <c r="F41" s="19" t="s">
        <v>111</v>
      </c>
    </row>
    <row r="42" spans="2:6" ht="14.7" thickTop="1" x14ac:dyDescent="0.55000000000000004"/>
  </sheetData>
  <mergeCells count="38">
    <mergeCell ref="B2:D2"/>
    <mergeCell ref="B4:D4"/>
    <mergeCell ref="B9:D9"/>
    <mergeCell ref="B10:D10"/>
    <mergeCell ref="B7:D7"/>
    <mergeCell ref="B8:D8"/>
    <mergeCell ref="B5:D5"/>
    <mergeCell ref="B6:D6"/>
    <mergeCell ref="B15:D15"/>
    <mergeCell ref="B16:D16"/>
    <mergeCell ref="B13:D13"/>
    <mergeCell ref="B14:D14"/>
    <mergeCell ref="B11:D11"/>
    <mergeCell ref="B12:D12"/>
    <mergeCell ref="B22:D22"/>
    <mergeCell ref="B23:D23"/>
    <mergeCell ref="B20:D20"/>
    <mergeCell ref="B21:D21"/>
    <mergeCell ref="B17:D17"/>
    <mergeCell ref="B18:D18"/>
    <mergeCell ref="B28:D28"/>
    <mergeCell ref="B29:D29"/>
    <mergeCell ref="B26:D26"/>
    <mergeCell ref="B27:D27"/>
    <mergeCell ref="B24:D24"/>
    <mergeCell ref="B25:D25"/>
    <mergeCell ref="B34:D34"/>
    <mergeCell ref="B35:D35"/>
    <mergeCell ref="B32:D32"/>
    <mergeCell ref="B33:D33"/>
    <mergeCell ref="B30:D30"/>
    <mergeCell ref="B31:D31"/>
    <mergeCell ref="B40:D40"/>
    <mergeCell ref="B41:D41"/>
    <mergeCell ref="B38:D38"/>
    <mergeCell ref="B39:D39"/>
    <mergeCell ref="B36:D36"/>
    <mergeCell ref="B37:D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 ME</vt:lpstr>
      <vt:lpstr>DCF</vt:lpstr>
      <vt:lpstr>WACC</vt:lpstr>
      <vt:lpstr>Income Statement</vt:lpstr>
      <vt:lpstr>Balance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Schantz, Hudson</dc:creator>
  <cp:lastModifiedBy>Schantz, Hudson</cp:lastModifiedBy>
  <dcterms:created xsi:type="dcterms:W3CDTF">2025-02-25T15:06:02Z</dcterms:created>
  <dcterms:modified xsi:type="dcterms:W3CDTF">2025-02-26T16:24:21Z</dcterms:modified>
</cp:coreProperties>
</file>