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Owner\Documents\"/>
    </mc:Choice>
  </mc:AlternateContent>
  <xr:revisionPtr revIDLastSave="0" documentId="8_{4E8F8DD2-E8E2-44B8-8DEE-4229BA71E937}" xr6:coauthVersionLast="47" xr6:coauthVersionMax="47" xr10:uidLastSave="{00000000-0000-0000-0000-000000000000}"/>
  <bookViews>
    <workbookView xWindow="-96" yWindow="-96" windowWidth="23232" windowHeight="12432" xr2:uid="{C321EE54-D1B2-4434-9F21-2C21AFADEF78}"/>
  </bookViews>
  <sheets>
    <sheet name="READ ME" sheetId="5" r:id="rId1"/>
    <sheet name="DCF" sheetId="1" r:id="rId2"/>
    <sheet name="WACC" sheetId="2" r:id="rId3"/>
    <sheet name="Income Statement" sheetId="3" r:id="rId4"/>
    <sheet name="Balance Shee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1" l="1"/>
  <c r="D20" i="1"/>
  <c r="D15" i="2"/>
  <c r="D5" i="2"/>
  <c r="K71" i="1"/>
  <c r="L71" i="1"/>
  <c r="M71" i="1"/>
  <c r="N71" i="1"/>
  <c r="O71" i="1"/>
  <c r="J71" i="1"/>
  <c r="K56" i="1"/>
  <c r="L56" i="1"/>
  <c r="M56" i="1"/>
  <c r="N56" i="1"/>
  <c r="O56" i="1"/>
  <c r="J56" i="1"/>
  <c r="K50" i="1"/>
  <c r="L50" i="1"/>
  <c r="M50" i="1"/>
  <c r="N50" i="1"/>
  <c r="O50" i="1"/>
  <c r="J50" i="1"/>
  <c r="G76" i="1"/>
  <c r="H76" i="1"/>
  <c r="I76" i="1"/>
  <c r="F76" i="1"/>
  <c r="G70" i="1"/>
  <c r="G71" i="1" s="1"/>
  <c r="H70" i="1"/>
  <c r="H71" i="1" s="1"/>
  <c r="F70" i="1"/>
  <c r="F71" i="1" s="1"/>
  <c r="G64" i="1"/>
  <c r="G65" i="1" s="1"/>
  <c r="H64" i="1"/>
  <c r="H65" i="1" s="1"/>
  <c r="F64" i="1"/>
  <c r="F65" i="1" s="1"/>
  <c r="G62" i="1"/>
  <c r="H62" i="1"/>
  <c r="F62" i="1"/>
  <c r="I61" i="1"/>
  <c r="G56" i="1"/>
  <c r="H56" i="1"/>
  <c r="F56" i="1"/>
  <c r="I55" i="1"/>
  <c r="H50" i="1"/>
  <c r="G50" i="1"/>
  <c r="I49" i="1"/>
  <c r="I50" i="1" s="1"/>
  <c r="I42" i="1"/>
  <c r="I70" i="1" s="1"/>
  <c r="I71" i="1" s="1"/>
  <c r="I39" i="1"/>
  <c r="I31" i="1"/>
  <c r="I28" i="1"/>
  <c r="I34" i="1" s="1"/>
  <c r="I25" i="1"/>
  <c r="G43" i="1"/>
  <c r="H43" i="1"/>
  <c r="F43" i="1"/>
  <c r="H46" i="1"/>
  <c r="H77" i="1" s="1"/>
  <c r="G46" i="1"/>
  <c r="G77" i="1" s="1"/>
  <c r="F46" i="1"/>
  <c r="F77" i="1" s="1"/>
  <c r="G40" i="1"/>
  <c r="H40" i="1"/>
  <c r="F40" i="1"/>
  <c r="G34" i="1"/>
  <c r="G35" i="1" s="1"/>
  <c r="H34" i="1"/>
  <c r="H35" i="1" s="1"/>
  <c r="F34" i="1"/>
  <c r="F35" i="1" s="1"/>
  <c r="G32" i="1"/>
  <c r="H32" i="1"/>
  <c r="F32" i="1"/>
  <c r="G29" i="1"/>
  <c r="H29" i="1"/>
  <c r="F29" i="1"/>
  <c r="H26" i="1"/>
  <c r="G26" i="1"/>
  <c r="I62" i="1" l="1"/>
  <c r="I64" i="1"/>
  <c r="I65" i="1" s="1"/>
  <c r="I32" i="1"/>
  <c r="I56" i="1"/>
  <c r="J55" i="1"/>
  <c r="J61" i="1" s="1"/>
  <c r="I35" i="1"/>
  <c r="I43" i="1"/>
  <c r="I46" i="1"/>
  <c r="I77" i="1" s="1"/>
  <c r="J49" i="1"/>
  <c r="J67" i="1" s="1"/>
  <c r="I40" i="1"/>
  <c r="F67" i="1" s="1" a="1"/>
  <c r="F67" i="1" s="1"/>
  <c r="I29" i="1"/>
  <c r="I26" i="1"/>
  <c r="K49" i="1" l="1"/>
  <c r="K67" i="1" s="1"/>
  <c r="J64" i="1"/>
  <c r="K55" i="1"/>
  <c r="K61" i="1" s="1"/>
  <c r="J70" i="1"/>
  <c r="K70" i="1" l="1"/>
  <c r="J79" i="1"/>
  <c r="J80" i="1" s="1"/>
  <c r="J65" i="1"/>
  <c r="L49" i="1"/>
  <c r="L70" i="1" s="1"/>
  <c r="K64" i="1"/>
  <c r="K65" i="1" s="1"/>
  <c r="L55" i="1"/>
  <c r="L61" i="1" s="1"/>
  <c r="K79" i="1" l="1"/>
  <c r="K80" i="1" s="1"/>
  <c r="L67" i="1"/>
  <c r="M49" i="1"/>
  <c r="M70" i="1" s="1"/>
  <c r="L64" i="1"/>
  <c r="L65" i="1" s="1"/>
  <c r="M55" i="1"/>
  <c r="M61" i="1" s="1"/>
  <c r="M67" i="1" l="1"/>
  <c r="L79" i="1"/>
  <c r="L80" i="1" s="1"/>
  <c r="N55" i="1"/>
  <c r="N61" i="1" s="1"/>
  <c r="N49" i="1"/>
  <c r="N70" i="1" s="1"/>
  <c r="M64" i="1"/>
  <c r="O49" i="1" l="1"/>
  <c r="O67" i="1" s="1"/>
  <c r="M79" i="1"/>
  <c r="M80" i="1" s="1"/>
  <c r="N67" i="1"/>
  <c r="M65" i="1"/>
  <c r="O55" i="1"/>
  <c r="P87" i="1" s="1"/>
  <c r="N64" i="1"/>
  <c r="N65" i="1" s="1"/>
  <c r="O61" i="1" l="1"/>
  <c r="O64" i="1" s="1"/>
  <c r="O65" i="1" s="1"/>
  <c r="P88" i="1"/>
  <c r="O70" i="1"/>
  <c r="N79" i="1"/>
  <c r="N80" i="1" s="1"/>
  <c r="O79" i="1" l="1"/>
  <c r="O87" i="1" s="1"/>
  <c r="O88" i="1" s="1"/>
  <c r="O80" i="1" l="1"/>
  <c r="O89" i="1" l="1"/>
  <c r="O93" i="1" s="1"/>
  <c r="O95" i="1" s="1"/>
  <c r="C101" i="1" s="1"/>
  <c r="P89" i="1"/>
  <c r="P93" i="1" s="1"/>
  <c r="P95" i="1" s="1"/>
  <c r="J101" i="1" l="1"/>
  <c r="H7" i="1"/>
  <c r="H8" i="1" s="1"/>
  <c r="H5" i="1"/>
  <c r="H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<sst xmlns="http://schemas.openxmlformats.org/spreadsheetml/2006/main" count="262" uniqueCount="151">
  <si>
    <t>Chipotle Mexican Grill Discounted Cash Flow Analysis</t>
  </si>
  <si>
    <t>Ticker</t>
  </si>
  <si>
    <t>Date</t>
  </si>
  <si>
    <t>Fiscal Year End</t>
  </si>
  <si>
    <t>CMG</t>
  </si>
  <si>
    <t>Current Share Price</t>
  </si>
  <si>
    <t>Implied Share Price</t>
  </si>
  <si>
    <t>Percent Upside (Downside)</t>
  </si>
  <si>
    <t>x</t>
  </si>
  <si>
    <t>Assumptions</t>
  </si>
  <si>
    <t>Switches</t>
  </si>
  <si>
    <t>Revenue</t>
  </si>
  <si>
    <t>EBIT</t>
  </si>
  <si>
    <t>WACC</t>
  </si>
  <si>
    <t>TGR</t>
  </si>
  <si>
    <t>CapEx</t>
  </si>
  <si>
    <t>Income Statement</t>
  </si>
  <si>
    <t>2021A</t>
  </si>
  <si>
    <t>2022A</t>
  </si>
  <si>
    <t>2023A</t>
  </si>
  <si>
    <t>2024E</t>
  </si>
  <si>
    <t>2025P</t>
  </si>
  <si>
    <t>2026P</t>
  </si>
  <si>
    <t>2027P</t>
  </si>
  <si>
    <t>2028P</t>
  </si>
  <si>
    <t>2029P</t>
  </si>
  <si>
    <t>2030P</t>
  </si>
  <si>
    <t xml:space="preserve">  % growth</t>
  </si>
  <si>
    <t>Taxes</t>
  </si>
  <si>
    <t xml:space="preserve">  % EBIT</t>
  </si>
  <si>
    <t>EBIAT</t>
  </si>
  <si>
    <t xml:space="preserve">  % revenue</t>
  </si>
  <si>
    <t>-</t>
  </si>
  <si>
    <t>Cash Flow Items</t>
  </si>
  <si>
    <t>Depreciation &amp; Amoritization</t>
  </si>
  <si>
    <t>Change in NWC</t>
  </si>
  <si>
    <t>DCF</t>
  </si>
  <si>
    <t>2024E calculated from Q1-Q32024 * 1.33</t>
  </si>
  <si>
    <t xml:space="preserve">  Conservative Case</t>
  </si>
  <si>
    <t xml:space="preserve">  Street Case</t>
  </si>
  <si>
    <t xml:space="preserve">  Optimistic Case</t>
  </si>
  <si>
    <t>Unlevered Free Cash Flow</t>
  </si>
  <si>
    <t>PV of UFCF</t>
  </si>
  <si>
    <t>Period</t>
  </si>
  <si>
    <t>Discount Period</t>
  </si>
  <si>
    <t>PV of Terminal Value</t>
  </si>
  <si>
    <t>Enterprise Value</t>
  </si>
  <si>
    <t>(+) Cash</t>
  </si>
  <si>
    <t>(-) Minority Interest</t>
  </si>
  <si>
    <t>(-) Debt</t>
  </si>
  <si>
    <t>Equity Value</t>
  </si>
  <si>
    <t>Share Count</t>
  </si>
  <si>
    <t>Conservative Case</t>
  </si>
  <si>
    <t>Street Case</t>
  </si>
  <si>
    <t>Optimistic Case</t>
  </si>
  <si>
    <t>Revenue 2025</t>
  </si>
  <si>
    <t>Revenue 2030</t>
  </si>
  <si>
    <t>EBIT '25</t>
  </si>
  <si>
    <t>EBIT '30</t>
  </si>
  <si>
    <t>CHIPOTLE MEXICAN GRILL, INC.</t>
  </si>
  <si>
    <t>CONSOLIDATED STATEMENTS OF INCOME AND COMPREHENSIVE INCOME</t>
  </si>
  <si>
    <t>(in thousands, except per share data)</t>
  </si>
  <si>
    <t> Download Similar Tables Link</t>
  </si>
  <si>
    <t>Year ended December 31,</t>
  </si>
  <si>
    <t>Food and beverage revenue</t>
  </si>
  <si>
    <t>$</t>
  </si>
  <si>
    <t>Delivery service revenue</t>
  </si>
  <si>
    <t>Total 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</si>
  <si>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</si>
  <si>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</si>
  <si>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</si>
  <si>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</si>
  <si>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</si>
  <si>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</si>
  <si>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</si>
  <si>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</si>
  <si>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Impairment, closure costs, and asset disposals</t>
  </si>
  <si>
    <t>Total operating expenses</t>
  </si>
  <si>
    <t>Income from operations</t>
  </si>
  <si>
    <t>Interest and other income, net</t>
  </si>
  <si>
    <t>Income before income taxes</t>
  </si>
  <si>
    <t>Provision for income taxes</t>
  </si>
  <si>
    <t>Net income</t>
  </si>
  <si>
    <t>Earnings per share:</t>
  </si>
  <si>
    <t>Basic</t>
  </si>
  <si>
    <t>Diluted</t>
  </si>
  <si>
    <t>Weighted-average common shares outstanding:</t>
  </si>
  <si>
    <t>Other comprehensive income/(loss), net of income taxes:</t>
  </si>
  <si>
    <t>Foreign currency translation adjustments</t>
  </si>
  <si>
    <t xml:space="preserve">Comprehensive income </t>
  </si>
  <si>
    <t>CONSOLIDATED BALANCE SHEETS</t>
  </si>
  <si>
    <t>December 31,</t>
  </si>
  <si>
    <t>Assets</t>
  </si>
  <si>
    <t>Current assets:</t>
  </si>
  <si>
    <t>Cash and cash equivalents</t>
  </si>
  <si>
    <t>Accounts receivable, net</t>
  </si>
  <si>
    <t>Inventory</t>
  </si>
  <si>
    <t>Prepaid expenses and other current assets</t>
  </si>
  <si>
    <t>Income tax receivable</t>
  </si>
  <si>
    <t>Investments</t>
  </si>
  <si>
    <t>Total current assets</t>
  </si>
  <si>
    <t>Leasehold improvements, property and equipment, net</t>
  </si>
  <si>
    <t>Long-term investments</t>
  </si>
  <si>
    <t>Restricted cash</t>
  </si>
  <si>
    <t>Operating lease assets</t>
  </si>
  <si>
    <t>Other assets</t>
  </si>
  <si>
    <t>Goodwill</t>
  </si>
  <si>
    <t>Total assets</t>
  </si>
  <si>
    <t>Liabilities and shareholders' equity</t>
  </si>
  <si>
    <t>Current liabilities:</t>
  </si>
  <si>
    <t>Accounts payable</t>
  </si>
  <si>
    <t>Accrued payroll and benefits</t>
  </si>
  <si>
    <t>Accrued liabilities</t>
  </si>
  <si>
    <t>Unearned revenue</t>
  </si>
  <si>
    <t>Current operating lease liabilities</t>
  </si>
  <si>
    <t>Total current liabilities</t>
  </si>
  <si>
    <t>Commitments and contingencies (Note 11)</t>
  </si>
  <si>
    <t>Long-term operating lease liabilities</t>
  </si>
  <si>
    <t>Deferred income tax liabilities</t>
  </si>
  <si>
    <t>Other liabilities</t>
  </si>
  <si>
    <t>Total liabilities</t>
  </si>
  <si>
    <t>Shareholders' equity:</t>
  </si>
  <si>
    <t>Preferred stock, $0.01 par value, 600,000 shares authorized, no shares issued as of December 31, 2023 and December 31, 2022, respectively</t>
  </si>
  <si>
    <t>Common stock, $0.01 par value, 230,000 shares authorized, 37,483 and 37,320 shares issued as of December 31, 2023 and December 31, 2022, respectively</t>
  </si>
  <si>
    <t>Additional paid-in capital</t>
  </si>
  <si>
    <t>Treasury stock, at cost, 10,057 and 9,693 common shares as of December 31, 2023 and December 31, 2022, respectively</t>
  </si>
  <si>
    <t>Accumulated other comprehensive loss</t>
  </si>
  <si>
    <t>Retained earnings</t>
  </si>
  <si>
    <t>Total shareholders' equity</t>
  </si>
  <si>
    <t>Total liabilities and shareholders' equity</t>
  </si>
  <si>
    <r>
      <t>See</t>
    </r>
    <r>
      <rPr>
        <sz val="10"/>
        <color rgb="FF000000"/>
        <rFont val="Times New Roman"/>
        <family val="1"/>
      </rPr>
      <t xml:space="preserve"> </t>
    </r>
    <r>
      <rPr>
        <i/>
        <sz val="10"/>
        <color rgb="FF000000"/>
        <rFont val="Times New Roman"/>
        <family val="1"/>
      </rPr>
      <t>accompanying notes to consolidated financial statements.</t>
    </r>
  </si>
  <si>
    <t>Market Cap</t>
  </si>
  <si>
    <t>% of Equity</t>
  </si>
  <si>
    <t>Cost of Equity</t>
  </si>
  <si>
    <t>Risk Free Rate</t>
  </si>
  <si>
    <t>Beta</t>
  </si>
  <si>
    <t>Equity Risk Premium</t>
  </si>
  <si>
    <t>Debt</t>
  </si>
  <si>
    <t>Cost of Debt</t>
  </si>
  <si>
    <t>% of Debt</t>
  </si>
  <si>
    <t>Tax Rate</t>
  </si>
  <si>
    <t>Total</t>
  </si>
  <si>
    <t>All numbers in $000s except for share price</t>
  </si>
  <si>
    <t>Terminal Values Calculations</t>
  </si>
  <si>
    <t>Exit Multiple</t>
  </si>
  <si>
    <t>Multiple</t>
  </si>
  <si>
    <t>Implied Share Price TGR</t>
  </si>
  <si>
    <t>Implied Share Price Multiples</t>
  </si>
  <si>
    <t>Notes</t>
  </si>
  <si>
    <t>To avoid to much complexity, left Change in NWC at 0, can always go back to this an make adjustments but from looking at financial statements it doesn't look like there's anything that would be a deal breaker</t>
  </si>
  <si>
    <t>Didn't see any long term debt on balance sheet and claimed in 10K they are debt free but they do have operating lease liabilites, not sure if these can count as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</si>
</sst>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20"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b/>
      <u/>
      <sz val="11"/>
      <color theme="1"/>
      <name val="Aptos Narrow"/>
      <family val="2"/>
      <scheme val="minor"/>
    </font>
    <font>
      <i/>
      <sz val="11"/>
      <color theme="1"/>
      <name val="Aptos Narrow"/>
      <family val="2"/>
      <scheme val="minor"/>
    </font>
    <font>
      <i/>
      <sz val="11"/>
      <color theme="8"/>
      <name val="Aptos Narrow"/>
      <family val="2"/>
      <scheme val="minor"/>
    </font>
    <font>
      <i/>
      <sz val="11"/>
      <color theme="6" tint="-0.249977111117893"/>
      <name val="Aptos Narrow"/>
      <family val="2"/>
      <scheme val="minor"/>
    </font>
    <font>
      <sz val="11"/>
      <color theme="3"/>
      <name val="Aptos Narrow"/>
      <family val="2"/>
      <scheme val="minor"/>
    </font>
    <font>
      <sz val="10"/>
      <color rgb="FF000000"/>
      <name val="Times New Roman"/>
      <family val="1"/>
    </font>
    <font>
      <b/>
      <sz val="10"/>
      <color rgb="FF000000"/>
      <name val="Times New Roman"/>
      <family val="1"/>
    </font>
    <font>
      <sz val="1"/>
      <color rgb="FF000000"/>
      <name val="Times New Roman"/>
      <family val="1"/>
    </font>
    <font>
      <sz val="14"/>
      <color rgb="FF000000"/>
      <name val="Times New Roman"/>
      <family val="1"/>
    </font>
    <font>
      <sz val="1"/>
      <color theme="1"/>
      <name val="Times New Roman"/>
      <family val="1"/>
    </font>
    <font>
      <sz val="10"/>
      <color theme="1"/>
      <name val="Times New Roman"/>
      <family val="1"/>
    </font>
    <font>
      <i/>
      <sz val="10"/>
      <color rgb="FF000000"/>
      <name val="Times New Roman"/>
      <family val="1"/>
    </font>
    <font>
      <u/>
      <sz val="11"/>
      <color theme="1"/>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3"/>
        <bgColor indexed="64"/>
      </patternFill>
    </fill>
    <fill>
      <patternFill patternType="solid">
        <fgColor rgb="FFFFFFFF"/>
        <bgColor indexed="64"/>
      </patternFill>
    </fill>
    <fill>
      <patternFill patternType="solid">
        <fgColor rgb="FFCCEEFF"/>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medium">
        <color rgb="FF000000"/>
      </top>
      <bottom style="thick">
        <color rgb="FF000000"/>
      </bottom>
      <diagonal/>
    </border>
    <border>
      <left/>
      <right/>
      <top style="medium">
        <color rgb="FF000000"/>
      </top>
      <bottom/>
      <diagonal/>
    </border>
    <border>
      <left/>
      <right/>
      <top style="thick">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
      <left/>
      <right/>
      <top style="double">
        <color rgb="FF000000"/>
      </top>
      <bottom style="double">
        <color rgb="FF000000"/>
      </bottom>
      <diagonal/>
    </border>
    <border>
      <left/>
      <right/>
      <top/>
      <bottom style="thick">
        <color rgb="FF000000"/>
      </bottom>
      <diagonal/>
    </border>
    <border>
      <left/>
      <right/>
      <top style="thick">
        <color rgb="FF000000"/>
      </top>
      <bottom style="thick">
        <color rgb="FF000000"/>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5">
    <xf numFmtId="0" fontId="0" fillId="0" borderId="0" xfId="0"/>
    <xf numFmtId="0" fontId="4" fillId="0" borderId="0" xfId="0" applyFont="1"/>
    <xf numFmtId="0" fontId="6" fillId="0" borderId="0" xfId="0" applyFont="1"/>
    <xf numFmtId="0" fontId="0" fillId="0" borderId="1" xfId="0" applyBorder="1"/>
    <xf numFmtId="0" fontId="0" fillId="2" borderId="2" xfId="0" applyFill="1" applyBorder="1" applyAlignment="1">
      <alignment horizontal="center"/>
    </xf>
    <xf numFmtId="14" fontId="0" fillId="2" borderId="2" xfId="0" applyNumberFormat="1" applyFill="1" applyBorder="1"/>
    <xf numFmtId="0" fontId="0" fillId="0" borderId="2" xfId="0" applyBorder="1"/>
    <xf numFmtId="0" fontId="2" fillId="3" borderId="0" xfId="0" applyFont="1" applyFill="1"/>
    <xf numFmtId="0" fontId="7" fillId="0" borderId="0" xfId="0" applyFont="1"/>
    <xf numFmtId="0" fontId="2" fillId="0" borderId="0" xfId="0" applyFont="1" applyFill="1"/>
    <xf numFmtId="0" fontId="8" fillId="0" borderId="0" xfId="0" applyFont="1"/>
    <xf numFmtId="3" fontId="0" fillId="0" borderId="0" xfId="0" applyNumberFormat="1"/>
    <xf numFmtId="3" fontId="3" fillId="0" borderId="0" xfId="0" applyNumberFormat="1" applyFont="1"/>
    <xf numFmtId="9" fontId="0" fillId="0" borderId="0" xfId="2" applyFont="1"/>
    <xf numFmtId="9" fontId="9" fillId="0" borderId="0" xfId="2" applyFont="1"/>
    <xf numFmtId="0" fontId="0" fillId="0" borderId="3" xfId="0" applyBorder="1"/>
    <xf numFmtId="0" fontId="0" fillId="0" borderId="0" xfId="0" applyFill="1" applyBorder="1"/>
    <xf numFmtId="9" fontId="10" fillId="2" borderId="2" xfId="2" applyNumberFormat="1" applyFont="1" applyFill="1" applyBorder="1"/>
    <xf numFmtId="9" fontId="10" fillId="0" borderId="0" xfId="0" applyNumberFormat="1" applyFont="1"/>
    <xf numFmtId="3" fontId="11" fillId="0" borderId="0" xfId="0" applyNumberFormat="1" applyFont="1"/>
    <xf numFmtId="9" fontId="10" fillId="0" borderId="0" xfId="2" applyFont="1"/>
    <xf numFmtId="9" fontId="0" fillId="2" borderId="2" xfId="0" applyNumberFormat="1" applyFill="1" applyBorder="1"/>
    <xf numFmtId="3" fontId="4" fillId="0" borderId="0" xfId="0" applyNumberFormat="1" applyFont="1"/>
    <xf numFmtId="0" fontId="13" fillId="0" borderId="0" xfId="0" applyFont="1" applyAlignment="1">
      <alignment horizontal="center" vertical="center" wrapText="1"/>
    </xf>
    <xf numFmtId="0" fontId="15" fillId="0" borderId="0" xfId="0" applyFont="1" applyAlignment="1">
      <alignment horizontal="left" vertical="center" wrapText="1"/>
    </xf>
    <xf numFmtId="0" fontId="16" fillId="4" borderId="0" xfId="0" applyFont="1" applyFill="1" applyAlignment="1">
      <alignment wrapText="1"/>
    </xf>
    <xf numFmtId="0" fontId="12" fillId="4" borderId="0" xfId="0" applyFont="1" applyFill="1" applyAlignment="1">
      <alignment wrapText="1"/>
    </xf>
    <xf numFmtId="0" fontId="12" fillId="4" borderId="5" xfId="0" applyFont="1" applyFill="1" applyBorder="1" applyAlignment="1">
      <alignment wrapText="1"/>
    </xf>
    <xf numFmtId="0" fontId="12" fillId="5" borderId="0" xfId="0" applyFont="1" applyFill="1" applyAlignment="1">
      <alignment horizontal="left" vertical="center" wrapText="1"/>
    </xf>
    <xf numFmtId="0" fontId="12" fillId="5" borderId="6" xfId="0" applyFont="1" applyFill="1" applyBorder="1" applyAlignment="1">
      <alignment horizontal="left" vertical="center" wrapText="1"/>
    </xf>
    <xf numFmtId="3" fontId="12" fillId="5" borderId="6" xfId="0" applyNumberFormat="1" applyFont="1" applyFill="1" applyBorder="1" applyAlignment="1">
      <alignment horizontal="right" vertical="center" wrapText="1"/>
    </xf>
    <xf numFmtId="0" fontId="12" fillId="5" borderId="0" xfId="0" applyFont="1" applyFill="1" applyAlignment="1">
      <alignment wrapText="1"/>
    </xf>
    <xf numFmtId="3" fontId="12" fillId="5" borderId="5" xfId="0" applyNumberFormat="1" applyFont="1" applyFill="1" applyBorder="1" applyAlignment="1">
      <alignment horizontal="right" vertical="center" wrapText="1"/>
    </xf>
    <xf numFmtId="0" fontId="12" fillId="0" borderId="0" xfId="0" applyFont="1" applyAlignment="1">
      <alignment horizontal="left" vertical="center" wrapText="1"/>
    </xf>
    <xf numFmtId="0" fontId="12" fillId="0" borderId="7" xfId="0" applyFont="1" applyBorder="1" applyAlignment="1">
      <alignment wrapText="1"/>
    </xf>
    <xf numFmtId="3" fontId="12" fillId="0" borderId="7" xfId="0" applyNumberFormat="1" applyFont="1" applyBorder="1" applyAlignment="1">
      <alignment horizontal="right" vertical="center" wrapText="1"/>
    </xf>
    <xf numFmtId="0" fontId="12" fillId="0" borderId="0" xfId="0" applyFont="1" applyAlignment="1">
      <alignment wrapText="1"/>
    </xf>
    <xf numFmtId="0" fontId="12" fillId="5" borderId="0" xfId="0" applyFont="1" applyFill="1" applyAlignment="1">
      <alignment horizontal="left" vertical="center" wrapText="1" indent="3"/>
    </xf>
    <xf numFmtId="0" fontId="12" fillId="5" borderId="8" xfId="0" applyFont="1" applyFill="1" applyBorder="1" applyAlignment="1">
      <alignment wrapText="1"/>
    </xf>
    <xf numFmtId="3" fontId="12" fillId="5" borderId="8" xfId="0" applyNumberFormat="1" applyFont="1" applyFill="1" applyBorder="1" applyAlignment="1">
      <alignment horizontal="right" vertical="center" wrapText="1"/>
    </xf>
    <xf numFmtId="0" fontId="12" fillId="0" borderId="5" xfId="0" applyFont="1" applyBorder="1" applyAlignment="1">
      <alignment wrapText="1"/>
    </xf>
    <xf numFmtId="3" fontId="12" fillId="5" borderId="0" xfId="0" applyNumberFormat="1" applyFont="1" applyFill="1" applyAlignment="1">
      <alignment horizontal="right" vertical="center" wrapText="1"/>
    </xf>
    <xf numFmtId="0" fontId="12" fillId="0" borderId="0" xfId="0" applyFont="1" applyAlignment="1">
      <alignment horizontal="left" vertical="center" wrapText="1" indent="3"/>
    </xf>
    <xf numFmtId="3" fontId="12" fillId="0" borderId="0" xfId="0" applyNumberFormat="1" applyFont="1" applyAlignment="1">
      <alignment horizontal="right" vertical="center" wrapText="1"/>
    </xf>
    <xf numFmtId="3" fontId="12" fillId="0" borderId="5" xfId="0" applyNumberFormat="1" applyFont="1" applyBorder="1" applyAlignment="1">
      <alignment horizontal="right" vertical="center" wrapText="1"/>
    </xf>
    <xf numFmtId="0" fontId="12" fillId="5" borderId="7" xfId="0" applyFont="1" applyFill="1" applyBorder="1" applyAlignment="1">
      <alignment wrapText="1"/>
    </xf>
    <xf numFmtId="3" fontId="12" fillId="5" borderId="7" xfId="0" applyNumberFormat="1" applyFont="1" applyFill="1" applyBorder="1" applyAlignment="1">
      <alignment horizontal="right" vertical="center" wrapText="1"/>
    </xf>
    <xf numFmtId="0" fontId="12" fillId="0" borderId="9" xfId="0" applyFont="1" applyBorder="1" applyAlignment="1">
      <alignment horizontal="left" vertical="center" wrapText="1"/>
    </xf>
    <xf numFmtId="3" fontId="12" fillId="0" borderId="9" xfId="0" applyNumberFormat="1" applyFont="1" applyBorder="1" applyAlignment="1">
      <alignment horizontal="right" vertical="center" wrapText="1"/>
    </xf>
    <xf numFmtId="0" fontId="12" fillId="5" borderId="10" xfId="0" applyFont="1" applyFill="1" applyBorder="1" applyAlignment="1">
      <alignment wrapText="1"/>
    </xf>
    <xf numFmtId="0" fontId="12" fillId="0" borderId="11" xfId="0" applyFont="1" applyBorder="1" applyAlignment="1">
      <alignment horizontal="left" vertical="center" wrapText="1"/>
    </xf>
    <xf numFmtId="0" fontId="12" fillId="0" borderId="11" xfId="0" applyFont="1" applyBorder="1" applyAlignment="1">
      <alignment horizontal="right" vertical="center" wrapText="1"/>
    </xf>
    <xf numFmtId="0" fontId="12" fillId="5" borderId="12" xfId="0" applyFont="1" applyFill="1" applyBorder="1" applyAlignment="1">
      <alignment horizontal="left" vertical="center" wrapText="1"/>
    </xf>
    <xf numFmtId="0" fontId="12" fillId="5" borderId="12" xfId="0" applyFont="1" applyFill="1" applyBorder="1" applyAlignment="1">
      <alignment horizontal="right" vertical="center" wrapText="1"/>
    </xf>
    <xf numFmtId="0" fontId="12" fillId="0" borderId="10" xfId="0" applyFont="1" applyBorder="1" applyAlignment="1">
      <alignment wrapText="1"/>
    </xf>
    <xf numFmtId="0" fontId="12" fillId="5" borderId="11" xfId="0" applyFont="1" applyFill="1" applyBorder="1" applyAlignment="1">
      <alignment wrapText="1"/>
    </xf>
    <xf numFmtId="3" fontId="12" fillId="5" borderId="11" xfId="0" applyNumberFormat="1" applyFont="1" applyFill="1" applyBorder="1" applyAlignment="1">
      <alignment horizontal="right" vertical="center" wrapText="1"/>
    </xf>
    <xf numFmtId="0" fontId="12" fillId="0" borderId="12" xfId="0" applyFont="1" applyBorder="1" applyAlignment="1">
      <alignment wrapText="1"/>
    </xf>
    <xf numFmtId="3" fontId="12" fillId="0" borderId="12" xfId="0" applyNumberFormat="1" applyFont="1" applyBorder="1" applyAlignment="1">
      <alignment horizontal="right" vertical="center" wrapText="1"/>
    </xf>
    <xf numFmtId="0" fontId="12" fillId="5" borderId="9" xfId="0" applyFont="1" applyFill="1" applyBorder="1" applyAlignment="1">
      <alignment horizontal="left" vertical="center" wrapText="1"/>
    </xf>
    <xf numFmtId="3" fontId="12" fillId="5" borderId="9" xfId="0" applyNumberFormat="1" applyFont="1" applyFill="1" applyBorder="1" applyAlignment="1">
      <alignment horizontal="right" vertical="center" wrapText="1"/>
    </xf>
    <xf numFmtId="0" fontId="13" fillId="4" borderId="7"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2" fillId="4" borderId="6" xfId="0" applyFont="1" applyFill="1" applyBorder="1" applyAlignment="1">
      <alignment wrapText="1"/>
    </xf>
    <xf numFmtId="0" fontId="13" fillId="5" borderId="0" xfId="0" applyFont="1" applyFill="1" applyAlignment="1">
      <alignment horizontal="left" vertical="center" wrapText="1"/>
    </xf>
    <xf numFmtId="0" fontId="12" fillId="5" borderId="5" xfId="0" applyFont="1" applyFill="1" applyBorder="1" applyAlignment="1">
      <alignment wrapText="1"/>
    </xf>
    <xf numFmtId="0" fontId="17" fillId="5" borderId="0" xfId="0" applyFont="1" applyFill="1" applyAlignment="1">
      <alignment horizontal="right" vertical="center" wrapText="1"/>
    </xf>
    <xf numFmtId="0" fontId="12" fillId="5" borderId="0" xfId="0" applyFont="1" applyFill="1" applyAlignment="1">
      <alignment horizontal="right" vertical="center" wrapText="1"/>
    </xf>
    <xf numFmtId="0" fontId="12" fillId="0" borderId="0" xfId="0" applyFont="1" applyAlignment="1">
      <alignment horizontal="right" vertical="center" wrapText="1"/>
    </xf>
    <xf numFmtId="0" fontId="13" fillId="4" borderId="13"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8" fillId="0" borderId="0" xfId="0" applyFont="1" applyAlignment="1">
      <alignment horizontal="center" vertical="center" wrapText="1"/>
    </xf>
    <xf numFmtId="0" fontId="14" fillId="0" borderId="0" xfId="0" applyFont="1" applyAlignment="1">
      <alignment vertical="center" wrapText="1"/>
    </xf>
    <xf numFmtId="0" fontId="12" fillId="0" borderId="0" xfId="0" applyFont="1" applyAlignment="1">
      <alignment horizontal="center" vertical="center" wrapText="1"/>
    </xf>
    <xf numFmtId="0" fontId="0" fillId="2" borderId="0" xfId="0" applyFill="1"/>
    <xf numFmtId="6" fontId="0" fillId="2" borderId="0" xfId="0" applyNumberFormat="1" applyFill="1"/>
    <xf numFmtId="10" fontId="0" fillId="2" borderId="0" xfId="0" applyNumberFormat="1" applyFill="1"/>
    <xf numFmtId="9" fontId="0" fillId="2" borderId="0" xfId="0" applyNumberFormat="1" applyFill="1"/>
    <xf numFmtId="9" fontId="0" fillId="2" borderId="0" xfId="2" applyFont="1" applyFill="1"/>
    <xf numFmtId="10" fontId="0" fillId="2" borderId="2" xfId="0" applyNumberFormat="1" applyFill="1" applyBorder="1"/>
    <xf numFmtId="3" fontId="0" fillId="0" borderId="2" xfId="0" applyNumberFormat="1" applyFont="1" applyBorder="1"/>
    <xf numFmtId="3" fontId="0" fillId="0" borderId="2" xfId="0" applyNumberFormat="1" applyBorder="1"/>
    <xf numFmtId="44" fontId="0" fillId="0" borderId="2" xfId="1" applyFont="1" applyBorder="1"/>
    <xf numFmtId="44" fontId="0" fillId="2" borderId="2" xfId="0" applyNumberFormat="1" applyFill="1" applyBorder="1"/>
    <xf numFmtId="44" fontId="0" fillId="2" borderId="2" xfId="1" applyFont="1" applyFill="1" applyBorder="1"/>
    <xf numFmtId="9" fontId="0" fillId="2" borderId="2" xfId="2" applyFont="1" applyFill="1" applyBorder="1"/>
    <xf numFmtId="10" fontId="0" fillId="0" borderId="0" xfId="0" applyNumberFormat="1"/>
    <xf numFmtId="0" fontId="19" fillId="0" borderId="0" xfId="0" applyFont="1"/>
    <xf numFmtId="0" fontId="19" fillId="0" borderId="0" xfId="0" applyFont="1" applyAlignment="1">
      <alignment horizontal="right"/>
    </xf>
    <xf numFmtId="10" fontId="0" fillId="0" borderId="2" xfId="0" applyNumberFormat="1" applyBorder="1"/>
    <xf numFmtId="44" fontId="4" fillId="0" borderId="2" xfId="1" applyFont="1" applyBorder="1"/>
    <xf numFmtId="0" fontId="0" fillId="2" borderId="2" xfId="0" applyFill="1" applyBorder="1" applyAlignment="1">
      <alignment horizontal="right"/>
    </xf>
    <xf numFmtId="14" fontId="0" fillId="0" borderId="0" xfId="0" applyNumberFormat="1" applyFill="1" applyBorder="1"/>
    <xf numFmtId="44" fontId="0" fillId="2" borderId="2" xfId="2" applyNumberFormat="1" applyFont="1" applyFill="1" applyBorder="1"/>
    <xf numFmtId="44" fontId="5" fillId="0" borderId="0" xfId="0" applyNumberFormat="1" applyFont="1" applyBorder="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6A4FD-E0B9-4A65-A0EE-0BED761B2EF5}">
  <dimension ref="B3:B7"/>
  <sheetViews>
    <sheetView tabSelected="1" workbookViewId="0">
      <selection activeCell="B10" sqref="B10"/>
    </sheetView>
  </sheetViews>
  <sheetFormatPr defaultRowHeight="14.4" x14ac:dyDescent="0.55000000000000004"/>
  <sheetData>
    <row r="3" spans="2:2" x14ac:dyDescent="0.55000000000000004">
      <c r="B3" s="1" t="s">
        <v>148</v>
      </c>
    </row>
    <row r="5" spans="2:2" x14ac:dyDescent="0.55000000000000004">
      <c r="B5" t="s">
        <v>149</v>
      </c>
    </row>
    <row r="7" spans="2:2" x14ac:dyDescent="0.55000000000000004">
      <c r="B7"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B8F88-1662-42AE-A3F1-B85B264A99CA}">
  <dimension ref="A2:P106"/>
  <sheetViews>
    <sheetView showGridLines="0" zoomScale="63" workbookViewId="0">
      <selection activeCell="D19" sqref="D19"/>
    </sheetView>
  </sheetViews>
  <sheetFormatPr defaultRowHeight="14.4" x14ac:dyDescent="0.55000000000000004"/>
  <cols>
    <col min="1" max="1" width="2.578125" customWidth="1"/>
    <col min="2" max="2" width="12.578125" customWidth="1"/>
    <col min="3" max="3" width="9.9453125" bestFit="1" customWidth="1"/>
    <col min="6" max="14" width="12.578125" customWidth="1"/>
    <col min="15" max="15" width="18.578125" customWidth="1"/>
    <col min="16" max="16" width="17.68359375" customWidth="1"/>
  </cols>
  <sheetData>
    <row r="2" spans="1:16" ht="18.3" x14ac:dyDescent="0.7">
      <c r="B2" s="2" t="s">
        <v>0</v>
      </c>
    </row>
    <row r="3" spans="1:16" s="3" customFormat="1" x14ac:dyDescent="0.55000000000000004"/>
    <row r="4" spans="1:16" x14ac:dyDescent="0.55000000000000004">
      <c r="B4" t="s">
        <v>1</v>
      </c>
      <c r="C4" s="4" t="s">
        <v>4</v>
      </c>
      <c r="E4" t="s">
        <v>5</v>
      </c>
      <c r="H4" s="84">
        <v>58.65</v>
      </c>
      <c r="J4" s="10" t="s">
        <v>142</v>
      </c>
    </row>
    <row r="5" spans="1:16" x14ac:dyDescent="0.55000000000000004">
      <c r="B5" t="s">
        <v>2</v>
      </c>
      <c r="C5" s="5">
        <v>45687</v>
      </c>
      <c r="E5" t="s">
        <v>146</v>
      </c>
      <c r="H5" s="83">
        <f ca="1">O95</f>
        <v>28.765183581702875</v>
      </c>
      <c r="J5" s="10" t="s">
        <v>37</v>
      </c>
    </row>
    <row r="6" spans="1:16" x14ac:dyDescent="0.55000000000000004">
      <c r="B6" t="s">
        <v>3</v>
      </c>
      <c r="C6" s="5">
        <v>46022</v>
      </c>
      <c r="E6" t="s">
        <v>7</v>
      </c>
      <c r="H6" s="85">
        <f ca="1">(H5-H4)/H4</f>
        <v>-0.509545036970113</v>
      </c>
    </row>
    <row r="7" spans="1:16" x14ac:dyDescent="0.55000000000000004">
      <c r="C7" s="92"/>
      <c r="E7" t="s">
        <v>147</v>
      </c>
      <c r="H7" s="93">
        <f ca="1">P95</f>
        <v>40.645535537957279</v>
      </c>
    </row>
    <row r="8" spans="1:16" x14ac:dyDescent="0.55000000000000004">
      <c r="C8" s="92"/>
      <c r="E8" t="s">
        <v>7</v>
      </c>
      <c r="H8" s="85">
        <f ca="1">(H7-H4)/H4</f>
        <v>-0.30698149125392532</v>
      </c>
    </row>
    <row r="10" spans="1:16" x14ac:dyDescent="0.55000000000000004">
      <c r="A10" t="s">
        <v>8</v>
      </c>
      <c r="B10" s="7" t="s">
        <v>9</v>
      </c>
      <c r="C10" s="7"/>
      <c r="D10" s="7"/>
      <c r="E10" s="7"/>
      <c r="F10" s="7"/>
      <c r="G10" s="7"/>
      <c r="H10" s="7"/>
      <c r="I10" s="7"/>
      <c r="J10" s="7"/>
      <c r="K10" s="7"/>
      <c r="L10" s="7"/>
      <c r="M10" s="7"/>
      <c r="N10" s="7"/>
      <c r="O10" s="7"/>
      <c r="P10" s="7"/>
    </row>
    <row r="12" spans="1:16" x14ac:dyDescent="0.55000000000000004">
      <c r="B12" s="8" t="s">
        <v>10</v>
      </c>
      <c r="F12" s="8" t="s">
        <v>52</v>
      </c>
      <c r="J12" s="8" t="s">
        <v>53</v>
      </c>
      <c r="N12" s="8" t="s">
        <v>54</v>
      </c>
    </row>
    <row r="13" spans="1:16" x14ac:dyDescent="0.55000000000000004">
      <c r="B13" t="s">
        <v>11</v>
      </c>
      <c r="D13" s="4">
        <v>2</v>
      </c>
      <c r="F13" t="s">
        <v>55</v>
      </c>
      <c r="H13" s="21">
        <v>0.12</v>
      </c>
      <c r="J13" t="s">
        <v>55</v>
      </c>
      <c r="L13" s="21">
        <v>0.13</v>
      </c>
      <c r="N13" t="s">
        <v>55</v>
      </c>
      <c r="P13" s="21">
        <v>0.14000000000000001</v>
      </c>
    </row>
    <row r="14" spans="1:16" x14ac:dyDescent="0.55000000000000004">
      <c r="B14" t="s">
        <v>12</v>
      </c>
      <c r="D14" s="4">
        <v>2</v>
      </c>
      <c r="F14" t="s">
        <v>56</v>
      </c>
      <c r="H14" s="21">
        <v>0.04</v>
      </c>
      <c r="J14" t="s">
        <v>56</v>
      </c>
      <c r="L14" s="21">
        <v>0.08</v>
      </c>
      <c r="N14" t="s">
        <v>56</v>
      </c>
      <c r="P14" s="21">
        <v>0.11</v>
      </c>
    </row>
    <row r="15" spans="1:16" x14ac:dyDescent="0.55000000000000004">
      <c r="B15" t="s">
        <v>13</v>
      </c>
      <c r="D15" s="4">
        <v>2</v>
      </c>
      <c r="F15" t="s">
        <v>57</v>
      </c>
      <c r="H15" s="21">
        <v>0.18</v>
      </c>
      <c r="J15" t="s">
        <v>57</v>
      </c>
      <c r="L15" s="21">
        <v>0.18</v>
      </c>
      <c r="N15" t="s">
        <v>57</v>
      </c>
      <c r="P15" s="21">
        <v>0.19</v>
      </c>
    </row>
    <row r="16" spans="1:16" x14ac:dyDescent="0.55000000000000004">
      <c r="B16" t="s">
        <v>14</v>
      </c>
      <c r="D16" s="4">
        <v>2</v>
      </c>
      <c r="F16" t="s">
        <v>58</v>
      </c>
      <c r="H16" s="21">
        <v>0.18</v>
      </c>
      <c r="J16" t="s">
        <v>58</v>
      </c>
      <c r="L16" s="21">
        <v>0.2</v>
      </c>
      <c r="N16" t="s">
        <v>58</v>
      </c>
      <c r="P16" s="21">
        <v>0.23</v>
      </c>
    </row>
    <row r="17" spans="1:16" x14ac:dyDescent="0.55000000000000004">
      <c r="B17" t="s">
        <v>15</v>
      </c>
      <c r="D17" s="4">
        <v>2</v>
      </c>
      <c r="F17" t="s">
        <v>15</v>
      </c>
      <c r="H17" s="21">
        <v>0.06</v>
      </c>
      <c r="J17" t="s">
        <v>15</v>
      </c>
      <c r="L17" s="21">
        <v>0.05</v>
      </c>
      <c r="N17" t="s">
        <v>15</v>
      </c>
      <c r="P17" s="21">
        <v>0.04</v>
      </c>
    </row>
    <row r="18" spans="1:16" x14ac:dyDescent="0.55000000000000004">
      <c r="B18" t="s">
        <v>144</v>
      </c>
      <c r="D18" s="4">
        <v>14</v>
      </c>
      <c r="F18" t="s">
        <v>144</v>
      </c>
      <c r="H18" s="91">
        <v>6</v>
      </c>
      <c r="J18" t="s">
        <v>144</v>
      </c>
      <c r="L18" s="91">
        <v>10</v>
      </c>
      <c r="N18" t="s">
        <v>144</v>
      </c>
      <c r="P18" s="91">
        <v>14</v>
      </c>
    </row>
    <row r="20" spans="1:16" x14ac:dyDescent="0.55000000000000004">
      <c r="B20" t="s">
        <v>13</v>
      </c>
      <c r="D20" s="79">
        <f>CHOOSE(D15, H20, L20, P20)</f>
        <v>0.1036</v>
      </c>
      <c r="F20" t="s">
        <v>13</v>
      </c>
      <c r="H20" s="21">
        <v>0.11</v>
      </c>
      <c r="J20" t="s">
        <v>13</v>
      </c>
      <c r="L20" s="79">
        <v>0.1036</v>
      </c>
      <c r="N20" t="s">
        <v>13</v>
      </c>
      <c r="P20" s="79">
        <v>9.5000000000000001E-2</v>
      </c>
    </row>
    <row r="21" spans="1:16" x14ac:dyDescent="0.55000000000000004">
      <c r="B21" t="s">
        <v>14</v>
      </c>
      <c r="D21" s="79">
        <f>CHOOSE(D16, H21, L21, P21)</f>
        <v>2.5000000000000001E-2</v>
      </c>
      <c r="F21" t="s">
        <v>14</v>
      </c>
      <c r="H21" s="21">
        <v>0.02</v>
      </c>
      <c r="J21" t="s">
        <v>14</v>
      </c>
      <c r="L21" s="79">
        <v>2.5000000000000001E-2</v>
      </c>
      <c r="N21" t="s">
        <v>14</v>
      </c>
      <c r="P21" s="21">
        <v>0.03</v>
      </c>
    </row>
    <row r="24" spans="1:16" x14ac:dyDescent="0.55000000000000004">
      <c r="A24" t="s">
        <v>8</v>
      </c>
      <c r="B24" s="7" t="s">
        <v>16</v>
      </c>
      <c r="C24" s="7"/>
      <c r="D24" s="7"/>
      <c r="E24" s="7"/>
      <c r="F24" s="7" t="s">
        <v>17</v>
      </c>
      <c r="G24" s="7" t="s">
        <v>18</v>
      </c>
      <c r="H24" s="7" t="s">
        <v>19</v>
      </c>
      <c r="I24" s="7" t="s">
        <v>20</v>
      </c>
      <c r="J24" s="7" t="s">
        <v>21</v>
      </c>
      <c r="K24" s="7" t="s">
        <v>22</v>
      </c>
      <c r="L24" s="7" t="s">
        <v>23</v>
      </c>
      <c r="M24" s="7" t="s">
        <v>24</v>
      </c>
      <c r="N24" s="7" t="s">
        <v>25</v>
      </c>
      <c r="O24" s="7" t="s">
        <v>26</v>
      </c>
      <c r="P24" s="9"/>
    </row>
    <row r="25" spans="1:16" x14ac:dyDescent="0.55000000000000004">
      <c r="B25" t="s">
        <v>11</v>
      </c>
      <c r="F25" s="12">
        <v>7547061</v>
      </c>
      <c r="G25" s="12">
        <v>8634652</v>
      </c>
      <c r="H25" s="12">
        <v>9871649</v>
      </c>
      <c r="I25" s="12">
        <f>8468534*1.33</f>
        <v>11263150.220000001</v>
      </c>
    </row>
    <row r="26" spans="1:16" x14ac:dyDescent="0.55000000000000004">
      <c r="B26" s="10" t="s">
        <v>27</v>
      </c>
      <c r="F26" t="s">
        <v>32</v>
      </c>
      <c r="G26" s="14">
        <f>(G25-F25)/F25</f>
        <v>0.14410788517543452</v>
      </c>
      <c r="H26" s="14">
        <f t="shared" ref="H26:I26" si="0">(H25-G25)/G25</f>
        <v>0.14325962412845358</v>
      </c>
      <c r="I26" s="14">
        <f t="shared" si="0"/>
        <v>0.14095934934477519</v>
      </c>
      <c r="J26" s="13"/>
      <c r="K26" s="13"/>
      <c r="L26" s="13"/>
      <c r="M26" s="13"/>
      <c r="N26" s="13"/>
      <c r="O26" s="13"/>
    </row>
    <row r="28" spans="1:16" x14ac:dyDescent="0.55000000000000004">
      <c r="B28" t="s">
        <v>12</v>
      </c>
      <c r="F28" s="12">
        <v>804943</v>
      </c>
      <c r="G28" s="12">
        <v>1160403</v>
      </c>
      <c r="H28" s="12">
        <v>1557813</v>
      </c>
      <c r="I28" s="12">
        <f>1500601*1.33</f>
        <v>1995799.33</v>
      </c>
    </row>
    <row r="29" spans="1:16" x14ac:dyDescent="0.55000000000000004">
      <c r="B29" s="10" t="s">
        <v>31</v>
      </c>
      <c r="F29" s="14">
        <f>F28/F25</f>
        <v>0.10665648521987565</v>
      </c>
      <c r="G29" s="14">
        <f t="shared" ref="G29:I29" si="1">G28/G25</f>
        <v>0.13438908713402695</v>
      </c>
      <c r="H29" s="14">
        <f t="shared" si="1"/>
        <v>0.15780676561737558</v>
      </c>
      <c r="I29" s="14">
        <f t="shared" si="1"/>
        <v>0.17719725751824342</v>
      </c>
    </row>
    <row r="31" spans="1:16" x14ac:dyDescent="0.55000000000000004">
      <c r="B31" t="s">
        <v>28</v>
      </c>
      <c r="F31" s="12">
        <v>159779</v>
      </c>
      <c r="G31" s="12">
        <v>282430</v>
      </c>
      <c r="H31" s="12">
        <v>391769</v>
      </c>
      <c r="I31" s="12">
        <f>368787*1.33</f>
        <v>490486.71</v>
      </c>
    </row>
    <row r="32" spans="1:16" x14ac:dyDescent="0.55000000000000004">
      <c r="B32" s="10" t="s">
        <v>29</v>
      </c>
      <c r="F32" s="14">
        <f>F31/F28</f>
        <v>0.19849728490091845</v>
      </c>
      <c r="G32" s="14">
        <f t="shared" ref="G32:I32" si="2">G31/G28</f>
        <v>0.24338958103348579</v>
      </c>
      <c r="H32" s="14">
        <f t="shared" si="2"/>
        <v>0.25148653914173269</v>
      </c>
      <c r="I32" s="14">
        <f t="shared" si="2"/>
        <v>0.24575953234737283</v>
      </c>
    </row>
    <row r="34" spans="1:16" x14ac:dyDescent="0.55000000000000004">
      <c r="B34" t="s">
        <v>30</v>
      </c>
      <c r="F34" s="12">
        <f>F28-F31</f>
        <v>645164</v>
      </c>
      <c r="G34" s="12">
        <f t="shared" ref="G34:I34" si="3">G28-G31</f>
        <v>877973</v>
      </c>
      <c r="H34" s="12">
        <f t="shared" si="3"/>
        <v>1166044</v>
      </c>
      <c r="I34" s="12">
        <f t="shared" si="3"/>
        <v>1505312.62</v>
      </c>
    </row>
    <row r="35" spans="1:16" x14ac:dyDescent="0.55000000000000004">
      <c r="B35" s="10" t="s">
        <v>31</v>
      </c>
      <c r="F35" s="14">
        <f>F34/F25</f>
        <v>8.5485462486655395E-2</v>
      </c>
      <c r="G35" s="14">
        <f t="shared" ref="G35:I35" si="4">G34/G25</f>
        <v>0.10168018352100351</v>
      </c>
      <c r="H35" s="14">
        <f t="shared" si="4"/>
        <v>0.11812048827911122</v>
      </c>
      <c r="I35" s="14">
        <f t="shared" si="4"/>
        <v>0.13364934237732293</v>
      </c>
    </row>
    <row r="38" spans="1:16" x14ac:dyDescent="0.55000000000000004">
      <c r="A38" t="s">
        <v>8</v>
      </c>
      <c r="B38" s="7" t="s">
        <v>33</v>
      </c>
      <c r="C38" s="7"/>
      <c r="D38" s="7"/>
      <c r="E38" s="7"/>
      <c r="F38" s="7" t="s">
        <v>17</v>
      </c>
      <c r="G38" s="7" t="s">
        <v>18</v>
      </c>
      <c r="H38" s="7" t="s">
        <v>19</v>
      </c>
      <c r="I38" s="7" t="s">
        <v>20</v>
      </c>
      <c r="J38" s="7" t="s">
        <v>21</v>
      </c>
      <c r="K38" s="7" t="s">
        <v>22</v>
      </c>
      <c r="L38" s="7" t="s">
        <v>23</v>
      </c>
      <c r="M38" s="7" t="s">
        <v>24</v>
      </c>
      <c r="N38" s="7" t="s">
        <v>25</v>
      </c>
      <c r="O38" s="7" t="s">
        <v>26</v>
      </c>
      <c r="P38" s="9"/>
    </row>
    <row r="39" spans="1:16" x14ac:dyDescent="0.55000000000000004">
      <c r="B39" t="s">
        <v>34</v>
      </c>
      <c r="F39" s="12">
        <v>254657</v>
      </c>
      <c r="G39" s="12">
        <v>286826</v>
      </c>
      <c r="H39" s="12">
        <v>319394</v>
      </c>
      <c r="I39" s="12">
        <f>251154*1.33</f>
        <v>334034.82</v>
      </c>
    </row>
    <row r="40" spans="1:16" x14ac:dyDescent="0.55000000000000004">
      <c r="B40" s="10" t="s">
        <v>31</v>
      </c>
      <c r="F40" s="14">
        <f>F39/F25</f>
        <v>3.3742538983055785E-2</v>
      </c>
      <c r="G40" s="14">
        <f t="shared" ref="G40:I40" si="5">G39/G25</f>
        <v>3.3218015039864955E-2</v>
      </c>
      <c r="H40" s="14">
        <f t="shared" si="5"/>
        <v>3.2354675495451672E-2</v>
      </c>
      <c r="I40" s="14">
        <f t="shared" si="5"/>
        <v>2.9657317311355187E-2</v>
      </c>
    </row>
    <row r="42" spans="1:16" x14ac:dyDescent="0.55000000000000004">
      <c r="B42" t="s">
        <v>15</v>
      </c>
      <c r="F42" s="12">
        <v>442475</v>
      </c>
      <c r="G42" s="12">
        <v>479164</v>
      </c>
      <c r="H42" s="12">
        <v>560731</v>
      </c>
      <c r="I42" s="12">
        <f>420718*1.33</f>
        <v>559554.94000000006</v>
      </c>
    </row>
    <row r="43" spans="1:16" x14ac:dyDescent="0.55000000000000004">
      <c r="B43" s="10" t="s">
        <v>31</v>
      </c>
      <c r="F43" s="14">
        <f>F42/F25</f>
        <v>5.8628782780475737E-2</v>
      </c>
      <c r="G43" s="14">
        <f t="shared" ref="G43:I43" si="6">G42/G25</f>
        <v>5.549314552572588E-2</v>
      </c>
      <c r="H43" s="14">
        <f t="shared" si="6"/>
        <v>5.6802161422068391E-2</v>
      </c>
      <c r="I43" s="14">
        <f t="shared" si="6"/>
        <v>4.9680145347471005E-2</v>
      </c>
    </row>
    <row r="45" spans="1:16" x14ac:dyDescent="0.55000000000000004">
      <c r="B45" t="s">
        <v>35</v>
      </c>
      <c r="F45" s="12">
        <v>0</v>
      </c>
      <c r="G45" s="12">
        <v>0</v>
      </c>
      <c r="H45" s="12">
        <v>0</v>
      </c>
      <c r="I45" s="12">
        <v>0</v>
      </c>
    </row>
    <row r="46" spans="1:16" x14ac:dyDescent="0.55000000000000004">
      <c r="B46" s="10" t="s">
        <v>31</v>
      </c>
      <c r="F46" s="14">
        <f>F45/F31</f>
        <v>0</v>
      </c>
      <c r="G46" s="14">
        <f t="shared" ref="G46" si="7">G45/G31</f>
        <v>0</v>
      </c>
      <c r="H46" s="14">
        <f t="shared" ref="H46:I46" si="8">H45/H31</f>
        <v>0</v>
      </c>
      <c r="I46" s="14">
        <f t="shared" si="8"/>
        <v>0</v>
      </c>
    </row>
    <row r="48" spans="1:16" x14ac:dyDescent="0.55000000000000004">
      <c r="A48" t="s">
        <v>8</v>
      </c>
      <c r="B48" s="7" t="s">
        <v>36</v>
      </c>
      <c r="C48" s="7"/>
      <c r="D48" s="7"/>
      <c r="E48" s="7"/>
      <c r="F48" s="7" t="s">
        <v>17</v>
      </c>
      <c r="G48" s="7" t="s">
        <v>18</v>
      </c>
      <c r="H48" s="7" t="s">
        <v>19</v>
      </c>
      <c r="I48" s="7" t="s">
        <v>20</v>
      </c>
      <c r="J48" s="7" t="s">
        <v>21</v>
      </c>
      <c r="K48" s="7" t="s">
        <v>22</v>
      </c>
      <c r="L48" s="7" t="s">
        <v>23</v>
      </c>
      <c r="M48" s="7" t="s">
        <v>24</v>
      </c>
      <c r="N48" s="7" t="s">
        <v>25</v>
      </c>
      <c r="O48" s="7" t="s">
        <v>26</v>
      </c>
      <c r="P48" s="9"/>
    </row>
    <row r="49" spans="2:15" x14ac:dyDescent="0.55000000000000004">
      <c r="B49" t="s">
        <v>11</v>
      </c>
      <c r="F49" s="12">
        <v>7547061</v>
      </c>
      <c r="G49" s="12">
        <v>8634652</v>
      </c>
      <c r="H49" s="12">
        <v>9871649</v>
      </c>
      <c r="I49" s="12">
        <f>8468534*1.33</f>
        <v>11263150.220000001</v>
      </c>
      <c r="J49" s="19">
        <f ca="1">I49*(1+J50)</f>
        <v>12727359.748599999</v>
      </c>
      <c r="K49" s="19">
        <f t="shared" ref="K49:O49" ca="1" si="9">J49*(1+K50)</f>
        <v>14254642.918431999</v>
      </c>
      <c r="L49" s="19">
        <f t="shared" ca="1" si="9"/>
        <v>15822653.639459521</v>
      </c>
      <c r="M49" s="19">
        <f t="shared" ca="1" si="9"/>
        <v>17404919.003405474</v>
      </c>
      <c r="N49" s="19">
        <f t="shared" ca="1" si="9"/>
        <v>18971361.71371197</v>
      </c>
      <c r="O49" s="19">
        <f t="shared" ca="1" si="9"/>
        <v>20489070.650808927</v>
      </c>
    </row>
    <row r="50" spans="2:15" x14ac:dyDescent="0.55000000000000004">
      <c r="B50" s="10" t="s">
        <v>27</v>
      </c>
      <c r="F50" t="s">
        <v>32</v>
      </c>
      <c r="G50" s="14">
        <f>(G49-F49)/F49</f>
        <v>0.14410788517543452</v>
      </c>
      <c r="H50" s="14">
        <f t="shared" ref="H50" si="10">(H49-G49)/G49</f>
        <v>0.14325962412845358</v>
      </c>
      <c r="I50" s="14">
        <f t="shared" ref="I50" si="11">(I49-H49)/H49</f>
        <v>0.14095934934477519</v>
      </c>
      <c r="J50" s="20">
        <f ca="1">OFFSET(J50, $D$13, 0)</f>
        <v>0.13</v>
      </c>
      <c r="K50" s="20">
        <f t="shared" ref="K50:O50" ca="1" si="12">OFFSET(K50, $D$13, 0)</f>
        <v>0.12</v>
      </c>
      <c r="L50" s="20">
        <f t="shared" ca="1" si="12"/>
        <v>0.11</v>
      </c>
      <c r="M50" s="20">
        <f t="shared" ca="1" si="12"/>
        <v>0.1</v>
      </c>
      <c r="N50" s="20">
        <f t="shared" ca="1" si="12"/>
        <v>0.09</v>
      </c>
      <c r="O50" s="20">
        <f t="shared" ca="1" si="12"/>
        <v>0.08</v>
      </c>
    </row>
    <row r="51" spans="2:15" x14ac:dyDescent="0.55000000000000004">
      <c r="B51" t="s">
        <v>38</v>
      </c>
      <c r="J51" s="17">
        <v>0.12</v>
      </c>
      <c r="K51" s="17">
        <v>0.1</v>
      </c>
      <c r="L51" s="17">
        <v>0.08</v>
      </c>
      <c r="M51" s="17">
        <v>0.06</v>
      </c>
      <c r="N51" s="17">
        <v>0.06</v>
      </c>
      <c r="O51" s="17">
        <v>0.04</v>
      </c>
    </row>
    <row r="52" spans="2:15" x14ac:dyDescent="0.55000000000000004">
      <c r="B52" t="s">
        <v>39</v>
      </c>
      <c r="J52" s="17">
        <v>0.13</v>
      </c>
      <c r="K52" s="17">
        <v>0.12</v>
      </c>
      <c r="L52" s="17">
        <v>0.11</v>
      </c>
      <c r="M52" s="17">
        <v>0.1</v>
      </c>
      <c r="N52" s="17">
        <v>0.09</v>
      </c>
      <c r="O52" s="17">
        <v>0.08</v>
      </c>
    </row>
    <row r="53" spans="2:15" x14ac:dyDescent="0.55000000000000004">
      <c r="B53" t="s">
        <v>40</v>
      </c>
      <c r="J53" s="17">
        <v>0.14000000000000001</v>
      </c>
      <c r="K53" s="17">
        <v>0.14000000000000001</v>
      </c>
      <c r="L53" s="17">
        <v>0.13</v>
      </c>
      <c r="M53" s="17">
        <v>0.13</v>
      </c>
      <c r="N53" s="17">
        <v>0.12</v>
      </c>
      <c r="O53" s="17">
        <v>0.11</v>
      </c>
    </row>
    <row r="55" spans="2:15" x14ac:dyDescent="0.55000000000000004">
      <c r="B55" t="s">
        <v>12</v>
      </c>
      <c r="F55" s="12">
        <v>804943</v>
      </c>
      <c r="G55" s="12">
        <v>1160403</v>
      </c>
      <c r="H55" s="12">
        <v>1557813</v>
      </c>
      <c r="I55" s="12">
        <f>1500601*1.33</f>
        <v>1995799.33</v>
      </c>
      <c r="J55" s="19">
        <f ca="1">I55*(1+J56)</f>
        <v>2355043.2094000001</v>
      </c>
      <c r="K55" s="19">
        <f t="shared" ref="K55" ca="1" si="13">J55*(1+K56)</f>
        <v>2778950.987092</v>
      </c>
      <c r="L55" s="19">
        <f t="shared" ref="L55" ca="1" si="14">K55*(1+L56)</f>
        <v>3306951.6746394797</v>
      </c>
      <c r="M55" s="19">
        <f t="shared" ref="M55" ca="1" si="15">L55*(1+M56)</f>
        <v>3935272.4928209805</v>
      </c>
      <c r="N55" s="19">
        <f t="shared" ref="N55" ca="1" si="16">M55*(1+N56)</f>
        <v>4722326.9913851768</v>
      </c>
      <c r="O55" s="19">
        <f t="shared" ref="O55" ca="1" si="17">N55*(1+O56)</f>
        <v>5666792.3896622118</v>
      </c>
    </row>
    <row r="56" spans="2:15" x14ac:dyDescent="0.55000000000000004">
      <c r="B56" s="10" t="s">
        <v>31</v>
      </c>
      <c r="F56" s="14">
        <f>F55/F49</f>
        <v>0.10665648521987565</v>
      </c>
      <c r="G56" s="14">
        <f t="shared" ref="G56:I56" si="18">G55/G49</f>
        <v>0.13438908713402695</v>
      </c>
      <c r="H56" s="14">
        <f t="shared" si="18"/>
        <v>0.15780676561737558</v>
      </c>
      <c r="I56" s="14">
        <f t="shared" si="18"/>
        <v>0.17719725751824342</v>
      </c>
      <c r="J56" s="20">
        <f ca="1">OFFSET(J56, $D$14, 0)</f>
        <v>0.18</v>
      </c>
      <c r="K56" s="20">
        <f t="shared" ref="K56:O56" ca="1" si="19">OFFSET(K56, $D$14, 0)</f>
        <v>0.18</v>
      </c>
      <c r="L56" s="20">
        <f t="shared" ca="1" si="19"/>
        <v>0.19</v>
      </c>
      <c r="M56" s="20">
        <f t="shared" ca="1" si="19"/>
        <v>0.19</v>
      </c>
      <c r="N56" s="20">
        <f t="shared" ca="1" si="19"/>
        <v>0.2</v>
      </c>
      <c r="O56" s="20">
        <f t="shared" ca="1" si="19"/>
        <v>0.2</v>
      </c>
    </row>
    <row r="57" spans="2:15" x14ac:dyDescent="0.55000000000000004">
      <c r="B57" t="s">
        <v>38</v>
      </c>
      <c r="J57" s="17">
        <v>0.18</v>
      </c>
      <c r="K57" s="17">
        <v>0.18</v>
      </c>
      <c r="L57" s="17">
        <v>0.18</v>
      </c>
      <c r="M57" s="17">
        <v>0.18</v>
      </c>
      <c r="N57" s="17">
        <v>0.18</v>
      </c>
      <c r="O57" s="17">
        <v>0.18</v>
      </c>
    </row>
    <row r="58" spans="2:15" x14ac:dyDescent="0.55000000000000004">
      <c r="B58" t="s">
        <v>39</v>
      </c>
      <c r="J58" s="17">
        <v>0.18</v>
      </c>
      <c r="K58" s="17">
        <v>0.18</v>
      </c>
      <c r="L58" s="17">
        <v>0.19</v>
      </c>
      <c r="M58" s="17">
        <v>0.19</v>
      </c>
      <c r="N58" s="17">
        <v>0.2</v>
      </c>
      <c r="O58" s="17">
        <v>0.2</v>
      </c>
    </row>
    <row r="59" spans="2:15" x14ac:dyDescent="0.55000000000000004">
      <c r="B59" t="s">
        <v>40</v>
      </c>
      <c r="J59" s="17">
        <v>0.19</v>
      </c>
      <c r="K59" s="17">
        <v>0.2</v>
      </c>
      <c r="L59" s="17">
        <v>0.21</v>
      </c>
      <c r="M59" s="17">
        <v>0.21</v>
      </c>
      <c r="N59" s="17">
        <v>0.22</v>
      </c>
      <c r="O59" s="17">
        <v>0.23</v>
      </c>
    </row>
    <row r="61" spans="2:15" x14ac:dyDescent="0.55000000000000004">
      <c r="B61" t="s">
        <v>28</v>
      </c>
      <c r="F61" s="12">
        <v>159779</v>
      </c>
      <c r="G61" s="12">
        <v>282430</v>
      </c>
      <c r="H61" s="12">
        <v>391769</v>
      </c>
      <c r="I61" s="12">
        <f>368787*1.33</f>
        <v>490486.71</v>
      </c>
      <c r="J61" s="19">
        <f ca="1">J62*J55</f>
        <v>588760.80235000001</v>
      </c>
      <c r="K61" s="19">
        <f t="shared" ref="K61:O61" ca="1" si="20">K62*K55</f>
        <v>694737.74677299999</v>
      </c>
      <c r="L61" s="19">
        <f t="shared" ca="1" si="20"/>
        <v>826737.91865986993</v>
      </c>
      <c r="M61" s="19">
        <f t="shared" ca="1" si="20"/>
        <v>983818.12320524512</v>
      </c>
      <c r="N61" s="19">
        <f t="shared" ca="1" si="20"/>
        <v>1180581.7478462942</v>
      </c>
      <c r="O61" s="19">
        <f t="shared" ca="1" si="20"/>
        <v>1416698.0974155529</v>
      </c>
    </row>
    <row r="62" spans="2:15" x14ac:dyDescent="0.55000000000000004">
      <c r="B62" s="10" t="s">
        <v>29</v>
      </c>
      <c r="F62" s="14">
        <f>F61/F55</f>
        <v>0.19849728490091845</v>
      </c>
      <c r="G62" s="14">
        <f t="shared" ref="G62:I62" si="21">G61/G55</f>
        <v>0.24338958103348579</v>
      </c>
      <c r="H62" s="14">
        <f t="shared" si="21"/>
        <v>0.25148653914173269</v>
      </c>
      <c r="I62" s="14">
        <f t="shared" si="21"/>
        <v>0.24575953234737283</v>
      </c>
      <c r="J62" s="18">
        <v>0.25</v>
      </c>
      <c r="K62" s="18">
        <v>0.25</v>
      </c>
      <c r="L62" s="18">
        <v>0.25</v>
      </c>
      <c r="M62" s="18">
        <v>0.25</v>
      </c>
      <c r="N62" s="18">
        <v>0.25</v>
      </c>
      <c r="O62" s="18">
        <v>0.25</v>
      </c>
    </row>
    <row r="63" spans="2:15" x14ac:dyDescent="0.55000000000000004">
      <c r="B63" s="15"/>
      <c r="C63" s="15"/>
      <c r="D63" s="15"/>
      <c r="E63" s="15"/>
      <c r="F63" s="15"/>
      <c r="G63" s="15"/>
      <c r="H63" s="15"/>
      <c r="I63" s="15"/>
      <c r="J63" s="15"/>
      <c r="K63" s="15"/>
      <c r="L63" s="15"/>
      <c r="M63" s="15"/>
      <c r="N63" s="15"/>
      <c r="O63" s="15"/>
    </row>
    <row r="64" spans="2:15" x14ac:dyDescent="0.55000000000000004">
      <c r="B64" s="16" t="s">
        <v>30</v>
      </c>
      <c r="F64" s="12">
        <f>F55-F61</f>
        <v>645164</v>
      </c>
      <c r="G64" s="12">
        <f t="shared" ref="G64:I64" si="22">G55-G61</f>
        <v>877973</v>
      </c>
      <c r="H64" s="12">
        <f t="shared" si="22"/>
        <v>1166044</v>
      </c>
      <c r="I64" s="12">
        <f t="shared" si="22"/>
        <v>1505312.62</v>
      </c>
      <c r="J64" s="19">
        <f ca="1">J55-J61</f>
        <v>1766282.40705</v>
      </c>
      <c r="K64" s="19">
        <f t="shared" ref="K64:O64" ca="1" si="23">K55-K61</f>
        <v>2084213.2403190001</v>
      </c>
      <c r="L64" s="19">
        <f t="shared" ca="1" si="23"/>
        <v>2480213.7559796097</v>
      </c>
      <c r="M64" s="19">
        <f t="shared" ca="1" si="23"/>
        <v>2951454.3696157355</v>
      </c>
      <c r="N64" s="19">
        <f t="shared" ca="1" si="23"/>
        <v>3541745.2435388826</v>
      </c>
      <c r="O64" s="19">
        <f t="shared" ca="1" si="23"/>
        <v>4250094.2922466584</v>
      </c>
    </row>
    <row r="65" spans="2:15" x14ac:dyDescent="0.55000000000000004">
      <c r="B65" s="16" t="s">
        <v>31</v>
      </c>
      <c r="F65" s="14">
        <f>F64/F49</f>
        <v>8.5485462486655395E-2</v>
      </c>
      <c r="G65" s="14">
        <f t="shared" ref="G65:I65" si="24">G64/G49</f>
        <v>0.10168018352100351</v>
      </c>
      <c r="H65" s="14">
        <f t="shared" si="24"/>
        <v>0.11812048827911122</v>
      </c>
      <c r="I65" s="14">
        <f t="shared" si="24"/>
        <v>0.13364934237732293</v>
      </c>
      <c r="J65" s="20">
        <f t="shared" ref="J65" ca="1" si="25">J64/J49</f>
        <v>0.1387783831005712</v>
      </c>
      <c r="K65" s="20">
        <f t="shared" ref="K65" ca="1" si="26">K64/K49</f>
        <v>0.14621293933810178</v>
      </c>
      <c r="L65" s="20">
        <f t="shared" ref="L65" ca="1" si="27">L64/L49</f>
        <v>0.15675080883994691</v>
      </c>
      <c r="M65" s="20">
        <f t="shared" ref="M65" ca="1" si="28">M64/M49</f>
        <v>0.16957587501776075</v>
      </c>
      <c r="N65" s="20">
        <f t="shared" ref="N65" ca="1" si="29">N64/N49</f>
        <v>0.18668903671680079</v>
      </c>
      <c r="O65" s="20">
        <f t="shared" ref="O65" ca="1" si="30">O64/O49</f>
        <v>0.20743226301866752</v>
      </c>
    </row>
    <row r="67" spans="2:15" x14ac:dyDescent="0.55000000000000004">
      <c r="B67" t="s">
        <v>34</v>
      </c>
      <c r="F67" s="12" cm="1">
        <f t="array" ref="F67:I68">F39:I40</f>
        <v>254657</v>
      </c>
      <c r="G67" s="12">
        <v>286826</v>
      </c>
      <c r="H67" s="12">
        <v>319394</v>
      </c>
      <c r="I67" s="12">
        <v>334034.82</v>
      </c>
      <c r="J67" s="19">
        <f ca="1">J68*J49</f>
        <v>381820.79245799995</v>
      </c>
      <c r="K67" s="19">
        <f t="shared" ref="K67:O67" ca="1" si="31">K68*K49</f>
        <v>427639.28755295998</v>
      </c>
      <c r="L67" s="19">
        <f t="shared" ca="1" si="31"/>
        <v>474679.60918378562</v>
      </c>
      <c r="M67" s="19">
        <f t="shared" ca="1" si="31"/>
        <v>522147.57010216423</v>
      </c>
      <c r="N67" s="19">
        <f t="shared" ca="1" si="31"/>
        <v>569140.85141135904</v>
      </c>
      <c r="O67" s="19">
        <f t="shared" ca="1" si="31"/>
        <v>614672.11952426773</v>
      </c>
    </row>
    <row r="68" spans="2:15" x14ac:dyDescent="0.55000000000000004">
      <c r="B68" s="10" t="s">
        <v>31</v>
      </c>
      <c r="F68" s="14">
        <v>3.3742538983055785E-2</v>
      </c>
      <c r="G68" s="14">
        <v>3.3218015039864955E-2</v>
      </c>
      <c r="H68" s="14">
        <v>3.2354675495451672E-2</v>
      </c>
      <c r="I68" s="14">
        <v>2.9657317311355187E-2</v>
      </c>
      <c r="J68" s="20">
        <v>0.03</v>
      </c>
      <c r="K68" s="20">
        <v>0.03</v>
      </c>
      <c r="L68" s="20">
        <v>0.03</v>
      </c>
      <c r="M68" s="20">
        <v>0.03</v>
      </c>
      <c r="N68" s="20">
        <v>0.03</v>
      </c>
      <c r="O68" s="20">
        <v>0.03</v>
      </c>
    </row>
    <row r="70" spans="2:15" x14ac:dyDescent="0.55000000000000004">
      <c r="B70" t="s">
        <v>15</v>
      </c>
      <c r="F70" s="12">
        <f>F42</f>
        <v>442475</v>
      </c>
      <c r="G70" s="12">
        <f t="shared" ref="G70:I71" si="32">G42</f>
        <v>479164</v>
      </c>
      <c r="H70" s="12">
        <f t="shared" si="32"/>
        <v>560731</v>
      </c>
      <c r="I70" s="12">
        <f t="shared" si="32"/>
        <v>559554.94000000006</v>
      </c>
      <c r="J70" s="19">
        <f ca="1">J71*J49</f>
        <v>636367.98742999998</v>
      </c>
      <c r="K70" s="19">
        <f t="shared" ref="K70:O70" ca="1" si="33">K71*K49</f>
        <v>712732.14592160005</v>
      </c>
      <c r="L70" s="19">
        <f t="shared" ca="1" si="33"/>
        <v>791132.68197297608</v>
      </c>
      <c r="M70" s="19">
        <f t="shared" ca="1" si="33"/>
        <v>870245.95017027378</v>
      </c>
      <c r="N70" s="19">
        <f t="shared" ca="1" si="33"/>
        <v>948568.08568559855</v>
      </c>
      <c r="O70" s="19">
        <f t="shared" ca="1" si="33"/>
        <v>1024453.5325404464</v>
      </c>
    </row>
    <row r="71" spans="2:15" x14ac:dyDescent="0.55000000000000004">
      <c r="B71" s="10" t="s">
        <v>31</v>
      </c>
      <c r="F71" s="14">
        <f>F70/F49</f>
        <v>5.8628782780475737E-2</v>
      </c>
      <c r="G71" s="14">
        <f t="shared" ref="G71:I71" si="34">G70/G49</f>
        <v>5.549314552572588E-2</v>
      </c>
      <c r="H71" s="14">
        <f t="shared" si="34"/>
        <v>5.6802161422068391E-2</v>
      </c>
      <c r="I71" s="14">
        <f t="shared" si="34"/>
        <v>4.9680145347471005E-2</v>
      </c>
      <c r="J71" s="20">
        <f ca="1">OFFSET(J71, $D$17, 0)</f>
        <v>0.05</v>
      </c>
      <c r="K71" s="20">
        <f t="shared" ref="K71:O71" ca="1" si="35">OFFSET(K71, $D$17, 0)</f>
        <v>0.05</v>
      </c>
      <c r="L71" s="20">
        <f t="shared" ca="1" si="35"/>
        <v>0.05</v>
      </c>
      <c r="M71" s="20">
        <f t="shared" ca="1" si="35"/>
        <v>0.05</v>
      </c>
      <c r="N71" s="20">
        <f t="shared" ca="1" si="35"/>
        <v>0.05</v>
      </c>
      <c r="O71" s="20">
        <f t="shared" ca="1" si="35"/>
        <v>0.05</v>
      </c>
    </row>
    <row r="72" spans="2:15" x14ac:dyDescent="0.55000000000000004">
      <c r="B72" t="s">
        <v>38</v>
      </c>
      <c r="J72" s="17">
        <v>0.06</v>
      </c>
      <c r="K72" s="17">
        <v>0.06</v>
      </c>
      <c r="L72" s="17">
        <v>0.06</v>
      </c>
      <c r="M72" s="17">
        <v>0.06</v>
      </c>
      <c r="N72" s="17">
        <v>0.06</v>
      </c>
      <c r="O72" s="17">
        <v>0.06</v>
      </c>
    </row>
    <row r="73" spans="2:15" x14ac:dyDescent="0.55000000000000004">
      <c r="B73" t="s">
        <v>39</v>
      </c>
      <c r="J73" s="17">
        <v>0.05</v>
      </c>
      <c r="K73" s="17">
        <v>0.05</v>
      </c>
      <c r="L73" s="17">
        <v>0.05</v>
      </c>
      <c r="M73" s="17">
        <v>0.05</v>
      </c>
      <c r="N73" s="17">
        <v>0.05</v>
      </c>
      <c r="O73" s="17">
        <v>0.05</v>
      </c>
    </row>
    <row r="74" spans="2:15" x14ac:dyDescent="0.55000000000000004">
      <c r="B74" t="s">
        <v>40</v>
      </c>
      <c r="J74" s="17">
        <v>0.04</v>
      </c>
      <c r="K74" s="17">
        <v>0.04</v>
      </c>
      <c r="L74" s="17">
        <v>0.04</v>
      </c>
      <c r="M74" s="17">
        <v>0.04</v>
      </c>
      <c r="N74" s="17">
        <v>0.04</v>
      </c>
      <c r="O74" s="17">
        <v>0.04</v>
      </c>
    </row>
    <row r="76" spans="2:15" x14ac:dyDescent="0.55000000000000004">
      <c r="B76" t="s">
        <v>35</v>
      </c>
      <c r="F76" s="12">
        <f>F45</f>
        <v>0</v>
      </c>
      <c r="G76" s="12">
        <f t="shared" ref="G76:I76" si="36">G45</f>
        <v>0</v>
      </c>
      <c r="H76" s="12">
        <f t="shared" si="36"/>
        <v>0</v>
      </c>
      <c r="I76" s="12">
        <f t="shared" si="36"/>
        <v>0</v>
      </c>
      <c r="J76" s="19">
        <v>0</v>
      </c>
      <c r="K76" s="19">
        <v>0</v>
      </c>
      <c r="L76" s="19">
        <v>0</v>
      </c>
      <c r="M76" s="19">
        <v>0</v>
      </c>
      <c r="N76" s="19">
        <v>0</v>
      </c>
      <c r="O76" s="19">
        <v>0</v>
      </c>
    </row>
    <row r="77" spans="2:15" x14ac:dyDescent="0.55000000000000004">
      <c r="B77" s="10" t="s">
        <v>31</v>
      </c>
      <c r="F77" s="14">
        <f>F46</f>
        <v>0</v>
      </c>
      <c r="G77" s="14">
        <f t="shared" ref="G77:I77" si="37">G46</f>
        <v>0</v>
      </c>
      <c r="H77" s="14">
        <f t="shared" si="37"/>
        <v>0</v>
      </c>
      <c r="I77" s="14">
        <f t="shared" si="37"/>
        <v>0</v>
      </c>
      <c r="J77" s="20">
        <v>0</v>
      </c>
      <c r="K77" s="20">
        <v>0</v>
      </c>
      <c r="L77" s="20">
        <v>0</v>
      </c>
      <c r="M77" s="20">
        <v>0</v>
      </c>
      <c r="N77" s="20">
        <v>0</v>
      </c>
      <c r="O77" s="20">
        <v>0</v>
      </c>
    </row>
    <row r="78" spans="2:15" x14ac:dyDescent="0.55000000000000004">
      <c r="J78" s="3"/>
      <c r="K78" s="3"/>
      <c r="L78" s="3"/>
      <c r="M78" s="3"/>
      <c r="N78" s="3"/>
      <c r="O78" s="3"/>
    </row>
    <row r="79" spans="2:15" x14ac:dyDescent="0.55000000000000004">
      <c r="B79" t="s">
        <v>41</v>
      </c>
      <c r="F79" s="11"/>
      <c r="J79" s="22">
        <f ca="1">J64+J67-J70-J76</f>
        <v>1511735.2120780002</v>
      </c>
      <c r="K79" s="22">
        <f t="shared" ref="K79:O79" ca="1" si="38">K64+K67-K70-K76</f>
        <v>1799120.3819503598</v>
      </c>
      <c r="L79" s="22">
        <f t="shared" ca="1" si="38"/>
        <v>2163760.6831904193</v>
      </c>
      <c r="M79" s="22">
        <f t="shared" ca="1" si="38"/>
        <v>2603355.9895476256</v>
      </c>
      <c r="N79" s="22">
        <f t="shared" ca="1" si="38"/>
        <v>3162318.0092646428</v>
      </c>
      <c r="O79" s="22">
        <f t="shared" ca="1" si="38"/>
        <v>3840312.8792304797</v>
      </c>
    </row>
    <row r="80" spans="2:15" x14ac:dyDescent="0.55000000000000004">
      <c r="B80" t="s">
        <v>42</v>
      </c>
      <c r="J80" s="22">
        <f ca="1">J79/(1+$D$20)^J83</f>
        <v>1439030.1164964782</v>
      </c>
      <c r="K80" s="22">
        <f t="shared" ref="K80:O80" ca="1" si="39">K79/(1+$D$20)^K83</f>
        <v>1551824.7921386058</v>
      </c>
      <c r="L80" s="22">
        <f t="shared" ca="1" si="39"/>
        <v>1691141.6889526637</v>
      </c>
      <c r="M80" s="22">
        <f t="shared" ca="1" si="39"/>
        <v>1843710.1109874952</v>
      </c>
      <c r="N80" s="22">
        <f t="shared" ca="1" si="39"/>
        <v>2029331.1800178979</v>
      </c>
      <c r="O80" s="22">
        <f t="shared" ca="1" si="39"/>
        <v>2233069.8290186222</v>
      </c>
    </row>
    <row r="82" spans="2:16" x14ac:dyDescent="0.55000000000000004">
      <c r="B82" t="s">
        <v>43</v>
      </c>
      <c r="J82">
        <v>1</v>
      </c>
      <c r="K82">
        <v>2</v>
      </c>
      <c r="L82">
        <v>3</v>
      </c>
      <c r="M82">
        <v>4</v>
      </c>
      <c r="N82">
        <v>5</v>
      </c>
      <c r="O82">
        <v>6</v>
      </c>
    </row>
    <row r="83" spans="2:16" x14ac:dyDescent="0.55000000000000004">
      <c r="B83" t="s">
        <v>44</v>
      </c>
      <c r="J83">
        <v>0.5</v>
      </c>
      <c r="K83">
        <v>1.5</v>
      </c>
      <c r="L83">
        <v>2.5</v>
      </c>
      <c r="M83">
        <v>3.5</v>
      </c>
      <c r="N83">
        <v>4.5</v>
      </c>
      <c r="O83">
        <v>5.5</v>
      </c>
    </row>
    <row r="86" spans="2:16" x14ac:dyDescent="0.55000000000000004">
      <c r="O86" s="87" t="s">
        <v>14</v>
      </c>
      <c r="P86" s="87" t="s">
        <v>144</v>
      </c>
    </row>
    <row r="87" spans="2:16" x14ac:dyDescent="0.55000000000000004">
      <c r="B87" t="s">
        <v>143</v>
      </c>
      <c r="O87" s="80">
        <f ca="1">(O79*(1+D21))/(D20-D21)</f>
        <v>50080416.045944549</v>
      </c>
      <c r="P87" s="80">
        <f ca="1">O55*D18</f>
        <v>79335093.455270961</v>
      </c>
    </row>
    <row r="88" spans="2:16" x14ac:dyDescent="0.55000000000000004">
      <c r="B88" t="s">
        <v>45</v>
      </c>
      <c r="O88" s="80">
        <f ca="1">O87/(1+D20)^6</f>
        <v>27720290.504249256</v>
      </c>
      <c r="P88" s="80">
        <f ca="1">P87/(1+D20)^6</f>
        <v>43913210.220624015</v>
      </c>
    </row>
    <row r="89" spans="2:16" x14ac:dyDescent="0.55000000000000004">
      <c r="B89" t="s">
        <v>46</v>
      </c>
      <c r="O89" s="81">
        <f ca="1">SUM(J80:O80)+O88</f>
        <v>38508398.22186102</v>
      </c>
      <c r="P89" s="81">
        <f ca="1">SUM(J80:O80, P88)</f>
        <v>54701317.938235775</v>
      </c>
    </row>
    <row r="90" spans="2:16" x14ac:dyDescent="0.55000000000000004">
      <c r="B90" t="s">
        <v>47</v>
      </c>
      <c r="O90" s="81">
        <v>698547</v>
      </c>
      <c r="P90" s="81">
        <v>698547</v>
      </c>
    </row>
    <row r="91" spans="2:16" x14ac:dyDescent="0.55000000000000004">
      <c r="B91" t="s">
        <v>48</v>
      </c>
      <c r="O91" s="81">
        <v>0</v>
      </c>
      <c r="P91" s="6">
        <v>0</v>
      </c>
    </row>
    <row r="92" spans="2:16" x14ac:dyDescent="0.55000000000000004">
      <c r="B92" t="s">
        <v>49</v>
      </c>
      <c r="O92" s="81">
        <v>0</v>
      </c>
      <c r="P92" s="6">
        <v>0</v>
      </c>
    </row>
    <row r="93" spans="2:16" x14ac:dyDescent="0.55000000000000004">
      <c r="B93" t="s">
        <v>50</v>
      </c>
      <c r="O93" s="81">
        <f ca="1">O89+O90-O91-O92</f>
        <v>39206945.22186102</v>
      </c>
      <c r="P93" s="81">
        <f ca="1">P89+P90-P91-P92</f>
        <v>55399864.938235775</v>
      </c>
    </row>
    <row r="94" spans="2:16" x14ac:dyDescent="0.55000000000000004">
      <c r="B94" t="s">
        <v>51</v>
      </c>
      <c r="O94" s="81">
        <v>1363000</v>
      </c>
      <c r="P94" s="81">
        <v>1363000</v>
      </c>
    </row>
    <row r="95" spans="2:16" x14ac:dyDescent="0.55000000000000004">
      <c r="B95" t="s">
        <v>6</v>
      </c>
      <c r="O95" s="90">
        <f ca="1">O93/O94</f>
        <v>28.765183581702875</v>
      </c>
      <c r="P95" s="90">
        <f ca="1">P93/P94</f>
        <v>40.645535537957279</v>
      </c>
    </row>
    <row r="99" spans="2:15" x14ac:dyDescent="0.55000000000000004">
      <c r="F99" s="86"/>
    </row>
    <row r="100" spans="2:15" x14ac:dyDescent="0.55000000000000004">
      <c r="F100" s="87" t="s">
        <v>13</v>
      </c>
      <c r="M100" s="87" t="s">
        <v>13</v>
      </c>
    </row>
    <row r="101" spans="2:15" x14ac:dyDescent="0.55000000000000004">
      <c r="C101" s="94">
        <f ca="1">O95</f>
        <v>28.765183581702875</v>
      </c>
      <c r="D101" s="89">
        <v>8.3599999999999994E-2</v>
      </c>
      <c r="E101" s="89">
        <v>9.3600000000000003E-2</v>
      </c>
      <c r="F101" s="89">
        <v>0.1036</v>
      </c>
      <c r="G101" s="89">
        <v>0.11360000000000001</v>
      </c>
      <c r="H101" s="89">
        <v>0.1236</v>
      </c>
      <c r="J101" s="94">
        <f ca="1">P95</f>
        <v>40.645535537957279</v>
      </c>
      <c r="K101" s="89">
        <v>8.3599999999999994E-2</v>
      </c>
      <c r="L101" s="89">
        <v>9.3600000000000003E-2</v>
      </c>
      <c r="M101" s="89">
        <v>0.1036</v>
      </c>
      <c r="N101" s="89">
        <v>0.11360000000000001</v>
      </c>
      <c r="O101" s="89">
        <v>0.1236</v>
      </c>
    </row>
    <row r="102" spans="2:15" x14ac:dyDescent="0.55000000000000004">
      <c r="C102" s="89">
        <v>0.02</v>
      </c>
      <c r="D102" s="82">
        <f t="dataTable" ref="D102:H106" dt2D="1" dtr="1" r1="D20" r2="D21" ca="1"/>
        <v>36.829966465122098</v>
      </c>
      <c r="E102" s="82">
        <v>31.493304214754954</v>
      </c>
      <c r="F102" s="82">
        <v>27.455538926799335</v>
      </c>
      <c r="G102" s="82">
        <v>24.29896806968846</v>
      </c>
      <c r="H102" s="82">
        <v>21.767265963158646</v>
      </c>
      <c r="J102" s="6">
        <v>8</v>
      </c>
      <c r="K102" s="82">
        <f t="dataTable" ref="K102:O106" dt2D="1" dtr="1" r1="D20" r2="D18" ca="1"/>
        <v>29.462931115114483</v>
      </c>
      <c r="L102" s="82">
        <v>28.110426057568272</v>
      </c>
      <c r="M102" s="82">
        <v>26.83779728600549</v>
      </c>
      <c r="N102" s="82">
        <v>25.639581725667909</v>
      </c>
      <c r="O102" s="82">
        <v>24.510736964739007</v>
      </c>
    </row>
    <row r="103" spans="2:15" x14ac:dyDescent="0.55000000000000004">
      <c r="C103" s="89">
        <v>2.2499999999999999E-2</v>
      </c>
      <c r="D103" s="82">
        <v>38.043264387523841</v>
      </c>
      <c r="E103" s="82">
        <v>32.353843772020554</v>
      </c>
      <c r="F103" s="82">
        <v>28.090175609138534</v>
      </c>
      <c r="G103" s="82">
        <v>24.781327112395708</v>
      </c>
      <c r="H103" s="82">
        <v>22.142792989269829</v>
      </c>
      <c r="J103" s="6">
        <v>10</v>
      </c>
      <c r="K103" s="82">
        <v>34.599314868967504</v>
      </c>
      <c r="L103" s="82">
        <v>32.971367982428148</v>
      </c>
      <c r="M103" s="82">
        <v>31.440376703322759</v>
      </c>
      <c r="N103" s="82">
        <v>29.999678293977006</v>
      </c>
      <c r="O103" s="82">
        <v>28.643124649865086</v>
      </c>
    </row>
    <row r="104" spans="2:15" x14ac:dyDescent="0.55000000000000004">
      <c r="B104" s="88" t="s">
        <v>14</v>
      </c>
      <c r="C104" s="89">
        <v>2.5000000000000001E-2</v>
      </c>
      <c r="D104" s="82">
        <v>39.360086023441106</v>
      </c>
      <c r="E104" s="82">
        <v>33.277104871360905</v>
      </c>
      <c r="F104" s="90">
        <v>28.765183581702875</v>
      </c>
      <c r="G104" s="82">
        <v>25.290907320041295</v>
      </c>
      <c r="H104" s="82">
        <v>22.537362968023565</v>
      </c>
      <c r="I104" s="88" t="s">
        <v>145</v>
      </c>
      <c r="J104" s="6">
        <v>12</v>
      </c>
      <c r="K104" s="82">
        <v>39.735698622820507</v>
      </c>
      <c r="L104" s="82">
        <v>37.832309907288014</v>
      </c>
      <c r="M104" s="90">
        <v>36.042956120640021</v>
      </c>
      <c r="N104" s="82">
        <v>34.359774862286102</v>
      </c>
      <c r="O104" s="82">
        <v>32.775512334991163</v>
      </c>
    </row>
    <row r="105" spans="2:15" x14ac:dyDescent="0.55000000000000004">
      <c r="C105" s="89">
        <v>2.75E-2</v>
      </c>
      <c r="D105" s="82">
        <v>40.79427144152568</v>
      </c>
      <c r="E105" s="82">
        <v>34.270204177913087</v>
      </c>
      <c r="F105" s="82">
        <v>29.484541618167636</v>
      </c>
      <c r="G105" s="82">
        <v>25.830079874240049</v>
      </c>
      <c r="H105" s="82">
        <v>22.952462081988216</v>
      </c>
      <c r="J105" s="6">
        <v>14</v>
      </c>
      <c r="K105" s="82">
        <v>44.872082376673532</v>
      </c>
      <c r="L105" s="82">
        <v>42.693251832147887</v>
      </c>
      <c r="M105" s="82">
        <v>40.645535537957279</v>
      </c>
      <c r="N105" s="82">
        <v>38.719871430595205</v>
      </c>
      <c r="O105" s="82">
        <v>36.907900020117239</v>
      </c>
    </row>
    <row r="106" spans="2:15" x14ac:dyDescent="0.55000000000000004">
      <c r="C106" s="89">
        <v>0.03</v>
      </c>
      <c r="D106" s="82">
        <v>42.362242812789773</v>
      </c>
      <c r="E106" s="82">
        <v>35.341377329319997</v>
      </c>
      <c r="F106" s="82">
        <v>30.252769086457452</v>
      </c>
      <c r="G106" s="82">
        <v>26.40149959077127</v>
      </c>
      <c r="H106" s="82">
        <v>23.38973529392106</v>
      </c>
      <c r="J106" s="6">
        <v>16</v>
      </c>
      <c r="K106" s="82">
        <v>50.00846613052655</v>
      </c>
      <c r="L106" s="82">
        <v>47.554193757007766</v>
      </c>
      <c r="M106" s="82">
        <v>45.248114955274545</v>
      </c>
      <c r="N106" s="82">
        <v>43.079967998904301</v>
      </c>
      <c r="O106" s="82">
        <v>41.040287705243323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37800-79C5-4266-B7EC-836196E00D08}">
  <dimension ref="B2:G15"/>
  <sheetViews>
    <sheetView workbookViewId="0">
      <selection activeCell="D15" sqref="D15"/>
    </sheetView>
  </sheetViews>
  <sheetFormatPr defaultRowHeight="14.4" x14ac:dyDescent="0.55000000000000004"/>
  <cols>
    <col min="4" max="4" width="11.68359375" bestFit="1" customWidth="1"/>
  </cols>
  <sheetData>
    <row r="2" spans="2:7" x14ac:dyDescent="0.55000000000000004">
      <c r="B2" s="7" t="s">
        <v>13</v>
      </c>
      <c r="C2" s="7"/>
      <c r="D2" s="7"/>
      <c r="E2" s="7"/>
      <c r="F2" s="7"/>
      <c r="G2" s="7"/>
    </row>
    <row r="3" spans="2:7" x14ac:dyDescent="0.55000000000000004">
      <c r="B3" t="s">
        <v>131</v>
      </c>
      <c r="D3" s="75">
        <v>80380000</v>
      </c>
    </row>
    <row r="4" spans="2:7" x14ac:dyDescent="0.55000000000000004">
      <c r="B4" t="s">
        <v>132</v>
      </c>
      <c r="D4" s="77">
        <v>1</v>
      </c>
    </row>
    <row r="5" spans="2:7" x14ac:dyDescent="0.55000000000000004">
      <c r="B5" t="s">
        <v>133</v>
      </c>
      <c r="D5" s="76">
        <f>D6+D7*D8</f>
        <v>0.10361999999999999</v>
      </c>
    </row>
    <row r="6" spans="2:7" x14ac:dyDescent="0.55000000000000004">
      <c r="B6" t="s">
        <v>134</v>
      </c>
      <c r="D6" s="76">
        <v>4.5199999999999997E-2</v>
      </c>
    </row>
    <row r="7" spans="2:7" x14ac:dyDescent="0.55000000000000004">
      <c r="B7" t="s">
        <v>135</v>
      </c>
      <c r="D7" s="74">
        <v>1.27</v>
      </c>
    </row>
    <row r="8" spans="2:7" x14ac:dyDescent="0.55000000000000004">
      <c r="B8" t="s">
        <v>136</v>
      </c>
      <c r="D8" s="76">
        <v>4.5999999999999999E-2</v>
      </c>
    </row>
    <row r="9" spans="2:7" x14ac:dyDescent="0.55000000000000004">
      <c r="D9" s="74"/>
    </row>
    <row r="10" spans="2:7" x14ac:dyDescent="0.55000000000000004">
      <c r="B10" t="s">
        <v>137</v>
      </c>
      <c r="D10" s="74">
        <v>0</v>
      </c>
    </row>
    <row r="11" spans="2:7" x14ac:dyDescent="0.55000000000000004">
      <c r="B11" t="s">
        <v>138</v>
      </c>
      <c r="D11" s="74">
        <v>0</v>
      </c>
    </row>
    <row r="12" spans="2:7" x14ac:dyDescent="0.55000000000000004">
      <c r="B12" t="s">
        <v>139</v>
      </c>
      <c r="D12" s="77">
        <v>0</v>
      </c>
    </row>
    <row r="13" spans="2:7" x14ac:dyDescent="0.55000000000000004">
      <c r="B13" t="s">
        <v>140</v>
      </c>
      <c r="D13" s="77">
        <v>0.25</v>
      </c>
    </row>
    <row r="14" spans="2:7" x14ac:dyDescent="0.55000000000000004">
      <c r="D14" s="74"/>
    </row>
    <row r="15" spans="2:7" x14ac:dyDescent="0.55000000000000004">
      <c r="B15" t="s">
        <v>141</v>
      </c>
      <c r="D15" s="78">
        <f>D5*D4+D12*D11*(1-D13)</f>
        <v>0.10361999999999999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E875-C41A-417F-912C-760E79EFDFB5}">
  <dimension ref="C3:K38"/>
  <sheetViews>
    <sheetView topLeftCell="A36" workbookViewId="0">
      <selection activeCell="K4" sqref="K4"/>
    </sheetView>
  </sheetViews>
  <sheetFormatPr defaultRowHeight="14.4" x14ac:dyDescent="0.55000000000000004"/>
  <sheetData>
    <row r="3" spans="3:11" ht="73.8" x14ac:dyDescent="0.55000000000000004">
      <c r="C3" s="23" t="s">
        <v>59</v>
      </c>
    </row>
    <row r="4" spans="3:11" ht="110.7" x14ac:dyDescent="0.55000000000000004">
      <c r="C4" s="23" t="s">
        <v>60</v>
      </c>
    </row>
    <row r="5" spans="3:11" ht="61.5" x14ac:dyDescent="0.55000000000000004">
      <c r="C5" s="23" t="s">
        <v>61</v>
      </c>
    </row>
    <row r="6" spans="3:11" ht="88.5" x14ac:dyDescent="0.55000000000000004">
      <c r="C6" s="24" t="s">
        <v>62</v>
      </c>
    </row>
    <row r="7" spans="3:11" x14ac:dyDescent="0.55000000000000004">
      <c r="C7" s="25"/>
      <c r="D7" s="25"/>
      <c r="E7" s="25"/>
      <c r="F7" s="25"/>
      <c r="G7" s="25"/>
      <c r="H7" s="25"/>
      <c r="I7" s="25"/>
      <c r="J7" s="25"/>
      <c r="K7" s="25"/>
    </row>
    <row r="8" spans="3:11" x14ac:dyDescent="0.55000000000000004">
      <c r="C8" s="26"/>
      <c r="D8" s="26"/>
      <c r="E8" s="26"/>
      <c r="F8" s="26"/>
      <c r="G8" s="26"/>
      <c r="H8" s="26"/>
      <c r="I8" s="26"/>
      <c r="J8" s="26"/>
      <c r="K8" s="26"/>
    </row>
    <row r="9" spans="3:11" ht="14.7" thickBot="1" x14ac:dyDescent="0.6">
      <c r="C9" s="26"/>
      <c r="D9" s="61" t="s">
        <v>63</v>
      </c>
      <c r="E9" s="61"/>
      <c r="F9" s="61"/>
      <c r="G9" s="61"/>
      <c r="H9" s="61"/>
      <c r="I9" s="61"/>
      <c r="J9" s="61"/>
      <c r="K9" s="61"/>
    </row>
    <row r="10" spans="3:11" ht="14.7" thickBot="1" x14ac:dyDescent="0.6">
      <c r="C10" s="26"/>
      <c r="D10" s="62">
        <v>2023</v>
      </c>
      <c r="E10" s="62"/>
      <c r="F10" s="27"/>
      <c r="G10" s="62">
        <v>2022</v>
      </c>
      <c r="H10" s="62"/>
      <c r="I10" s="27"/>
      <c r="J10" s="62">
        <v>2021</v>
      </c>
      <c r="K10" s="62"/>
    </row>
    <row r="11" spans="3:11" ht="38.1" thickTop="1" x14ac:dyDescent="0.55000000000000004">
      <c r="C11" s="28" t="s">
        <v>64</v>
      </c>
      <c r="D11" s="29" t="s">
        <v>65</v>
      </c>
      <c r="E11" s="30">
        <v>9804124</v>
      </c>
      <c r="F11" s="31"/>
      <c r="G11" s="29" t="s">
        <v>65</v>
      </c>
      <c r="H11" s="30">
        <v>8558001</v>
      </c>
      <c r="I11" s="31"/>
      <c r="J11" s="29" t="s">
        <v>65</v>
      </c>
      <c r="K11" s="32">
        <v>7457169</v>
      </c>
    </row>
    <row r="12" spans="3:11" ht="38.1" thickBot="1" x14ac:dyDescent="0.6">
      <c r="C12" s="33" t="s">
        <v>66</v>
      </c>
      <c r="D12" s="34"/>
      <c r="E12" s="35">
        <v>67525</v>
      </c>
      <c r="F12" s="36"/>
      <c r="G12" s="34"/>
      <c r="H12" s="35">
        <v>76651</v>
      </c>
      <c r="I12" s="36"/>
      <c r="J12" s="34"/>
      <c r="K12" s="35">
        <v>89892</v>
      </c>
    </row>
    <row r="13" spans="3:11" ht="38.1" thickBot="1" x14ac:dyDescent="0.6">
      <c r="C13" s="37" t="s">
        <v>67</v>
      </c>
      <c r="D13" s="38"/>
      <c r="E13" s="39">
        <v>9871649</v>
      </c>
      <c r="F13" s="31"/>
      <c r="G13" s="38"/>
      <c r="H13" s="39">
        <v>8634652</v>
      </c>
      <c r="I13" s="31"/>
      <c r="J13" s="38"/>
      <c r="K13" s="39">
        <v>7547061</v>
      </c>
    </row>
    <row r="14" spans="3:11" ht="138.6" x14ac:dyDescent="0.55000000000000004">
      <c r="C14" s="33" t="s">
        <v>68</v>
      </c>
      <c r="D14" s="40"/>
      <c r="E14" s="40"/>
      <c r="F14" s="36"/>
      <c r="G14" s="40"/>
      <c r="H14" s="40"/>
      <c r="I14" s="36"/>
      <c r="J14" s="40"/>
      <c r="K14" s="40"/>
    </row>
    <row r="15" spans="3:11" ht="63" x14ac:dyDescent="0.55000000000000004">
      <c r="C15" s="37" t="s">
        <v>69</v>
      </c>
      <c r="D15" s="31"/>
      <c r="E15" s="41">
        <v>2912564</v>
      </c>
      <c r="F15" s="31"/>
      <c r="G15" s="31"/>
      <c r="H15" s="41">
        <v>2602245</v>
      </c>
      <c r="I15" s="31"/>
      <c r="J15" s="31"/>
      <c r="K15" s="41">
        <v>2308631</v>
      </c>
    </row>
    <row r="16" spans="3:11" x14ac:dyDescent="0.55000000000000004">
      <c r="C16" s="42" t="s">
        <v>70</v>
      </c>
      <c r="D16" s="36"/>
      <c r="E16" s="43">
        <v>2440982</v>
      </c>
      <c r="F16" s="36"/>
      <c r="G16" s="36"/>
      <c r="H16" s="43">
        <v>2197958</v>
      </c>
      <c r="I16" s="36"/>
      <c r="J16" s="36"/>
      <c r="K16" s="43">
        <v>1917761</v>
      </c>
    </row>
    <row r="17" spans="3:11" ht="25.2" x14ac:dyDescent="0.55000000000000004">
      <c r="C17" s="37" t="s">
        <v>71</v>
      </c>
      <c r="D17" s="31"/>
      <c r="E17" s="41">
        <v>503264</v>
      </c>
      <c r="F17" s="31"/>
      <c r="G17" s="31"/>
      <c r="H17" s="41">
        <v>460425</v>
      </c>
      <c r="I17" s="31"/>
      <c r="J17" s="31"/>
      <c r="K17" s="41">
        <v>416606</v>
      </c>
    </row>
    <row r="18" spans="3:11" ht="50.4" x14ac:dyDescent="0.55000000000000004">
      <c r="C18" s="42" t="s">
        <v>72</v>
      </c>
      <c r="D18" s="36"/>
      <c r="E18" s="43">
        <v>1428747</v>
      </c>
      <c r="F18" s="36"/>
      <c r="G18" s="36"/>
      <c r="H18" s="43">
        <v>1311905</v>
      </c>
      <c r="I18" s="36"/>
      <c r="J18" s="36"/>
      <c r="K18" s="43">
        <v>1197054</v>
      </c>
    </row>
    <row r="19" spans="3:11" ht="50.4" x14ac:dyDescent="0.55000000000000004">
      <c r="C19" s="28" t="s">
        <v>73</v>
      </c>
      <c r="D19" s="31"/>
      <c r="E19" s="41">
        <v>633584</v>
      </c>
      <c r="F19" s="31"/>
      <c r="G19" s="31"/>
      <c r="H19" s="41">
        <v>564191</v>
      </c>
      <c r="I19" s="31"/>
      <c r="J19" s="31"/>
      <c r="K19" s="41">
        <v>606854</v>
      </c>
    </row>
    <row r="20" spans="3:11" ht="50.4" x14ac:dyDescent="0.55000000000000004">
      <c r="C20" s="33" t="s">
        <v>74</v>
      </c>
      <c r="D20" s="36"/>
      <c r="E20" s="43">
        <v>319394</v>
      </c>
      <c r="F20" s="36"/>
      <c r="G20" s="36"/>
      <c r="H20" s="43">
        <v>286826</v>
      </c>
      <c r="I20" s="36"/>
      <c r="J20" s="36"/>
      <c r="K20" s="43">
        <v>254657</v>
      </c>
    </row>
    <row r="21" spans="3:11" ht="37.799999999999997" x14ac:dyDescent="0.55000000000000004">
      <c r="C21" s="28" t="s">
        <v>75</v>
      </c>
      <c r="D21" s="31"/>
      <c r="E21" s="41">
        <v>36931</v>
      </c>
      <c r="F21" s="31"/>
      <c r="G21" s="31"/>
      <c r="H21" s="41">
        <v>29560</v>
      </c>
      <c r="I21" s="31"/>
      <c r="J21" s="31"/>
      <c r="K21" s="41">
        <v>21264</v>
      </c>
    </row>
    <row r="22" spans="3:11" ht="63.3" thickBot="1" x14ac:dyDescent="0.6">
      <c r="C22" s="33" t="s">
        <v>76</v>
      </c>
      <c r="D22" s="34"/>
      <c r="E22" s="35">
        <v>38370</v>
      </c>
      <c r="F22" s="36"/>
      <c r="G22" s="34"/>
      <c r="H22" s="35">
        <v>21139</v>
      </c>
      <c r="I22" s="36"/>
      <c r="J22" s="34"/>
      <c r="K22" s="35">
        <v>19291</v>
      </c>
    </row>
    <row r="23" spans="3:11" ht="63.3" thickBot="1" x14ac:dyDescent="0.6">
      <c r="C23" s="37" t="s">
        <v>77</v>
      </c>
      <c r="D23" s="38"/>
      <c r="E23" s="39">
        <v>8313836</v>
      </c>
      <c r="F23" s="31"/>
      <c r="G23" s="38"/>
      <c r="H23" s="39">
        <v>7474249</v>
      </c>
      <c r="I23" s="31"/>
      <c r="J23" s="38"/>
      <c r="K23" s="39">
        <v>6742118</v>
      </c>
    </row>
    <row r="24" spans="3:11" ht="37.799999999999997" x14ac:dyDescent="0.55000000000000004">
      <c r="C24" s="33" t="s">
        <v>78</v>
      </c>
      <c r="D24" s="40"/>
      <c r="E24" s="44">
        <v>1557813</v>
      </c>
      <c r="F24" s="36"/>
      <c r="G24" s="40"/>
      <c r="H24" s="44">
        <v>1160403</v>
      </c>
      <c r="I24" s="36"/>
      <c r="J24" s="40"/>
      <c r="K24" s="44">
        <v>804943</v>
      </c>
    </row>
    <row r="25" spans="3:11" ht="38.1" thickBot="1" x14ac:dyDescent="0.6">
      <c r="C25" s="28" t="s">
        <v>79</v>
      </c>
      <c r="D25" s="45"/>
      <c r="E25" s="46">
        <v>62693</v>
      </c>
      <c r="F25" s="31"/>
      <c r="G25" s="45"/>
      <c r="H25" s="46">
        <v>21128</v>
      </c>
      <c r="I25" s="31"/>
      <c r="J25" s="45"/>
      <c r="K25" s="46">
        <v>7820</v>
      </c>
    </row>
    <row r="26" spans="3:11" ht="50.4" x14ac:dyDescent="0.55000000000000004">
      <c r="C26" s="33" t="s">
        <v>80</v>
      </c>
      <c r="D26" s="40"/>
      <c r="E26" s="44">
        <v>1620506</v>
      </c>
      <c r="F26" s="36"/>
      <c r="G26" s="40"/>
      <c r="H26" s="44">
        <v>1181531</v>
      </c>
      <c r="I26" s="36"/>
      <c r="J26" s="40"/>
      <c r="K26" s="44">
        <v>812763</v>
      </c>
    </row>
    <row r="27" spans="3:11" ht="38.1" thickBot="1" x14ac:dyDescent="0.6">
      <c r="C27" s="28" t="s">
        <v>81</v>
      </c>
      <c r="D27" s="45"/>
      <c r="E27" s="46">
        <v>-391769</v>
      </c>
      <c r="F27" s="31"/>
      <c r="G27" s="45"/>
      <c r="H27" s="46">
        <v>-282430</v>
      </c>
      <c r="I27" s="31"/>
      <c r="J27" s="45"/>
      <c r="K27" s="46">
        <v>-159779</v>
      </c>
    </row>
    <row r="28" spans="3:11" ht="14.7" thickBot="1" x14ac:dyDescent="0.6">
      <c r="C28" s="33" t="s">
        <v>82</v>
      </c>
      <c r="D28" s="47" t="s">
        <v>65</v>
      </c>
      <c r="E28" s="48">
        <v>1228737</v>
      </c>
      <c r="F28" s="36"/>
      <c r="G28" s="47" t="s">
        <v>65</v>
      </c>
      <c r="H28" s="48">
        <v>899101</v>
      </c>
      <c r="I28" s="36"/>
      <c r="J28" s="47" t="s">
        <v>65</v>
      </c>
      <c r="K28" s="48">
        <v>652984</v>
      </c>
    </row>
    <row r="29" spans="3:11" ht="25.5" thickTop="1" x14ac:dyDescent="0.55000000000000004">
      <c r="C29" s="28" t="s">
        <v>83</v>
      </c>
      <c r="D29" s="49"/>
      <c r="E29" s="49"/>
      <c r="F29" s="31"/>
      <c r="G29" s="49"/>
      <c r="H29" s="49"/>
      <c r="I29" s="31"/>
      <c r="J29" s="49"/>
      <c r="K29" s="49"/>
    </row>
    <row r="30" spans="3:11" ht="14.7" thickBot="1" x14ac:dyDescent="0.6">
      <c r="C30" s="42" t="s">
        <v>84</v>
      </c>
      <c r="D30" s="50" t="s">
        <v>65</v>
      </c>
      <c r="E30" s="51">
        <v>44.59</v>
      </c>
      <c r="F30" s="36"/>
      <c r="G30" s="50" t="s">
        <v>65</v>
      </c>
      <c r="H30" s="51">
        <v>32.28</v>
      </c>
      <c r="I30" s="36"/>
      <c r="J30" s="50" t="s">
        <v>65</v>
      </c>
      <c r="K30" s="51">
        <v>23.21</v>
      </c>
    </row>
    <row r="31" spans="3:11" ht="25.8" thickTop="1" thickBot="1" x14ac:dyDescent="0.6">
      <c r="C31" s="37" t="s">
        <v>85</v>
      </c>
      <c r="D31" s="52" t="s">
        <v>65</v>
      </c>
      <c r="E31" s="53">
        <v>44.34</v>
      </c>
      <c r="F31" s="31"/>
      <c r="G31" s="52" t="s">
        <v>65</v>
      </c>
      <c r="H31" s="53">
        <v>32.04</v>
      </c>
      <c r="I31" s="31"/>
      <c r="J31" s="52" t="s">
        <v>65</v>
      </c>
      <c r="K31" s="53">
        <v>22.9</v>
      </c>
    </row>
    <row r="32" spans="3:11" ht="75.900000000000006" thickTop="1" x14ac:dyDescent="0.55000000000000004">
      <c r="C32" s="33" t="s">
        <v>86</v>
      </c>
      <c r="D32" s="54"/>
      <c r="E32" s="54"/>
      <c r="F32" s="36"/>
      <c r="G32" s="54"/>
      <c r="H32" s="54"/>
      <c r="I32" s="36"/>
      <c r="J32" s="54"/>
      <c r="K32" s="54"/>
    </row>
    <row r="33" spans="3:11" ht="14.7" thickBot="1" x14ac:dyDescent="0.6">
      <c r="C33" s="37" t="s">
        <v>84</v>
      </c>
      <c r="D33" s="55"/>
      <c r="E33" s="56">
        <v>27555</v>
      </c>
      <c r="F33" s="31"/>
      <c r="G33" s="55"/>
      <c r="H33" s="56">
        <v>27851</v>
      </c>
      <c r="I33" s="31"/>
      <c r="J33" s="55"/>
      <c r="K33" s="56">
        <v>28132</v>
      </c>
    </row>
    <row r="34" spans="3:11" ht="25.8" thickTop="1" thickBot="1" x14ac:dyDescent="0.6">
      <c r="C34" s="42" t="s">
        <v>85</v>
      </c>
      <c r="D34" s="57"/>
      <c r="E34" s="58">
        <v>27710</v>
      </c>
      <c r="F34" s="36"/>
      <c r="G34" s="57"/>
      <c r="H34" s="58">
        <v>28062</v>
      </c>
      <c r="I34" s="36"/>
      <c r="J34" s="57"/>
      <c r="K34" s="58">
        <v>28511</v>
      </c>
    </row>
    <row r="35" spans="3:11" ht="88.5" thickTop="1" x14ac:dyDescent="0.55000000000000004">
      <c r="C35" s="28" t="s">
        <v>87</v>
      </c>
      <c r="D35" s="49"/>
      <c r="E35" s="49"/>
      <c r="F35" s="31"/>
      <c r="G35" s="49"/>
      <c r="H35" s="49"/>
      <c r="I35" s="31"/>
      <c r="J35" s="49"/>
      <c r="K35" s="49"/>
    </row>
    <row r="36" spans="3:11" ht="101.1" thickBot="1" x14ac:dyDescent="0.6">
      <c r="C36" s="42" t="s">
        <v>88</v>
      </c>
      <c r="D36" s="33" t="s">
        <v>65</v>
      </c>
      <c r="E36" s="43">
        <v>1231</v>
      </c>
      <c r="F36" s="36"/>
      <c r="G36" s="33" t="s">
        <v>65</v>
      </c>
      <c r="H36" s="43">
        <v>-2534</v>
      </c>
      <c r="I36" s="36"/>
      <c r="J36" s="36"/>
      <c r="K36" s="43">
        <v>-1125</v>
      </c>
    </row>
    <row r="37" spans="3:11" ht="25.5" thickBot="1" x14ac:dyDescent="0.6">
      <c r="C37" s="28" t="s">
        <v>89</v>
      </c>
      <c r="D37" s="59" t="s">
        <v>65</v>
      </c>
      <c r="E37" s="60">
        <v>1229968</v>
      </c>
      <c r="F37" s="31"/>
      <c r="G37" s="59" t="s">
        <v>65</v>
      </c>
      <c r="H37" s="60">
        <v>896567</v>
      </c>
      <c r="I37" s="31"/>
      <c r="J37" s="59" t="s">
        <v>65</v>
      </c>
      <c r="K37" s="60">
        <v>651859</v>
      </c>
    </row>
    <row r="38" spans="3:11" ht="14.7" thickTop="1" x14ac:dyDescent="0.55000000000000004"/>
  </sheetData>
  <mergeCells count="4">
    <mergeCell ref="D9:K9"/>
    <mergeCell ref="D10:E10"/>
    <mergeCell ref="G10:H10"/>
    <mergeCell ref="J10: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C438-733B-44BA-A388-A77B2F6FB631}">
  <dimension ref="B3:G51"/>
  <sheetViews>
    <sheetView topLeftCell="A44" workbookViewId="0">
      <selection activeCell="I4" sqref="I4"/>
    </sheetView>
  </sheetViews>
  <sheetFormatPr defaultRowHeight="14.4" x14ac:dyDescent="0.55000000000000004"/>
  <sheetData>
    <row r="3" spans="2:7" ht="73.8" x14ac:dyDescent="0.55000000000000004">
      <c r="B3" s="23" t="s">
        <v>59</v>
      </c>
    </row>
    <row r="4" spans="2:7" ht="61.5" x14ac:dyDescent="0.55000000000000004">
      <c r="B4" s="23" t="s">
        <v>90</v>
      </c>
    </row>
    <row r="5" spans="2:7" ht="61.5" x14ac:dyDescent="0.55000000000000004">
      <c r="B5" s="23" t="s">
        <v>61</v>
      </c>
    </row>
    <row r="6" spans="2:7" ht="88.5" x14ac:dyDescent="0.55000000000000004">
      <c r="B6" s="24" t="s">
        <v>62</v>
      </c>
    </row>
    <row r="7" spans="2:7" x14ac:dyDescent="0.55000000000000004">
      <c r="B7" s="25"/>
      <c r="C7" s="25"/>
      <c r="D7" s="25"/>
      <c r="E7" s="25"/>
      <c r="F7" s="25"/>
      <c r="G7" s="25"/>
    </row>
    <row r="8" spans="2:7" x14ac:dyDescent="0.55000000000000004">
      <c r="B8" s="26"/>
      <c r="C8" s="26"/>
      <c r="D8" s="26"/>
      <c r="E8" s="26"/>
      <c r="F8" s="26"/>
      <c r="G8" s="26"/>
    </row>
    <row r="9" spans="2:7" ht="14.7" thickBot="1" x14ac:dyDescent="0.6">
      <c r="B9" s="26"/>
      <c r="C9" s="69" t="s">
        <v>91</v>
      </c>
      <c r="D9" s="69"/>
      <c r="E9" s="69"/>
      <c r="F9" s="69"/>
      <c r="G9" s="69"/>
    </row>
    <row r="10" spans="2:7" ht="15" thickTop="1" thickBot="1" x14ac:dyDescent="0.6">
      <c r="B10" s="26"/>
      <c r="C10" s="70">
        <v>2023</v>
      </c>
      <c r="D10" s="70"/>
      <c r="E10" s="63"/>
      <c r="F10" s="70">
        <v>2022</v>
      </c>
      <c r="G10" s="70"/>
    </row>
    <row r="11" spans="2:7" ht="14.7" thickTop="1" x14ac:dyDescent="0.55000000000000004">
      <c r="B11" s="64" t="s">
        <v>92</v>
      </c>
      <c r="C11" s="31"/>
      <c r="D11" s="31"/>
      <c r="E11" s="31"/>
      <c r="F11" s="31"/>
      <c r="G11" s="31"/>
    </row>
    <row r="12" spans="2:7" ht="25.2" x14ac:dyDescent="0.55000000000000004">
      <c r="B12" s="33" t="s">
        <v>93</v>
      </c>
      <c r="C12" s="36"/>
      <c r="D12" s="36"/>
      <c r="E12" s="36"/>
      <c r="F12" s="36"/>
      <c r="G12" s="36"/>
    </row>
    <row r="13" spans="2:7" ht="63" x14ac:dyDescent="0.55000000000000004">
      <c r="B13" s="37" t="s">
        <v>94</v>
      </c>
      <c r="C13" s="28" t="s">
        <v>65</v>
      </c>
      <c r="D13" s="41">
        <v>560609</v>
      </c>
      <c r="E13" s="31"/>
      <c r="F13" s="28" t="s">
        <v>65</v>
      </c>
      <c r="G13" s="41">
        <v>384000</v>
      </c>
    </row>
    <row r="14" spans="2:7" ht="63" x14ac:dyDescent="0.55000000000000004">
      <c r="B14" s="42" t="s">
        <v>95</v>
      </c>
      <c r="C14" s="36"/>
      <c r="D14" s="43">
        <v>115535</v>
      </c>
      <c r="E14" s="36"/>
      <c r="F14" s="36"/>
      <c r="G14" s="43">
        <v>106880</v>
      </c>
    </row>
    <row r="15" spans="2:7" ht="25.2" x14ac:dyDescent="0.55000000000000004">
      <c r="B15" s="37" t="s">
        <v>96</v>
      </c>
      <c r="C15" s="31"/>
      <c r="D15" s="41">
        <v>39309</v>
      </c>
      <c r="E15" s="31"/>
      <c r="F15" s="31"/>
      <c r="G15" s="41">
        <v>35668</v>
      </c>
    </row>
    <row r="16" spans="2:7" ht="88.2" x14ac:dyDescent="0.55000000000000004">
      <c r="B16" s="42" t="s">
        <v>97</v>
      </c>
      <c r="C16" s="36"/>
      <c r="D16" s="43">
        <v>117462</v>
      </c>
      <c r="E16" s="36"/>
      <c r="F16" s="36"/>
      <c r="G16" s="43">
        <v>86412</v>
      </c>
    </row>
    <row r="17" spans="2:7" ht="50.4" x14ac:dyDescent="0.55000000000000004">
      <c r="B17" s="37" t="s">
        <v>98</v>
      </c>
      <c r="C17" s="31"/>
      <c r="D17" s="41">
        <v>52960</v>
      </c>
      <c r="E17" s="31"/>
      <c r="F17" s="31"/>
      <c r="G17" s="41">
        <v>47741</v>
      </c>
    </row>
    <row r="18" spans="2:7" ht="25.5" thickBot="1" x14ac:dyDescent="0.6">
      <c r="B18" s="42" t="s">
        <v>99</v>
      </c>
      <c r="C18" s="34"/>
      <c r="D18" s="35">
        <v>734838</v>
      </c>
      <c r="E18" s="36"/>
      <c r="F18" s="34"/>
      <c r="G18" s="35">
        <v>515136</v>
      </c>
    </row>
    <row r="19" spans="2:7" ht="37.799999999999997" x14ac:dyDescent="0.55000000000000004">
      <c r="B19" s="28" t="s">
        <v>100</v>
      </c>
      <c r="C19" s="65"/>
      <c r="D19" s="32">
        <v>1620713</v>
      </c>
      <c r="E19" s="31"/>
      <c r="F19" s="65"/>
      <c r="G19" s="32">
        <v>1175837</v>
      </c>
    </row>
    <row r="20" spans="2:7" ht="88.2" x14ac:dyDescent="0.55000000000000004">
      <c r="B20" s="33" t="s">
        <v>101</v>
      </c>
      <c r="C20" s="36"/>
      <c r="D20" s="43">
        <v>2170038</v>
      </c>
      <c r="E20" s="36"/>
      <c r="F20" s="36"/>
      <c r="G20" s="43">
        <v>1951147</v>
      </c>
    </row>
    <row r="21" spans="2:7" ht="25.2" x14ac:dyDescent="0.55000000000000004">
      <c r="B21" s="28" t="s">
        <v>102</v>
      </c>
      <c r="C21" s="31"/>
      <c r="D21" s="41">
        <v>564488</v>
      </c>
      <c r="E21" s="31"/>
      <c r="F21" s="31"/>
      <c r="G21" s="41">
        <v>388055</v>
      </c>
    </row>
    <row r="22" spans="2:7" ht="25.2" x14ac:dyDescent="0.55000000000000004">
      <c r="B22" s="33" t="s">
        <v>103</v>
      </c>
      <c r="C22" s="36"/>
      <c r="D22" s="43">
        <v>25554</v>
      </c>
      <c r="E22" s="36"/>
      <c r="F22" s="36"/>
      <c r="G22" s="43">
        <v>24966</v>
      </c>
    </row>
    <row r="23" spans="2:7" ht="25.2" x14ac:dyDescent="0.55000000000000004">
      <c r="B23" s="28" t="s">
        <v>104</v>
      </c>
      <c r="C23" s="31"/>
      <c r="D23" s="41">
        <v>3578548</v>
      </c>
      <c r="E23" s="31"/>
      <c r="F23" s="31"/>
      <c r="G23" s="41">
        <v>3302402</v>
      </c>
    </row>
    <row r="24" spans="2:7" ht="25.2" x14ac:dyDescent="0.55000000000000004">
      <c r="B24" s="33" t="s">
        <v>105</v>
      </c>
      <c r="C24" s="36"/>
      <c r="D24" s="43">
        <v>63082</v>
      </c>
      <c r="E24" s="36"/>
      <c r="F24" s="36"/>
      <c r="G24" s="43">
        <v>63158</v>
      </c>
    </row>
    <row r="25" spans="2:7" ht="14.7" thickBot="1" x14ac:dyDescent="0.6">
      <c r="B25" s="28" t="s">
        <v>106</v>
      </c>
      <c r="C25" s="45"/>
      <c r="D25" s="46">
        <v>21939</v>
      </c>
      <c r="E25" s="31"/>
      <c r="F25" s="45"/>
      <c r="G25" s="46">
        <v>21939</v>
      </c>
    </row>
    <row r="26" spans="2:7" ht="14.7" thickBot="1" x14ac:dyDescent="0.6">
      <c r="B26" s="33" t="s">
        <v>107</v>
      </c>
      <c r="C26" s="47" t="s">
        <v>65</v>
      </c>
      <c r="D26" s="48">
        <v>8044362</v>
      </c>
      <c r="E26" s="36"/>
      <c r="F26" s="47" t="s">
        <v>65</v>
      </c>
      <c r="G26" s="48">
        <v>6927504</v>
      </c>
    </row>
    <row r="27" spans="2:7" ht="49.5" thickTop="1" x14ac:dyDescent="0.55000000000000004">
      <c r="B27" s="64" t="s">
        <v>108</v>
      </c>
      <c r="C27" s="49"/>
      <c r="D27" s="49"/>
      <c r="E27" s="31"/>
      <c r="F27" s="49"/>
      <c r="G27" s="49"/>
    </row>
    <row r="28" spans="2:7" ht="25.2" x14ac:dyDescent="0.55000000000000004">
      <c r="B28" s="33" t="s">
        <v>109</v>
      </c>
      <c r="C28" s="36"/>
      <c r="D28" s="36"/>
      <c r="E28" s="36"/>
      <c r="F28" s="36"/>
      <c r="G28" s="36"/>
    </row>
    <row r="29" spans="2:7" ht="50.4" x14ac:dyDescent="0.55000000000000004">
      <c r="B29" s="37" t="s">
        <v>110</v>
      </c>
      <c r="C29" s="28" t="s">
        <v>65</v>
      </c>
      <c r="D29" s="41">
        <v>197646</v>
      </c>
      <c r="E29" s="31"/>
      <c r="F29" s="28" t="s">
        <v>65</v>
      </c>
      <c r="G29" s="41">
        <v>184566</v>
      </c>
    </row>
    <row r="30" spans="2:7" ht="75.599999999999994" x14ac:dyDescent="0.55000000000000004">
      <c r="B30" s="42" t="s">
        <v>111</v>
      </c>
      <c r="C30" s="36"/>
      <c r="D30" s="43">
        <v>227537</v>
      </c>
      <c r="E30" s="36"/>
      <c r="F30" s="36"/>
      <c r="G30" s="43">
        <v>170456</v>
      </c>
    </row>
    <row r="31" spans="2:7" ht="50.4" x14ac:dyDescent="0.55000000000000004">
      <c r="B31" s="37" t="s">
        <v>112</v>
      </c>
      <c r="C31" s="31"/>
      <c r="D31" s="41">
        <v>147688</v>
      </c>
      <c r="E31" s="31"/>
      <c r="F31" s="31"/>
      <c r="G31" s="41">
        <v>147539</v>
      </c>
    </row>
    <row r="32" spans="2:7" ht="50.4" x14ac:dyDescent="0.55000000000000004">
      <c r="B32" s="42" t="s">
        <v>113</v>
      </c>
      <c r="C32" s="36"/>
      <c r="D32" s="43">
        <v>209680</v>
      </c>
      <c r="E32" s="36"/>
      <c r="F32" s="36"/>
      <c r="G32" s="43">
        <v>183071</v>
      </c>
    </row>
    <row r="33" spans="2:7" ht="88.5" thickBot="1" x14ac:dyDescent="0.6">
      <c r="B33" s="37" t="s">
        <v>114</v>
      </c>
      <c r="C33" s="31"/>
      <c r="D33" s="41">
        <v>248074</v>
      </c>
      <c r="E33" s="31"/>
      <c r="F33" s="31"/>
      <c r="G33" s="41">
        <v>236248</v>
      </c>
    </row>
    <row r="34" spans="2:7" ht="37.799999999999997" x14ac:dyDescent="0.55000000000000004">
      <c r="B34" s="33" t="s">
        <v>115</v>
      </c>
      <c r="C34" s="40"/>
      <c r="D34" s="44">
        <v>1030625</v>
      </c>
      <c r="E34" s="36"/>
      <c r="F34" s="40"/>
      <c r="G34" s="44">
        <v>921880</v>
      </c>
    </row>
    <row r="35" spans="2:7" ht="63" x14ac:dyDescent="0.55000000000000004">
      <c r="B35" s="28" t="s">
        <v>116</v>
      </c>
      <c r="C35" s="31"/>
      <c r="D35" s="66"/>
      <c r="E35" s="31"/>
      <c r="F35" s="31"/>
      <c r="G35" s="66"/>
    </row>
    <row r="36" spans="2:7" ht="50.4" x14ac:dyDescent="0.55000000000000004">
      <c r="B36" s="33" t="s">
        <v>117</v>
      </c>
      <c r="C36" s="36"/>
      <c r="D36" s="43">
        <v>3803551</v>
      </c>
      <c r="E36" s="36"/>
      <c r="F36" s="36"/>
      <c r="G36" s="43">
        <v>3495162</v>
      </c>
    </row>
    <row r="37" spans="2:7" ht="37.799999999999997" x14ac:dyDescent="0.55000000000000004">
      <c r="B37" s="28" t="s">
        <v>118</v>
      </c>
      <c r="C37" s="31"/>
      <c r="D37" s="41">
        <v>89109</v>
      </c>
      <c r="E37" s="31"/>
      <c r="F37" s="31"/>
      <c r="G37" s="41">
        <v>98623</v>
      </c>
    </row>
    <row r="38" spans="2:7" ht="25.5" thickBot="1" x14ac:dyDescent="0.6">
      <c r="B38" s="33" t="s">
        <v>119</v>
      </c>
      <c r="C38" s="34"/>
      <c r="D38" s="35">
        <v>58870</v>
      </c>
      <c r="E38" s="36"/>
      <c r="F38" s="34"/>
      <c r="G38" s="35">
        <v>43816</v>
      </c>
    </row>
    <row r="39" spans="2:7" ht="25.5" thickBot="1" x14ac:dyDescent="0.6">
      <c r="B39" s="28" t="s">
        <v>120</v>
      </c>
      <c r="C39" s="38"/>
      <c r="D39" s="39">
        <v>4982155</v>
      </c>
      <c r="E39" s="31"/>
      <c r="F39" s="38"/>
      <c r="G39" s="39">
        <v>4559481</v>
      </c>
    </row>
    <row r="40" spans="2:7" ht="25.2" x14ac:dyDescent="0.55000000000000004">
      <c r="B40" s="33" t="s">
        <v>121</v>
      </c>
      <c r="C40" s="40"/>
      <c r="D40" s="40"/>
      <c r="E40" s="36"/>
      <c r="F40" s="40"/>
      <c r="G40" s="40"/>
    </row>
    <row r="41" spans="2:7" ht="302.39999999999998" x14ac:dyDescent="0.55000000000000004">
      <c r="B41" s="37" t="s">
        <v>122</v>
      </c>
      <c r="C41" s="31"/>
      <c r="D41" s="67" t="s">
        <v>32</v>
      </c>
      <c r="E41" s="31"/>
      <c r="F41" s="31"/>
      <c r="G41" s="67" t="s">
        <v>32</v>
      </c>
    </row>
    <row r="42" spans="2:7" ht="340.2" x14ac:dyDescent="0.55000000000000004">
      <c r="B42" s="42" t="s">
        <v>123</v>
      </c>
      <c r="C42" s="36"/>
      <c r="D42" s="68">
        <v>375</v>
      </c>
      <c r="E42" s="36"/>
      <c r="F42" s="36"/>
      <c r="G42" s="68">
        <v>373</v>
      </c>
    </row>
    <row r="43" spans="2:7" ht="50.4" x14ac:dyDescent="0.55000000000000004">
      <c r="B43" s="37" t="s">
        <v>124</v>
      </c>
      <c r="C43" s="31"/>
      <c r="D43" s="41">
        <v>1956160</v>
      </c>
      <c r="E43" s="31"/>
      <c r="F43" s="31"/>
      <c r="G43" s="41">
        <v>1829304</v>
      </c>
    </row>
    <row r="44" spans="2:7" ht="252" x14ac:dyDescent="0.55000000000000004">
      <c r="B44" s="42" t="s">
        <v>125</v>
      </c>
      <c r="C44" s="36"/>
      <c r="D44" s="43">
        <v>-4944656</v>
      </c>
      <c r="E44" s="36"/>
      <c r="F44" s="36"/>
      <c r="G44" s="43">
        <v>-4282014</v>
      </c>
    </row>
    <row r="45" spans="2:7" ht="75.599999999999994" x14ac:dyDescent="0.55000000000000004">
      <c r="B45" s="37" t="s">
        <v>126</v>
      </c>
      <c r="C45" s="31"/>
      <c r="D45" s="41">
        <v>-6657</v>
      </c>
      <c r="E45" s="31"/>
      <c r="F45" s="31"/>
      <c r="G45" s="41">
        <v>-7888</v>
      </c>
    </row>
    <row r="46" spans="2:7" ht="50.7" thickBot="1" x14ac:dyDescent="0.6">
      <c r="B46" s="42" t="s">
        <v>127</v>
      </c>
      <c r="C46" s="34"/>
      <c r="D46" s="35">
        <v>6056985</v>
      </c>
      <c r="E46" s="36"/>
      <c r="F46" s="34"/>
      <c r="G46" s="35">
        <v>4828248</v>
      </c>
    </row>
    <row r="47" spans="2:7" ht="38.1" thickBot="1" x14ac:dyDescent="0.6">
      <c r="B47" s="28" t="s">
        <v>128</v>
      </c>
      <c r="C47" s="38"/>
      <c r="D47" s="39">
        <v>3062207</v>
      </c>
      <c r="E47" s="31"/>
      <c r="F47" s="38"/>
      <c r="G47" s="39">
        <v>2368023</v>
      </c>
    </row>
    <row r="48" spans="2:7" ht="63.3" thickBot="1" x14ac:dyDescent="0.6">
      <c r="B48" s="33" t="s">
        <v>129</v>
      </c>
      <c r="C48" s="47" t="s">
        <v>65</v>
      </c>
      <c r="D48" s="48">
        <v>8044362</v>
      </c>
      <c r="E48" s="36"/>
      <c r="F48" s="47" t="s">
        <v>65</v>
      </c>
      <c r="G48" s="48">
        <v>6927504</v>
      </c>
    </row>
    <row r="49" spans="2:2" ht="101.1" thickTop="1" x14ac:dyDescent="0.55000000000000004">
      <c r="B49" s="71" t="s">
        <v>130</v>
      </c>
    </row>
    <row r="50" spans="2:2" x14ac:dyDescent="0.55000000000000004">
      <c r="B50" s="72"/>
    </row>
    <row r="51" spans="2:2" x14ac:dyDescent="0.55000000000000004">
      <c r="B51" s="73"/>
    </row>
  </sheetData>
  <mergeCells count="3">
    <mergeCell ref="C9:G9"/>
    <mergeCell ref="C10:D10"/>
    <mergeCell ref="F10: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DCF</vt:lpstr>
      <vt:lpstr>WACC</vt:lpstr>
      <vt:lpstr>Income Statement</vt:lpstr>
      <vt:lpstr>Balance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Schantz, Hudson</dc:creator>
  <cp:lastModifiedBy>Schantz, Hudson</cp:lastModifiedBy>
  <dcterms:created xsi:type="dcterms:W3CDTF">2025-01-30T20:59:19Z</dcterms:created>
  <dcterms:modified xsi:type="dcterms:W3CDTF">2025-01-30T23:36:11Z</dcterms:modified>
</cp:coreProperties>
</file>