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6BE6B974-8784-4A03-B8C1-A2A822759D24}" xr6:coauthVersionLast="47" xr6:coauthVersionMax="47" xr10:uidLastSave="{00000000-0000-0000-0000-000000000000}"/>
  <bookViews>
    <workbookView xWindow="-48" yWindow="-48" windowWidth="23136" windowHeight="12336" xr2:uid="{88C19294-E1BA-4A6F-9957-BB06D7AE5847}"/>
  </bookViews>
  <sheets>
    <sheet name="DCF" sheetId="1" r:id="rId1"/>
    <sheet name="WACC" sheetId="4" r:id="rId2"/>
    <sheet name="Income Statement" sheetId="2" r:id="rId3"/>
    <sheet name="Balance Sheet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0" i="1" l="1"/>
  <c r="L70" i="1"/>
  <c r="M70" i="1"/>
  <c r="N70" i="1"/>
  <c r="O70" i="1"/>
  <c r="J70" i="1"/>
  <c r="K69" i="1"/>
  <c r="L69" i="1"/>
  <c r="M69" i="1"/>
  <c r="N69" i="1"/>
  <c r="O69" i="1"/>
  <c r="J69" i="1"/>
  <c r="J67" i="1" s="1"/>
  <c r="K68" i="1"/>
  <c r="L68" i="1"/>
  <c r="M68" i="1"/>
  <c r="N68" i="1"/>
  <c r="O68" i="1"/>
  <c r="J68" i="1"/>
  <c r="K67" i="1"/>
  <c r="L67" i="1"/>
  <c r="M67" i="1"/>
  <c r="N67" i="1"/>
  <c r="O67" i="1"/>
  <c r="K49" i="1"/>
  <c r="L49" i="1" s="1"/>
  <c r="M49" i="1" s="1"/>
  <c r="N49" i="1" s="1"/>
  <c r="K47" i="1"/>
  <c r="L47" i="1" s="1"/>
  <c r="M47" i="1" s="1"/>
  <c r="N47" i="1" s="1"/>
  <c r="K23" i="1"/>
  <c r="L23" i="1"/>
  <c r="M23" i="1"/>
  <c r="N23" i="1"/>
  <c r="O23" i="1"/>
  <c r="O46" i="1" s="1"/>
  <c r="J23" i="1"/>
  <c r="J48" i="1" s="1"/>
  <c r="J46" i="1" s="1"/>
  <c r="J45" i="1" s="1"/>
  <c r="J63" i="1" s="1"/>
  <c r="V94" i="1"/>
  <c r="W94" i="1" s="1"/>
  <c r="O86" i="1"/>
  <c r="D18" i="1"/>
  <c r="D17" i="1"/>
  <c r="D15" i="4"/>
  <c r="D4" i="4"/>
  <c r="D12" i="4"/>
  <c r="D5" i="4"/>
  <c r="K79" i="1"/>
  <c r="L79" i="1" s="1"/>
  <c r="M79" i="1" s="1"/>
  <c r="N79" i="1" s="1"/>
  <c r="O79" i="1" s="1"/>
  <c r="F67" i="1"/>
  <c r="G67" i="1"/>
  <c r="H67" i="1"/>
  <c r="I67" i="1"/>
  <c r="E67" i="1"/>
  <c r="F64" i="1"/>
  <c r="G64" i="1"/>
  <c r="H64" i="1"/>
  <c r="I64" i="1"/>
  <c r="E64" i="1"/>
  <c r="K52" i="1"/>
  <c r="L52" i="1"/>
  <c r="M52" i="1"/>
  <c r="N52" i="1"/>
  <c r="O52" i="1"/>
  <c r="J52" i="1"/>
  <c r="I60" i="1"/>
  <c r="I61" i="1" s="1"/>
  <c r="H60" i="1"/>
  <c r="H61" i="1" s="1"/>
  <c r="G60" i="1"/>
  <c r="G61" i="1" s="1"/>
  <c r="F60" i="1"/>
  <c r="F61" i="1" s="1"/>
  <c r="E60" i="1"/>
  <c r="E61" i="1" s="1"/>
  <c r="I58" i="1"/>
  <c r="H58" i="1"/>
  <c r="G58" i="1"/>
  <c r="F58" i="1"/>
  <c r="E58" i="1"/>
  <c r="F52" i="1"/>
  <c r="G52" i="1"/>
  <c r="H52" i="1"/>
  <c r="I52" i="1"/>
  <c r="E52" i="1"/>
  <c r="I46" i="1"/>
  <c r="H46" i="1"/>
  <c r="G46" i="1"/>
  <c r="F46" i="1"/>
  <c r="H44" i="1"/>
  <c r="I44" i="1" s="1"/>
  <c r="J44" i="1" s="1"/>
  <c r="K44" i="1" s="1"/>
  <c r="L44" i="1" s="1"/>
  <c r="M44" i="1" s="1"/>
  <c r="N44" i="1" s="1"/>
  <c r="O44" i="1" s="1"/>
  <c r="E39" i="1"/>
  <c r="F39" i="1"/>
  <c r="G39" i="1"/>
  <c r="E36" i="1"/>
  <c r="F36" i="1"/>
  <c r="E31" i="1"/>
  <c r="E32" i="1" s="1"/>
  <c r="F31" i="1"/>
  <c r="F32" i="1" s="1"/>
  <c r="E29" i="1"/>
  <c r="E26" i="1"/>
  <c r="G23" i="1"/>
  <c r="F26" i="1"/>
  <c r="G26" i="1"/>
  <c r="I26" i="1"/>
  <c r="H26" i="1"/>
  <c r="F23" i="1"/>
  <c r="F29" i="1"/>
  <c r="I39" i="1"/>
  <c r="H39" i="1"/>
  <c r="H36" i="1"/>
  <c r="I36" i="1"/>
  <c r="G36" i="1"/>
  <c r="H29" i="1"/>
  <c r="I29" i="1"/>
  <c r="G29" i="1"/>
  <c r="H31" i="1"/>
  <c r="H32" i="1" s="1"/>
  <c r="I31" i="1"/>
  <c r="I32" i="1" s="1"/>
  <c r="G31" i="1"/>
  <c r="G32" i="1" s="1"/>
  <c r="H34" i="1"/>
  <c r="I34" i="1" s="1"/>
  <c r="J34" i="1" s="1"/>
  <c r="K34" i="1" s="1"/>
  <c r="L34" i="1" s="1"/>
  <c r="M34" i="1" s="1"/>
  <c r="N34" i="1" s="1"/>
  <c r="O34" i="1" s="1"/>
  <c r="I23" i="1"/>
  <c r="H23" i="1"/>
  <c r="H21" i="1"/>
  <c r="I21" i="1" s="1"/>
  <c r="J21" i="1" s="1"/>
  <c r="K21" i="1" s="1"/>
  <c r="L21" i="1" s="1"/>
  <c r="M21" i="1" s="1"/>
  <c r="N21" i="1" s="1"/>
  <c r="O21" i="1" s="1"/>
  <c r="K48" i="1" l="1"/>
  <c r="L48" i="1" s="1"/>
  <c r="M48" i="1" s="1"/>
  <c r="N48" i="1" s="1"/>
  <c r="N46" i="1" s="1"/>
  <c r="J22" i="1"/>
  <c r="J25" i="1" s="1"/>
  <c r="J28" i="1" s="1"/>
  <c r="J31" i="1" s="1"/>
  <c r="J32" i="1" s="1"/>
  <c r="R98" i="1"/>
  <c r="R99" i="1" s="1"/>
  <c r="R96" i="1"/>
  <c r="R95" i="1" s="1"/>
  <c r="T94" i="1"/>
  <c r="S94" i="1" s="1"/>
  <c r="D17" i="4"/>
  <c r="J51" i="1"/>
  <c r="K46" i="1" l="1"/>
  <c r="K45" i="1" s="1"/>
  <c r="K66" i="1" s="1"/>
  <c r="L46" i="1"/>
  <c r="M46" i="1"/>
  <c r="K22" i="1"/>
  <c r="L22" i="1" s="1"/>
  <c r="J57" i="1"/>
  <c r="J60" i="1" s="1"/>
  <c r="L45" i="1" l="1"/>
  <c r="L51" i="1" s="1"/>
  <c r="L57" i="1" s="1"/>
  <c r="L60" i="1" s="1"/>
  <c r="K63" i="1"/>
  <c r="K51" i="1"/>
  <c r="K57" i="1" s="1"/>
  <c r="K60" i="1" s="1"/>
  <c r="K25" i="1"/>
  <c r="K28" i="1" s="1"/>
  <c r="K31" i="1" s="1"/>
  <c r="K32" i="1" s="1"/>
  <c r="J61" i="1"/>
  <c r="M22" i="1"/>
  <c r="L25" i="1"/>
  <c r="L66" i="1" l="1"/>
  <c r="L63" i="1"/>
  <c r="M45" i="1"/>
  <c r="M66" i="1" s="1"/>
  <c r="L61" i="1"/>
  <c r="K61" i="1"/>
  <c r="K75" i="1"/>
  <c r="K76" i="1" s="1"/>
  <c r="L28" i="1"/>
  <c r="L31" i="1" s="1"/>
  <c r="L32" i="1" s="1"/>
  <c r="N22" i="1"/>
  <c r="M25" i="1"/>
  <c r="L75" i="1" l="1"/>
  <c r="L76" i="1" s="1"/>
  <c r="M51" i="1"/>
  <c r="M57" i="1" s="1"/>
  <c r="M60" i="1" s="1"/>
  <c r="M61" i="1" s="1"/>
  <c r="N45" i="1"/>
  <c r="N66" i="1" s="1"/>
  <c r="M63" i="1"/>
  <c r="O22" i="1"/>
  <c r="O25" i="1" s="1"/>
  <c r="N25" i="1"/>
  <c r="M28" i="1"/>
  <c r="M31" i="1" s="1"/>
  <c r="M32" i="1" s="1"/>
  <c r="N63" i="1" l="1"/>
  <c r="M75" i="1"/>
  <c r="M76" i="1" s="1"/>
  <c r="N51" i="1"/>
  <c r="N57" i="1" s="1"/>
  <c r="N60" i="1" s="1"/>
  <c r="O45" i="1"/>
  <c r="O66" i="1" s="1"/>
  <c r="N28" i="1"/>
  <c r="N31" i="1" s="1"/>
  <c r="N32" i="1" s="1"/>
  <c r="O28" i="1"/>
  <c r="O31" i="1" s="1"/>
  <c r="O32" i="1" s="1"/>
  <c r="N75" i="1" l="1"/>
  <c r="N76" i="1" s="1"/>
  <c r="N61" i="1"/>
  <c r="O63" i="1"/>
  <c r="O51" i="1"/>
  <c r="O57" i="1" s="1"/>
  <c r="O60" i="1" s="1"/>
  <c r="O75" i="1" l="1"/>
  <c r="O61" i="1"/>
  <c r="J66" i="1"/>
  <c r="J75" i="1" s="1"/>
  <c r="J76" i="1" s="1"/>
  <c r="O81" i="1" l="1"/>
  <c r="O82" i="1" s="1"/>
  <c r="O76" i="1"/>
  <c r="O83" i="1" l="1"/>
  <c r="O87" i="1" s="1"/>
  <c r="O89" i="1" s="1"/>
  <c r="R94" i="1" s="1"/>
  <c r="G5" i="1" l="1"/>
  <c r="G6" i="1" s="1"/>
</calcChain>
</file>

<file path=xl/sharedStrings.xml><?xml version="1.0" encoding="utf-8"?>
<sst xmlns="http://schemas.openxmlformats.org/spreadsheetml/2006/main" count="346" uniqueCount="258">
  <si>
    <t>Vail DCF</t>
  </si>
  <si>
    <t>Ticker</t>
  </si>
  <si>
    <t>Date</t>
  </si>
  <si>
    <t>MTN</t>
  </si>
  <si>
    <t>Assumptions</t>
  </si>
  <si>
    <t>Switches</t>
  </si>
  <si>
    <t>Taxes</t>
  </si>
  <si>
    <t>WACC</t>
  </si>
  <si>
    <t>TGR</t>
  </si>
  <si>
    <t>Conservative Case</t>
  </si>
  <si>
    <t>Revenue 2025</t>
  </si>
  <si>
    <r>
      <t> </t>
    </r>
    <r>
      <rPr>
        <sz val="8"/>
        <color rgb="FF000000"/>
        <rFont val="Times New Roman"/>
        <family val="1"/>
      </rPr>
      <t> </t>
    </r>
  </si>
  <si>
    <t>July 31,</t>
  </si>
  <si>
    <t>Assets</t>
  </si>
  <si>
    <t>Current assets:</t>
  </si>
  <si>
    <t>Cash and cash equivalents</t>
  </si>
  <si>
    <t>$</t>
  </si>
  <si>
    <t>322,827 </t>
  </si>
  <si>
    <t>562,975 </t>
  </si>
  <si>
    <t>Restricted cash</t>
  </si>
  <si>
    <t>14,236 </t>
  </si>
  <si>
    <t>10,118 </t>
  </si>
  <si>
    <t>Trade receivables, net of allowances</t>
  </si>
  <si>
    <t>375,752 </t>
  </si>
  <si>
    <t>381,067 </t>
  </si>
  <si>
    <t>Inventories, net of reserves</t>
  </si>
  <si>
    <t>118,988 </t>
  </si>
  <si>
    <t>132,548 </t>
  </si>
  <si>
    <t>Other current assets</t>
  </si>
  <si>
    <t>79,558 </t>
  </si>
  <si>
    <t>121,403 </t>
  </si>
  <si>
    <t>Total current assets</t>
  </si>
  <si>
    <t>911,361 </t>
  </si>
  <si>
    <t>1,208,111 </t>
  </si>
  <si>
    <t>Property, plant and equipment, net (Note 8)</t>
  </si>
  <si>
    <t>2,422,635 </t>
  </si>
  <si>
    <t>2,371,557 </t>
  </si>
  <si>
    <t>Real estate held for sale or investment</t>
  </si>
  <si>
    <t>86,548 </t>
  </si>
  <si>
    <t>90,207 </t>
  </si>
  <si>
    <t>Goodwill, net (Note 8)</t>
  </si>
  <si>
    <t>1,677,975 </t>
  </si>
  <si>
    <t>1,720,344 </t>
  </si>
  <si>
    <t>Intangible assets, net (Note 8)</t>
  </si>
  <si>
    <t>302,535 </t>
  </si>
  <si>
    <t>309,345 </t>
  </si>
  <si>
    <t>Operating right-of-use assets (Note 4)</t>
  </si>
  <si>
    <t>256,627 </t>
  </si>
  <si>
    <t>192,289 </t>
  </si>
  <si>
    <t>Other assets</t>
  </si>
  <si>
    <t>40,756 </t>
  </si>
  <si>
    <t>55,901 </t>
  </si>
  <si>
    <t>Total assets</t>
  </si>
  <si>
    <t>5,698,437 </t>
  </si>
  <si>
    <t>5,947,754 </t>
  </si>
  <si>
    <t>Liabilities and Stockholders’ Equity</t>
  </si>
  <si>
    <t>Current liabilities:</t>
  </si>
  <si>
    <t>Accounts payable and accrued liabilities (Note 8)</t>
  </si>
  <si>
    <t>1,000,798 </t>
  </si>
  <si>
    <t>978,021 </t>
  </si>
  <si>
    <t>Income taxes payable</t>
  </si>
  <si>
    <t>55,358 </t>
  </si>
  <si>
    <t>83,514 </t>
  </si>
  <si>
    <t>Long-term debt due within one year (Note 6)</t>
  </si>
  <si>
    <t>57,153 </t>
  </si>
  <si>
    <t>69,160 </t>
  </si>
  <si>
    <t>Total current liabilities</t>
  </si>
  <si>
    <t>1,113,309 </t>
  </si>
  <si>
    <t>1,130,695 </t>
  </si>
  <si>
    <t>Long-term debt, net (Note 6)</t>
  </si>
  <si>
    <t>2,721,597 </t>
  </si>
  <si>
    <t>2,750,675 </t>
  </si>
  <si>
    <t>Operating lease liabilities (Note 4)</t>
  </si>
  <si>
    <t>233,465 </t>
  </si>
  <si>
    <t>168,326 </t>
  </si>
  <si>
    <t>Other long-term liabilities</t>
  </si>
  <si>
    <t>311,768 </t>
  </si>
  <si>
    <t>286,261 </t>
  </si>
  <si>
    <t>Deferred income taxes, net (Note 10)</t>
  </si>
  <si>
    <t>279,815 </t>
  </si>
  <si>
    <t>276,137 </t>
  </si>
  <si>
    <t>Total liabilities</t>
  </si>
  <si>
    <t>4,659,954 </t>
  </si>
  <si>
    <t>4,612,094 </t>
  </si>
  <si>
    <t>Commitments and contingencies (Note 11)</t>
  </si>
  <si>
    <t>Stockholders’ equity:</t>
  </si>
  <si>
    <t>Preferred stock, $0.01 par value, 25,000 shares authorized, no shares issued and outstanding</t>
  </si>
  <si>
    <t>— </t>
  </si>
  <si>
    <t>Common stock, $0.01 par value, 100,000 shares authorized and 46,855 and 46,798 shares issued, respectively</t>
  </si>
  <si>
    <t>469 </t>
  </si>
  <si>
    <t>468 </t>
  </si>
  <si>
    <t>Additional paid-in capital</t>
  </si>
  <si>
    <t>1,145,610 </t>
  </si>
  <si>
    <t>1,124,433 </t>
  </si>
  <si>
    <t>Accumulated other comprehensive loss</t>
  </si>
  <si>
    <t>Retained earnings</t>
  </si>
  <si>
    <t>780,431 </t>
  </si>
  <si>
    <t>873,710 </t>
  </si>
  <si>
    <t>Treasury stock, at cost; 9,370 and 8,648 shares, respectively (Note 13)</t>
  </si>
  <si>
    <t>Total Vail Resorts, Inc. stockholders’ equity</t>
  </si>
  <si>
    <t>723,537 </t>
  </si>
  <si>
    <t>1,003,947 </t>
  </si>
  <si>
    <t>Noncontrolling interests</t>
  </si>
  <si>
    <t>314,946 </t>
  </si>
  <si>
    <t>331,713 </t>
  </si>
  <si>
    <t>Total stockholders’ equity</t>
  </si>
  <si>
    <t>1,038,483 </t>
  </si>
  <si>
    <t>1,335,660 </t>
  </si>
  <si>
    <t>Total liabilities and stockholders’ equity</t>
  </si>
  <si>
    <t>Year Ended July 31,</t>
  </si>
  <si>
    <t>Change in estimated fair value of contingent consideration (Note 9)</t>
  </si>
  <si>
    <t>Foreign currency loss on intercompany loans (Note 6)</t>
  </si>
  <si>
    <t>Provision for income taxes (Note 10)</t>
  </si>
  <si>
    <t>Per share amounts (Note 5):</t>
  </si>
  <si>
    <t>Net revenue:</t>
  </si>
  <si>
    <t>Mountain and Lodging services and other</t>
  </si>
  <si>
    <t>2,388,227 </t>
  </si>
  <si>
    <t>2,372,175 </t>
  </si>
  <si>
    <t>2,116,547 </t>
  </si>
  <si>
    <t>Mountain and Lodging retail and dining</t>
  </si>
  <si>
    <t>492,260 </t>
  </si>
  <si>
    <t>509,124 </t>
  </si>
  <si>
    <t>408,657 </t>
  </si>
  <si>
    <t>Resort net revenue</t>
  </si>
  <si>
    <t>2,880,487 </t>
  </si>
  <si>
    <t>2,881,299 </t>
  </si>
  <si>
    <t>2,525,204 </t>
  </si>
  <si>
    <t>Real Estate</t>
  </si>
  <si>
    <t>4,704 </t>
  </si>
  <si>
    <t>8,065 </t>
  </si>
  <si>
    <t>708 </t>
  </si>
  <si>
    <t>Total net revenue</t>
  </si>
  <si>
    <t>2,885,191 </t>
  </si>
  <si>
    <t>2,889,364 </t>
  </si>
  <si>
    <t>2,525,912 </t>
  </si>
  <si>
    <t>Operating expense (exclusive of depreciation and amortization shown separately below):</t>
  </si>
  <si>
    <t>Mountain and Lodging operating expense</t>
  </si>
  <si>
    <t>1,458,369 </t>
  </si>
  <si>
    <t>1,454,324 </t>
  </si>
  <si>
    <t>1,180,963 </t>
  </si>
  <si>
    <t>Mountain and Lodging retail and dining cost of products sold</t>
  </si>
  <si>
    <t>188,054 </t>
  </si>
  <si>
    <t>203,278 </t>
  </si>
  <si>
    <t>162,414 </t>
  </si>
  <si>
    <t>General and administrative</t>
  </si>
  <si>
    <t>410,027 </t>
  </si>
  <si>
    <t>389,465 </t>
  </si>
  <si>
    <t>347,493 </t>
  </si>
  <si>
    <t>Resort operating expense</t>
  </si>
  <si>
    <t>2,056,450 </t>
  </si>
  <si>
    <t>2,047,067 </t>
  </si>
  <si>
    <t>1,690,870 </t>
  </si>
  <si>
    <t>9,514 </t>
  </si>
  <si>
    <t>10,635 </t>
  </si>
  <si>
    <t>5,911 </t>
  </si>
  <si>
    <t>Total segment operating expense</t>
  </si>
  <si>
    <t>2,065,964 </t>
  </si>
  <si>
    <t>2,057,702 </t>
  </si>
  <si>
    <t>1,696,781 </t>
  </si>
  <si>
    <t>Other operating (expense) income:</t>
  </si>
  <si>
    <t>Depreciation and amortization</t>
  </si>
  <si>
    <t>Gain on sale of real property</t>
  </si>
  <si>
    <t>6,285 </t>
  </si>
  <si>
    <t>842 </t>
  </si>
  <si>
    <t>1,276 </t>
  </si>
  <si>
    <t>(Loss) gain on disposal of fixed assets and other, net</t>
  </si>
  <si>
    <t>43,992 </t>
  </si>
  <si>
    <t>Income from operations</t>
  </si>
  <si>
    <t>491,429 </t>
  </si>
  <si>
    <t>505,097 </t>
  </si>
  <si>
    <t>601,728 </t>
  </si>
  <si>
    <t>Interest expense, net</t>
  </si>
  <si>
    <t>Mountain equity investment income, net</t>
  </si>
  <si>
    <t>1,053 </t>
  </si>
  <si>
    <t>605 </t>
  </si>
  <si>
    <t>2,580 </t>
  </si>
  <si>
    <t>Investment income and other, net</t>
  </si>
  <si>
    <t>18,592 </t>
  </si>
  <si>
    <t>23,744 </t>
  </si>
  <si>
    <t>3,718 </t>
  </si>
  <si>
    <t>Income before provision for income taxes</t>
  </si>
  <si>
    <t>345,095 </t>
  </si>
  <si>
    <t>373,517 </t>
  </si>
  <si>
    <t>457,161 </t>
  </si>
  <si>
    <t>Net income</t>
  </si>
  <si>
    <t>246,279 </t>
  </si>
  <si>
    <t>285,103 </t>
  </si>
  <si>
    <t>368,337 </t>
  </si>
  <si>
    <t>Net income attributable to noncontrolling interests</t>
  </si>
  <si>
    <t>Net income attributable to Vail Resorts, Inc.</t>
  </si>
  <si>
    <t>230,405 </t>
  </si>
  <si>
    <t>268,148 </t>
  </si>
  <si>
    <t>347,923 </t>
  </si>
  <si>
    <t>Basic net income per share attributable to Vail Resorts, Inc.</t>
  </si>
  <si>
    <t>6.08 </t>
  </si>
  <si>
    <t>6.76 </t>
  </si>
  <si>
    <t>8.60 </t>
  </si>
  <si>
    <t>Diluted net income per share attributable to Vail Resorts, Inc.</t>
  </si>
  <si>
    <t>6.07 </t>
  </si>
  <si>
    <t>6.74 </t>
  </si>
  <si>
    <t>8.55 </t>
  </si>
  <si>
    <t>Cash dividends declared per share</t>
  </si>
  <si>
    <t>8.56 </t>
  </si>
  <si>
    <t>7.94 </t>
  </si>
  <si>
    <t>5.58 </t>
  </si>
  <si>
    <t>Income Statement</t>
  </si>
  <si>
    <t>x</t>
  </si>
  <si>
    <t>Revenue</t>
  </si>
  <si>
    <t xml:space="preserve">  % growth</t>
  </si>
  <si>
    <t>EBIT</t>
  </si>
  <si>
    <t xml:space="preserve">  % revenue</t>
  </si>
  <si>
    <t>Fiscal Year End</t>
  </si>
  <si>
    <t>EBIAT</t>
  </si>
  <si>
    <t>Cash Flow Items</t>
  </si>
  <si>
    <t xml:space="preserve">  % EBIT</t>
  </si>
  <si>
    <t>Depreciation &amp; Amoritization</t>
  </si>
  <si>
    <t>CapEx</t>
  </si>
  <si>
    <t>Change in NWC</t>
  </si>
  <si>
    <t>2020A</t>
  </si>
  <si>
    <t>2021A</t>
  </si>
  <si>
    <t>-</t>
  </si>
  <si>
    <t>DCF</t>
  </si>
  <si>
    <t xml:space="preserve">  Conservative Case</t>
  </si>
  <si>
    <t xml:space="preserve">  Street Case </t>
  </si>
  <si>
    <t xml:space="preserve">  Optimistic Case</t>
  </si>
  <si>
    <t>Revenue 2030</t>
  </si>
  <si>
    <t>Street Case</t>
  </si>
  <si>
    <t>Optimistic Case</t>
  </si>
  <si>
    <t>Unlevered Free Cash Flow</t>
  </si>
  <si>
    <t>Present value of Unlevered Free Cash Flow</t>
  </si>
  <si>
    <t xml:space="preserve">Period </t>
  </si>
  <si>
    <t>Discount Period</t>
  </si>
  <si>
    <t>Market Cap</t>
  </si>
  <si>
    <t>% of Equity</t>
  </si>
  <si>
    <t>Cost of Equity</t>
  </si>
  <si>
    <t>Risk Free Rate</t>
  </si>
  <si>
    <t>Beta</t>
  </si>
  <si>
    <t>Equity Risk Premium</t>
  </si>
  <si>
    <t>Cost of Debt</t>
  </si>
  <si>
    <t>% of Debt</t>
  </si>
  <si>
    <t>Tax Rate</t>
  </si>
  <si>
    <t>Total</t>
  </si>
  <si>
    <t>Debt</t>
  </si>
  <si>
    <t xml:space="preserve">  </t>
  </si>
  <si>
    <t>Terminal value</t>
  </si>
  <si>
    <t>Present value of Terminal Value</t>
  </si>
  <si>
    <t>Enterprsie Value</t>
  </si>
  <si>
    <t>(+) Cash</t>
  </si>
  <si>
    <t>(-) Debt</t>
  </si>
  <si>
    <t>Equity Value</t>
  </si>
  <si>
    <t>Share Count</t>
  </si>
  <si>
    <t>Implied Share Price</t>
  </si>
  <si>
    <t>Current Share Price</t>
  </si>
  <si>
    <t>Percent Upside</t>
  </si>
  <si>
    <t>Step</t>
  </si>
  <si>
    <t>EBIT '25</t>
  </si>
  <si>
    <t>EBIT '30</t>
  </si>
  <si>
    <t>(-) Minority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</si>
</sst>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#\A"/>
    <numFmt numFmtId="165" formatCode="0000\P"/>
    <numFmt numFmtId="166" formatCode="_(* #,##0_);_(* \(#,##0\);_(* &quot;-&quot;??_);_(@_)"/>
    <numFmt numFmtId="167" formatCode="_(&quot;$&quot;* #,##0_);_(&quot;$&quot;* \(#,##0\);_(&quot;$&quot;* &quot;-&quot;??_);_(@_)"/>
    <numFmt numFmtId="168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i/>
      <sz val="11"/>
      <color rgb="FF7030A0"/>
      <name val="Aptos Narrow"/>
      <family val="2"/>
      <scheme val="minor"/>
    </font>
    <font>
      <i/>
      <sz val="11"/>
      <color theme="6" tint="-0.249977111117893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7" tint="-0.499984740745262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1" xfId="0" applyBorder="1"/>
    <xf numFmtId="0" fontId="6" fillId="0" borderId="1" xfId="0" applyFont="1" applyBorder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vertical="center" wrapText="1"/>
    </xf>
    <xf numFmtId="0" fontId="7" fillId="3" borderId="0" xfId="0" applyFont="1" applyFill="1" applyAlignment="1">
      <alignment horizontal="left" wrapText="1"/>
    </xf>
    <xf numFmtId="0" fontId="0" fillId="3" borderId="0" xfId="0" applyFill="1" applyAlignment="1">
      <alignment horizontal="right" wrapText="1"/>
    </xf>
    <xf numFmtId="0" fontId="7" fillId="3" borderId="0" xfId="0" applyFont="1" applyFill="1" applyAlignment="1">
      <alignment horizontal="right" wrapText="1"/>
    </xf>
    <xf numFmtId="0" fontId="0" fillId="4" borderId="0" xfId="0" applyFill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7" fillId="4" borderId="3" xfId="0" applyFont="1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7" fillId="3" borderId="3" xfId="0" applyFont="1" applyFill="1" applyBorder="1" applyAlignment="1">
      <alignment horizontal="left" wrapText="1"/>
    </xf>
    <xf numFmtId="0" fontId="0" fillId="3" borderId="3" xfId="0" applyFill="1" applyBorder="1" applyAlignment="1">
      <alignment horizontal="right" wrapText="1"/>
    </xf>
    <xf numFmtId="0" fontId="7" fillId="3" borderId="3" xfId="0" applyFont="1" applyFill="1" applyBorder="1" applyAlignment="1">
      <alignment horizontal="right" wrapText="1"/>
    </xf>
    <xf numFmtId="0" fontId="7" fillId="4" borderId="0" xfId="0" applyFont="1" applyFill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right" wrapText="1"/>
    </xf>
    <xf numFmtId="0" fontId="11" fillId="4" borderId="5" xfId="0" applyFont="1" applyFill="1" applyBorder="1" applyAlignment="1">
      <alignment horizontal="right" wrapText="1"/>
    </xf>
    <xf numFmtId="0" fontId="7" fillId="4" borderId="6" xfId="0" applyFont="1" applyFill="1" applyBorder="1" applyAlignment="1">
      <alignment horizontal="right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4" borderId="0" xfId="0" applyFont="1" applyFill="1" applyAlignment="1">
      <alignment horizontal="right" wrapText="1"/>
    </xf>
    <xf numFmtId="0" fontId="12" fillId="3" borderId="0" xfId="0" applyFont="1" applyFill="1" applyAlignment="1">
      <alignment horizontal="right" wrapText="1"/>
    </xf>
    <xf numFmtId="0" fontId="12" fillId="4" borderId="3" xfId="0" applyFont="1" applyFill="1" applyBorder="1" applyAlignment="1">
      <alignment horizontal="right" wrapText="1"/>
    </xf>
    <xf numFmtId="0" fontId="12" fillId="3" borderId="3" xfId="0" applyFont="1" applyFill="1" applyBorder="1" applyAlignment="1">
      <alignment horizontal="right" wrapText="1"/>
    </xf>
    <xf numFmtId="0" fontId="12" fillId="0" borderId="0" xfId="0" applyFont="1" applyAlignment="1">
      <alignment horizontal="right" wrapText="1"/>
    </xf>
    <xf numFmtId="0" fontId="7" fillId="4" borderId="3" xfId="0" applyFont="1" applyFill="1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12" fillId="4" borderId="6" xfId="0" applyFont="1" applyFill="1" applyBorder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/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4" fontId="0" fillId="0" borderId="0" xfId="0" applyNumberFormat="1"/>
    <xf numFmtId="166" fontId="3" fillId="0" borderId="0" xfId="1" applyNumberFormat="1" applyFont="1"/>
    <xf numFmtId="166" fontId="3" fillId="0" borderId="0" xfId="0" applyNumberFormat="1" applyFont="1"/>
    <xf numFmtId="9" fontId="14" fillId="0" borderId="0" xfId="3" applyFont="1"/>
    <xf numFmtId="0" fontId="0" fillId="0" borderId="0" xfId="0" applyAlignment="1">
      <alignment horizontal="center" vertical="center"/>
    </xf>
    <xf numFmtId="9" fontId="14" fillId="0" borderId="0" xfId="3" applyFont="1" applyAlignment="1">
      <alignment horizontal="right"/>
    </xf>
    <xf numFmtId="0" fontId="0" fillId="5" borderId="0" xfId="0" applyFill="1"/>
    <xf numFmtId="9" fontId="15" fillId="0" borderId="0" xfId="3" applyFont="1"/>
    <xf numFmtId="166" fontId="16" fillId="0" borderId="0" xfId="1" applyNumberFormat="1" applyFont="1"/>
    <xf numFmtId="9" fontId="0" fillId="5" borderId="0" xfId="0" applyNumberFormat="1" applyFill="1"/>
    <xf numFmtId="0" fontId="4" fillId="0" borderId="0" xfId="0" applyFont="1"/>
    <xf numFmtId="0" fontId="17" fillId="0" borderId="0" xfId="0" applyFont="1"/>
    <xf numFmtId="9" fontId="15" fillId="5" borderId="2" xfId="3" applyFont="1" applyFill="1" applyBorder="1"/>
    <xf numFmtId="0" fontId="0" fillId="0" borderId="8" xfId="0" applyBorder="1"/>
    <xf numFmtId="166" fontId="3" fillId="0" borderId="8" xfId="0" applyNumberFormat="1" applyFont="1" applyBorder="1"/>
    <xf numFmtId="166" fontId="18" fillId="0" borderId="8" xfId="1" applyNumberFormat="1" applyFont="1" applyBorder="1"/>
    <xf numFmtId="166" fontId="16" fillId="0" borderId="0" xfId="1" applyNumberFormat="1" applyFont="1" applyAlignment="1">
      <alignment horizontal="right"/>
    </xf>
    <xf numFmtId="166" fontId="4" fillId="0" borderId="0" xfId="0" applyNumberFormat="1" applyFont="1"/>
    <xf numFmtId="0" fontId="0" fillId="6" borderId="0" xfId="0" applyFill="1"/>
    <xf numFmtId="0" fontId="5" fillId="6" borderId="0" xfId="0" applyFont="1" applyFill="1"/>
    <xf numFmtId="44" fontId="0" fillId="5" borderId="0" xfId="2" applyFont="1" applyFill="1"/>
    <xf numFmtId="167" fontId="0" fillId="5" borderId="0" xfId="2" applyNumberFormat="1" applyFont="1" applyFill="1"/>
    <xf numFmtId="10" fontId="0" fillId="5" borderId="0" xfId="0" applyNumberFormat="1" applyFill="1"/>
    <xf numFmtId="168" fontId="0" fillId="5" borderId="0" xfId="0" applyNumberFormat="1" applyFill="1"/>
    <xf numFmtId="9" fontId="0" fillId="5" borderId="0" xfId="3" applyFont="1" applyFill="1"/>
    <xf numFmtId="10" fontId="0" fillId="5" borderId="0" xfId="3" applyNumberFormat="1" applyFont="1" applyFill="1"/>
    <xf numFmtId="10" fontId="0" fillId="0" borderId="0" xfId="0" applyNumberFormat="1"/>
    <xf numFmtId="0" fontId="0" fillId="7" borderId="0" xfId="0" applyFill="1"/>
    <xf numFmtId="10" fontId="0" fillId="7" borderId="0" xfId="0" applyNumberFormat="1" applyFill="1"/>
    <xf numFmtId="10" fontId="0" fillId="7" borderId="2" xfId="0" applyNumberFormat="1" applyFill="1" applyBorder="1"/>
    <xf numFmtId="44" fontId="19" fillId="7" borderId="2" xfId="0" applyNumberFormat="1" applyFont="1" applyFill="1" applyBorder="1"/>
    <xf numFmtId="0" fontId="17" fillId="0" borderId="0" xfId="0" applyFont="1" applyAlignment="1">
      <alignment horizontal="right"/>
    </xf>
    <xf numFmtId="9" fontId="0" fillId="0" borderId="0" xfId="0" applyNumberFormat="1" applyAlignment="1">
      <alignment horizontal="left"/>
    </xf>
    <xf numFmtId="44" fontId="0" fillId="7" borderId="2" xfId="2" applyFont="1" applyFill="1" applyBorder="1"/>
    <xf numFmtId="44" fontId="4" fillId="7" borderId="2" xfId="2" applyFont="1" applyFill="1" applyBorder="1"/>
    <xf numFmtId="0" fontId="0" fillId="5" borderId="2" xfId="0" applyFill="1" applyBorder="1" applyAlignment="1">
      <alignment horizontal="center" vertical="center"/>
    </xf>
    <xf numFmtId="10" fontId="0" fillId="5" borderId="2" xfId="3" applyNumberFormat="1" applyFont="1" applyFill="1" applyBorder="1"/>
    <xf numFmtId="9" fontId="0" fillId="5" borderId="2" xfId="0" applyNumberFormat="1" applyFill="1" applyBorder="1"/>
    <xf numFmtId="14" fontId="0" fillId="5" borderId="2" xfId="0" applyNumberFormat="1" applyFill="1" applyBorder="1"/>
    <xf numFmtId="44" fontId="0" fillId="0" borderId="2" xfId="2" applyFont="1" applyBorder="1"/>
    <xf numFmtId="44" fontId="0" fillId="0" borderId="2" xfId="0" applyNumberFormat="1" applyBorder="1"/>
    <xf numFmtId="43" fontId="0" fillId="0" borderId="2" xfId="1" applyFont="1" applyBorder="1"/>
    <xf numFmtId="44" fontId="0" fillId="5" borderId="2" xfId="2" applyFont="1" applyFill="1" applyBorder="1"/>
    <xf numFmtId="44" fontId="0" fillId="5" borderId="2" xfId="0" applyNumberFormat="1" applyFill="1" applyBorder="1"/>
    <xf numFmtId="9" fontId="0" fillId="5" borderId="2" xfId="3" applyFont="1" applyFill="1" applyBorder="1"/>
    <xf numFmtId="9" fontId="0" fillId="5" borderId="2" xfId="3" applyFont="1" applyFill="1" applyBorder="1" applyAlignment="1">
      <alignment horizontal="right"/>
    </xf>
    <xf numFmtId="10" fontId="0" fillId="0" borderId="0" xfId="3" applyNumberFormat="1" applyFont="1" applyFill="1" applyBorder="1"/>
    <xf numFmtId="0" fontId="8" fillId="0" borderId="0" xfId="0" applyFont="1" applyAlignment="1">
      <alignment horizontal="left" wrapText="1"/>
    </xf>
    <xf numFmtId="0" fontId="9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wrapText="1"/>
    </xf>
    <xf numFmtId="0" fontId="7" fillId="4" borderId="3" xfId="0" applyFont="1" applyFill="1" applyBorder="1" applyAlignment="1">
      <alignment horizontal="left" vertical="top" wrapText="1" indent="3"/>
    </xf>
    <xf numFmtId="0" fontId="7" fillId="4" borderId="3" xfId="0" applyFont="1" applyFill="1" applyBorder="1" applyAlignment="1">
      <alignment horizontal="right" wrapText="1"/>
    </xf>
    <xf numFmtId="0" fontId="7" fillId="3" borderId="6" xfId="0" applyFont="1" applyFill="1" applyBorder="1" applyAlignment="1">
      <alignment horizontal="left" vertical="top" wrapText="1" indent="2"/>
    </xf>
    <xf numFmtId="0" fontId="7" fillId="3" borderId="6" xfId="0" applyFont="1" applyFill="1" applyBorder="1" applyAlignment="1">
      <alignment horizontal="right" wrapText="1"/>
    </xf>
    <xf numFmtId="0" fontId="7" fillId="3" borderId="3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top" wrapText="1" indent="2"/>
    </xf>
    <xf numFmtId="0" fontId="7" fillId="4" borderId="0" xfId="0" applyFont="1" applyFill="1" applyAlignment="1">
      <alignment horizontal="right" wrapText="1"/>
    </xf>
    <xf numFmtId="0" fontId="7" fillId="3" borderId="0" xfId="0" applyFont="1" applyFill="1" applyAlignment="1">
      <alignment horizontal="left" vertical="top" wrapText="1" indent="2"/>
    </xf>
    <xf numFmtId="0" fontId="7" fillId="3" borderId="0" xfId="0" applyFont="1" applyFill="1" applyAlignment="1">
      <alignment horizontal="right" wrapText="1"/>
    </xf>
    <xf numFmtId="0" fontId="7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vertical="center" wrapText="1"/>
    </xf>
    <xf numFmtId="0" fontId="7" fillId="4" borderId="6" xfId="0" applyFont="1" applyFill="1" applyBorder="1" applyAlignment="1">
      <alignment horizontal="left" vertical="top" wrapText="1" indent="2"/>
    </xf>
    <xf numFmtId="0" fontId="7" fillId="4" borderId="6" xfId="0" applyFont="1" applyFill="1" applyBorder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0" fontId="7" fillId="3" borderId="3" xfId="0" applyFont="1" applyFill="1" applyBorder="1" applyAlignment="1">
      <alignment horizontal="left" vertical="top" wrapText="1" indent="3"/>
    </xf>
    <xf numFmtId="0" fontId="7" fillId="3" borderId="3" xfId="0" applyFont="1" applyFill="1" applyBorder="1" applyAlignment="1">
      <alignment horizontal="right" wrapText="1"/>
    </xf>
    <xf numFmtId="0" fontId="7" fillId="3" borderId="0" xfId="0" applyFont="1" applyFill="1" applyAlignment="1">
      <alignment horizontal="left" vertical="center" wrapText="1" indent="2"/>
    </xf>
    <xf numFmtId="3" fontId="7" fillId="3" borderId="0" xfId="0" applyNumberFormat="1" applyFont="1" applyFill="1" applyAlignment="1">
      <alignment horizontal="right" wrapText="1"/>
    </xf>
    <xf numFmtId="0" fontId="7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 wrapText="1"/>
    </xf>
    <xf numFmtId="3" fontId="7" fillId="4" borderId="0" xfId="0" applyNumberFormat="1" applyFont="1" applyFill="1" applyAlignment="1">
      <alignment horizontal="right" wrapText="1"/>
    </xf>
    <xf numFmtId="3" fontId="7" fillId="4" borderId="6" xfId="0" applyNumberFormat="1" applyFont="1" applyFill="1" applyBorder="1" applyAlignment="1">
      <alignment horizontal="right" wrapText="1"/>
    </xf>
    <xf numFmtId="0" fontId="7" fillId="4" borderId="3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center" wrapText="1" indent="1"/>
    </xf>
    <xf numFmtId="3" fontId="7" fillId="3" borderId="6" xfId="0" applyNumberFormat="1" applyFont="1" applyFill="1" applyBorder="1" applyAlignment="1">
      <alignment horizontal="right" wrapText="1"/>
    </xf>
    <xf numFmtId="0" fontId="7" fillId="4" borderId="5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7" fillId="3" borderId="0" xfId="0" applyFont="1" applyFill="1" applyAlignment="1">
      <alignment horizontal="left" vertical="top" wrapText="1" indent="1"/>
    </xf>
    <xf numFmtId="0" fontId="7" fillId="4" borderId="0" xfId="0" applyFont="1" applyFill="1" applyAlignment="1">
      <alignment horizontal="left" vertical="top" wrapText="1" indent="1"/>
    </xf>
    <xf numFmtId="0" fontId="7" fillId="0" borderId="0" xfId="0" applyFont="1" applyAlignment="1">
      <alignment horizontal="left" vertical="center" wrapText="1"/>
    </xf>
    <xf numFmtId="0" fontId="10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top" wrapText="1" indent="1"/>
    </xf>
    <xf numFmtId="0" fontId="7" fillId="3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3" borderId="5" xfId="0" applyFont="1" applyFill="1" applyBorder="1" applyAlignment="1">
      <alignment horizontal="left" vertical="top" wrapText="1" indent="3"/>
    </xf>
    <xf numFmtId="0" fontId="10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center" wrapText="1" indent="1"/>
    </xf>
    <xf numFmtId="0" fontId="7" fillId="4" borderId="6" xfId="0" applyFont="1" applyFill="1" applyBorder="1" applyAlignment="1">
      <alignment horizontal="left" vertical="center" wrapText="1" indent="1"/>
    </xf>
    <xf numFmtId="0" fontId="7" fillId="3" borderId="6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 indent="1"/>
    </xf>
    <xf numFmtId="0" fontId="7" fillId="3" borderId="7" xfId="0" applyFont="1" applyFill="1" applyBorder="1" applyAlignment="1">
      <alignment horizontal="left" vertical="top" wrapText="1" indent="1"/>
    </xf>
    <xf numFmtId="0" fontId="7" fillId="3" borderId="7" xfId="0" applyFont="1" applyFill="1" applyBorder="1" applyAlignment="1">
      <alignment horizontal="right" wrapText="1"/>
    </xf>
    <xf numFmtId="0" fontId="7" fillId="4" borderId="5" xfId="0" applyFont="1" applyFill="1" applyBorder="1" applyAlignment="1">
      <alignment horizontal="left" vertical="top" wrapText="1" indent="3"/>
    </xf>
    <xf numFmtId="0" fontId="7" fillId="3" borderId="3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 inden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5A68-4F46-46AD-861B-38BDC44FCFD0}">
  <dimension ref="A2:W99"/>
  <sheetViews>
    <sheetView showGridLines="0" tabSelected="1" topLeftCell="H74" zoomScale="92" zoomScaleNormal="70" workbookViewId="0">
      <selection activeCell="R97" sqref="R97"/>
    </sheetView>
  </sheetViews>
  <sheetFormatPr defaultRowHeight="15" x14ac:dyDescent="0.25"/>
  <cols>
    <col min="1" max="1" width="3.5703125" customWidth="1"/>
    <col min="2" max="2" width="15.5703125" customWidth="1"/>
    <col min="3" max="3" width="10" bestFit="1" customWidth="1"/>
    <col min="5" max="14" width="13.5703125" customWidth="1"/>
    <col min="15" max="15" width="19.42578125" customWidth="1"/>
    <col min="16" max="16" width="12.5703125" customWidth="1"/>
  </cols>
  <sheetData>
    <row r="2" spans="1:16" s="1" customFormat="1" ht="21" x14ac:dyDescent="0.35">
      <c r="B2" s="2" t="s">
        <v>0</v>
      </c>
    </row>
    <row r="4" spans="1:16" x14ac:dyDescent="0.25">
      <c r="B4" t="s">
        <v>1</v>
      </c>
      <c r="C4" s="71" t="s">
        <v>3</v>
      </c>
      <c r="E4" t="s">
        <v>252</v>
      </c>
      <c r="G4" s="78">
        <v>192</v>
      </c>
    </row>
    <row r="5" spans="1:16" x14ac:dyDescent="0.25">
      <c r="B5" t="s">
        <v>2</v>
      </c>
      <c r="C5" s="74">
        <v>45650</v>
      </c>
      <c r="E5" t="s">
        <v>251</v>
      </c>
      <c r="G5" s="79">
        <f ca="1">O89</f>
        <v>236.53656844108255</v>
      </c>
      <c r="I5" s="40"/>
    </row>
    <row r="6" spans="1:16" x14ac:dyDescent="0.25">
      <c r="B6" t="s">
        <v>211</v>
      </c>
      <c r="C6" s="74">
        <v>45869</v>
      </c>
      <c r="E6" t="s">
        <v>253</v>
      </c>
      <c r="G6" s="80">
        <f ca="1">(G5-G4)/G4</f>
        <v>0.23196129396397161</v>
      </c>
    </row>
    <row r="7" spans="1:16" x14ac:dyDescent="0.25">
      <c r="C7" s="36"/>
    </row>
    <row r="8" spans="1:16" x14ac:dyDescent="0.25">
      <c r="A8" s="32" t="s">
        <v>206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5.0999999999999996" customHeight="1" x14ac:dyDescent="0.25"/>
    <row r="10" spans="1:16" x14ac:dyDescent="0.25">
      <c r="B10" s="47" t="s">
        <v>5</v>
      </c>
      <c r="D10" s="40"/>
      <c r="E10" s="40"/>
      <c r="F10" s="47" t="s">
        <v>9</v>
      </c>
      <c r="J10" s="47" t="s">
        <v>226</v>
      </c>
      <c r="N10" s="47" t="s">
        <v>227</v>
      </c>
    </row>
    <row r="11" spans="1:16" x14ac:dyDescent="0.25">
      <c r="B11" t="s">
        <v>207</v>
      </c>
      <c r="D11" s="71">
        <v>2</v>
      </c>
      <c r="E11" s="40"/>
      <c r="F11" t="s">
        <v>10</v>
      </c>
      <c r="H11" s="73">
        <v>0.04</v>
      </c>
      <c r="J11" t="s">
        <v>10</v>
      </c>
      <c r="L11" s="73">
        <v>0.06</v>
      </c>
      <c r="N11" t="s">
        <v>10</v>
      </c>
      <c r="P11" s="73">
        <v>0.08</v>
      </c>
    </row>
    <row r="12" spans="1:16" x14ac:dyDescent="0.25">
      <c r="B12" t="s">
        <v>209</v>
      </c>
      <c r="D12" s="71">
        <v>2</v>
      </c>
      <c r="E12" s="40"/>
      <c r="F12" t="s">
        <v>225</v>
      </c>
      <c r="H12" s="73">
        <v>0.02</v>
      </c>
      <c r="J12" t="s">
        <v>225</v>
      </c>
      <c r="L12" s="73">
        <v>0.04</v>
      </c>
      <c r="N12" t="s">
        <v>225</v>
      </c>
      <c r="P12" s="73">
        <v>0.06</v>
      </c>
    </row>
    <row r="13" spans="1:16" x14ac:dyDescent="0.25">
      <c r="B13" t="s">
        <v>7</v>
      </c>
      <c r="D13" s="71">
        <v>2</v>
      </c>
      <c r="E13" s="40"/>
      <c r="F13" t="s">
        <v>255</v>
      </c>
      <c r="H13" s="81">
        <v>0.16</v>
      </c>
      <c r="J13" t="s">
        <v>255</v>
      </c>
      <c r="L13" s="81">
        <v>0.16</v>
      </c>
      <c r="N13" t="s">
        <v>255</v>
      </c>
      <c r="P13" s="81">
        <v>0.16</v>
      </c>
    </row>
    <row r="14" spans="1:16" x14ac:dyDescent="0.25">
      <c r="B14" t="s">
        <v>8</v>
      </c>
      <c r="D14" s="71">
        <v>2</v>
      </c>
      <c r="E14" s="40"/>
      <c r="F14" t="s">
        <v>256</v>
      </c>
      <c r="H14" s="81">
        <v>0.18</v>
      </c>
      <c r="J14" t="s">
        <v>256</v>
      </c>
      <c r="L14" s="81">
        <v>0.2</v>
      </c>
      <c r="N14" t="s">
        <v>256</v>
      </c>
      <c r="P14" s="81">
        <v>0.26</v>
      </c>
    </row>
    <row r="15" spans="1:16" x14ac:dyDescent="0.25">
      <c r="B15" t="s">
        <v>216</v>
      </c>
      <c r="D15" s="71">
        <v>2</v>
      </c>
      <c r="E15" s="40"/>
      <c r="F15" t="s">
        <v>216</v>
      </c>
      <c r="H15" s="81">
        <v>0.08</v>
      </c>
      <c r="J15" t="s">
        <v>216</v>
      </c>
      <c r="L15" s="81">
        <v>0.06</v>
      </c>
      <c r="N15" t="s">
        <v>216</v>
      </c>
      <c r="P15" s="81">
        <v>0.04</v>
      </c>
    </row>
    <row r="16" spans="1:16" x14ac:dyDescent="0.25">
      <c r="D16" s="40"/>
      <c r="E16" s="40"/>
    </row>
    <row r="17" spans="1:16" x14ac:dyDescent="0.25">
      <c r="B17" t="s">
        <v>7</v>
      </c>
      <c r="D17" s="72">
        <f>CHOOSE(D13,H17,L17,P17)</f>
        <v>8.5819986913629964E-2</v>
      </c>
      <c r="F17" t="s">
        <v>7</v>
      </c>
      <c r="H17" s="73">
        <v>0.09</v>
      </c>
      <c r="J17" t="s">
        <v>7</v>
      </c>
      <c r="L17" s="73">
        <v>8.5819986913629964E-2</v>
      </c>
      <c r="N17" t="s">
        <v>7</v>
      </c>
      <c r="P17" s="73">
        <v>0.08</v>
      </c>
    </row>
    <row r="18" spans="1:16" x14ac:dyDescent="0.25">
      <c r="B18" t="s">
        <v>8</v>
      </c>
      <c r="D18" s="72">
        <f>CHOOSE(D14,H18,L18,P18)</f>
        <v>2.5000000000000001E-2</v>
      </c>
      <c r="F18" t="s">
        <v>8</v>
      </c>
      <c r="H18" s="73">
        <v>0.02</v>
      </c>
      <c r="J18" t="s">
        <v>8</v>
      </c>
      <c r="L18" s="73">
        <v>2.5000000000000001E-2</v>
      </c>
      <c r="N18" t="s">
        <v>8</v>
      </c>
      <c r="P18" s="73">
        <v>0.03</v>
      </c>
    </row>
    <row r="19" spans="1:16" x14ac:dyDescent="0.25">
      <c r="D19" s="82"/>
    </row>
    <row r="21" spans="1:16" x14ac:dyDescent="0.25">
      <c r="A21" s="32" t="s">
        <v>206</v>
      </c>
      <c r="B21" s="4" t="s">
        <v>205</v>
      </c>
      <c r="C21" s="3"/>
      <c r="D21" s="3"/>
      <c r="E21" s="34" t="s">
        <v>218</v>
      </c>
      <c r="F21" s="34" t="s">
        <v>219</v>
      </c>
      <c r="G21" s="34">
        <v>2022</v>
      </c>
      <c r="H21" s="34">
        <f>G21+1</f>
        <v>2023</v>
      </c>
      <c r="I21" s="34">
        <f t="shared" ref="I21:O21" si="0">H21+1</f>
        <v>2024</v>
      </c>
      <c r="J21" s="35">
        <f t="shared" si="0"/>
        <v>2025</v>
      </c>
      <c r="K21" s="35">
        <f t="shared" si="0"/>
        <v>2026</v>
      </c>
      <c r="L21" s="35">
        <f t="shared" si="0"/>
        <v>2027</v>
      </c>
      <c r="M21" s="35">
        <f t="shared" si="0"/>
        <v>2028</v>
      </c>
      <c r="N21" s="35">
        <f t="shared" si="0"/>
        <v>2029</v>
      </c>
      <c r="O21" s="35">
        <f t="shared" si="0"/>
        <v>2030</v>
      </c>
    </row>
    <row r="22" spans="1:16" x14ac:dyDescent="0.25">
      <c r="B22" t="s">
        <v>207</v>
      </c>
      <c r="E22" s="37">
        <v>1963704</v>
      </c>
      <c r="F22" s="37">
        <v>1909710</v>
      </c>
      <c r="G22" s="37">
        <v>2525192</v>
      </c>
      <c r="H22" s="37">
        <v>2889364</v>
      </c>
      <c r="I22" s="37">
        <v>2885191</v>
      </c>
      <c r="J22" s="44">
        <f t="shared" ref="J22:O22" si="1">I22*(1+J23)</f>
        <v>3058302.46</v>
      </c>
      <c r="K22" s="44">
        <f t="shared" si="1"/>
        <v>3241800.6076000002</v>
      </c>
      <c r="L22" s="44">
        <f t="shared" si="1"/>
        <v>3436308.6440560003</v>
      </c>
      <c r="M22" s="44">
        <f t="shared" si="1"/>
        <v>3642487.1626993604</v>
      </c>
      <c r="N22" s="44">
        <f t="shared" si="1"/>
        <v>3861036.3924613222</v>
      </c>
      <c r="O22" s="44">
        <f t="shared" si="1"/>
        <v>4092698.5760090016</v>
      </c>
    </row>
    <row r="23" spans="1:16" x14ac:dyDescent="0.25">
      <c r="B23" s="33" t="s">
        <v>208</v>
      </c>
      <c r="E23" s="41" t="s">
        <v>220</v>
      </c>
      <c r="F23" s="39">
        <f>(F22-E22)/E22</f>
        <v>-2.749599736009093E-2</v>
      </c>
      <c r="G23" s="39">
        <f>(G22-F22)/F22</f>
        <v>0.32229081902487811</v>
      </c>
      <c r="H23" s="39">
        <f>(H22-G22)/G22</f>
        <v>0.1442155685587472</v>
      </c>
      <c r="I23" s="39">
        <f>(I22-H22)/H22</f>
        <v>-1.4442624743715225E-3</v>
      </c>
      <c r="J23" s="43">
        <f t="shared" ref="J23:O23" si="2">$L$11</f>
        <v>0.06</v>
      </c>
      <c r="K23" s="43">
        <f t="shared" si="2"/>
        <v>0.06</v>
      </c>
      <c r="L23" s="43">
        <f t="shared" si="2"/>
        <v>0.06</v>
      </c>
      <c r="M23" s="43">
        <f t="shared" si="2"/>
        <v>0.06</v>
      </c>
      <c r="N23" s="43">
        <f t="shared" si="2"/>
        <v>0.06</v>
      </c>
      <c r="O23" s="43">
        <f t="shared" si="2"/>
        <v>0.06</v>
      </c>
    </row>
    <row r="25" spans="1:16" x14ac:dyDescent="0.25">
      <c r="B25" t="s">
        <v>209</v>
      </c>
      <c r="E25" s="37">
        <v>223389</v>
      </c>
      <c r="F25" s="37">
        <v>261016</v>
      </c>
      <c r="G25" s="37">
        <v>601728</v>
      </c>
      <c r="H25" s="37">
        <v>505097</v>
      </c>
      <c r="I25" s="37">
        <v>491429</v>
      </c>
      <c r="J25" s="44">
        <f t="shared" ref="J25:O25" si="3">J22*J26</f>
        <v>489328.39360000001</v>
      </c>
      <c r="K25" s="44">
        <f t="shared" si="3"/>
        <v>551106.10329200013</v>
      </c>
      <c r="L25" s="44">
        <f t="shared" si="3"/>
        <v>618535.55593008001</v>
      </c>
      <c r="M25" s="44">
        <f t="shared" si="3"/>
        <v>692072.56091287849</v>
      </c>
      <c r="N25" s="44">
        <f t="shared" si="3"/>
        <v>772207.27849226445</v>
      </c>
      <c r="O25" s="44">
        <f t="shared" si="3"/>
        <v>859466.70096189028</v>
      </c>
    </row>
    <row r="26" spans="1:16" x14ac:dyDescent="0.25">
      <c r="B26" s="33" t="s">
        <v>210</v>
      </c>
      <c r="E26" s="39">
        <f>E25/E22</f>
        <v>0.11375899830116963</v>
      </c>
      <c r="F26" s="39">
        <f>F25/F22</f>
        <v>0.13667834383230962</v>
      </c>
      <c r="G26" s="39">
        <f>G25/G22</f>
        <v>0.23828999933470404</v>
      </c>
      <c r="H26" s="39">
        <f>H25/H22</f>
        <v>0.17481251929490366</v>
      </c>
      <c r="I26" s="39">
        <f>I25/I22</f>
        <v>0.17032806493573563</v>
      </c>
      <c r="J26" s="43">
        <v>0.16</v>
      </c>
      <c r="K26" s="43">
        <v>0.17</v>
      </c>
      <c r="L26" s="43">
        <v>0.18</v>
      </c>
      <c r="M26" s="43">
        <v>0.19</v>
      </c>
      <c r="N26" s="43">
        <v>0.2</v>
      </c>
      <c r="O26" s="43">
        <v>0.21</v>
      </c>
    </row>
    <row r="28" spans="1:16" x14ac:dyDescent="0.25">
      <c r="B28" t="s">
        <v>6</v>
      </c>
      <c r="E28" s="37">
        <v>7378</v>
      </c>
      <c r="F28" s="37">
        <v>726</v>
      </c>
      <c r="G28" s="37">
        <v>88824</v>
      </c>
      <c r="H28" s="37">
        <v>88414</v>
      </c>
      <c r="I28" s="37">
        <v>98816</v>
      </c>
      <c r="J28" s="44">
        <f t="shared" ref="J28:O28" si="4">J25*(J29)</f>
        <v>88079.110847999997</v>
      </c>
      <c r="K28" s="44">
        <f t="shared" si="4"/>
        <v>99199.098592560025</v>
      </c>
      <c r="L28" s="44">
        <f t="shared" si="4"/>
        <v>111336.4000674144</v>
      </c>
      <c r="M28" s="44">
        <f t="shared" si="4"/>
        <v>124573.06096431812</v>
      </c>
      <c r="N28" s="44">
        <f t="shared" si="4"/>
        <v>138997.31012860758</v>
      </c>
      <c r="O28" s="44">
        <f t="shared" si="4"/>
        <v>154704.00617314025</v>
      </c>
    </row>
    <row r="29" spans="1:16" x14ac:dyDescent="0.25">
      <c r="B29" s="33" t="s">
        <v>214</v>
      </c>
      <c r="E29" s="39">
        <f>E28/E25</f>
        <v>3.3027588645815148E-2</v>
      </c>
      <c r="F29" s="39">
        <f>F28/F25</f>
        <v>2.7814386857510651E-3</v>
      </c>
      <c r="G29" s="39">
        <f>G28/G25</f>
        <v>0.14761486917677091</v>
      </c>
      <c r="H29" s="39">
        <f>H28/H25</f>
        <v>0.17504360548567899</v>
      </c>
      <c r="I29" s="39">
        <f>I28/I25</f>
        <v>0.20107889440794091</v>
      </c>
      <c r="J29" s="39">
        <v>0.18</v>
      </c>
      <c r="K29" s="39">
        <v>0.18</v>
      </c>
      <c r="L29" s="39">
        <v>0.18</v>
      </c>
      <c r="M29" s="39">
        <v>0.18</v>
      </c>
      <c r="N29" s="39">
        <v>0.18</v>
      </c>
      <c r="O29" s="39">
        <v>0.18</v>
      </c>
    </row>
    <row r="31" spans="1:16" x14ac:dyDescent="0.25">
      <c r="B31" t="s">
        <v>212</v>
      </c>
      <c r="E31" s="38">
        <f t="shared" ref="E31:O31" si="5">E25-E28</f>
        <v>216011</v>
      </c>
      <c r="F31" s="38">
        <f t="shared" si="5"/>
        <v>260290</v>
      </c>
      <c r="G31" s="38">
        <f t="shared" si="5"/>
        <v>512904</v>
      </c>
      <c r="H31" s="38">
        <f t="shared" si="5"/>
        <v>416683</v>
      </c>
      <c r="I31" s="38">
        <f t="shared" si="5"/>
        <v>392613</v>
      </c>
      <c r="J31" s="44">
        <f t="shared" si="5"/>
        <v>401249.28275200003</v>
      </c>
      <c r="K31" s="44">
        <f t="shared" si="5"/>
        <v>451907.00469944009</v>
      </c>
      <c r="L31" s="44">
        <f t="shared" si="5"/>
        <v>507199.15586266562</v>
      </c>
      <c r="M31" s="44">
        <f t="shared" si="5"/>
        <v>567499.49994856038</v>
      </c>
      <c r="N31" s="44">
        <f t="shared" si="5"/>
        <v>633209.9683636569</v>
      </c>
      <c r="O31" s="44">
        <f t="shared" si="5"/>
        <v>704762.69478875003</v>
      </c>
    </row>
    <row r="32" spans="1:16" x14ac:dyDescent="0.25">
      <c r="B32" s="33" t="s">
        <v>210</v>
      </c>
      <c r="E32" s="39">
        <f t="shared" ref="E32:O32" si="6">E31/E22</f>
        <v>0.11000181290051861</v>
      </c>
      <c r="F32" s="39">
        <f t="shared" si="6"/>
        <v>0.13629818139927005</v>
      </c>
      <c r="G32" s="39">
        <f t="shared" si="6"/>
        <v>0.20311485225677889</v>
      </c>
      <c r="H32" s="39">
        <f t="shared" si="6"/>
        <v>0.1442127056334889</v>
      </c>
      <c r="I32" s="39">
        <f t="shared" si="6"/>
        <v>0.13607868595181394</v>
      </c>
      <c r="J32" s="39">
        <f t="shared" si="6"/>
        <v>0.13120000000000001</v>
      </c>
      <c r="K32" s="39">
        <f t="shared" si="6"/>
        <v>0.13940000000000002</v>
      </c>
      <c r="L32" s="39">
        <f t="shared" si="6"/>
        <v>0.14759999999999998</v>
      </c>
      <c r="M32" s="39">
        <f t="shared" si="6"/>
        <v>0.15579999999999999</v>
      </c>
      <c r="N32" s="39">
        <f t="shared" si="6"/>
        <v>0.16400000000000001</v>
      </c>
      <c r="O32" s="39">
        <f t="shared" si="6"/>
        <v>0.17219999999999999</v>
      </c>
    </row>
    <row r="34" spans="1:15" x14ac:dyDescent="0.25">
      <c r="A34" s="32" t="s">
        <v>206</v>
      </c>
      <c r="B34" s="4" t="s">
        <v>213</v>
      </c>
      <c r="C34" s="3"/>
      <c r="D34" s="3"/>
      <c r="E34" s="34" t="s">
        <v>218</v>
      </c>
      <c r="F34" s="34" t="s">
        <v>219</v>
      </c>
      <c r="G34" s="34">
        <v>2022</v>
      </c>
      <c r="H34" s="34">
        <f>G34+1</f>
        <v>2023</v>
      </c>
      <c r="I34" s="34">
        <f t="shared" ref="I34:O34" si="7">H34+1</f>
        <v>2024</v>
      </c>
      <c r="J34" s="35">
        <f t="shared" si="7"/>
        <v>2025</v>
      </c>
      <c r="K34" s="35">
        <f t="shared" si="7"/>
        <v>2026</v>
      </c>
      <c r="L34" s="35">
        <f t="shared" si="7"/>
        <v>2027</v>
      </c>
      <c r="M34" s="35">
        <f t="shared" si="7"/>
        <v>2028</v>
      </c>
      <c r="N34" s="35">
        <f t="shared" si="7"/>
        <v>2029</v>
      </c>
      <c r="O34" s="35">
        <f t="shared" si="7"/>
        <v>2030</v>
      </c>
    </row>
    <row r="35" spans="1:15" x14ac:dyDescent="0.25">
      <c r="B35" t="s">
        <v>215</v>
      </c>
      <c r="E35" s="38">
        <v>249572</v>
      </c>
      <c r="F35" s="38">
        <v>252585</v>
      </c>
      <c r="G35" s="38">
        <v>252391</v>
      </c>
      <c r="H35" s="38">
        <v>268501</v>
      </c>
      <c r="I35" s="38">
        <v>276493</v>
      </c>
    </row>
    <row r="36" spans="1:15" x14ac:dyDescent="0.25">
      <c r="B36" s="33" t="s">
        <v>210</v>
      </c>
      <c r="E36" s="39">
        <f>E35/E22</f>
        <v>0.1270924742221842</v>
      </c>
      <c r="F36" s="39">
        <f>F35/F22</f>
        <v>0.13226353739573024</v>
      </c>
      <c r="G36" s="39">
        <f>G35/G22</f>
        <v>9.9949231583182585E-2</v>
      </c>
      <c r="H36" s="39">
        <f>H35/H22</f>
        <v>9.2927370867775749E-2</v>
      </c>
      <c r="I36" s="39">
        <f>I35/I22</f>
        <v>9.5831783753657904E-2</v>
      </c>
    </row>
    <row r="38" spans="1:15" x14ac:dyDescent="0.25">
      <c r="B38" t="s">
        <v>216</v>
      </c>
      <c r="E38" s="38">
        <v>172334</v>
      </c>
      <c r="F38" s="38">
        <v>115097</v>
      </c>
      <c r="G38" s="38">
        <v>192817</v>
      </c>
      <c r="H38" s="38">
        <v>53379</v>
      </c>
      <c r="I38" s="38">
        <v>71017</v>
      </c>
    </row>
    <row r="39" spans="1:15" x14ac:dyDescent="0.25">
      <c r="B39" s="33" t="s">
        <v>210</v>
      </c>
      <c r="E39" s="39">
        <f>E38/E22</f>
        <v>8.7759662352370829E-2</v>
      </c>
      <c r="F39" s="39">
        <f>F38/F22</f>
        <v>6.0269360269360271E-2</v>
      </c>
      <c r="G39" s="39">
        <f>G38/G22</f>
        <v>7.6357362133255613E-2</v>
      </c>
      <c r="H39" s="39">
        <f>H38/H22</f>
        <v>1.8474307840756651E-2</v>
      </c>
      <c r="I39" s="39">
        <f>I38/I22</f>
        <v>2.4614314962163684E-2</v>
      </c>
    </row>
    <row r="41" spans="1:15" x14ac:dyDescent="0.25">
      <c r="B41" t="s">
        <v>217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</row>
    <row r="42" spans="1:15" x14ac:dyDescent="0.25">
      <c r="B42" s="33" t="s">
        <v>210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</row>
    <row r="44" spans="1:15" x14ac:dyDescent="0.25">
      <c r="A44" s="32" t="s">
        <v>206</v>
      </c>
      <c r="B44" s="4" t="s">
        <v>221</v>
      </c>
      <c r="C44" s="3"/>
      <c r="D44" s="3"/>
      <c r="E44" s="34" t="s">
        <v>218</v>
      </c>
      <c r="F44" s="34" t="s">
        <v>219</v>
      </c>
      <c r="G44" s="34">
        <v>2022</v>
      </c>
      <c r="H44" s="34">
        <f>G44+1</f>
        <v>2023</v>
      </c>
      <c r="I44" s="34">
        <f t="shared" ref="I44:O44" si="8">H44+1</f>
        <v>2024</v>
      </c>
      <c r="J44" s="35">
        <f t="shared" si="8"/>
        <v>2025</v>
      </c>
      <c r="K44" s="35">
        <f t="shared" si="8"/>
        <v>2026</v>
      </c>
      <c r="L44" s="35">
        <f t="shared" si="8"/>
        <v>2027</v>
      </c>
      <c r="M44" s="35">
        <f t="shared" si="8"/>
        <v>2028</v>
      </c>
      <c r="N44" s="35">
        <f t="shared" si="8"/>
        <v>2029</v>
      </c>
      <c r="O44" s="35">
        <f t="shared" si="8"/>
        <v>2030</v>
      </c>
    </row>
    <row r="45" spans="1:15" x14ac:dyDescent="0.25">
      <c r="B45" t="s">
        <v>207</v>
      </c>
      <c r="E45" s="37">
        <v>1963704</v>
      </c>
      <c r="F45" s="37">
        <v>1909710</v>
      </c>
      <c r="G45" s="37">
        <v>2525192</v>
      </c>
      <c r="H45" s="37">
        <v>2889364</v>
      </c>
      <c r="I45" s="37">
        <v>2885191</v>
      </c>
      <c r="J45" s="44">
        <f t="shared" ref="J45:O45" ca="1" si="9">I45*(1+J46)</f>
        <v>3058302.46</v>
      </c>
      <c r="K45" s="44">
        <f t="shared" ca="1" si="9"/>
        <v>3229567.3977600001</v>
      </c>
      <c r="L45" s="44">
        <f t="shared" ca="1" si="9"/>
        <v>3397504.9024435203</v>
      </c>
      <c r="M45" s="44">
        <f t="shared" ca="1" si="9"/>
        <v>3560585.1377608092</v>
      </c>
      <c r="N45" s="44">
        <f t="shared" ca="1" si="9"/>
        <v>3717250.8838222851</v>
      </c>
      <c r="O45" s="44">
        <f t="shared" ca="1" si="9"/>
        <v>3865940.9191751764</v>
      </c>
    </row>
    <row r="46" spans="1:15" x14ac:dyDescent="0.25">
      <c r="B46" s="33" t="s">
        <v>208</v>
      </c>
      <c r="E46" s="41" t="s">
        <v>220</v>
      </c>
      <c r="F46" s="39">
        <f>(F45-E45)/E45</f>
        <v>-2.749599736009093E-2</v>
      </c>
      <c r="G46" s="39">
        <f>(G45-F45)/F45</f>
        <v>0.32229081902487811</v>
      </c>
      <c r="H46" s="39">
        <f>(H45-G45)/G45</f>
        <v>0.1442155685587472</v>
      </c>
      <c r="I46" s="39">
        <f>(I45-H45)/H45</f>
        <v>-1.4442624743715225E-3</v>
      </c>
      <c r="J46" s="43">
        <f t="shared" ref="J46:O46" ca="1" si="10">OFFSET(J46,$D$11,0)</f>
        <v>0.06</v>
      </c>
      <c r="K46" s="43">
        <f t="shared" ca="1" si="10"/>
        <v>5.6000000000000001E-2</v>
      </c>
      <c r="L46" s="43">
        <f t="shared" ca="1" si="10"/>
        <v>5.2000000000000005E-2</v>
      </c>
      <c r="M46" s="43">
        <f t="shared" ca="1" si="10"/>
        <v>4.8000000000000008E-2</v>
      </c>
      <c r="N46" s="43">
        <f t="shared" ca="1" si="10"/>
        <v>4.4000000000000011E-2</v>
      </c>
      <c r="O46" s="43">
        <f t="shared" ca="1" si="10"/>
        <v>0.04</v>
      </c>
    </row>
    <row r="47" spans="1:15" x14ac:dyDescent="0.25">
      <c r="B47" t="s">
        <v>222</v>
      </c>
      <c r="J47" s="48">
        <v>0.04</v>
      </c>
      <c r="K47" s="48">
        <f>J47-($J$47-$O$47)/5</f>
        <v>3.6000000000000004E-2</v>
      </c>
      <c r="L47" s="48">
        <f>K47-($J$47-$O$47)/5</f>
        <v>3.2000000000000001E-2</v>
      </c>
      <c r="M47" s="48">
        <f>L47-($J$47-$O$47)/5</f>
        <v>2.8000000000000001E-2</v>
      </c>
      <c r="N47" s="48">
        <f>M47-($J$47-$O$47)/5</f>
        <v>2.4E-2</v>
      </c>
      <c r="O47" s="48">
        <v>0.02</v>
      </c>
    </row>
    <row r="48" spans="1:15" x14ac:dyDescent="0.25">
      <c r="B48" t="s">
        <v>223</v>
      </c>
      <c r="J48" s="48">
        <f>J23</f>
        <v>0.06</v>
      </c>
      <c r="K48" s="48">
        <f>J48-($J$48-$O$48)/5</f>
        <v>5.6000000000000001E-2</v>
      </c>
      <c r="L48" s="48">
        <f>K48-($J$48-$O$48)/5</f>
        <v>5.2000000000000005E-2</v>
      </c>
      <c r="M48" s="48">
        <f>L48-($J$48-$O$48)/5</f>
        <v>4.8000000000000008E-2</v>
      </c>
      <c r="N48" s="48">
        <f>M48-($J$48-$O$48)/5</f>
        <v>4.4000000000000011E-2</v>
      </c>
      <c r="O48" s="48">
        <v>0.04</v>
      </c>
    </row>
    <row r="49" spans="2:15" x14ac:dyDescent="0.25">
      <c r="B49" t="s">
        <v>224</v>
      </c>
      <c r="J49" s="48">
        <v>0.08</v>
      </c>
      <c r="K49" s="48">
        <f>J49-($J$49-$O$49)/5</f>
        <v>7.5999999999999998E-2</v>
      </c>
      <c r="L49" s="48">
        <f>K49-($J$49-$O$49)/5</f>
        <v>7.1999999999999995E-2</v>
      </c>
      <c r="M49" s="48">
        <f>L49-($J$49-$O$49)/5</f>
        <v>6.7999999999999991E-2</v>
      </c>
      <c r="N49" s="48">
        <f>M49-($J$49-$O$49)/5</f>
        <v>6.3999999999999987E-2</v>
      </c>
      <c r="O49" s="48">
        <v>0.06</v>
      </c>
    </row>
    <row r="51" spans="2:15" x14ac:dyDescent="0.25">
      <c r="B51" t="s">
        <v>209</v>
      </c>
      <c r="E51" s="37">
        <v>223389</v>
      </c>
      <c r="F51" s="37">
        <v>261016</v>
      </c>
      <c r="G51" s="37">
        <v>601728</v>
      </c>
      <c r="H51" s="37">
        <v>505097</v>
      </c>
      <c r="I51" s="37">
        <v>491429</v>
      </c>
      <c r="J51" s="44">
        <f t="shared" ref="J51:O51" ca="1" si="11">J52*J45</f>
        <v>489328.39360000001</v>
      </c>
      <c r="K51" s="44">
        <f t="shared" ca="1" si="11"/>
        <v>549026.45761919999</v>
      </c>
      <c r="L51" s="44">
        <f t="shared" ca="1" si="11"/>
        <v>611550.8824398336</v>
      </c>
      <c r="M51" s="44">
        <f t="shared" ca="1" si="11"/>
        <v>676511.17617455369</v>
      </c>
      <c r="N51" s="44">
        <f t="shared" ca="1" si="11"/>
        <v>743450.17676445702</v>
      </c>
      <c r="O51" s="44">
        <f t="shared" ca="1" si="11"/>
        <v>811847.59302678704</v>
      </c>
    </row>
    <row r="52" spans="2:15" x14ac:dyDescent="0.25">
      <c r="B52" s="33" t="s">
        <v>210</v>
      </c>
      <c r="E52" s="39">
        <f>E51/E45</f>
        <v>0.11375899830116963</v>
      </c>
      <c r="F52" s="39">
        <f>F51/F45</f>
        <v>0.13667834383230962</v>
      </c>
      <c r="G52" s="39">
        <f>G51/G45</f>
        <v>0.23828999933470404</v>
      </c>
      <c r="H52" s="39">
        <f>H51/H45</f>
        <v>0.17481251929490366</v>
      </c>
      <c r="I52" s="39">
        <f>I51/I45</f>
        <v>0.17032806493573563</v>
      </c>
      <c r="J52" s="43">
        <f t="shared" ref="J52:O52" ca="1" si="12">OFFSET(J52,$D$12,0)</f>
        <v>0.16</v>
      </c>
      <c r="K52" s="43">
        <f t="shared" ca="1" si="12"/>
        <v>0.17</v>
      </c>
      <c r="L52" s="43">
        <f t="shared" ca="1" si="12"/>
        <v>0.18</v>
      </c>
      <c r="M52" s="43">
        <f t="shared" ca="1" si="12"/>
        <v>0.19</v>
      </c>
      <c r="N52" s="43">
        <f t="shared" ca="1" si="12"/>
        <v>0.2</v>
      </c>
      <c r="O52" s="43">
        <f t="shared" ca="1" si="12"/>
        <v>0.21</v>
      </c>
    </row>
    <row r="53" spans="2:15" x14ac:dyDescent="0.25">
      <c r="B53" t="s">
        <v>222</v>
      </c>
      <c r="E53" s="39"/>
      <c r="F53" s="39"/>
      <c r="G53" s="39"/>
      <c r="H53" s="39"/>
      <c r="I53" s="39"/>
      <c r="J53" s="48">
        <v>0.16</v>
      </c>
      <c r="K53" s="48">
        <v>0.16</v>
      </c>
      <c r="L53" s="48">
        <v>0.17</v>
      </c>
      <c r="M53" s="48">
        <v>0.17</v>
      </c>
      <c r="N53" s="48">
        <v>0.18</v>
      </c>
      <c r="O53" s="48">
        <v>0.18</v>
      </c>
    </row>
    <row r="54" spans="2:15" x14ac:dyDescent="0.25">
      <c r="B54" t="s">
        <v>223</v>
      </c>
      <c r="E54" s="39"/>
      <c r="F54" s="39"/>
      <c r="G54" s="39"/>
      <c r="H54" s="39"/>
      <c r="I54" s="39"/>
      <c r="J54" s="48">
        <v>0.16</v>
      </c>
      <c r="K54" s="48">
        <v>0.17</v>
      </c>
      <c r="L54" s="48">
        <v>0.18</v>
      </c>
      <c r="M54" s="48">
        <v>0.19</v>
      </c>
      <c r="N54" s="48">
        <v>0.2</v>
      </c>
      <c r="O54" s="48">
        <v>0.21</v>
      </c>
    </row>
    <row r="55" spans="2:15" x14ac:dyDescent="0.25">
      <c r="B55" t="s">
        <v>224</v>
      </c>
      <c r="E55" s="39"/>
      <c r="F55" s="39"/>
      <c r="G55" s="39"/>
      <c r="H55" s="39"/>
      <c r="I55" s="39"/>
      <c r="J55" s="48">
        <v>0.16</v>
      </c>
      <c r="K55" s="48">
        <v>0.18</v>
      </c>
      <c r="L55" s="48">
        <v>0.2</v>
      </c>
      <c r="M55" s="48">
        <v>0.22</v>
      </c>
      <c r="N55" s="48">
        <v>0.24</v>
      </c>
      <c r="O55" s="48">
        <v>0.26</v>
      </c>
    </row>
    <row r="57" spans="2:15" x14ac:dyDescent="0.25">
      <c r="B57" t="s">
        <v>6</v>
      </c>
      <c r="E57" s="37">
        <v>7378</v>
      </c>
      <c r="F57" s="37">
        <v>726</v>
      </c>
      <c r="G57" s="37">
        <v>88824</v>
      </c>
      <c r="H57" s="37">
        <v>88414</v>
      </c>
      <c r="I57" s="37">
        <v>98816</v>
      </c>
      <c r="J57" s="44">
        <f t="shared" ref="J57:O57" ca="1" si="13">J51*J58</f>
        <v>88079.110847999997</v>
      </c>
      <c r="K57" s="44">
        <f t="shared" ca="1" si="13"/>
        <v>98824.762371455989</v>
      </c>
      <c r="L57" s="44">
        <f t="shared" ca="1" si="13"/>
        <v>110079.15883917005</v>
      </c>
      <c r="M57" s="44">
        <f t="shared" ca="1" si="13"/>
        <v>121772.01171141966</v>
      </c>
      <c r="N57" s="44">
        <f t="shared" ca="1" si="13"/>
        <v>133821.03181760226</v>
      </c>
      <c r="O57" s="44">
        <f t="shared" ca="1" si="13"/>
        <v>146132.56674482167</v>
      </c>
    </row>
    <row r="58" spans="2:15" x14ac:dyDescent="0.25">
      <c r="B58" s="33" t="s">
        <v>214</v>
      </c>
      <c r="E58" s="39">
        <f>E57/E51</f>
        <v>3.3027588645815148E-2</v>
      </c>
      <c r="F58" s="39">
        <f>F57/F51</f>
        <v>2.7814386857510651E-3</v>
      </c>
      <c r="G58" s="39">
        <f>G57/G51</f>
        <v>0.14761486917677091</v>
      </c>
      <c r="H58" s="39">
        <f>H57/H51</f>
        <v>0.17504360548567899</v>
      </c>
      <c r="I58" s="39">
        <f>I57/I51</f>
        <v>0.20107889440794091</v>
      </c>
      <c r="J58" s="43">
        <v>0.18</v>
      </c>
      <c r="K58" s="43">
        <v>0.18</v>
      </c>
      <c r="L58" s="43">
        <v>0.18</v>
      </c>
      <c r="M58" s="43">
        <v>0.18</v>
      </c>
      <c r="N58" s="43">
        <v>0.18</v>
      </c>
      <c r="O58" s="43">
        <v>0.18</v>
      </c>
    </row>
    <row r="60" spans="2:15" x14ac:dyDescent="0.25">
      <c r="B60" s="49" t="s">
        <v>212</v>
      </c>
      <c r="C60" s="49"/>
      <c r="D60" s="49"/>
      <c r="E60" s="50">
        <f t="shared" ref="E60:O60" si="14">E51-E57</f>
        <v>216011</v>
      </c>
      <c r="F60" s="50">
        <f t="shared" si="14"/>
        <v>260290</v>
      </c>
      <c r="G60" s="50">
        <f t="shared" si="14"/>
        <v>512904</v>
      </c>
      <c r="H60" s="50">
        <f t="shared" si="14"/>
        <v>416683</v>
      </c>
      <c r="I60" s="50">
        <f t="shared" si="14"/>
        <v>392613</v>
      </c>
      <c r="J60" s="51">
        <f t="shared" ca="1" si="14"/>
        <v>401249.28275200003</v>
      </c>
      <c r="K60" s="51">
        <f t="shared" ca="1" si="14"/>
        <v>450201.69524774398</v>
      </c>
      <c r="L60" s="51">
        <f t="shared" ca="1" si="14"/>
        <v>501471.72360066354</v>
      </c>
      <c r="M60" s="51">
        <f t="shared" ca="1" si="14"/>
        <v>554739.16446313402</v>
      </c>
      <c r="N60" s="51">
        <f t="shared" ca="1" si="14"/>
        <v>609629.14494685479</v>
      </c>
      <c r="O60" s="51">
        <f t="shared" ca="1" si="14"/>
        <v>665715.02628196543</v>
      </c>
    </row>
    <row r="61" spans="2:15" x14ac:dyDescent="0.25">
      <c r="B61" s="33" t="s">
        <v>210</v>
      </c>
      <c r="E61" s="39">
        <f t="shared" ref="E61:O61" si="15">E60/E45</f>
        <v>0.11000181290051861</v>
      </c>
      <c r="F61" s="39">
        <f t="shared" si="15"/>
        <v>0.13629818139927005</v>
      </c>
      <c r="G61" s="39">
        <f t="shared" si="15"/>
        <v>0.20311485225677889</v>
      </c>
      <c r="H61" s="39">
        <f t="shared" si="15"/>
        <v>0.1442127056334889</v>
      </c>
      <c r="I61" s="39">
        <f t="shared" si="15"/>
        <v>0.13607868595181394</v>
      </c>
      <c r="J61" s="43">
        <f t="shared" ca="1" si="15"/>
        <v>0.13120000000000001</v>
      </c>
      <c r="K61" s="43">
        <f t="shared" ca="1" si="15"/>
        <v>0.1394</v>
      </c>
      <c r="L61" s="43">
        <f t="shared" ca="1" si="15"/>
        <v>0.14759999999999998</v>
      </c>
      <c r="M61" s="43">
        <f t="shared" ca="1" si="15"/>
        <v>0.15579999999999999</v>
      </c>
      <c r="N61" s="43">
        <f t="shared" ca="1" si="15"/>
        <v>0.16400000000000001</v>
      </c>
      <c r="O61" s="43">
        <f t="shared" ca="1" si="15"/>
        <v>0.17220000000000002</v>
      </c>
    </row>
    <row r="63" spans="2:15" x14ac:dyDescent="0.25">
      <c r="B63" t="s">
        <v>215</v>
      </c>
      <c r="E63" s="38">
        <v>249572</v>
      </c>
      <c r="F63" s="38">
        <v>252585</v>
      </c>
      <c r="G63" s="38">
        <v>252391</v>
      </c>
      <c r="H63" s="38">
        <v>268501</v>
      </c>
      <c r="I63" s="38">
        <v>276493</v>
      </c>
      <c r="J63" s="44">
        <f t="shared" ref="J63:O63" ca="1" si="16">J64*J45</f>
        <v>305830.24599999998</v>
      </c>
      <c r="K63" s="44">
        <f t="shared" ca="1" si="16"/>
        <v>322956.73977600003</v>
      </c>
      <c r="L63" s="44">
        <f t="shared" ca="1" si="16"/>
        <v>339750.49024435203</v>
      </c>
      <c r="M63" s="44">
        <f t="shared" ca="1" si="16"/>
        <v>356058.51377608092</v>
      </c>
      <c r="N63" s="44">
        <f t="shared" ca="1" si="16"/>
        <v>371725.08838222851</v>
      </c>
      <c r="O63" s="44">
        <f t="shared" ca="1" si="16"/>
        <v>386594.09191751765</v>
      </c>
    </row>
    <row r="64" spans="2:15" x14ac:dyDescent="0.25">
      <c r="B64" s="33" t="s">
        <v>210</v>
      </c>
      <c r="E64" s="39">
        <f>E63/E45</f>
        <v>0.1270924742221842</v>
      </c>
      <c r="F64" s="39">
        <f>F63/F45</f>
        <v>0.13226353739573024</v>
      </c>
      <c r="G64" s="39">
        <f>G63/G45</f>
        <v>9.9949231583182585E-2</v>
      </c>
      <c r="H64" s="39">
        <f>H63/H45</f>
        <v>9.2927370867775749E-2</v>
      </c>
      <c r="I64" s="39">
        <f>I63/I45</f>
        <v>9.5831783753657904E-2</v>
      </c>
      <c r="J64" s="43">
        <v>0.1</v>
      </c>
      <c r="K64" s="43">
        <v>0.1</v>
      </c>
      <c r="L64" s="43">
        <v>0.1</v>
      </c>
      <c r="M64" s="43">
        <v>0.1</v>
      </c>
      <c r="N64" s="43">
        <v>0.1</v>
      </c>
      <c r="O64" s="43">
        <v>0.1</v>
      </c>
    </row>
    <row r="66" spans="2:17" x14ac:dyDescent="0.25">
      <c r="B66" t="s">
        <v>216</v>
      </c>
      <c r="E66" s="38">
        <v>172334</v>
      </c>
      <c r="F66" s="38">
        <v>115097</v>
      </c>
      <c r="G66" s="38">
        <v>192817</v>
      </c>
      <c r="H66" s="38">
        <v>53379</v>
      </c>
      <c r="I66" s="38">
        <v>71017</v>
      </c>
      <c r="J66" s="44">
        <f t="shared" ref="J66:O66" ca="1" si="17">J67*J45</f>
        <v>183498.1476</v>
      </c>
      <c r="K66" s="44">
        <f t="shared" ca="1" si="17"/>
        <v>193774.04386559999</v>
      </c>
      <c r="L66" s="44">
        <f t="shared" ca="1" si="17"/>
        <v>203850.29414661121</v>
      </c>
      <c r="M66" s="44">
        <f t="shared" ca="1" si="17"/>
        <v>213635.10826564854</v>
      </c>
      <c r="N66" s="44">
        <f t="shared" ca="1" si="17"/>
        <v>223035.05302933711</v>
      </c>
      <c r="O66" s="44">
        <f t="shared" ca="1" si="17"/>
        <v>231956.45515051056</v>
      </c>
    </row>
    <row r="67" spans="2:17" x14ac:dyDescent="0.25">
      <c r="B67" s="33" t="s">
        <v>210</v>
      </c>
      <c r="E67" s="39">
        <f>E66/E45</f>
        <v>8.7759662352370829E-2</v>
      </c>
      <c r="F67" s="39">
        <f>F66/F45</f>
        <v>6.0269360269360271E-2</v>
      </c>
      <c r="G67" s="39">
        <f>G66/G45</f>
        <v>7.6357362133255613E-2</v>
      </c>
      <c r="H67" s="39">
        <f>H66/H45</f>
        <v>1.8474307840756651E-2</v>
      </c>
      <c r="I67" s="39">
        <f>I66/I45</f>
        <v>2.4614314962163684E-2</v>
      </c>
      <c r="J67" s="43">
        <f t="shared" ref="J67:O67" ca="1" si="18">OFFSET(J67,$D$15, 0)</f>
        <v>0.06</v>
      </c>
      <c r="K67" s="43">
        <f t="shared" ca="1" si="18"/>
        <v>0.06</v>
      </c>
      <c r="L67" s="43">
        <f t="shared" ca="1" si="18"/>
        <v>0.06</v>
      </c>
      <c r="M67" s="43">
        <f t="shared" ca="1" si="18"/>
        <v>0.06</v>
      </c>
      <c r="N67" s="43">
        <f t="shared" ca="1" si="18"/>
        <v>0.06</v>
      </c>
      <c r="O67" s="43">
        <f t="shared" ca="1" si="18"/>
        <v>0.06</v>
      </c>
    </row>
    <row r="68" spans="2:17" x14ac:dyDescent="0.25">
      <c r="B68" t="s">
        <v>222</v>
      </c>
      <c r="E68" s="39"/>
      <c r="F68" s="39"/>
      <c r="G68" s="39"/>
      <c r="H68" s="39"/>
      <c r="I68" s="39"/>
      <c r="J68" s="48">
        <f t="shared" ref="J68:O68" si="19">$H$15</f>
        <v>0.08</v>
      </c>
      <c r="K68" s="48">
        <f t="shared" si="19"/>
        <v>0.08</v>
      </c>
      <c r="L68" s="48">
        <f t="shared" si="19"/>
        <v>0.08</v>
      </c>
      <c r="M68" s="48">
        <f t="shared" si="19"/>
        <v>0.08</v>
      </c>
      <c r="N68" s="48">
        <f t="shared" si="19"/>
        <v>0.08</v>
      </c>
      <c r="O68" s="48">
        <f t="shared" si="19"/>
        <v>0.08</v>
      </c>
    </row>
    <row r="69" spans="2:17" x14ac:dyDescent="0.25">
      <c r="B69" t="s">
        <v>223</v>
      </c>
      <c r="E69" s="39"/>
      <c r="F69" s="39"/>
      <c r="G69" s="39"/>
      <c r="H69" s="39"/>
      <c r="I69" s="39"/>
      <c r="J69" s="48">
        <f t="shared" ref="J69:O69" si="20">$L$15</f>
        <v>0.06</v>
      </c>
      <c r="K69" s="48">
        <f t="shared" si="20"/>
        <v>0.06</v>
      </c>
      <c r="L69" s="48">
        <f t="shared" si="20"/>
        <v>0.06</v>
      </c>
      <c r="M69" s="48">
        <f t="shared" si="20"/>
        <v>0.06</v>
      </c>
      <c r="N69" s="48">
        <f t="shared" si="20"/>
        <v>0.06</v>
      </c>
      <c r="O69" s="48">
        <f t="shared" si="20"/>
        <v>0.06</v>
      </c>
    </row>
    <row r="70" spans="2:17" x14ac:dyDescent="0.25">
      <c r="B70" t="s">
        <v>224</v>
      </c>
      <c r="E70" s="39"/>
      <c r="F70" s="39"/>
      <c r="G70" s="39"/>
      <c r="H70" s="39"/>
      <c r="I70" s="39"/>
      <c r="J70" s="48">
        <f t="shared" ref="J70:O70" si="21">$P$15</f>
        <v>0.04</v>
      </c>
      <c r="K70" s="48">
        <f t="shared" si="21"/>
        <v>0.04</v>
      </c>
      <c r="L70" s="48">
        <f t="shared" si="21"/>
        <v>0.04</v>
      </c>
      <c r="M70" s="48">
        <f t="shared" si="21"/>
        <v>0.04</v>
      </c>
      <c r="N70" s="48">
        <f t="shared" si="21"/>
        <v>0.04</v>
      </c>
      <c r="O70" s="48">
        <f t="shared" si="21"/>
        <v>0.04</v>
      </c>
    </row>
    <row r="72" spans="2:17" x14ac:dyDescent="0.25">
      <c r="B72" t="s">
        <v>217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</row>
    <row r="73" spans="2:17" x14ac:dyDescent="0.25">
      <c r="B73" s="33" t="s">
        <v>210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</row>
    <row r="74" spans="2:17" x14ac:dyDescent="0.25">
      <c r="Q74" t="s">
        <v>243</v>
      </c>
    </row>
    <row r="75" spans="2:17" x14ac:dyDescent="0.25">
      <c r="B75" t="s">
        <v>228</v>
      </c>
      <c r="J75" s="53">
        <f t="shared" ref="J75:O75" ca="1" si="22">J60+J63-J66-J72</f>
        <v>523581.38115200005</v>
      </c>
      <c r="K75" s="53">
        <f t="shared" ca="1" si="22"/>
        <v>579384.39115814399</v>
      </c>
      <c r="L75" s="53">
        <f t="shared" ca="1" si="22"/>
        <v>637371.91969840426</v>
      </c>
      <c r="M75" s="53">
        <f t="shared" ca="1" si="22"/>
        <v>697162.56997356634</v>
      </c>
      <c r="N75" s="53">
        <f t="shared" ca="1" si="22"/>
        <v>758319.18029974622</v>
      </c>
      <c r="O75" s="53">
        <f t="shared" ca="1" si="22"/>
        <v>820352.66304897249</v>
      </c>
    </row>
    <row r="76" spans="2:17" x14ac:dyDescent="0.25">
      <c r="B76" t="s">
        <v>229</v>
      </c>
      <c r="J76" s="53">
        <f t="shared" ref="J76:O76" ca="1" si="23">J75/(1+$L$17)^J79</f>
        <v>502464.37865578284</v>
      </c>
      <c r="K76" s="53">
        <f t="shared" ca="1" si="23"/>
        <v>512070.83778005396</v>
      </c>
      <c r="L76" s="53">
        <f t="shared" ca="1" si="23"/>
        <v>518798.06460111408</v>
      </c>
      <c r="M76" s="53">
        <f t="shared" ca="1" si="23"/>
        <v>522614.73667914467</v>
      </c>
      <c r="N76" s="53">
        <f t="shared" ca="1" si="23"/>
        <v>523530.27199801424</v>
      </c>
      <c r="O76" s="53">
        <f t="shared" ca="1" si="23"/>
        <v>521593.91808321176</v>
      </c>
    </row>
    <row r="78" spans="2:17" x14ac:dyDescent="0.25">
      <c r="B78" t="s">
        <v>230</v>
      </c>
      <c r="J78">
        <v>1</v>
      </c>
      <c r="K78">
        <v>2</v>
      </c>
      <c r="L78">
        <v>3</v>
      </c>
      <c r="M78">
        <v>4</v>
      </c>
      <c r="N78">
        <v>5</v>
      </c>
      <c r="O78">
        <v>6</v>
      </c>
    </row>
    <row r="79" spans="2:17" x14ac:dyDescent="0.25">
      <c r="B79" t="s">
        <v>231</v>
      </c>
      <c r="J79">
        <v>0.5</v>
      </c>
      <c r="K79">
        <f>J79+1</f>
        <v>1.5</v>
      </c>
      <c r="L79">
        <f>K79+1</f>
        <v>2.5</v>
      </c>
      <c r="M79">
        <f>L79+1</f>
        <v>3.5</v>
      </c>
      <c r="N79">
        <f>M79+1</f>
        <v>4.5</v>
      </c>
      <c r="O79">
        <f>N79+1</f>
        <v>5.5</v>
      </c>
    </row>
    <row r="81" spans="2:23" x14ac:dyDescent="0.25">
      <c r="B81" t="s">
        <v>244</v>
      </c>
      <c r="O81" s="75">
        <f ca="1">(O75*(1+D18))/(D17-D18)</f>
        <v>13825413.688748376</v>
      </c>
    </row>
    <row r="82" spans="2:23" x14ac:dyDescent="0.25">
      <c r="B82" t="s">
        <v>245</v>
      </c>
      <c r="O82" s="75">
        <f ca="1">O81/(1+D17)^6</f>
        <v>8435894.6213953663</v>
      </c>
    </row>
    <row r="83" spans="2:23" x14ac:dyDescent="0.25">
      <c r="B83" t="s">
        <v>246</v>
      </c>
      <c r="O83" s="75">
        <f ca="1">SUM(J76:O76,O82)</f>
        <v>11536966.829192687</v>
      </c>
    </row>
    <row r="84" spans="2:23" x14ac:dyDescent="0.25">
      <c r="B84" t="s">
        <v>247</v>
      </c>
      <c r="O84" s="75">
        <v>403768</v>
      </c>
    </row>
    <row r="85" spans="2:23" x14ac:dyDescent="0.25">
      <c r="B85" t="s">
        <v>257</v>
      </c>
      <c r="O85" s="75">
        <v>314000</v>
      </c>
    </row>
    <row r="86" spans="2:23" x14ac:dyDescent="0.25">
      <c r="B86" t="s">
        <v>248</v>
      </c>
      <c r="O86" s="76">
        <f>WACC!D10</f>
        <v>2763000</v>
      </c>
    </row>
    <row r="87" spans="2:23" x14ac:dyDescent="0.25">
      <c r="B87" t="s">
        <v>249</v>
      </c>
      <c r="O87" s="76">
        <f ca="1">O83+O84-O86-O85</f>
        <v>8863734.8291926868</v>
      </c>
    </row>
    <row r="88" spans="2:23" x14ac:dyDescent="0.25">
      <c r="B88" t="s">
        <v>250</v>
      </c>
      <c r="O88" s="77">
        <v>37473</v>
      </c>
    </row>
    <row r="89" spans="2:23" x14ac:dyDescent="0.25">
      <c r="B89" t="s">
        <v>251</v>
      </c>
      <c r="O89" s="75">
        <f ca="1">O87/O88</f>
        <v>236.53656844108255</v>
      </c>
    </row>
    <row r="92" spans="2:23" x14ac:dyDescent="0.25">
      <c r="T92" s="67" t="s">
        <v>254</v>
      </c>
      <c r="U92" s="68">
        <v>0.01</v>
      </c>
    </row>
    <row r="93" spans="2:23" x14ac:dyDescent="0.25">
      <c r="Q93" s="63"/>
      <c r="R93" s="63"/>
      <c r="S93" s="63"/>
      <c r="T93" s="64"/>
      <c r="U93" s="63" t="s">
        <v>7</v>
      </c>
      <c r="V93" s="63"/>
      <c r="W93" s="63"/>
    </row>
    <row r="94" spans="2:23" x14ac:dyDescent="0.25">
      <c r="Q94" s="63"/>
      <c r="R94" s="66">
        <f ca="1">O89</f>
        <v>236.53656844108255</v>
      </c>
      <c r="S94" s="65">
        <f>T94-U92</f>
        <v>6.5800000000000011E-2</v>
      </c>
      <c r="T94" s="65">
        <f>U94-U92</f>
        <v>7.5800000000000006E-2</v>
      </c>
      <c r="U94" s="65">
        <v>8.5800000000000001E-2</v>
      </c>
      <c r="V94" s="65">
        <f>U94+U92</f>
        <v>9.5799999999999996E-2</v>
      </c>
      <c r="W94" s="65">
        <f>V94+U92</f>
        <v>0.10579999999999999</v>
      </c>
    </row>
    <row r="95" spans="2:23" x14ac:dyDescent="0.25">
      <c r="P95" s="67" t="s">
        <v>254</v>
      </c>
      <c r="Q95" s="63"/>
      <c r="R95" s="65">
        <f>R96-P96</f>
        <v>2.0000000000000004E-2</v>
      </c>
      <c r="S95" s="69">
        <f t="dataTable" ref="S95:W99" dt2D="1" dtr="1" r1="D17" r2="D18" ca="1"/>
        <v>344.04814412135158</v>
      </c>
      <c r="T95" s="69">
        <v>269.55940667406622</v>
      </c>
      <c r="U95" s="69">
        <v>218.50646071084765</v>
      </c>
      <c r="V95" s="69">
        <v>181.56469329505197</v>
      </c>
      <c r="W95" s="69">
        <v>153.76009100827048</v>
      </c>
    </row>
    <row r="96" spans="2:23" x14ac:dyDescent="0.25">
      <c r="P96" s="62">
        <v>2.5000000000000001E-3</v>
      </c>
      <c r="Q96" s="63"/>
      <c r="R96" s="65">
        <f>R97-P96</f>
        <v>2.2500000000000003E-2</v>
      </c>
      <c r="S96" s="69">
        <v>364.11550144876151</v>
      </c>
      <c r="T96" s="69">
        <v>282.32976343462394</v>
      </c>
      <c r="U96" s="69">
        <v>227.21295556383083</v>
      </c>
      <c r="V96" s="69">
        <v>187.79906191238396</v>
      </c>
      <c r="W96" s="69">
        <v>158.39143373403778</v>
      </c>
    </row>
    <row r="97" spans="16:23" x14ac:dyDescent="0.25">
      <c r="Q97" s="63" t="s">
        <v>8</v>
      </c>
      <c r="R97" s="65">
        <v>2.5000000000000001E-2</v>
      </c>
      <c r="S97" s="69">
        <v>386.64209374276578</v>
      </c>
      <c r="T97" s="69">
        <v>296.35704507318934</v>
      </c>
      <c r="U97" s="70">
        <v>236.63544505932899</v>
      </c>
      <c r="V97" s="69">
        <v>194.47371079930144</v>
      </c>
      <c r="W97" s="69">
        <v>163.30936945026102</v>
      </c>
    </row>
    <row r="98" spans="16:23" x14ac:dyDescent="0.25">
      <c r="P98" s="62"/>
      <c r="Q98" s="63"/>
      <c r="R98" s="65">
        <f>R97+P96</f>
        <v>2.75E-2</v>
      </c>
      <c r="S98" s="69">
        <v>412.10949443024322</v>
      </c>
      <c r="T98" s="69">
        <v>311.8364262602604</v>
      </c>
      <c r="U98" s="69">
        <v>246.86603828514433</v>
      </c>
      <c r="V98" s="69">
        <v>201.63698698394364</v>
      </c>
      <c r="W98" s="69">
        <v>168.54134959280756</v>
      </c>
    </row>
    <row r="99" spans="16:23" x14ac:dyDescent="0.25">
      <c r="Q99" s="63"/>
      <c r="R99" s="65">
        <f>R98+P96</f>
        <v>0.03</v>
      </c>
      <c r="S99" s="69">
        <v>441.13379465507779</v>
      </c>
      <c r="T99" s="69">
        <v>329.00569622321262</v>
      </c>
      <c r="U99" s="69">
        <v>258.01335133406155</v>
      </c>
      <c r="V99" s="69">
        <v>209.34458506711482</v>
      </c>
      <c r="W99" s="69">
        <v>174.11844715900489</v>
      </c>
    </row>
  </sheetData>
  <pageMargins left="0.7" right="0.7" top="0.75" bottom="0.75" header="0.3" footer="0.3"/>
  <ignoredErrors>
    <ignoredError sqref="K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1D73-F99C-4CA7-8CCF-2893AE027381}">
  <dimension ref="B2:E17"/>
  <sheetViews>
    <sheetView workbookViewId="0">
      <selection activeCell="D17" sqref="D17"/>
    </sheetView>
  </sheetViews>
  <sheetFormatPr defaultRowHeight="15" x14ac:dyDescent="0.25"/>
  <cols>
    <col min="2" max="2" width="16.5703125" bestFit="1" customWidth="1"/>
    <col min="4" max="4" width="15.42578125" bestFit="1" customWidth="1"/>
  </cols>
  <sheetData>
    <row r="2" spans="2:5" x14ac:dyDescent="0.25">
      <c r="B2" s="55" t="s">
        <v>7</v>
      </c>
      <c r="C2" s="54"/>
      <c r="D2" s="54"/>
      <c r="E2" s="54"/>
    </row>
    <row r="3" spans="2:5" x14ac:dyDescent="0.25">
      <c r="B3" t="s">
        <v>232</v>
      </c>
      <c r="D3" s="57">
        <v>7171000</v>
      </c>
    </row>
    <row r="4" spans="2:5" x14ac:dyDescent="0.25">
      <c r="B4" t="s">
        <v>233</v>
      </c>
      <c r="D4" s="60">
        <f>D3/(D3+D10)</f>
        <v>0.7218643044091001</v>
      </c>
    </row>
    <row r="5" spans="2:5" x14ac:dyDescent="0.25">
      <c r="B5" t="s">
        <v>234</v>
      </c>
      <c r="D5" s="58">
        <f>D6+(D7*D8)</f>
        <v>9.8349999999999993E-2</v>
      </c>
    </row>
    <row r="6" spans="2:5" x14ac:dyDescent="0.25">
      <c r="B6" t="s">
        <v>235</v>
      </c>
      <c r="D6" s="58">
        <v>4.5909999999999999E-2</v>
      </c>
    </row>
    <row r="7" spans="2:5" x14ac:dyDescent="0.25">
      <c r="B7" t="s">
        <v>236</v>
      </c>
      <c r="D7" s="42">
        <v>1.1399999999999999</v>
      </c>
    </row>
    <row r="8" spans="2:5" x14ac:dyDescent="0.25">
      <c r="B8" t="s">
        <v>237</v>
      </c>
      <c r="D8" s="58">
        <v>4.5999999999999999E-2</v>
      </c>
    </row>
    <row r="9" spans="2:5" x14ac:dyDescent="0.25">
      <c r="D9" s="58"/>
    </row>
    <row r="10" spans="2:5" x14ac:dyDescent="0.25">
      <c r="B10" t="s">
        <v>242</v>
      </c>
      <c r="D10" s="56">
        <v>2763000</v>
      </c>
    </row>
    <row r="11" spans="2:5" x14ac:dyDescent="0.25">
      <c r="B11" t="s">
        <v>238</v>
      </c>
      <c r="D11" s="59">
        <v>6.5000000000000002E-2</v>
      </c>
    </row>
    <row r="12" spans="2:5" x14ac:dyDescent="0.25">
      <c r="B12" t="s">
        <v>239</v>
      </c>
      <c r="D12" s="60">
        <f>D10/(D10+D3)</f>
        <v>0.27813569559089996</v>
      </c>
    </row>
    <row r="13" spans="2:5" x14ac:dyDescent="0.25">
      <c r="B13" t="s">
        <v>240</v>
      </c>
      <c r="D13" s="45">
        <v>0.18</v>
      </c>
    </row>
    <row r="15" spans="2:5" x14ac:dyDescent="0.25">
      <c r="B15" t="s">
        <v>241</v>
      </c>
      <c r="D15" s="57">
        <f>D10+D3</f>
        <v>9934000</v>
      </c>
    </row>
    <row r="17" spans="2:4" x14ac:dyDescent="0.25">
      <c r="B17" s="46" t="s">
        <v>7</v>
      </c>
      <c r="D17" s="61">
        <f>D4*D5+D11*D12*(1-D13)</f>
        <v>8.5819986913629964E-2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F0D0-F4B9-440B-9984-879B30C76FA1}">
  <dimension ref="B4:M41"/>
  <sheetViews>
    <sheetView topLeftCell="A14" workbookViewId="0">
      <selection activeCell="B33" sqref="B33:D33"/>
    </sheetView>
  </sheetViews>
  <sheetFormatPr defaultRowHeight="15" x14ac:dyDescent="0.25"/>
  <sheetData>
    <row r="4" spans="2:13" x14ac:dyDescent="0.25">
      <c r="B4" s="21"/>
    </row>
    <row r="5" spans="2:13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ht="15.75" thickBot="1" x14ac:dyDescent="0.3">
      <c r="B6" s="83"/>
      <c r="C6" s="83"/>
      <c r="D6" s="83"/>
      <c r="E6" s="84" t="s">
        <v>109</v>
      </c>
      <c r="F6" s="84"/>
      <c r="G6" s="84"/>
      <c r="H6" s="84"/>
      <c r="I6" s="84"/>
      <c r="J6" s="84"/>
      <c r="K6" s="84"/>
      <c r="L6" s="84"/>
      <c r="M6" s="84"/>
    </row>
    <row r="7" spans="2:13" ht="15.75" thickBot="1" x14ac:dyDescent="0.3">
      <c r="B7" s="85" t="s">
        <v>11</v>
      </c>
      <c r="C7" s="85"/>
      <c r="D7" s="85"/>
      <c r="E7" s="86">
        <v>2024</v>
      </c>
      <c r="F7" s="86"/>
      <c r="G7" s="86"/>
      <c r="H7" s="86">
        <v>2023</v>
      </c>
      <c r="I7" s="86"/>
      <c r="J7" s="86"/>
      <c r="K7" s="86">
        <v>2022</v>
      </c>
      <c r="L7" s="86"/>
      <c r="M7" s="86"/>
    </row>
    <row r="8" spans="2:13" x14ac:dyDescent="0.25">
      <c r="B8" s="91" t="s">
        <v>114</v>
      </c>
      <c r="C8" s="91"/>
      <c r="D8" s="91"/>
      <c r="E8" s="92"/>
      <c r="F8" s="92"/>
      <c r="G8" s="92"/>
      <c r="H8" s="92"/>
      <c r="I8" s="92"/>
      <c r="J8" s="92"/>
      <c r="K8" s="92"/>
      <c r="L8" s="92"/>
      <c r="M8" s="92"/>
    </row>
    <row r="9" spans="2:13" ht="25.15" customHeight="1" x14ac:dyDescent="0.25">
      <c r="B9" s="93" t="s">
        <v>115</v>
      </c>
      <c r="C9" s="93"/>
      <c r="D9" s="93"/>
      <c r="E9" s="16" t="s">
        <v>16</v>
      </c>
      <c r="F9" s="10" t="s">
        <v>116</v>
      </c>
      <c r="G9" s="23"/>
      <c r="H9" s="16" t="s">
        <v>16</v>
      </c>
      <c r="I9" s="10" t="s">
        <v>117</v>
      </c>
      <c r="J9" s="23"/>
      <c r="K9" s="16" t="s">
        <v>16</v>
      </c>
      <c r="L9" s="10" t="s">
        <v>118</v>
      </c>
      <c r="M9" s="23"/>
    </row>
    <row r="10" spans="2:13" ht="25.15" customHeight="1" thickBot="1" x14ac:dyDescent="0.3">
      <c r="B10" s="89" t="s">
        <v>119</v>
      </c>
      <c r="C10" s="89"/>
      <c r="D10" s="89"/>
      <c r="E10" s="90" t="s">
        <v>120</v>
      </c>
      <c r="F10" s="90"/>
      <c r="G10" s="24"/>
      <c r="H10" s="90" t="s">
        <v>121</v>
      </c>
      <c r="I10" s="90"/>
      <c r="J10" s="24"/>
      <c r="K10" s="90" t="s">
        <v>122</v>
      </c>
      <c r="L10" s="90"/>
      <c r="M10" s="24"/>
    </row>
    <row r="11" spans="2:13" x14ac:dyDescent="0.25">
      <c r="B11" s="87" t="s">
        <v>123</v>
      </c>
      <c r="C11" s="87"/>
      <c r="D11" s="87"/>
      <c r="E11" s="88" t="s">
        <v>124</v>
      </c>
      <c r="F11" s="88"/>
      <c r="G11" s="25"/>
      <c r="H11" s="88" t="s">
        <v>125</v>
      </c>
      <c r="I11" s="88"/>
      <c r="J11" s="25"/>
      <c r="K11" s="88" t="s">
        <v>126</v>
      </c>
      <c r="L11" s="88"/>
      <c r="M11" s="25"/>
    </row>
    <row r="12" spans="2:13" ht="15.75" thickBot="1" x14ac:dyDescent="0.3">
      <c r="B12" s="89" t="s">
        <v>127</v>
      </c>
      <c r="C12" s="89"/>
      <c r="D12" s="89"/>
      <c r="E12" s="90" t="s">
        <v>128</v>
      </c>
      <c r="F12" s="90"/>
      <c r="G12" s="24"/>
      <c r="H12" s="90" t="s">
        <v>129</v>
      </c>
      <c r="I12" s="90"/>
      <c r="J12" s="24"/>
      <c r="K12" s="90" t="s">
        <v>130</v>
      </c>
      <c r="L12" s="90"/>
      <c r="M12" s="24"/>
    </row>
    <row r="13" spans="2:13" x14ac:dyDescent="0.25">
      <c r="B13" s="87" t="s">
        <v>131</v>
      </c>
      <c r="C13" s="87"/>
      <c r="D13" s="87"/>
      <c r="E13" s="88" t="s">
        <v>132</v>
      </c>
      <c r="F13" s="88"/>
      <c r="G13" s="25"/>
      <c r="H13" s="88" t="s">
        <v>133</v>
      </c>
      <c r="I13" s="88"/>
      <c r="J13" s="25"/>
      <c r="K13" s="88" t="s">
        <v>134</v>
      </c>
      <c r="L13" s="88"/>
      <c r="M13" s="25"/>
    </row>
    <row r="14" spans="2:13" ht="37.9" customHeight="1" x14ac:dyDescent="0.25">
      <c r="B14" s="97" t="s">
        <v>135</v>
      </c>
      <c r="C14" s="97"/>
      <c r="D14" s="97"/>
      <c r="E14" s="98"/>
      <c r="F14" s="98"/>
      <c r="G14" s="98"/>
      <c r="H14" s="98"/>
      <c r="I14" s="98"/>
      <c r="J14" s="98"/>
      <c r="K14" s="98"/>
      <c r="L14" s="98"/>
      <c r="M14" s="98"/>
    </row>
    <row r="15" spans="2:13" ht="25.15" customHeight="1" x14ac:dyDescent="0.25">
      <c r="B15" s="93" t="s">
        <v>136</v>
      </c>
      <c r="C15" s="93"/>
      <c r="D15" s="93"/>
      <c r="E15" s="94" t="s">
        <v>137</v>
      </c>
      <c r="F15" s="94"/>
      <c r="G15" s="23"/>
      <c r="H15" s="94" t="s">
        <v>138</v>
      </c>
      <c r="I15" s="94"/>
      <c r="J15" s="23"/>
      <c r="K15" s="94" t="s">
        <v>139</v>
      </c>
      <c r="L15" s="94"/>
      <c r="M15" s="23"/>
    </row>
    <row r="16" spans="2:13" ht="25.15" customHeight="1" x14ac:dyDescent="0.25">
      <c r="B16" s="95" t="s">
        <v>140</v>
      </c>
      <c r="C16" s="95"/>
      <c r="D16" s="95"/>
      <c r="E16" s="96" t="s">
        <v>141</v>
      </c>
      <c r="F16" s="96"/>
      <c r="G16" s="24"/>
      <c r="H16" s="96" t="s">
        <v>142</v>
      </c>
      <c r="I16" s="96"/>
      <c r="J16" s="24"/>
      <c r="K16" s="96" t="s">
        <v>143</v>
      </c>
      <c r="L16" s="96"/>
      <c r="M16" s="24"/>
    </row>
    <row r="17" spans="2:13" ht="15.75" thickBot="1" x14ac:dyDescent="0.3">
      <c r="B17" s="99" t="s">
        <v>144</v>
      </c>
      <c r="C17" s="99"/>
      <c r="D17" s="99"/>
      <c r="E17" s="100" t="s">
        <v>145</v>
      </c>
      <c r="F17" s="100"/>
      <c r="G17" s="23"/>
      <c r="H17" s="100" t="s">
        <v>146</v>
      </c>
      <c r="I17" s="100"/>
      <c r="J17" s="23"/>
      <c r="K17" s="100" t="s">
        <v>147</v>
      </c>
      <c r="L17" s="100"/>
      <c r="M17" s="23"/>
    </row>
    <row r="18" spans="2:13" x14ac:dyDescent="0.25">
      <c r="B18" s="102" t="s">
        <v>148</v>
      </c>
      <c r="C18" s="102"/>
      <c r="D18" s="102"/>
      <c r="E18" s="103" t="s">
        <v>149</v>
      </c>
      <c r="F18" s="103"/>
      <c r="G18" s="26"/>
      <c r="H18" s="103" t="s">
        <v>150</v>
      </c>
      <c r="I18" s="103"/>
      <c r="J18" s="26"/>
      <c r="K18" s="103" t="s">
        <v>151</v>
      </c>
      <c r="L18" s="103"/>
      <c r="M18" s="26"/>
    </row>
    <row r="19" spans="2:13" ht="15.75" thickBot="1" x14ac:dyDescent="0.3">
      <c r="B19" s="99" t="s">
        <v>127</v>
      </c>
      <c r="C19" s="99"/>
      <c r="D19" s="99"/>
      <c r="E19" s="100" t="s">
        <v>152</v>
      </c>
      <c r="F19" s="100"/>
      <c r="G19" s="23"/>
      <c r="H19" s="100" t="s">
        <v>153</v>
      </c>
      <c r="I19" s="100"/>
      <c r="J19" s="23"/>
      <c r="K19" s="101" t="s">
        <v>154</v>
      </c>
      <c r="L19" s="101"/>
      <c r="M19" s="27"/>
    </row>
    <row r="20" spans="2:13" x14ac:dyDescent="0.25">
      <c r="B20" s="102" t="s">
        <v>155</v>
      </c>
      <c r="C20" s="102"/>
      <c r="D20" s="102"/>
      <c r="E20" s="103" t="s">
        <v>156</v>
      </c>
      <c r="F20" s="103"/>
      <c r="G20" s="26"/>
      <c r="H20" s="103" t="s">
        <v>157</v>
      </c>
      <c r="I20" s="103"/>
      <c r="J20" s="26"/>
      <c r="K20" s="103" t="s">
        <v>158</v>
      </c>
      <c r="L20" s="103"/>
      <c r="M20" s="26"/>
    </row>
    <row r="21" spans="2:13" x14ac:dyDescent="0.25">
      <c r="B21" s="106" t="s">
        <v>159</v>
      </c>
      <c r="C21" s="106"/>
      <c r="D21" s="106"/>
      <c r="E21" s="107"/>
      <c r="F21" s="107"/>
      <c r="G21" s="107"/>
      <c r="H21" s="107"/>
      <c r="I21" s="107"/>
      <c r="J21" s="107"/>
      <c r="K21" s="107"/>
      <c r="L21" s="107"/>
      <c r="M21" s="107"/>
    </row>
    <row r="22" spans="2:13" x14ac:dyDescent="0.25">
      <c r="B22" s="95" t="s">
        <v>160</v>
      </c>
      <c r="C22" s="95"/>
      <c r="D22" s="95"/>
      <c r="E22" s="105">
        <v>-276493</v>
      </c>
      <c r="F22" s="105"/>
      <c r="G22" s="24"/>
      <c r="H22" s="105">
        <v>-268501</v>
      </c>
      <c r="I22" s="105"/>
      <c r="J22" s="24"/>
      <c r="K22" s="105">
        <v>-252391</v>
      </c>
      <c r="L22" s="105"/>
      <c r="M22" s="24"/>
    </row>
    <row r="23" spans="2:13" x14ac:dyDescent="0.25">
      <c r="B23" s="93" t="s">
        <v>161</v>
      </c>
      <c r="C23" s="93"/>
      <c r="D23" s="93"/>
      <c r="E23" s="94" t="s">
        <v>162</v>
      </c>
      <c r="F23" s="94"/>
      <c r="G23" s="23"/>
      <c r="H23" s="94" t="s">
        <v>163</v>
      </c>
      <c r="I23" s="94"/>
      <c r="J23" s="23"/>
      <c r="K23" s="94" t="s">
        <v>164</v>
      </c>
      <c r="L23" s="94"/>
      <c r="M23" s="23"/>
    </row>
    <row r="25" spans="2:13" ht="25.15" customHeight="1" x14ac:dyDescent="0.25">
      <c r="B25" s="104" t="s">
        <v>110</v>
      </c>
      <c r="C25" s="104"/>
      <c r="D25" s="104"/>
      <c r="E25" s="105">
        <v>-47957</v>
      </c>
      <c r="F25" s="105"/>
      <c r="G25" s="24"/>
      <c r="H25" s="105">
        <v>-49836</v>
      </c>
      <c r="I25" s="105"/>
      <c r="J25" s="24"/>
      <c r="K25" s="105">
        <v>-20280</v>
      </c>
      <c r="L25" s="105"/>
      <c r="M25" s="24"/>
    </row>
    <row r="26" spans="2:13" ht="25.15" customHeight="1" thickBot="1" x14ac:dyDescent="0.3">
      <c r="B26" s="99" t="s">
        <v>165</v>
      </c>
      <c r="C26" s="99"/>
      <c r="D26" s="99"/>
      <c r="E26" s="109">
        <v>-9633</v>
      </c>
      <c r="F26" s="109"/>
      <c r="G26" s="23"/>
      <c r="H26" s="109">
        <v>-9070</v>
      </c>
      <c r="I26" s="109"/>
      <c r="J26" s="23"/>
      <c r="K26" s="100" t="s">
        <v>166</v>
      </c>
      <c r="L26" s="100"/>
      <c r="M26" s="23"/>
    </row>
    <row r="27" spans="2:13" x14ac:dyDescent="0.25">
      <c r="B27" s="91" t="s">
        <v>167</v>
      </c>
      <c r="C27" s="91"/>
      <c r="D27" s="91"/>
      <c r="E27" s="103" t="s">
        <v>168</v>
      </c>
      <c r="F27" s="103"/>
      <c r="G27" s="26"/>
      <c r="H27" s="103" t="s">
        <v>169</v>
      </c>
      <c r="I27" s="103"/>
      <c r="J27" s="26"/>
      <c r="K27" s="103" t="s">
        <v>170</v>
      </c>
      <c r="L27" s="103"/>
      <c r="M27" s="26"/>
    </row>
    <row r="28" spans="2:13" x14ac:dyDescent="0.25">
      <c r="B28" s="93" t="s">
        <v>171</v>
      </c>
      <c r="C28" s="93"/>
      <c r="D28" s="93"/>
      <c r="E28" s="108">
        <v>-161839</v>
      </c>
      <c r="F28" s="108"/>
      <c r="G28" s="23"/>
      <c r="H28" s="108">
        <v>-153022</v>
      </c>
      <c r="I28" s="108"/>
      <c r="J28" s="23"/>
      <c r="K28" s="108">
        <v>-148183</v>
      </c>
      <c r="L28" s="108"/>
      <c r="M28" s="23"/>
    </row>
    <row r="29" spans="2:13" ht="25.15" customHeight="1" x14ac:dyDescent="0.25">
      <c r="B29" s="95" t="s">
        <v>172</v>
      </c>
      <c r="C29" s="95"/>
      <c r="D29" s="95"/>
      <c r="E29" s="96" t="s">
        <v>173</v>
      </c>
      <c r="F29" s="96"/>
      <c r="G29" s="24"/>
      <c r="H29" s="96" t="s">
        <v>174</v>
      </c>
      <c r="I29" s="96"/>
      <c r="J29" s="24"/>
      <c r="K29" s="96" t="s">
        <v>175</v>
      </c>
      <c r="L29" s="96"/>
      <c r="M29" s="24"/>
    </row>
    <row r="30" spans="2:13" x14ac:dyDescent="0.25">
      <c r="B30" s="93" t="s">
        <v>176</v>
      </c>
      <c r="C30" s="93"/>
      <c r="D30" s="93"/>
      <c r="E30" s="94" t="s">
        <v>177</v>
      </c>
      <c r="F30" s="94"/>
      <c r="G30" s="23"/>
      <c r="H30" s="94" t="s">
        <v>178</v>
      </c>
      <c r="I30" s="94"/>
      <c r="J30" s="23"/>
      <c r="K30" s="94" t="s">
        <v>179</v>
      </c>
      <c r="L30" s="94"/>
      <c r="M30" s="23"/>
    </row>
    <row r="31" spans="2:13" ht="25.15" customHeight="1" thickBot="1" x14ac:dyDescent="0.3">
      <c r="B31" s="111" t="s">
        <v>111</v>
      </c>
      <c r="C31" s="111"/>
      <c r="D31" s="111"/>
      <c r="E31" s="112">
        <v>-4140</v>
      </c>
      <c r="F31" s="112"/>
      <c r="G31" s="24"/>
      <c r="H31" s="112">
        <v>-2907</v>
      </c>
      <c r="I31" s="112"/>
      <c r="J31" s="24"/>
      <c r="K31" s="112">
        <v>-2682</v>
      </c>
      <c r="L31" s="112"/>
      <c r="M31" s="24"/>
    </row>
    <row r="32" spans="2:13" ht="25.15" customHeight="1" x14ac:dyDescent="0.25">
      <c r="B32" s="110" t="s">
        <v>180</v>
      </c>
      <c r="C32" s="110"/>
      <c r="D32" s="110"/>
      <c r="E32" s="88" t="s">
        <v>181</v>
      </c>
      <c r="F32" s="88"/>
      <c r="G32" s="25"/>
      <c r="H32" s="88" t="s">
        <v>182</v>
      </c>
      <c r="I32" s="88"/>
      <c r="J32" s="25"/>
      <c r="K32" s="88" t="s">
        <v>183</v>
      </c>
      <c r="L32" s="88"/>
      <c r="M32" s="25"/>
    </row>
    <row r="33" spans="2:13" ht="15.75" thickBot="1" x14ac:dyDescent="0.3">
      <c r="B33" s="111" t="s">
        <v>112</v>
      </c>
      <c r="C33" s="111"/>
      <c r="D33" s="111"/>
      <c r="E33" s="112">
        <v>-98816</v>
      </c>
      <c r="F33" s="112"/>
      <c r="G33" s="24"/>
      <c r="H33" s="112">
        <v>-88414</v>
      </c>
      <c r="I33" s="112"/>
      <c r="J33" s="24"/>
      <c r="K33" s="112">
        <v>-88824</v>
      </c>
      <c r="L33" s="112"/>
      <c r="M33" s="24"/>
    </row>
    <row r="34" spans="2:13" x14ac:dyDescent="0.25">
      <c r="B34" s="110" t="s">
        <v>184</v>
      </c>
      <c r="C34" s="110"/>
      <c r="D34" s="110"/>
      <c r="E34" s="88" t="s">
        <v>185</v>
      </c>
      <c r="F34" s="88"/>
      <c r="G34" s="25"/>
      <c r="H34" s="88" t="s">
        <v>186</v>
      </c>
      <c r="I34" s="88"/>
      <c r="J34" s="25"/>
      <c r="K34" s="88" t="s">
        <v>187</v>
      </c>
      <c r="L34" s="88"/>
      <c r="M34" s="25"/>
    </row>
    <row r="35" spans="2:13" ht="25.15" customHeight="1" thickBot="1" x14ac:dyDescent="0.3">
      <c r="B35" s="89" t="s">
        <v>188</v>
      </c>
      <c r="C35" s="89"/>
      <c r="D35" s="89"/>
      <c r="E35" s="112">
        <v>-15874</v>
      </c>
      <c r="F35" s="112"/>
      <c r="G35" s="24"/>
      <c r="H35" s="112">
        <v>-16955</v>
      </c>
      <c r="I35" s="112"/>
      <c r="J35" s="24"/>
      <c r="K35" s="112">
        <v>-20414</v>
      </c>
      <c r="L35" s="112"/>
      <c r="M35" s="24"/>
    </row>
    <row r="36" spans="2:13" ht="25.15" customHeight="1" thickBot="1" x14ac:dyDescent="0.3">
      <c r="B36" s="113" t="s">
        <v>189</v>
      </c>
      <c r="C36" s="113"/>
      <c r="D36" s="113"/>
      <c r="E36" s="28" t="s">
        <v>16</v>
      </c>
      <c r="F36" s="11" t="s">
        <v>190</v>
      </c>
      <c r="G36" s="25"/>
      <c r="H36" s="28" t="s">
        <v>16</v>
      </c>
      <c r="I36" s="11" t="s">
        <v>191</v>
      </c>
      <c r="J36" s="25"/>
      <c r="K36" s="28" t="s">
        <v>16</v>
      </c>
      <c r="L36" s="11" t="s">
        <v>192</v>
      </c>
      <c r="M36" s="25"/>
    </row>
    <row r="37" spans="2:13" ht="15.75" thickTop="1" x14ac:dyDescent="0.25">
      <c r="B37" s="114" t="s">
        <v>113</v>
      </c>
      <c r="C37" s="114"/>
      <c r="D37" s="114"/>
      <c r="E37" s="115"/>
      <c r="F37" s="115"/>
      <c r="G37" s="115"/>
      <c r="H37" s="115"/>
      <c r="I37" s="115"/>
      <c r="J37" s="115"/>
      <c r="K37" s="115"/>
      <c r="L37" s="115"/>
      <c r="M37" s="115"/>
    </row>
    <row r="38" spans="2:13" ht="25.15" customHeight="1" x14ac:dyDescent="0.25">
      <c r="B38" s="93" t="s">
        <v>193</v>
      </c>
      <c r="C38" s="93"/>
      <c r="D38" s="93"/>
      <c r="E38" s="16" t="s">
        <v>16</v>
      </c>
      <c r="F38" s="10" t="s">
        <v>194</v>
      </c>
      <c r="G38" s="23"/>
      <c r="H38" s="16" t="s">
        <v>16</v>
      </c>
      <c r="I38" s="10" t="s">
        <v>195</v>
      </c>
      <c r="J38" s="23"/>
      <c r="K38" s="16" t="s">
        <v>16</v>
      </c>
      <c r="L38" s="10" t="s">
        <v>196</v>
      </c>
      <c r="M38" s="23"/>
    </row>
    <row r="39" spans="2:13" ht="25.15" customHeight="1" x14ac:dyDescent="0.25">
      <c r="B39" s="95" t="s">
        <v>197</v>
      </c>
      <c r="C39" s="95"/>
      <c r="D39" s="95"/>
      <c r="E39" s="6" t="s">
        <v>16</v>
      </c>
      <c r="F39" s="8" t="s">
        <v>198</v>
      </c>
      <c r="G39" s="24"/>
      <c r="H39" s="6" t="s">
        <v>16</v>
      </c>
      <c r="I39" s="8" t="s">
        <v>199</v>
      </c>
      <c r="J39" s="24"/>
      <c r="K39" s="6" t="s">
        <v>16</v>
      </c>
      <c r="L39" s="8" t="s">
        <v>200</v>
      </c>
      <c r="M39" s="24"/>
    </row>
    <row r="40" spans="2:13" ht="15.75" thickBot="1" x14ac:dyDescent="0.3">
      <c r="B40" s="99" t="s">
        <v>201</v>
      </c>
      <c r="C40" s="99"/>
      <c r="D40" s="99"/>
      <c r="E40" s="29" t="s">
        <v>16</v>
      </c>
      <c r="F40" s="20" t="s">
        <v>202</v>
      </c>
      <c r="G40" s="30"/>
      <c r="H40" s="29" t="s">
        <v>16</v>
      </c>
      <c r="I40" s="20" t="s">
        <v>203</v>
      </c>
      <c r="J40" s="30"/>
      <c r="K40" s="29" t="s">
        <v>16</v>
      </c>
      <c r="L40" s="20" t="s">
        <v>204</v>
      </c>
      <c r="M40" s="30"/>
    </row>
    <row r="41" spans="2:13" x14ac:dyDescent="0.25">
      <c r="B41" s="31"/>
    </row>
  </sheetData>
  <mergeCells count="119">
    <mergeCell ref="B39:D39"/>
    <mergeCell ref="B40:D40"/>
    <mergeCell ref="B36:D36"/>
    <mergeCell ref="B37:D37"/>
    <mergeCell ref="E37:G37"/>
    <mergeCell ref="H37:J37"/>
    <mergeCell ref="K37:M37"/>
    <mergeCell ref="B38:D38"/>
    <mergeCell ref="B34:D34"/>
    <mergeCell ref="E34:F34"/>
    <mergeCell ref="H34:I34"/>
    <mergeCell ref="K34:L34"/>
    <mergeCell ref="B35:D35"/>
    <mergeCell ref="E35:F35"/>
    <mergeCell ref="H35:I35"/>
    <mergeCell ref="K35:L35"/>
    <mergeCell ref="B32:D32"/>
    <mergeCell ref="E32:F32"/>
    <mergeCell ref="H32:I32"/>
    <mergeCell ref="K32:L32"/>
    <mergeCell ref="B33:D33"/>
    <mergeCell ref="E33:F33"/>
    <mergeCell ref="H33:I33"/>
    <mergeCell ref="K33:L33"/>
    <mergeCell ref="B30:D30"/>
    <mergeCell ref="E30:F30"/>
    <mergeCell ref="H30:I30"/>
    <mergeCell ref="K30:L30"/>
    <mergeCell ref="B31:D31"/>
    <mergeCell ref="E31:F31"/>
    <mergeCell ref="H31:I31"/>
    <mergeCell ref="K31:L31"/>
    <mergeCell ref="B28:D28"/>
    <mergeCell ref="E28:F28"/>
    <mergeCell ref="H28:I28"/>
    <mergeCell ref="K28:L28"/>
    <mergeCell ref="B29:D29"/>
    <mergeCell ref="E29:F29"/>
    <mergeCell ref="H29:I29"/>
    <mergeCell ref="K29:L29"/>
    <mergeCell ref="B26:D26"/>
    <mergeCell ref="E26:F26"/>
    <mergeCell ref="H26:I26"/>
    <mergeCell ref="K26:L26"/>
    <mergeCell ref="B27:D27"/>
    <mergeCell ref="E27:F27"/>
    <mergeCell ref="H27:I27"/>
    <mergeCell ref="K27:L27"/>
    <mergeCell ref="B23:D23"/>
    <mergeCell ref="E23:F23"/>
    <mergeCell ref="H23:I23"/>
    <mergeCell ref="K23:L23"/>
    <mergeCell ref="B25:D25"/>
    <mergeCell ref="E25:F25"/>
    <mergeCell ref="H25:I25"/>
    <mergeCell ref="K25:L25"/>
    <mergeCell ref="B21:D21"/>
    <mergeCell ref="E21:G21"/>
    <mergeCell ref="H21:J21"/>
    <mergeCell ref="K21:M21"/>
    <mergeCell ref="B22:D22"/>
    <mergeCell ref="E22:F22"/>
    <mergeCell ref="H22:I22"/>
    <mergeCell ref="K22:L22"/>
    <mergeCell ref="B19:D19"/>
    <mergeCell ref="E19:F19"/>
    <mergeCell ref="H19:I19"/>
    <mergeCell ref="K19:L19"/>
    <mergeCell ref="B20:D20"/>
    <mergeCell ref="E20:F20"/>
    <mergeCell ref="H20:I20"/>
    <mergeCell ref="K20:L20"/>
    <mergeCell ref="B17:D17"/>
    <mergeCell ref="E17:F17"/>
    <mergeCell ref="H17:I17"/>
    <mergeCell ref="K17:L17"/>
    <mergeCell ref="B18:D18"/>
    <mergeCell ref="E18:F18"/>
    <mergeCell ref="H18:I18"/>
    <mergeCell ref="K18:L18"/>
    <mergeCell ref="B15:D15"/>
    <mergeCell ref="E15:F15"/>
    <mergeCell ref="H15:I15"/>
    <mergeCell ref="K15:L15"/>
    <mergeCell ref="B16:D16"/>
    <mergeCell ref="E16:F16"/>
    <mergeCell ref="H16:I16"/>
    <mergeCell ref="K16:L16"/>
    <mergeCell ref="B13:D13"/>
    <mergeCell ref="E13:F13"/>
    <mergeCell ref="H13:I13"/>
    <mergeCell ref="K13:L13"/>
    <mergeCell ref="B14:D14"/>
    <mergeCell ref="E14:G14"/>
    <mergeCell ref="H14:J14"/>
    <mergeCell ref="K14:M14"/>
    <mergeCell ref="B12:D12"/>
    <mergeCell ref="E12:F12"/>
    <mergeCell ref="H12:I12"/>
    <mergeCell ref="K12:L12"/>
    <mergeCell ref="B8:D8"/>
    <mergeCell ref="E8:G8"/>
    <mergeCell ref="H8:J8"/>
    <mergeCell ref="K8:M8"/>
    <mergeCell ref="B9:D9"/>
    <mergeCell ref="B10:D10"/>
    <mergeCell ref="E10:F10"/>
    <mergeCell ref="H10:I10"/>
    <mergeCell ref="K10:L10"/>
    <mergeCell ref="B6:D6"/>
    <mergeCell ref="E6:M6"/>
    <mergeCell ref="B7:D7"/>
    <mergeCell ref="E7:G7"/>
    <mergeCell ref="H7:J7"/>
    <mergeCell ref="K7:M7"/>
    <mergeCell ref="B11:D11"/>
    <mergeCell ref="E11:F11"/>
    <mergeCell ref="H11:I11"/>
    <mergeCell ref="K11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CF64-8A46-4104-96BD-3AFA513ED66B}">
  <dimension ref="B2:J44"/>
  <sheetViews>
    <sheetView workbookViewId="0">
      <selection activeCell="C2" sqref="C2"/>
    </sheetView>
  </sheetViews>
  <sheetFormatPr defaultRowHeight="15" x14ac:dyDescent="0.25"/>
  <sheetData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ht="15.75" thickBot="1" x14ac:dyDescent="0.3">
      <c r="B3" s="119" t="s">
        <v>11</v>
      </c>
      <c r="C3" s="119"/>
      <c r="D3" s="119"/>
      <c r="E3" s="84" t="s">
        <v>12</v>
      </c>
      <c r="F3" s="84"/>
      <c r="G3" s="84"/>
      <c r="H3" s="84"/>
      <c r="I3" s="84"/>
      <c r="J3" s="84"/>
    </row>
    <row r="4" spans="2:10" ht="15.75" thickBot="1" x14ac:dyDescent="0.3">
      <c r="B4" s="85" t="s">
        <v>11</v>
      </c>
      <c r="C4" s="85"/>
      <c r="D4" s="85"/>
      <c r="E4" s="86">
        <v>2024</v>
      </c>
      <c r="F4" s="86"/>
      <c r="G4" s="86"/>
      <c r="H4" s="86">
        <v>2023</v>
      </c>
      <c r="I4" s="86"/>
      <c r="J4" s="86"/>
    </row>
    <row r="5" spans="2:10" x14ac:dyDescent="0.25">
      <c r="B5" s="120" t="s">
        <v>13</v>
      </c>
      <c r="C5" s="120"/>
      <c r="D5" s="120"/>
      <c r="E5" s="121"/>
      <c r="F5" s="121"/>
      <c r="G5" s="121"/>
      <c r="H5" s="121"/>
      <c r="I5" s="121"/>
      <c r="J5" s="121"/>
    </row>
    <row r="6" spans="2:10" x14ac:dyDescent="0.25">
      <c r="B6" s="106" t="s">
        <v>14</v>
      </c>
      <c r="C6" s="106"/>
      <c r="D6" s="106"/>
      <c r="E6" s="116"/>
      <c r="F6" s="116"/>
      <c r="G6" s="116"/>
      <c r="H6" s="116"/>
      <c r="I6" s="116"/>
      <c r="J6" s="116"/>
    </row>
    <row r="7" spans="2:10" x14ac:dyDescent="0.25">
      <c r="B7" s="117" t="s">
        <v>15</v>
      </c>
      <c r="C7" s="117"/>
      <c r="D7" s="117"/>
      <c r="E7" s="6" t="s">
        <v>16</v>
      </c>
      <c r="F7" s="8" t="s">
        <v>17</v>
      </c>
      <c r="G7" s="7"/>
      <c r="H7" s="6" t="s">
        <v>16</v>
      </c>
      <c r="I7" s="8" t="s">
        <v>18</v>
      </c>
      <c r="J7" s="7"/>
    </row>
    <row r="8" spans="2:10" x14ac:dyDescent="0.25">
      <c r="B8" s="118" t="s">
        <v>19</v>
      </c>
      <c r="C8" s="118"/>
      <c r="D8" s="118"/>
      <c r="E8" s="94" t="s">
        <v>20</v>
      </c>
      <c r="F8" s="94"/>
      <c r="G8" s="9"/>
      <c r="H8" s="94" t="s">
        <v>21</v>
      </c>
      <c r="I8" s="94"/>
      <c r="J8" s="9"/>
    </row>
    <row r="9" spans="2:10" x14ac:dyDescent="0.25">
      <c r="B9" s="117" t="s">
        <v>22</v>
      </c>
      <c r="C9" s="117"/>
      <c r="D9" s="117"/>
      <c r="E9" s="96" t="s">
        <v>23</v>
      </c>
      <c r="F9" s="96"/>
      <c r="G9" s="7"/>
      <c r="H9" s="96" t="s">
        <v>24</v>
      </c>
      <c r="I9" s="96"/>
      <c r="J9" s="7"/>
    </row>
    <row r="10" spans="2:10" x14ac:dyDescent="0.25">
      <c r="B10" s="118" t="s">
        <v>25</v>
      </c>
      <c r="C10" s="118"/>
      <c r="D10" s="118"/>
      <c r="E10" s="94" t="s">
        <v>26</v>
      </c>
      <c r="F10" s="94"/>
      <c r="G10" s="9"/>
      <c r="H10" s="94" t="s">
        <v>27</v>
      </c>
      <c r="I10" s="94"/>
      <c r="J10" s="9"/>
    </row>
    <row r="11" spans="2:10" ht="15.75" thickBot="1" x14ac:dyDescent="0.3">
      <c r="B11" s="122" t="s">
        <v>28</v>
      </c>
      <c r="C11" s="122"/>
      <c r="D11" s="122"/>
      <c r="E11" s="90" t="s">
        <v>29</v>
      </c>
      <c r="F11" s="90"/>
      <c r="G11" s="7"/>
      <c r="H11" s="90" t="s">
        <v>30</v>
      </c>
      <c r="I11" s="90"/>
      <c r="J11" s="7"/>
    </row>
    <row r="12" spans="2:10" x14ac:dyDescent="0.25">
      <c r="B12" s="87" t="s">
        <v>31</v>
      </c>
      <c r="C12" s="87"/>
      <c r="D12" s="87"/>
      <c r="E12" s="88" t="s">
        <v>32</v>
      </c>
      <c r="F12" s="88"/>
      <c r="G12" s="12"/>
      <c r="H12" s="88" t="s">
        <v>33</v>
      </c>
      <c r="I12" s="88"/>
      <c r="J12" s="12"/>
    </row>
    <row r="13" spans="2:10" ht="25.15" customHeight="1" x14ac:dyDescent="0.25">
      <c r="B13" s="123" t="s">
        <v>34</v>
      </c>
      <c r="C13" s="123"/>
      <c r="D13" s="123"/>
      <c r="E13" s="96" t="s">
        <v>35</v>
      </c>
      <c r="F13" s="96"/>
      <c r="G13" s="7"/>
      <c r="H13" s="96" t="s">
        <v>36</v>
      </c>
      <c r="I13" s="96"/>
      <c r="J13" s="7"/>
    </row>
    <row r="14" spans="2:10" x14ac:dyDescent="0.25">
      <c r="B14" s="106" t="s">
        <v>37</v>
      </c>
      <c r="C14" s="106"/>
      <c r="D14" s="106"/>
      <c r="E14" s="94" t="s">
        <v>38</v>
      </c>
      <c r="F14" s="94"/>
      <c r="G14" s="9"/>
      <c r="H14" s="94" t="s">
        <v>39</v>
      </c>
      <c r="I14" s="94"/>
      <c r="J14" s="9"/>
    </row>
    <row r="15" spans="2:10" x14ac:dyDescent="0.25">
      <c r="B15" s="123" t="s">
        <v>40</v>
      </c>
      <c r="C15" s="123"/>
      <c r="D15" s="123"/>
      <c r="E15" s="96" t="s">
        <v>41</v>
      </c>
      <c r="F15" s="96"/>
      <c r="G15" s="7"/>
      <c r="H15" s="96" t="s">
        <v>42</v>
      </c>
      <c r="I15" s="96"/>
      <c r="J15" s="7"/>
    </row>
    <row r="16" spans="2:10" x14ac:dyDescent="0.25">
      <c r="B16" s="124" t="s">
        <v>43</v>
      </c>
      <c r="C16" s="124"/>
      <c r="D16" s="124"/>
      <c r="E16" s="94" t="s">
        <v>44</v>
      </c>
      <c r="F16" s="94"/>
      <c r="G16" s="9"/>
      <c r="H16" s="94" t="s">
        <v>45</v>
      </c>
      <c r="I16" s="94"/>
      <c r="J16" s="9"/>
    </row>
    <row r="17" spans="2:10" x14ac:dyDescent="0.25">
      <c r="B17" s="123" t="s">
        <v>46</v>
      </c>
      <c r="C17" s="123"/>
      <c r="D17" s="123"/>
      <c r="E17" s="96" t="s">
        <v>47</v>
      </c>
      <c r="F17" s="96"/>
      <c r="G17" s="7"/>
      <c r="H17" s="96" t="s">
        <v>48</v>
      </c>
      <c r="I17" s="96"/>
      <c r="J17" s="7"/>
    </row>
    <row r="18" spans="2:10" ht="15.75" thickBot="1" x14ac:dyDescent="0.3">
      <c r="B18" s="129" t="s">
        <v>49</v>
      </c>
      <c r="C18" s="129"/>
      <c r="D18" s="129"/>
      <c r="E18" s="100" t="s">
        <v>50</v>
      </c>
      <c r="F18" s="100"/>
      <c r="G18" s="9"/>
      <c r="H18" s="100" t="s">
        <v>51</v>
      </c>
      <c r="I18" s="100"/>
      <c r="J18" s="9"/>
    </row>
    <row r="19" spans="2:10" ht="15.75" thickBot="1" x14ac:dyDescent="0.3">
      <c r="B19" s="125" t="s">
        <v>52</v>
      </c>
      <c r="C19" s="125"/>
      <c r="D19" s="125"/>
      <c r="E19" s="13" t="s">
        <v>16</v>
      </c>
      <c r="F19" s="15" t="s">
        <v>53</v>
      </c>
      <c r="G19" s="14"/>
      <c r="H19" s="13" t="s">
        <v>16</v>
      </c>
      <c r="I19" s="15" t="s">
        <v>54</v>
      </c>
      <c r="J19" s="14"/>
    </row>
    <row r="20" spans="2:10" ht="24.6" customHeight="1" thickTop="1" x14ac:dyDescent="0.25">
      <c r="B20" s="126" t="s">
        <v>55</v>
      </c>
      <c r="C20" s="126"/>
      <c r="D20" s="126"/>
      <c r="E20" s="127"/>
      <c r="F20" s="127"/>
      <c r="G20" s="127"/>
      <c r="H20" s="127"/>
      <c r="I20" s="127"/>
      <c r="J20" s="127"/>
    </row>
    <row r="21" spans="2:10" x14ac:dyDescent="0.25">
      <c r="B21" s="97" t="s">
        <v>56</v>
      </c>
      <c r="C21" s="97"/>
      <c r="D21" s="97"/>
      <c r="E21" s="128"/>
      <c r="F21" s="128"/>
      <c r="G21" s="128"/>
      <c r="H21" s="128"/>
      <c r="I21" s="128"/>
      <c r="J21" s="128"/>
    </row>
    <row r="22" spans="2:10" ht="25.15" customHeight="1" x14ac:dyDescent="0.25">
      <c r="B22" s="130" t="s">
        <v>57</v>
      </c>
      <c r="C22" s="130"/>
      <c r="D22" s="130"/>
      <c r="E22" s="16" t="s">
        <v>16</v>
      </c>
      <c r="F22" s="10" t="s">
        <v>58</v>
      </c>
      <c r="G22" s="9"/>
      <c r="H22" s="16" t="s">
        <v>16</v>
      </c>
      <c r="I22" s="10" t="s">
        <v>59</v>
      </c>
      <c r="J22" s="9"/>
    </row>
    <row r="23" spans="2:10" x14ac:dyDescent="0.25">
      <c r="B23" s="117" t="s">
        <v>60</v>
      </c>
      <c r="C23" s="117"/>
      <c r="D23" s="117"/>
      <c r="E23" s="96" t="s">
        <v>61</v>
      </c>
      <c r="F23" s="96"/>
      <c r="G23" s="7"/>
      <c r="H23" s="96" t="s">
        <v>62</v>
      </c>
      <c r="I23" s="96"/>
      <c r="J23" s="7"/>
    </row>
    <row r="24" spans="2:10" ht="25.15" customHeight="1" thickBot="1" x14ac:dyDescent="0.3">
      <c r="B24" s="131" t="s">
        <v>63</v>
      </c>
      <c r="C24" s="131"/>
      <c r="D24" s="131"/>
      <c r="E24" s="100" t="s">
        <v>64</v>
      </c>
      <c r="F24" s="100"/>
      <c r="G24" s="9"/>
      <c r="H24" s="100" t="s">
        <v>65</v>
      </c>
      <c r="I24" s="100"/>
      <c r="J24" s="9"/>
    </row>
    <row r="25" spans="2:10" x14ac:dyDescent="0.25">
      <c r="B25" s="102" t="s">
        <v>66</v>
      </c>
      <c r="C25" s="102"/>
      <c r="D25" s="102"/>
      <c r="E25" s="103" t="s">
        <v>67</v>
      </c>
      <c r="F25" s="103"/>
      <c r="G25" s="14"/>
      <c r="H25" s="103" t="s">
        <v>68</v>
      </c>
      <c r="I25" s="103"/>
      <c r="J25" s="14"/>
    </row>
    <row r="26" spans="2:10" x14ac:dyDescent="0.25">
      <c r="B26" s="124" t="s">
        <v>69</v>
      </c>
      <c r="C26" s="124"/>
      <c r="D26" s="124"/>
      <c r="E26" s="94" t="s">
        <v>70</v>
      </c>
      <c r="F26" s="94"/>
      <c r="G26" s="9"/>
      <c r="H26" s="94" t="s">
        <v>71</v>
      </c>
      <c r="I26" s="94"/>
      <c r="J26" s="9"/>
    </row>
    <row r="27" spans="2:10" x14ac:dyDescent="0.25">
      <c r="B27" s="123" t="s">
        <v>72</v>
      </c>
      <c r="C27" s="123"/>
      <c r="D27" s="123"/>
      <c r="E27" s="96" t="s">
        <v>73</v>
      </c>
      <c r="F27" s="96"/>
      <c r="G27" s="7"/>
      <c r="H27" s="96" t="s">
        <v>74</v>
      </c>
      <c r="I27" s="96"/>
      <c r="J27" s="7"/>
    </row>
    <row r="28" spans="2:10" x14ac:dyDescent="0.25">
      <c r="B28" s="106" t="s">
        <v>75</v>
      </c>
      <c r="C28" s="106"/>
      <c r="D28" s="106"/>
      <c r="E28" s="94" t="s">
        <v>76</v>
      </c>
      <c r="F28" s="94"/>
      <c r="G28" s="9"/>
      <c r="H28" s="94" t="s">
        <v>77</v>
      </c>
      <c r="I28" s="94"/>
      <c r="J28" s="9"/>
    </row>
    <row r="29" spans="2:10" ht="15.75" thickBot="1" x14ac:dyDescent="0.3">
      <c r="B29" s="132" t="s">
        <v>78</v>
      </c>
      <c r="C29" s="132"/>
      <c r="D29" s="132"/>
      <c r="E29" s="90" t="s">
        <v>79</v>
      </c>
      <c r="F29" s="90"/>
      <c r="G29" s="7"/>
      <c r="H29" s="90" t="s">
        <v>80</v>
      </c>
      <c r="I29" s="90"/>
      <c r="J29" s="7"/>
    </row>
    <row r="30" spans="2:10" x14ac:dyDescent="0.25">
      <c r="B30" s="87" t="s">
        <v>81</v>
      </c>
      <c r="C30" s="87"/>
      <c r="D30" s="87"/>
      <c r="E30" s="88" t="s">
        <v>82</v>
      </c>
      <c r="F30" s="88"/>
      <c r="G30" s="12"/>
      <c r="H30" s="88" t="s">
        <v>83</v>
      </c>
      <c r="I30" s="88"/>
      <c r="J30" s="12"/>
    </row>
    <row r="31" spans="2:10" ht="25.15" customHeight="1" x14ac:dyDescent="0.25">
      <c r="B31" s="123" t="s">
        <v>84</v>
      </c>
      <c r="C31" s="123"/>
      <c r="D31" s="123"/>
      <c r="E31" s="128"/>
      <c r="F31" s="128"/>
      <c r="G31" s="128"/>
      <c r="H31" s="128"/>
      <c r="I31" s="128"/>
      <c r="J31" s="128"/>
    </row>
    <row r="32" spans="2:10" x14ac:dyDescent="0.25">
      <c r="B32" s="106" t="s">
        <v>85</v>
      </c>
      <c r="C32" s="106"/>
      <c r="D32" s="106"/>
      <c r="E32" s="116"/>
      <c r="F32" s="116"/>
      <c r="G32" s="116"/>
      <c r="H32" s="116"/>
      <c r="I32" s="116"/>
      <c r="J32" s="116"/>
    </row>
    <row r="33" spans="2:10" ht="37.9" customHeight="1" x14ac:dyDescent="0.25">
      <c r="B33" s="133" t="s">
        <v>86</v>
      </c>
      <c r="C33" s="133"/>
      <c r="D33" s="133"/>
      <c r="E33" s="96" t="s">
        <v>87</v>
      </c>
      <c r="F33" s="96"/>
      <c r="G33" s="7"/>
      <c r="H33" s="96" t="s">
        <v>87</v>
      </c>
      <c r="I33" s="96"/>
      <c r="J33" s="7"/>
    </row>
    <row r="34" spans="2:10" ht="50.45" customHeight="1" x14ac:dyDescent="0.25">
      <c r="B34" s="130" t="s">
        <v>88</v>
      </c>
      <c r="C34" s="130"/>
      <c r="D34" s="130"/>
      <c r="E34" s="94" t="s">
        <v>89</v>
      </c>
      <c r="F34" s="94"/>
      <c r="G34" s="9"/>
      <c r="H34" s="94" t="s">
        <v>90</v>
      </c>
      <c r="I34" s="94"/>
      <c r="J34" s="9"/>
    </row>
    <row r="36" spans="2:10" x14ac:dyDescent="0.25">
      <c r="B36" s="117" t="s">
        <v>91</v>
      </c>
      <c r="C36" s="117"/>
      <c r="D36" s="117"/>
      <c r="E36" s="96" t="s">
        <v>92</v>
      </c>
      <c r="F36" s="96"/>
      <c r="G36" s="7"/>
      <c r="H36" s="96" t="s">
        <v>93</v>
      </c>
      <c r="I36" s="96"/>
      <c r="J36" s="7"/>
    </row>
    <row r="37" spans="2:10" ht="25.15" customHeight="1" x14ac:dyDescent="0.25">
      <c r="B37" s="118" t="s">
        <v>94</v>
      </c>
      <c r="C37" s="118"/>
      <c r="D37" s="118"/>
      <c r="E37" s="108">
        <v>-67288</v>
      </c>
      <c r="F37" s="108"/>
      <c r="G37" s="9"/>
      <c r="H37" s="108">
        <v>-10358</v>
      </c>
      <c r="I37" s="108"/>
      <c r="J37" s="9"/>
    </row>
    <row r="38" spans="2:10" x14ac:dyDescent="0.25">
      <c r="B38" s="117" t="s">
        <v>95</v>
      </c>
      <c r="C38" s="117"/>
      <c r="D38" s="117"/>
      <c r="E38" s="96" t="s">
        <v>96</v>
      </c>
      <c r="F38" s="96"/>
      <c r="G38" s="7"/>
      <c r="H38" s="96" t="s">
        <v>97</v>
      </c>
      <c r="I38" s="96"/>
      <c r="J38" s="7"/>
    </row>
    <row r="39" spans="2:10" ht="25.15" customHeight="1" thickBot="1" x14ac:dyDescent="0.3">
      <c r="B39" s="131" t="s">
        <v>98</v>
      </c>
      <c r="C39" s="131"/>
      <c r="D39" s="131"/>
      <c r="E39" s="109">
        <v>-1135685</v>
      </c>
      <c r="F39" s="109"/>
      <c r="G39" s="9"/>
      <c r="H39" s="109">
        <v>-984306</v>
      </c>
      <c r="I39" s="109"/>
      <c r="J39" s="9"/>
    </row>
    <row r="40" spans="2:10" ht="25.15" customHeight="1" x14ac:dyDescent="0.25">
      <c r="B40" s="137" t="s">
        <v>99</v>
      </c>
      <c r="C40" s="137"/>
      <c r="D40" s="137"/>
      <c r="E40" s="103" t="s">
        <v>100</v>
      </c>
      <c r="F40" s="103"/>
      <c r="G40" s="14"/>
      <c r="H40" s="103" t="s">
        <v>101</v>
      </c>
      <c r="I40" s="103"/>
      <c r="J40" s="14"/>
    </row>
    <row r="41" spans="2:10" ht="15.75" thickBot="1" x14ac:dyDescent="0.3">
      <c r="B41" s="138" t="s">
        <v>102</v>
      </c>
      <c r="C41" s="138"/>
      <c r="D41" s="138"/>
      <c r="E41" s="100" t="s">
        <v>103</v>
      </c>
      <c r="F41" s="100"/>
      <c r="G41" s="9"/>
      <c r="H41" s="100" t="s">
        <v>104</v>
      </c>
      <c r="I41" s="100"/>
      <c r="J41" s="9"/>
    </row>
    <row r="42" spans="2:10" ht="15.75" thickBot="1" x14ac:dyDescent="0.3">
      <c r="B42" s="134" t="s">
        <v>105</v>
      </c>
      <c r="C42" s="134"/>
      <c r="D42" s="134"/>
      <c r="E42" s="135" t="s">
        <v>106</v>
      </c>
      <c r="F42" s="135"/>
      <c r="G42" s="14"/>
      <c r="H42" s="135" t="s">
        <v>107</v>
      </c>
      <c r="I42" s="135"/>
      <c r="J42" s="14"/>
    </row>
    <row r="43" spans="2:10" ht="25.15" customHeight="1" thickBot="1" x14ac:dyDescent="0.35">
      <c r="B43" s="136" t="s">
        <v>108</v>
      </c>
      <c r="C43" s="136"/>
      <c r="D43" s="136"/>
      <c r="E43" s="17" t="s">
        <v>16</v>
      </c>
      <c r="F43" s="18" t="s">
        <v>53</v>
      </c>
      <c r="G43" s="19"/>
      <c r="H43" s="17" t="s">
        <v>16</v>
      </c>
      <c r="I43" s="18" t="s">
        <v>54</v>
      </c>
    </row>
    <row r="44" spans="2:10" ht="15.75" thickTop="1" x14ac:dyDescent="0.25"/>
  </sheetData>
  <mergeCells count="111">
    <mergeCell ref="B42:D42"/>
    <mergeCell ref="E42:F42"/>
    <mergeCell ref="H42:I42"/>
    <mergeCell ref="B43:D43"/>
    <mergeCell ref="B40:D40"/>
    <mergeCell ref="E40:F40"/>
    <mergeCell ref="H40:I40"/>
    <mergeCell ref="B41:D41"/>
    <mergeCell ref="E41:F41"/>
    <mergeCell ref="H41:I41"/>
    <mergeCell ref="B38:D38"/>
    <mergeCell ref="E38:F38"/>
    <mergeCell ref="H38:I38"/>
    <mergeCell ref="B39:D39"/>
    <mergeCell ref="E39:F39"/>
    <mergeCell ref="H39:I39"/>
    <mergeCell ref="B36:D36"/>
    <mergeCell ref="E36:F36"/>
    <mergeCell ref="H36:I36"/>
    <mergeCell ref="B37:D37"/>
    <mergeCell ref="E37:F37"/>
    <mergeCell ref="H37:I37"/>
    <mergeCell ref="B33:D33"/>
    <mergeCell ref="E33:F33"/>
    <mergeCell ref="H33:I33"/>
    <mergeCell ref="B34:D34"/>
    <mergeCell ref="E34:F34"/>
    <mergeCell ref="H34:I34"/>
    <mergeCell ref="B31:D31"/>
    <mergeCell ref="E31:G31"/>
    <mergeCell ref="H31:J31"/>
    <mergeCell ref="B32:D32"/>
    <mergeCell ref="E32:G32"/>
    <mergeCell ref="H32:J32"/>
    <mergeCell ref="B29:D29"/>
    <mergeCell ref="E29:F29"/>
    <mergeCell ref="H29:I29"/>
    <mergeCell ref="B30:D30"/>
    <mergeCell ref="E30:F30"/>
    <mergeCell ref="H30:I30"/>
    <mergeCell ref="B27:D27"/>
    <mergeCell ref="E27:F27"/>
    <mergeCell ref="H27:I27"/>
    <mergeCell ref="B28:D28"/>
    <mergeCell ref="E28:F28"/>
    <mergeCell ref="H28:I28"/>
    <mergeCell ref="B25:D25"/>
    <mergeCell ref="E25:F25"/>
    <mergeCell ref="H25:I25"/>
    <mergeCell ref="B26:D26"/>
    <mergeCell ref="E26:F26"/>
    <mergeCell ref="H26:I26"/>
    <mergeCell ref="B22:D22"/>
    <mergeCell ref="B23:D23"/>
    <mergeCell ref="E23:F23"/>
    <mergeCell ref="H23:I23"/>
    <mergeCell ref="B24:D24"/>
    <mergeCell ref="E24:F24"/>
    <mergeCell ref="H24:I24"/>
    <mergeCell ref="B19:D19"/>
    <mergeCell ref="B20:D20"/>
    <mergeCell ref="E20:G20"/>
    <mergeCell ref="H20:J20"/>
    <mergeCell ref="B21:D21"/>
    <mergeCell ref="E21:G21"/>
    <mergeCell ref="H21:J21"/>
    <mergeCell ref="B17:D17"/>
    <mergeCell ref="E17:F17"/>
    <mergeCell ref="H17:I17"/>
    <mergeCell ref="B18:D18"/>
    <mergeCell ref="E18:F18"/>
    <mergeCell ref="H18:I18"/>
    <mergeCell ref="B15:D15"/>
    <mergeCell ref="E15:F15"/>
    <mergeCell ref="H15:I15"/>
    <mergeCell ref="B16:D16"/>
    <mergeCell ref="E16:F16"/>
    <mergeCell ref="H16:I16"/>
    <mergeCell ref="B13:D13"/>
    <mergeCell ref="E13:F13"/>
    <mergeCell ref="H13:I13"/>
    <mergeCell ref="B14:D14"/>
    <mergeCell ref="E14:F14"/>
    <mergeCell ref="H14:I14"/>
    <mergeCell ref="B11:D11"/>
    <mergeCell ref="E11:F11"/>
    <mergeCell ref="H11:I11"/>
    <mergeCell ref="B12:D12"/>
    <mergeCell ref="E12:F12"/>
    <mergeCell ref="H12:I12"/>
    <mergeCell ref="B9:D9"/>
    <mergeCell ref="E9:F9"/>
    <mergeCell ref="H9:I9"/>
    <mergeCell ref="B10:D10"/>
    <mergeCell ref="E10:F10"/>
    <mergeCell ref="H10:I10"/>
    <mergeCell ref="B6:D6"/>
    <mergeCell ref="E6:G6"/>
    <mergeCell ref="H6:J6"/>
    <mergeCell ref="B7:D7"/>
    <mergeCell ref="B8:D8"/>
    <mergeCell ref="E8:F8"/>
    <mergeCell ref="H8:I8"/>
    <mergeCell ref="B3:D3"/>
    <mergeCell ref="E3:J3"/>
    <mergeCell ref="B4:D4"/>
    <mergeCell ref="E4:G4"/>
    <mergeCell ref="H4:J4"/>
    <mergeCell ref="B5:D5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</vt:lpstr>
      <vt:lpstr>WACC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Schantz, Hudson</dc:creator>
  <cp:lastModifiedBy>Schantz, Hudson</cp:lastModifiedBy>
  <dcterms:created xsi:type="dcterms:W3CDTF">2024-12-24T21:56:12Z</dcterms:created>
  <dcterms:modified xsi:type="dcterms:W3CDTF">2025-01-31T15:39:17Z</dcterms:modified>
</cp:coreProperties>
</file>