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anagingLogisticsFLows\7th edition\Instructors manual - 7th edition\Final IM\Chap 15 - Cases, Discussion Questions, Examples &amp; Exercises\Cases\"/>
    </mc:Choice>
  </mc:AlternateContent>
  <bookViews>
    <workbookView xWindow="0" yWindow="90" windowWidth="15360" windowHeight="7550"/>
  </bookViews>
  <sheets>
    <sheet name="Copyright" sheetId="9" r:id="rId1"/>
    <sheet name="Model" sheetId="2" r:id="rId2"/>
    <sheet name="Transportation Costs" sheetId="5" r:id="rId3"/>
    <sheet name="Labor &amp; Exchange Rate Exhibit" sheetId="7" r:id="rId4"/>
    <sheet name="CNY Regression" sheetId="8" r:id="rId5"/>
  </sheets>
  <calcPr calcId="162913"/>
</workbook>
</file>

<file path=xl/calcChain.xml><?xml version="1.0" encoding="utf-8"?>
<calcChain xmlns="http://schemas.openxmlformats.org/spreadsheetml/2006/main">
  <c r="E17" i="2" l="1"/>
  <c r="C35" i="7"/>
  <c r="C29" i="2" s="1"/>
  <c r="D36" i="7"/>
  <c r="D35" i="7"/>
  <c r="C28" i="2" s="1"/>
  <c r="D17" i="2"/>
  <c r="D16" i="2"/>
  <c r="D7" i="2" l="1"/>
  <c r="D9" i="2"/>
  <c r="I18" i="7"/>
  <c r="I17" i="7"/>
  <c r="I16" i="7"/>
  <c r="I15" i="7"/>
  <c r="J14" i="7"/>
  <c r="D15" i="7" s="1"/>
  <c r="I14" i="7"/>
  <c r="J13" i="7"/>
  <c r="I13" i="7"/>
  <c r="J12" i="7"/>
  <c r="I12" i="7"/>
  <c r="J11" i="7"/>
  <c r="I11" i="7"/>
  <c r="J10" i="7"/>
  <c r="I10" i="7"/>
  <c r="G15" i="7" l="1"/>
  <c r="G13" i="7"/>
  <c r="F11" i="7"/>
  <c r="F15" i="7"/>
  <c r="F9" i="7"/>
  <c r="F13" i="7"/>
  <c r="G10" i="7"/>
  <c r="F12" i="7"/>
  <c r="F16" i="7"/>
  <c r="G12" i="7"/>
  <c r="F10" i="7"/>
  <c r="F14" i="7"/>
  <c r="F18" i="7"/>
  <c r="G11" i="7"/>
  <c r="G9" i="7"/>
  <c r="F17" i="7"/>
  <c r="G14" i="7"/>
  <c r="I19" i="7"/>
  <c r="C33" i="2" s="1"/>
  <c r="J15" i="7"/>
  <c r="D16" i="7" s="1"/>
  <c r="E49" i="2" l="1"/>
  <c r="E43" i="2"/>
  <c r="E55" i="2"/>
  <c r="E67" i="2"/>
  <c r="E61" i="2"/>
  <c r="J16" i="7"/>
  <c r="D17" i="7" s="1"/>
  <c r="G17" i="7" s="1"/>
  <c r="G16" i="7"/>
  <c r="I20" i="7"/>
  <c r="E22" i="5"/>
  <c r="F22" i="5" s="1"/>
  <c r="J17" i="7" l="1"/>
  <c r="D18" i="7" s="1"/>
  <c r="J18" i="7" l="1"/>
  <c r="G18" i="7"/>
  <c r="J19" i="7"/>
  <c r="C32" i="2" s="1"/>
  <c r="D67" i="2" l="1"/>
  <c r="D55" i="2"/>
  <c r="D61" i="2"/>
  <c r="D43" i="2"/>
  <c r="D49" i="2"/>
  <c r="J20" i="7"/>
  <c r="C67" i="2" l="1"/>
  <c r="C18" i="5"/>
  <c r="C17" i="5"/>
  <c r="C16" i="5"/>
  <c r="D25" i="5"/>
  <c r="E24" i="5"/>
  <c r="G24" i="5" s="1"/>
  <c r="E23" i="5"/>
  <c r="G23" i="5" s="1"/>
  <c r="C40" i="2"/>
  <c r="D39" i="2"/>
  <c r="E39" i="2" s="1"/>
  <c r="E38" i="2"/>
  <c r="D38" i="2"/>
  <c r="C32" i="5" l="1"/>
  <c r="C33" i="5" s="1"/>
  <c r="E37" i="5" s="1"/>
  <c r="E38" i="5" s="1"/>
  <c r="D24" i="2"/>
  <c r="C55" i="2"/>
  <c r="E25" i="5"/>
  <c r="C66" i="2"/>
  <c r="G22" i="5"/>
  <c r="G25" i="5" s="1"/>
  <c r="F23" i="5"/>
  <c r="F24" i="5"/>
  <c r="C43" i="2"/>
  <c r="C49" i="2"/>
  <c r="C61" i="2"/>
  <c r="D40" i="2"/>
  <c r="E40" i="2"/>
  <c r="E63" i="2" l="1"/>
  <c r="E45" i="2"/>
  <c r="E42" i="2"/>
  <c r="D48" i="2"/>
  <c r="E60" i="2"/>
  <c r="E54" i="2"/>
  <c r="E48" i="2"/>
  <c r="D66" i="2"/>
  <c r="D60" i="2"/>
  <c r="D42" i="2"/>
  <c r="E57" i="2"/>
  <c r="E51" i="2"/>
  <c r="D54" i="2"/>
  <c r="E69" i="2"/>
  <c r="E66" i="2"/>
  <c r="E44" i="2"/>
  <c r="E56" i="2"/>
  <c r="E68" i="2"/>
  <c r="G26" i="5"/>
  <c r="E16" i="2" s="1"/>
  <c r="D37" i="5"/>
  <c r="D38" i="5" s="1"/>
  <c r="E50" i="2"/>
  <c r="E62" i="2"/>
  <c r="C48" i="2"/>
  <c r="C60" i="2"/>
  <c r="C42" i="2"/>
  <c r="C54" i="2"/>
  <c r="F25" i="5"/>
  <c r="D50" i="2" l="1"/>
  <c r="E46" i="2"/>
  <c r="E58" i="2"/>
  <c r="E52" i="2"/>
  <c r="F26" i="5"/>
  <c r="E15" i="2" s="1"/>
  <c r="C37" i="5"/>
  <c r="C38" i="5" s="1"/>
  <c r="D68" i="2"/>
  <c r="D62" i="2"/>
  <c r="D56" i="2" l="1"/>
  <c r="D44" i="2"/>
  <c r="E64" i="2"/>
  <c r="C50" i="2"/>
  <c r="C52" i="2" s="1"/>
  <c r="C68" i="2"/>
  <c r="C62" i="2"/>
  <c r="C64" i="2" s="1"/>
  <c r="C44" i="2"/>
  <c r="C56" i="2"/>
  <c r="C58" i="2" s="1"/>
  <c r="C46" i="2" l="1"/>
  <c r="C72" i="2" s="1"/>
  <c r="E70" i="2"/>
  <c r="E72" i="2" s="1"/>
  <c r="D46" i="2"/>
  <c r="C70" i="2"/>
  <c r="C73" i="2" l="1"/>
  <c r="C77" i="2"/>
  <c r="E73" i="2"/>
  <c r="E77" i="2"/>
  <c r="D52" i="2"/>
  <c r="E78" i="2" l="1"/>
  <c r="D58" i="2"/>
  <c r="D64" i="2" l="1"/>
  <c r="D70" i="2" l="1"/>
  <c r="D77" i="2" s="1"/>
  <c r="D72" i="2" l="1"/>
  <c r="D73" i="2"/>
  <c r="D78" i="2"/>
</calcChain>
</file>

<file path=xl/comments1.xml><?xml version="1.0" encoding="utf-8"?>
<comments xmlns="http://schemas.openxmlformats.org/spreadsheetml/2006/main">
  <authors>
    <author>Sunil Chopra</author>
  </authors>
  <commentList>
    <comment ref="D4" authorId="0" shapeId="0">
      <text>
        <r>
          <rPr>
            <b/>
            <sz val="9"/>
            <color indexed="81"/>
            <rFont val="Tahoma"/>
            <family val="2"/>
          </rPr>
          <t>Sunil Chopra:</t>
        </r>
        <r>
          <rPr>
            <sz val="9"/>
            <color indexed="81"/>
            <rFont val="Tahoma"/>
            <family val="2"/>
          </rPr>
          <t xml:space="preserve">
Exhibit 2</t>
        </r>
      </text>
    </comment>
    <comment ref="D6" authorId="0" shapeId="0">
      <text>
        <r>
          <rPr>
            <b/>
            <sz val="9"/>
            <color indexed="81"/>
            <rFont val="Tahoma"/>
            <family val="2"/>
          </rPr>
          <t>Sunil Chopra:</t>
        </r>
        <r>
          <rPr>
            <sz val="9"/>
            <color indexed="81"/>
            <rFont val="Tahoma"/>
            <family val="2"/>
          </rPr>
          <t xml:space="preserve">
Exhibit 2</t>
        </r>
      </text>
    </comment>
    <comment ref="D9" authorId="0" shapeId="0">
      <text>
        <r>
          <rPr>
            <b/>
            <sz val="9"/>
            <color indexed="81"/>
            <rFont val="Tahoma"/>
            <family val="2"/>
          </rPr>
          <t>Sunil Chopra:</t>
        </r>
        <r>
          <rPr>
            <sz val="9"/>
            <color indexed="81"/>
            <rFont val="Tahoma"/>
            <family val="2"/>
          </rPr>
          <t xml:space="preserve">
Page 4, line 7</t>
        </r>
      </text>
    </comment>
    <comment ref="D10" authorId="0" shapeId="0">
      <text>
        <r>
          <rPr>
            <b/>
            <sz val="9"/>
            <color indexed="81"/>
            <rFont val="Tahoma"/>
            <family val="2"/>
          </rPr>
          <t>Sunil Chopra:</t>
        </r>
        <r>
          <rPr>
            <sz val="9"/>
            <color indexed="81"/>
            <rFont val="Tahoma"/>
            <family val="2"/>
          </rPr>
          <t xml:space="preserve">
Page 4, line 6</t>
        </r>
      </text>
    </comment>
    <comment ref="D15" authorId="0" shapeId="0">
      <text>
        <r>
          <rPr>
            <b/>
            <sz val="9"/>
            <color indexed="81"/>
            <rFont val="Tahoma"/>
            <family val="2"/>
          </rPr>
          <t>Sunil Chopra:</t>
        </r>
        <r>
          <rPr>
            <sz val="9"/>
            <color indexed="81"/>
            <rFont val="Tahoma"/>
            <family val="2"/>
          </rPr>
          <t xml:space="preserve">
Exhibit 3</t>
        </r>
      </text>
    </comment>
    <comment ref="D16" authorId="0" shapeId="0">
      <text>
        <r>
          <rPr>
            <b/>
            <sz val="9"/>
            <color indexed="81"/>
            <rFont val="Tahoma"/>
            <family val="2"/>
          </rPr>
          <t>Sunil Chopra:</t>
        </r>
        <r>
          <rPr>
            <sz val="9"/>
            <color indexed="81"/>
            <rFont val="Tahoma"/>
            <family val="2"/>
          </rPr>
          <t xml:space="preserve">
Exhibit 3</t>
        </r>
      </text>
    </comment>
    <comment ref="D17" authorId="0" shapeId="0">
      <text>
        <r>
          <rPr>
            <b/>
            <sz val="9"/>
            <color indexed="81"/>
            <rFont val="Tahoma"/>
            <family val="2"/>
          </rPr>
          <t>Sunil Chopra:</t>
        </r>
        <r>
          <rPr>
            <sz val="9"/>
            <color indexed="81"/>
            <rFont val="Tahoma"/>
            <family val="2"/>
          </rPr>
          <t xml:space="preserve">
Exhibit 3</t>
        </r>
      </text>
    </comment>
    <comment ref="D21" authorId="0" shapeId="0">
      <text>
        <r>
          <rPr>
            <b/>
            <sz val="9"/>
            <color indexed="81"/>
            <rFont val="Tahoma"/>
            <family val="2"/>
          </rPr>
          <t>Sunil Chopra:</t>
        </r>
        <r>
          <rPr>
            <sz val="9"/>
            <color indexed="81"/>
            <rFont val="Tahoma"/>
            <family val="2"/>
          </rPr>
          <t xml:space="preserve">
Page 5, line 4</t>
        </r>
      </text>
    </comment>
    <comment ref="D22" authorId="0" shapeId="0">
      <text>
        <r>
          <rPr>
            <b/>
            <sz val="9"/>
            <color indexed="81"/>
            <rFont val="Tahoma"/>
            <family val="2"/>
          </rPr>
          <t>Sunil Chopra:</t>
        </r>
        <r>
          <rPr>
            <sz val="9"/>
            <color indexed="81"/>
            <rFont val="Tahoma"/>
            <family val="2"/>
          </rPr>
          <t xml:space="preserve">
Page 4, line 18</t>
        </r>
      </text>
    </comment>
    <comment ref="B27" authorId="0" shapeId="0">
      <text>
        <r>
          <rPr>
            <b/>
            <sz val="9"/>
            <color indexed="81"/>
            <rFont val="Tahoma"/>
            <family val="2"/>
          </rPr>
          <t>Sunil Chopra:</t>
        </r>
        <r>
          <rPr>
            <sz val="9"/>
            <color indexed="81"/>
            <rFont val="Tahoma"/>
            <family val="2"/>
          </rPr>
          <t xml:space="preserve">
From Labor &amp; Exchange Rate Exhibit</t>
        </r>
      </text>
    </comment>
    <comment ref="C28" authorId="0" shapeId="0">
      <text>
        <r>
          <rPr>
            <b/>
            <sz val="9"/>
            <color indexed="81"/>
            <rFont val="Tahoma"/>
            <family val="2"/>
          </rPr>
          <t>Sunil Chopra:</t>
        </r>
        <r>
          <rPr>
            <sz val="9"/>
            <color indexed="81"/>
            <rFont val="Tahoma"/>
            <family val="2"/>
          </rPr>
          <t xml:space="preserve">
Obtained as the average of Peso exchange rates between 2005 and 2010</t>
        </r>
      </text>
    </comment>
    <comment ref="C29" authorId="0" shapeId="0">
      <text>
        <r>
          <rPr>
            <b/>
            <sz val="9"/>
            <color indexed="81"/>
            <rFont val="Tahoma"/>
            <family val="2"/>
          </rPr>
          <t>Sunil Chopra:</t>
        </r>
        <r>
          <rPr>
            <sz val="9"/>
            <color indexed="81"/>
            <rFont val="Tahoma"/>
            <family val="2"/>
          </rPr>
          <t xml:space="preserve">
Obtained as the regression exchange rate (for 2010) from 2005 to 2010 data on Yuan values</t>
        </r>
      </text>
    </comment>
    <comment ref="B31" authorId="0" shapeId="0">
      <text>
        <r>
          <rPr>
            <b/>
            <sz val="9"/>
            <color indexed="81"/>
            <rFont val="Tahoma"/>
            <family val="2"/>
          </rPr>
          <t>Sunil Chopra:</t>
        </r>
        <r>
          <rPr>
            <sz val="9"/>
            <color indexed="81"/>
            <rFont val="Tahoma"/>
            <family val="2"/>
          </rPr>
          <t xml:space="preserve">
From Labor &amp; Exchange Rate Exhibit</t>
        </r>
      </text>
    </comment>
    <comment ref="C32" authorId="0" shapeId="0">
      <text>
        <r>
          <rPr>
            <b/>
            <sz val="9"/>
            <color indexed="81"/>
            <rFont val="Tahoma"/>
            <family val="2"/>
          </rPr>
          <t>Sunil Chopra:</t>
        </r>
        <r>
          <rPr>
            <sz val="9"/>
            <color indexed="81"/>
            <rFont val="Tahoma"/>
            <family val="2"/>
          </rPr>
          <t xml:space="preserve">
Average wage growth from 2000-08</t>
        </r>
      </text>
    </comment>
    <comment ref="C33" authorId="0" shapeId="0">
      <text>
        <r>
          <rPr>
            <b/>
            <sz val="9"/>
            <color indexed="81"/>
            <rFont val="Tahoma"/>
            <family val="2"/>
          </rPr>
          <t>Sunil Chopra:</t>
        </r>
        <r>
          <rPr>
            <sz val="9"/>
            <color indexed="81"/>
            <rFont val="Tahoma"/>
            <family val="2"/>
          </rPr>
          <t xml:space="preserve">
Average wage growth in China from 2000-08</t>
        </r>
      </text>
    </comment>
  </commentList>
</comments>
</file>

<file path=xl/comments2.xml><?xml version="1.0" encoding="utf-8"?>
<comments xmlns="http://schemas.openxmlformats.org/spreadsheetml/2006/main">
  <authors>
    <author>Sunil Chopra</author>
  </authors>
  <commentList>
    <comment ref="C3" authorId="0" shapeId="0">
      <text>
        <r>
          <rPr>
            <b/>
            <sz val="9"/>
            <color indexed="81"/>
            <rFont val="Tahoma"/>
            <family val="2"/>
          </rPr>
          <t>Sunil Chopra:</t>
        </r>
        <r>
          <rPr>
            <sz val="9"/>
            <color indexed="81"/>
            <rFont val="Tahoma"/>
            <family val="2"/>
          </rPr>
          <t xml:space="preserve">
Exhibit 3</t>
        </r>
      </text>
    </comment>
    <comment ref="C4" authorId="0" shapeId="0">
      <text>
        <r>
          <rPr>
            <b/>
            <sz val="9"/>
            <color indexed="81"/>
            <rFont val="Tahoma"/>
            <family val="2"/>
          </rPr>
          <t>Sunil Chopra:</t>
        </r>
        <r>
          <rPr>
            <sz val="9"/>
            <color indexed="81"/>
            <rFont val="Tahoma"/>
            <family val="2"/>
          </rPr>
          <t xml:space="preserve">
Exhibit 3</t>
        </r>
      </text>
    </comment>
    <comment ref="B6" authorId="0" shapeId="0">
      <text>
        <r>
          <rPr>
            <b/>
            <sz val="9"/>
            <color indexed="81"/>
            <rFont val="Tahoma"/>
            <family val="2"/>
          </rPr>
          <t>Sunil Chopra:</t>
        </r>
        <r>
          <rPr>
            <sz val="9"/>
            <color indexed="81"/>
            <rFont val="Tahoma"/>
            <family val="2"/>
          </rPr>
          <t xml:space="preserve">
Exhibit 3</t>
        </r>
      </text>
    </comment>
    <comment ref="B10" authorId="0" shapeId="0">
      <text>
        <r>
          <rPr>
            <b/>
            <sz val="9"/>
            <color indexed="81"/>
            <rFont val="Tahoma"/>
            <family val="2"/>
          </rPr>
          <t>Sunil Chopra:</t>
        </r>
        <r>
          <rPr>
            <sz val="9"/>
            <color indexed="81"/>
            <rFont val="Tahoma"/>
            <family val="2"/>
          </rPr>
          <t xml:space="preserve">
Exhibit 3</t>
        </r>
      </text>
    </comment>
    <comment ref="B15" authorId="0" shapeId="0">
      <text>
        <r>
          <rPr>
            <b/>
            <sz val="9"/>
            <color indexed="81"/>
            <rFont val="Tahoma"/>
            <family val="2"/>
          </rPr>
          <t>Sunil Chopra:</t>
        </r>
        <r>
          <rPr>
            <sz val="9"/>
            <color indexed="81"/>
            <rFont val="Tahoma"/>
            <family val="2"/>
          </rPr>
          <t xml:space="preserve">
Exhibit 4</t>
        </r>
      </text>
    </comment>
    <comment ref="B28" authorId="0" shapeId="0">
      <text>
        <r>
          <rPr>
            <b/>
            <sz val="9"/>
            <color indexed="81"/>
            <rFont val="Tahoma"/>
            <family val="2"/>
          </rPr>
          <t>Sunil Chopra:</t>
        </r>
        <r>
          <rPr>
            <sz val="9"/>
            <color indexed="81"/>
            <rFont val="Tahoma"/>
            <family val="2"/>
          </rPr>
          <t xml:space="preserve">
Exhibit 3</t>
        </r>
      </text>
    </comment>
  </commentList>
</comments>
</file>

<file path=xl/comments3.xml><?xml version="1.0" encoding="utf-8"?>
<comments xmlns="http://schemas.openxmlformats.org/spreadsheetml/2006/main">
  <authors>
    <author>Sunil Chopra</author>
  </authors>
  <commentList>
    <comment ref="C35" authorId="0" shapeId="0">
      <text>
        <r>
          <rPr>
            <b/>
            <sz val="9"/>
            <color indexed="81"/>
            <rFont val="Tahoma"/>
            <family val="2"/>
          </rPr>
          <t>Sunil Chopra:</t>
        </r>
        <r>
          <rPr>
            <sz val="9"/>
            <color indexed="81"/>
            <rFont val="Tahoma"/>
            <family val="2"/>
          </rPr>
          <t xml:space="preserve">
Chinese exchange rate seems to display a strengthening trend (see CNY Regression sheet)</t>
        </r>
      </text>
    </comment>
    <comment ref="D35" authorId="0" shapeId="0">
      <text>
        <r>
          <rPr>
            <b/>
            <sz val="9"/>
            <color indexed="81"/>
            <rFont val="Tahoma"/>
            <family val="2"/>
          </rPr>
          <t>Sunil Chopra:</t>
        </r>
        <r>
          <rPr>
            <sz val="9"/>
            <color indexed="81"/>
            <rFont val="Tahoma"/>
            <family val="2"/>
          </rPr>
          <t xml:space="preserve">
Mexican exchange rate seems to display more of a random fluctuation</t>
        </r>
      </text>
    </comment>
  </commentList>
</comments>
</file>

<file path=xl/sharedStrings.xml><?xml version="1.0" encoding="utf-8"?>
<sst xmlns="http://schemas.openxmlformats.org/spreadsheetml/2006/main" count="178" uniqueCount="121">
  <si>
    <t>$/hour</t>
  </si>
  <si>
    <t>Transportation cost</t>
  </si>
  <si>
    <t>Avg hours per year</t>
  </si>
  <si>
    <t>$/worker</t>
  </si>
  <si>
    <t>$/unit</t>
  </si>
  <si>
    <t>workers</t>
  </si>
  <si>
    <t>Capital investment</t>
  </si>
  <si>
    <t>$</t>
  </si>
  <si>
    <t>hours/year</t>
  </si>
  <si>
    <t>Production cost</t>
  </si>
  <si>
    <t>Tariffs</t>
  </si>
  <si>
    <t>Severance</t>
  </si>
  <si>
    <t>Labor cost</t>
  </si>
  <si>
    <t>units/year</t>
  </si>
  <si>
    <t>Yuan</t>
  </si>
  <si>
    <t>Pesos</t>
  </si>
  <si>
    <t>Roseau</t>
  </si>
  <si>
    <t>Monterrey</t>
  </si>
  <si>
    <t>China</t>
  </si>
  <si>
    <t>Tacoma, WA</t>
  </si>
  <si>
    <t>Los Angeles</t>
  </si>
  <si>
    <t>Irving, TX</t>
  </si>
  <si>
    <t>Cost per Unit</t>
  </si>
  <si>
    <t>Los Angeles, CA</t>
  </si>
  <si>
    <t>Mexico</t>
  </si>
  <si>
    <t>Side-by-Side units per truck</t>
  </si>
  <si>
    <t>Side-by-Sides Markets</t>
  </si>
  <si>
    <t>DC</t>
  </si>
  <si>
    <t>Units Demanded</t>
  </si>
  <si>
    <t>Roseau Total Transport Cost</t>
  </si>
  <si>
    <t>Cost per unit</t>
  </si>
  <si>
    <t>Side-by-Side units per container</t>
  </si>
  <si>
    <t>Total Transportation Costs from China</t>
  </si>
  <si>
    <t>Total Transportation Cost Comparison</t>
  </si>
  <si>
    <t># of working months per year</t>
  </si>
  <si>
    <t>International Labor Costs</t>
  </si>
  <si>
    <t>Expected Exchange Rates</t>
  </si>
  <si>
    <t>Year</t>
  </si>
  <si>
    <t>Results</t>
  </si>
  <si>
    <t>Peso</t>
  </si>
  <si>
    <t>Cost per unit ($)</t>
  </si>
  <si>
    <t>International Labor Costs (Monthly Wages)</t>
  </si>
  <si>
    <t>ASSUMPTIONS</t>
  </si>
  <si>
    <t>#</t>
  </si>
  <si>
    <t>Labor Assumptions Used by Polaris</t>
  </si>
  <si>
    <t>Operating Metrics</t>
  </si>
  <si>
    <t>Production Cost</t>
  </si>
  <si>
    <t>Transportation Cost</t>
  </si>
  <si>
    <t>Tariffs (imports from China)</t>
  </si>
  <si>
    <t>CNY/USD</t>
  </si>
  <si>
    <t>MXN/USD</t>
  </si>
  <si>
    <t>MXN/unit</t>
  </si>
  <si>
    <t>CNY/unit</t>
  </si>
  <si>
    <t>Road Transportation Costs (from U.S. or Mexico)</t>
  </si>
  <si>
    <t>Cost per truck per mile</t>
  </si>
  <si>
    <t>Mean</t>
  </si>
  <si>
    <t>SD</t>
  </si>
  <si>
    <t>Mean (from 2005 on)</t>
  </si>
  <si>
    <t>SD (from 2005 on)</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</si>
  <si>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</si>
  <si>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</si>
  <si>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</si>
  <si>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</si>
  <si>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</si>
  <si>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</si>
  <si>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</si>
  <si>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</si>
  <si>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</si>
  <si>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</si>
  <si>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</si>
  <si>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</si>
  <si>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</si>
  <si>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</si>
  <si>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</si>
  <si>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</si>
  <si>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</si>
  <si>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</si>
  <si>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</si>
  <si>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</si>
  <si>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</si>
  <si>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</si>
  <si>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</si>
  <si>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</si>
  <si>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Pesos/$</t>
  </si>
  <si>
    <t>Yuan/$</t>
  </si>
  <si>
    <t>Annual Cost Year 2</t>
  </si>
  <si>
    <t>Projected Annual Wage Growth</t>
  </si>
  <si>
    <t>Monthly Wage Rate</t>
  </si>
  <si>
    <t>Hourly Wage Rate</t>
  </si>
  <si>
    <t>Annual Cost Year 3</t>
  </si>
  <si>
    <t>Annual Cost Year 4</t>
  </si>
  <si>
    <t>Yearly expense Year 5</t>
  </si>
  <si>
    <t>Discount rate</t>
  </si>
  <si>
    <t>Multiplier</t>
  </si>
  <si>
    <t xml:space="preserve">Transport cost / total cost </t>
  </si>
  <si>
    <t>Labor cost / total cost</t>
  </si>
  <si>
    <t>U.S. employee severance cost</t>
  </si>
  <si>
    <t># of U.S. employees laid off</t>
  </si>
  <si>
    <t># of foreign employees hired</t>
  </si>
  <si>
    <t>Production Cost Currency</t>
  </si>
  <si>
    <t>Transport Cost Multiplier</t>
  </si>
  <si>
    <t>United States</t>
  </si>
  <si>
    <t>Annual demand for Side-by-side</t>
  </si>
  <si>
    <t>ANALYSIS SUMMARY (in US$). We assume that Year 1 starts in 2011.</t>
  </si>
  <si>
    <t>One-time expense in Year 0</t>
  </si>
  <si>
    <t>Annual Cost Year 1</t>
  </si>
  <si>
    <t>Net present cost (US$)</t>
  </si>
  <si>
    <t>Savings vs. United States</t>
  </si>
  <si>
    <t>U.S. hourly wage</t>
  </si>
  <si>
    <t>Monterrey Total Transport Cost</t>
  </si>
  <si>
    <t>Trucks Needed for Transportation</t>
  </si>
  <si>
    <t>Total units demand in United States</t>
  </si>
  <si>
    <t>Total costs</t>
  </si>
  <si>
    <t>Total cost</t>
  </si>
  <si>
    <t>Wage Growth Rate</t>
  </si>
  <si>
    <t>Exchange Rate History</t>
  </si>
  <si>
    <t>Miles Traveled from Source of Production to DC</t>
  </si>
  <si>
    <t>Demand in Each DC</t>
  </si>
  <si>
    <t>Unit Sold</t>
  </si>
  <si>
    <t>There seems to be pretty strong evidence that the Chinese yuan has been strengthening since 2005.</t>
  </si>
  <si>
    <t>SUMMARY OUTPUT (CNY vs. USD exchange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</si>
</sst>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43" formatCode="_(* #,##0.00_);_(* \(#,##0.00\);_(* &quot;-&quot;??_);_(@_)"/>
    <numFmt numFmtId="164" formatCode="0.0"/>
    <numFmt numFmtId="165" formatCode="#,##0;\(#,##0\);\-"/>
    <numFmt numFmtId="166" formatCode="0.0%"/>
    <numFmt numFmtId="167" formatCode="_(&quot;$&quot;* #,##0_);_(&quot;$&quot;* \(#,##0\);_(&quot;$&quot;* &quot;-&quot;??_);_(@_)"/>
  </numFmts>
  <fonts count="18" x14ac:knownFonts="1">
    <font>
      <sz val="11"/>
      <color theme="1"/>
      <name val="Calibri"/>
      <family val="2"/>
      <scheme val="minor"/>
    </font>
    <font>
      <sz val="10"/>
      <color theme="1"/>
      <name val="Arial"/>
      <family val="2"/>
    </font>
    <font>
      <b/>
      <sz val="10"/>
      <color theme="1"/>
      <name val="Arial"/>
      <family val="2"/>
    </font>
    <font>
      <b/>
      <sz val="11"/>
      <color theme="1"/>
      <name val="Calibri"/>
      <family val="2"/>
      <scheme val="minor"/>
    </font>
    <font>
      <b/>
      <sz val="11"/>
      <name val="Calibri"/>
      <family val="2"/>
      <scheme val="minor"/>
    </font>
    <font>
      <sz val="11"/>
      <name val="Calibri"/>
      <family val="2"/>
      <scheme val="minor"/>
    </font>
    <font>
      <b/>
      <u/>
      <sz val="11"/>
      <name val="Calibri"/>
      <family val="2"/>
      <scheme val="minor"/>
    </font>
    <font>
      <b/>
      <u/>
      <sz val="11"/>
      <color theme="1"/>
      <name val="Calibri"/>
      <family val="2"/>
      <scheme val="minor"/>
    </font>
    <font>
      <sz val="11"/>
      <color indexed="12"/>
      <name val="Calibri"/>
      <family val="2"/>
      <scheme val="minor"/>
    </font>
    <font>
      <i/>
      <sz val="10"/>
      <color theme="1"/>
      <name val="Arial"/>
      <family val="2"/>
    </font>
    <font>
      <sz val="11"/>
      <color theme="1"/>
      <name val="Calibri"/>
      <family val="2"/>
      <scheme val="minor"/>
    </font>
    <font>
      <b/>
      <u/>
      <sz val="10"/>
      <color theme="1"/>
      <name val="Arial"/>
      <family val="2"/>
    </font>
    <font>
      <i/>
      <sz val="11"/>
      <color theme="1"/>
      <name val="Calibri"/>
      <family val="2"/>
      <scheme val="minor"/>
    </font>
    <font>
      <sz val="8"/>
      <color rgb="FF000000"/>
      <name val="Arial"/>
      <family val="2"/>
    </font>
    <font>
      <sz val="11"/>
      <color rgb="FF000000"/>
      <name val="Arial"/>
      <family val="2"/>
    </font>
    <font>
      <sz val="9"/>
      <color indexed="81"/>
      <name val="Tahoma"/>
      <family val="2"/>
    </font>
    <font>
      <b/>
      <sz val="9"/>
      <color indexed="81"/>
      <name val="Tahoma"/>
      <family val="2"/>
    </font>
    <font>
      <b/>
      <i/>
      <sz val="10"/>
      <color theme="1"/>
      <name val="Arial"/>
      <family val="2"/>
    </font>
  </fonts>
  <fills count="3">
    <fill>
      <patternFill patternType="none"/>
    </fill>
    <fill>
      <patternFill patternType="gray125"/>
    </fill>
    <fill>
      <patternFill patternType="solid">
        <fgColor theme="3" tint="0.79998168889431442"/>
        <bgColor indexed="64"/>
      </patternFill>
    </fill>
  </fills>
  <borders count="3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43" fontId="10" fillId="0" borderId="0" applyFont="0" applyFill="0" applyBorder="0" applyAlignment="0" applyProtection="0"/>
    <xf numFmtId="9" fontId="10" fillId="0" borderId="0" applyFont="0" applyFill="0" applyBorder="0" applyAlignment="0" applyProtection="0"/>
    <xf numFmtId="44" fontId="10" fillId="0" borderId="0" applyFont="0" applyFill="0" applyBorder="0" applyAlignment="0" applyProtection="0"/>
  </cellStyleXfs>
  <cellXfs count="142">
    <xf numFmtId="0" fontId="0" fillId="0" borderId="0" xfId="0"/>
    <xf numFmtId="0" fontId="1" fillId="0" borderId="0" xfId="0" applyFont="1"/>
    <xf numFmtId="0" fontId="2" fillId="0" borderId="0" xfId="0" applyFont="1"/>
    <xf numFmtId="3" fontId="1" fillId="0" borderId="0" xfId="0" applyNumberFormat="1" applyFont="1"/>
    <xf numFmtId="164" fontId="0" fillId="0" borderId="0" xfId="0" applyNumberFormat="1"/>
    <xf numFmtId="0" fontId="3" fillId="0" borderId="0" xfId="0" applyFont="1"/>
    <xf numFmtId="3" fontId="2" fillId="0" borderId="0" xfId="0" applyNumberFormat="1" applyFont="1"/>
    <xf numFmtId="0" fontId="0" fillId="0" borderId="0" xfId="0" applyFont="1"/>
    <xf numFmtId="0" fontId="4" fillId="0" borderId="1" xfId="0" applyFont="1" applyBorder="1"/>
    <xf numFmtId="0" fontId="0" fillId="0" borderId="2" xfId="0" applyFont="1" applyBorder="1"/>
    <xf numFmtId="0" fontId="0" fillId="0" borderId="3" xfId="0" applyFont="1" applyBorder="1"/>
    <xf numFmtId="0" fontId="7" fillId="0" borderId="0" xfId="0" applyFont="1" applyBorder="1"/>
    <xf numFmtId="0" fontId="0" fillId="0" borderId="0" xfId="0" applyFont="1" applyBorder="1"/>
    <xf numFmtId="0" fontId="0" fillId="0" borderId="4" xfId="0" applyFont="1" applyBorder="1"/>
    <xf numFmtId="165" fontId="0" fillId="0" borderId="0" xfId="0" applyNumberFormat="1" applyFont="1" applyBorder="1"/>
    <xf numFmtId="0" fontId="0" fillId="0" borderId="5" xfId="0" applyFont="1" applyBorder="1"/>
    <xf numFmtId="37" fontId="0" fillId="0" borderId="0" xfId="0" applyNumberFormat="1" applyFont="1" applyBorder="1"/>
    <xf numFmtId="165" fontId="0" fillId="0" borderId="2" xfId="0" applyNumberFormat="1" applyFont="1" applyBorder="1"/>
    <xf numFmtId="0" fontId="0" fillId="0" borderId="6" xfId="0" applyFont="1" applyBorder="1"/>
    <xf numFmtId="37" fontId="8" fillId="0" borderId="0" xfId="0" applyNumberFormat="1" applyFont="1" applyBorder="1"/>
    <xf numFmtId="37" fontId="8" fillId="0" borderId="6" xfId="0" applyNumberFormat="1" applyFont="1" applyBorder="1"/>
    <xf numFmtId="0" fontId="9" fillId="0" borderId="0" xfId="0" applyFont="1" applyAlignment="1">
      <alignment horizontal="center"/>
    </xf>
    <xf numFmtId="165" fontId="0" fillId="0" borderId="6" xfId="0" applyNumberFormat="1" applyFont="1" applyBorder="1"/>
    <xf numFmtId="0" fontId="0" fillId="0" borderId="0" xfId="0" applyBorder="1"/>
    <xf numFmtId="0" fontId="0" fillId="0" borderId="7" xfId="0" applyFont="1" applyBorder="1"/>
    <xf numFmtId="37" fontId="0" fillId="0" borderId="6" xfId="0" applyNumberFormat="1" applyFont="1" applyBorder="1"/>
    <xf numFmtId="9" fontId="0" fillId="0" borderId="0" xfId="0" applyNumberFormat="1" applyFont="1" applyBorder="1"/>
    <xf numFmtId="37" fontId="0" fillId="0" borderId="0" xfId="0" applyNumberFormat="1" applyFont="1" applyBorder="1" applyAlignment="1">
      <alignment horizontal="center"/>
    </xf>
    <xf numFmtId="0" fontId="6" fillId="0" borderId="0" xfId="0" applyFont="1" applyBorder="1"/>
    <xf numFmtId="0" fontId="0" fillId="0" borderId="8" xfId="0" applyFont="1" applyBorder="1"/>
    <xf numFmtId="9" fontId="1" fillId="0" borderId="0" xfId="2" applyFont="1"/>
    <xf numFmtId="165" fontId="1" fillId="0" borderId="0" xfId="0" applyNumberFormat="1" applyFont="1"/>
    <xf numFmtId="0" fontId="11" fillId="2" borderId="0" xfId="0" applyFont="1" applyFill="1"/>
    <xf numFmtId="0" fontId="1" fillId="2" borderId="0" xfId="0" applyFont="1" applyFill="1"/>
    <xf numFmtId="0" fontId="2" fillId="0" borderId="0" xfId="0" applyFont="1" applyAlignment="1">
      <alignment wrapText="1"/>
    </xf>
    <xf numFmtId="0" fontId="3" fillId="0" borderId="0" xfId="0" applyFont="1" applyAlignment="1">
      <alignment horizontal="right" wrapText="1"/>
    </xf>
    <xf numFmtId="0" fontId="11" fillId="0" borderId="0" xfId="0" applyFont="1" applyAlignment="1">
      <alignment horizontal="right"/>
    </xf>
    <xf numFmtId="0" fontId="12" fillId="0" borderId="0" xfId="0" applyFont="1" applyAlignment="1">
      <alignment horizontal="right" wrapText="1"/>
    </xf>
    <xf numFmtId="164" fontId="8" fillId="0" borderId="0" xfId="0" applyNumberFormat="1" applyFont="1"/>
    <xf numFmtId="0" fontId="1" fillId="0" borderId="0" xfId="0" applyFont="1" applyFill="1"/>
    <xf numFmtId="165" fontId="1" fillId="0" borderId="0" xfId="0" applyNumberFormat="1" applyFont="1" applyFill="1"/>
    <xf numFmtId="3" fontId="1" fillId="0" borderId="0" xfId="0" applyNumberFormat="1" applyFont="1" applyFill="1"/>
    <xf numFmtId="9" fontId="8" fillId="0" borderId="0" xfId="0" applyNumberFormat="1" applyFont="1"/>
    <xf numFmtId="165" fontId="0" fillId="0" borderId="0" xfId="0" applyNumberFormat="1" applyFont="1" applyBorder="1" applyAlignment="1">
      <alignment horizontal="right"/>
    </xf>
    <xf numFmtId="165" fontId="8" fillId="0" borderId="0" xfId="0" applyNumberFormat="1" applyFont="1" applyBorder="1"/>
    <xf numFmtId="165" fontId="8" fillId="0" borderId="0" xfId="0" applyNumberFormat="1" applyFont="1" applyBorder="1" applyAlignment="1">
      <alignment horizontal="right"/>
    </xf>
    <xf numFmtId="0" fontId="3" fillId="0" borderId="0" xfId="0" applyFont="1" applyBorder="1" applyAlignment="1">
      <alignment horizontal="right"/>
    </xf>
    <xf numFmtId="37" fontId="0" fillId="0" borderId="0" xfId="0" applyNumberFormat="1" applyFont="1" applyBorder="1" applyAlignment="1"/>
    <xf numFmtId="0" fontId="7" fillId="0" borderId="4" xfId="0" applyFont="1" applyBorder="1" applyAlignment="1">
      <alignment wrapText="1"/>
    </xf>
    <xf numFmtId="0" fontId="7" fillId="0" borderId="0" xfId="0" applyFont="1" applyBorder="1" applyAlignment="1">
      <alignment wrapText="1"/>
    </xf>
    <xf numFmtId="0" fontId="3" fillId="0" borderId="0" xfId="0" applyFont="1" applyBorder="1" applyAlignment="1">
      <alignment horizontal="right" wrapText="1"/>
    </xf>
    <xf numFmtId="0" fontId="7" fillId="0" borderId="5" xfId="0" applyFont="1" applyBorder="1" applyAlignment="1">
      <alignment wrapText="1"/>
    </xf>
    <xf numFmtId="0" fontId="0" fillId="0" borderId="0" xfId="0" applyFont="1" applyAlignment="1">
      <alignment wrapText="1"/>
    </xf>
    <xf numFmtId="165" fontId="8" fillId="0" borderId="0" xfId="0" applyNumberFormat="1" applyFont="1"/>
    <xf numFmtId="0" fontId="1" fillId="0" borderId="0" xfId="0" applyFont="1" applyAlignment="1">
      <alignment wrapText="1"/>
    </xf>
    <xf numFmtId="0" fontId="5" fillId="0" borderId="0" xfId="0" applyFont="1" applyBorder="1"/>
    <xf numFmtId="9" fontId="3" fillId="0" borderId="0" xfId="0" applyNumberFormat="1" applyFont="1" applyBorder="1" applyAlignment="1">
      <alignment horizontal="right"/>
    </xf>
    <xf numFmtId="0" fontId="0" fillId="0" borderId="0" xfId="0" applyAlignment="1">
      <alignment wrapText="1"/>
    </xf>
    <xf numFmtId="0" fontId="14" fillId="0" borderId="0" xfId="0" applyFont="1" applyAlignment="1">
      <alignment wrapText="1"/>
    </xf>
    <xf numFmtId="0" fontId="14" fillId="0" borderId="0" xfId="0" applyFont="1" applyAlignment="1">
      <alignment horizontal="right" wrapText="1"/>
    </xf>
    <xf numFmtId="0" fontId="14" fillId="0" borderId="10" xfId="0" applyFont="1" applyBorder="1" applyAlignment="1">
      <alignment wrapText="1"/>
    </xf>
    <xf numFmtId="0" fontId="14" fillId="0" borderId="10" xfId="0" applyFont="1" applyBorder="1" applyAlignment="1">
      <alignment horizontal="right" wrapText="1"/>
    </xf>
    <xf numFmtId="0" fontId="11" fillId="2" borderId="0" xfId="0" applyFont="1" applyFill="1" applyAlignment="1">
      <alignment horizontal="right"/>
    </xf>
    <xf numFmtId="167" fontId="0" fillId="0" borderId="2" xfId="3" applyNumberFormat="1" applyFont="1" applyBorder="1"/>
    <xf numFmtId="44" fontId="0" fillId="0" borderId="6" xfId="3" applyFont="1" applyBorder="1"/>
    <xf numFmtId="44" fontId="0" fillId="0" borderId="0" xfId="3" applyFont="1" applyBorder="1"/>
    <xf numFmtId="44" fontId="8" fillId="0" borderId="0" xfId="3" applyFont="1" applyBorder="1"/>
    <xf numFmtId="44" fontId="8" fillId="0" borderId="0" xfId="3" applyFont="1" applyBorder="1" applyAlignment="1">
      <alignment horizontal="right"/>
    </xf>
    <xf numFmtId="167" fontId="0" fillId="0" borderId="0" xfId="3" applyNumberFormat="1" applyFont="1" applyBorder="1"/>
    <xf numFmtId="0" fontId="3" fillId="0" borderId="11" xfId="0" applyFont="1" applyBorder="1" applyAlignment="1">
      <alignment horizontal="center"/>
    </xf>
    <xf numFmtId="44" fontId="0" fillId="0" borderId="11" xfId="3" applyFont="1" applyBorder="1"/>
    <xf numFmtId="0" fontId="0" fillId="0" borderId="11" xfId="0" applyFont="1" applyBorder="1"/>
    <xf numFmtId="0" fontId="1" fillId="0" borderId="11" xfId="0" applyFont="1" applyBorder="1" applyAlignment="1">
      <alignment wrapText="1"/>
    </xf>
    <xf numFmtId="0" fontId="17" fillId="0" borderId="11" xfId="0" applyFont="1" applyBorder="1" applyAlignment="1">
      <alignment horizontal="center" wrapText="1"/>
    </xf>
    <xf numFmtId="0" fontId="1" fillId="0" borderId="11" xfId="0" applyFont="1" applyBorder="1"/>
    <xf numFmtId="0" fontId="9" fillId="0" borderId="11" xfId="0" applyFont="1" applyBorder="1" applyAlignment="1">
      <alignment horizontal="center"/>
    </xf>
    <xf numFmtId="165" fontId="1" fillId="0" borderId="11" xfId="0" applyNumberFormat="1" applyFont="1" applyBorder="1"/>
    <xf numFmtId="44" fontId="1" fillId="0" borderId="11" xfId="3" applyFont="1" applyBorder="1"/>
    <xf numFmtId="3" fontId="1" fillId="0" borderId="11" xfId="0" applyNumberFormat="1" applyFont="1" applyBorder="1"/>
    <xf numFmtId="0" fontId="1" fillId="0" borderId="11" xfId="0" applyFont="1" applyFill="1" applyBorder="1"/>
    <xf numFmtId="0" fontId="9" fillId="0" borderId="11" xfId="0" applyFont="1" applyFill="1" applyBorder="1" applyAlignment="1">
      <alignment horizontal="center"/>
    </xf>
    <xf numFmtId="3" fontId="1" fillId="0" borderId="11" xfId="0" applyNumberFormat="1" applyFont="1" applyFill="1" applyBorder="1"/>
    <xf numFmtId="9" fontId="1" fillId="0" borderId="11" xfId="0" applyNumberFormat="1" applyFont="1" applyBorder="1"/>
    <xf numFmtId="43" fontId="0" fillId="0" borderId="0" xfId="1" applyFont="1"/>
    <xf numFmtId="0" fontId="0" fillId="0" borderId="0" xfId="0" applyFill="1" applyBorder="1" applyAlignment="1"/>
    <xf numFmtId="0" fontId="0" fillId="0" borderId="10" xfId="0" applyFill="1" applyBorder="1" applyAlignment="1"/>
    <xf numFmtId="0" fontId="12" fillId="0" borderId="13" xfId="0" applyFont="1" applyFill="1" applyBorder="1" applyAlignment="1">
      <alignment horizontal="center"/>
    </xf>
    <xf numFmtId="0" fontId="12" fillId="0" borderId="13" xfId="0" applyFont="1" applyFill="1" applyBorder="1" applyAlignment="1">
      <alignment horizontal="centerContinuous"/>
    </xf>
    <xf numFmtId="2" fontId="0" fillId="0" borderId="0" xfId="0" applyNumberFormat="1"/>
    <xf numFmtId="0" fontId="0" fillId="0" borderId="11" xfId="0" applyBorder="1"/>
    <xf numFmtId="0" fontId="8" fillId="0" borderId="11" xfId="0" applyFont="1" applyBorder="1"/>
    <xf numFmtId="2" fontId="8" fillId="0" borderId="11" xfId="0" applyNumberFormat="1" applyFont="1" applyBorder="1"/>
    <xf numFmtId="0" fontId="1" fillId="0" borderId="14" xfId="0" applyFont="1" applyFill="1" applyBorder="1"/>
    <xf numFmtId="165" fontId="1" fillId="0" borderId="12" xfId="0" applyNumberFormat="1" applyFont="1" applyFill="1" applyBorder="1"/>
    <xf numFmtId="165" fontId="1" fillId="0" borderId="15" xfId="0" applyNumberFormat="1" applyFont="1" applyFill="1" applyBorder="1"/>
    <xf numFmtId="0" fontId="1" fillId="0" borderId="16" xfId="0" applyFont="1" applyFill="1" applyBorder="1"/>
    <xf numFmtId="165" fontId="1" fillId="0" borderId="0" xfId="0" applyNumberFormat="1" applyFont="1" applyFill="1" applyBorder="1"/>
    <xf numFmtId="165" fontId="1" fillId="0" borderId="17" xfId="0" applyNumberFormat="1" applyFont="1" applyFill="1" applyBorder="1"/>
    <xf numFmtId="0" fontId="2" fillId="0" borderId="20" xfId="0" applyFont="1" applyFill="1" applyBorder="1"/>
    <xf numFmtId="165" fontId="2" fillId="0" borderId="21" xfId="0" applyNumberFormat="1" applyFont="1" applyFill="1" applyBorder="1"/>
    <xf numFmtId="165" fontId="2" fillId="0" borderId="22" xfId="0" applyNumberFormat="1" applyFont="1" applyFill="1" applyBorder="1"/>
    <xf numFmtId="166" fontId="8" fillId="0" borderId="0" xfId="0" applyNumberFormat="1" applyFont="1"/>
    <xf numFmtId="2" fontId="8" fillId="0" borderId="0" xfId="0" applyNumberFormat="1" applyFont="1" applyBorder="1"/>
    <xf numFmtId="0" fontId="0" fillId="0" borderId="11" xfId="0" applyFill="1" applyBorder="1"/>
    <xf numFmtId="166" fontId="8" fillId="0" borderId="11" xfId="2" applyNumberFormat="1" applyFont="1" applyBorder="1"/>
    <xf numFmtId="0" fontId="13" fillId="0" borderId="0" xfId="0" applyFont="1" applyBorder="1" applyAlignment="1">
      <alignment horizontal="center" wrapText="1"/>
    </xf>
    <xf numFmtId="0" fontId="14" fillId="0" borderId="0" xfId="0" applyFont="1" applyBorder="1" applyAlignment="1">
      <alignment horizontal="right" wrapText="1"/>
    </xf>
    <xf numFmtId="4" fontId="11" fillId="0" borderId="0" xfId="0" applyNumberFormat="1" applyFont="1" applyAlignment="1">
      <alignment horizontal="left"/>
    </xf>
    <xf numFmtId="3" fontId="1" fillId="0" borderId="0" xfId="0" applyNumberFormat="1" applyFont="1" applyFill="1" applyBorder="1"/>
    <xf numFmtId="3" fontId="1" fillId="0" borderId="17" xfId="0" applyNumberFormat="1" applyFont="1" applyFill="1" applyBorder="1"/>
    <xf numFmtId="0" fontId="1" fillId="0" borderId="14" xfId="0" applyFont="1" applyBorder="1"/>
    <xf numFmtId="0" fontId="2" fillId="0" borderId="12" xfId="0" applyFont="1" applyBorder="1" applyAlignment="1">
      <alignment horizontal="right"/>
    </xf>
    <xf numFmtId="0" fontId="2" fillId="0" borderId="15" xfId="0" applyFont="1" applyBorder="1" applyAlignment="1">
      <alignment horizontal="right"/>
    </xf>
    <xf numFmtId="0" fontId="2" fillId="0" borderId="18" xfId="0" applyFont="1" applyBorder="1"/>
    <xf numFmtId="165" fontId="2" fillId="0" borderId="10" xfId="0" applyNumberFormat="1" applyFont="1" applyBorder="1"/>
    <xf numFmtId="165" fontId="2" fillId="0" borderId="19" xfId="0" applyNumberFormat="1" applyFont="1" applyBorder="1"/>
    <xf numFmtId="0" fontId="1" fillId="0" borderId="23" xfId="0" applyFont="1" applyBorder="1"/>
    <xf numFmtId="0" fontId="2" fillId="0" borderId="24" xfId="0" applyFont="1" applyBorder="1" applyAlignment="1">
      <alignment horizontal="right"/>
    </xf>
    <xf numFmtId="0" fontId="2" fillId="0" borderId="25" xfId="0" applyFont="1" applyBorder="1" applyAlignment="1">
      <alignment horizontal="right"/>
    </xf>
    <xf numFmtId="0" fontId="1" fillId="0" borderId="26" xfId="0" applyFont="1" applyBorder="1"/>
    <xf numFmtId="3" fontId="1" fillId="0" borderId="27" xfId="0" applyNumberFormat="1" applyFont="1" applyBorder="1"/>
    <xf numFmtId="0" fontId="1" fillId="0" borderId="28" xfId="0" applyFont="1" applyBorder="1"/>
    <xf numFmtId="3" fontId="1" fillId="0" borderId="29" xfId="0" applyNumberFormat="1" applyFont="1" applyBorder="1"/>
    <xf numFmtId="3" fontId="1" fillId="0" borderId="30" xfId="0" applyNumberFormat="1" applyFont="1" applyBorder="1"/>
    <xf numFmtId="9" fontId="1" fillId="0" borderId="11" xfId="2" applyFont="1" applyBorder="1"/>
    <xf numFmtId="0" fontId="1" fillId="0" borderId="0" xfId="0" applyFont="1" applyAlignment="1">
      <alignment horizontal="left"/>
    </xf>
    <xf numFmtId="0" fontId="0" fillId="0" borderId="0" xfId="0" applyBorder="1" applyAlignment="1">
      <alignment horizontal="left"/>
    </xf>
    <xf numFmtId="0" fontId="1" fillId="0" borderId="11" xfId="0" applyFont="1" applyBorder="1" applyAlignment="1">
      <alignment horizontal="center"/>
    </xf>
    <xf numFmtId="166" fontId="1" fillId="0" borderId="0" xfId="2" applyNumberFormat="1" applyFont="1"/>
    <xf numFmtId="0" fontId="1" fillId="0" borderId="0" xfId="0" applyFont="1" applyFill="1" applyBorder="1"/>
    <xf numFmtId="0" fontId="1" fillId="0" borderId="13" xfId="0" applyFont="1" applyBorder="1"/>
    <xf numFmtId="165" fontId="2" fillId="0" borderId="13" xfId="0" applyNumberFormat="1" applyFont="1" applyFill="1" applyBorder="1" applyAlignment="1">
      <alignment horizontal="right"/>
    </xf>
    <xf numFmtId="3" fontId="2" fillId="0" borderId="11" xfId="0" applyNumberFormat="1" applyFont="1" applyBorder="1" applyAlignment="1">
      <alignment horizontal="center" wrapText="1"/>
    </xf>
    <xf numFmtId="0" fontId="2" fillId="0" borderId="11" xfId="0" applyFont="1" applyBorder="1" applyAlignment="1">
      <alignment horizontal="center" wrapText="1"/>
    </xf>
    <xf numFmtId="4" fontId="11" fillId="0" borderId="0" xfId="0" applyNumberFormat="1" applyFont="1" applyAlignment="1">
      <alignment horizontal="right"/>
    </xf>
    <xf numFmtId="0" fontId="13" fillId="0" borderId="9" xfId="0" applyFont="1" applyBorder="1" applyAlignment="1">
      <alignment horizontal="right" wrapText="1"/>
    </xf>
    <xf numFmtId="164" fontId="8" fillId="0" borderId="0" xfId="0" applyNumberFormat="1" applyFont="1" applyAlignment="1">
      <alignment horizontal="right"/>
    </xf>
    <xf numFmtId="0" fontId="3" fillId="0" borderId="0" xfId="0" applyFont="1" applyAlignment="1">
      <alignment horizontal="left" wrapText="1"/>
    </xf>
    <xf numFmtId="0" fontId="0" fillId="0" borderId="0" xfId="0" applyAlignment="1">
      <alignment wrapText="1"/>
    </xf>
    <xf numFmtId="0" fontId="3" fillId="0" borderId="0" xfId="0" applyFont="1" applyAlignment="1">
      <alignment horizontal="center" wrapText="1"/>
    </xf>
    <xf numFmtId="0" fontId="2" fillId="0" borderId="0" xfId="0" applyFont="1" applyAlignment="1">
      <alignment horizontal="center"/>
    </xf>
    <xf numFmtId="0" fontId="11" fillId="0" borderId="0" xfId="0" applyFont="1" applyFill="1"/>
  </cellXfs>
  <cellStyles count="4">
    <cellStyle name="Comma" xfId="1" builtinId="3"/>
    <cellStyle name="Currency" xfId="3"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9</xdr:col>
      <xdr:colOff>381000</xdr:colOff>
      <xdr:row>19</xdr:row>
      <xdr:rowOff>9525</xdr:rowOff>
    </xdr:to>
    <xdr:sp macro="" textlink="">
      <xdr:nvSpPr>
        <xdr:cNvPr id="2" name="Text Box 1"/>
        <xdr:cNvSpPr txBox="1">
          <a:spLocks noChangeArrowheads="1"/>
        </xdr:cNvSpPr>
      </xdr:nvSpPr>
      <xdr:spPr bwMode="auto">
        <a:xfrm>
          <a:off x="609600" y="190500"/>
          <a:ext cx="5257800" cy="3438525"/>
        </a:xfrm>
        <a:prstGeom prst="rect">
          <a:avLst/>
        </a:prstGeom>
        <a:solidFill>
          <a:srgbClr val="FFFFFF"/>
        </a:solidFill>
        <a:ln w="9525">
          <a:solidFill>
            <a:srgbClr val="000000"/>
          </a:solidFill>
          <a:miter lim="800000"/>
          <a:headEnd/>
          <a:tailEnd/>
        </a:ln>
      </xdr:spPr>
      <xdr:txBody>
        <a:bodyPr vertOverflow="clip" wrap="square" lIns="91440" tIns="91440" rIns="91440" bIns="9144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mn-lt"/>
              <a:cs typeface="Arial"/>
            </a:rPr>
            <a:t>This teaching model relates to the case </a:t>
          </a:r>
          <a:r>
            <a:rPr lang="en-US" sz="1100" i="1">
              <a:effectLst/>
              <a:latin typeface="+mn-lt"/>
              <a:ea typeface="+mn-ea"/>
              <a:cs typeface="+mn-cs"/>
            </a:rPr>
            <a:t>Polaris Industries Inc.</a:t>
          </a:r>
          <a:r>
            <a:rPr lang="en-US" sz="1100" b="0" i="0" u="none" strike="noStrike" baseline="0">
              <a:solidFill>
                <a:srgbClr val="000000"/>
              </a:solidFill>
              <a:latin typeface="+mn-lt"/>
              <a:cs typeface="Arial"/>
            </a:rPr>
            <a:t>, Case #</a:t>
          </a:r>
          <a:r>
            <a:rPr lang="en-US" sz="1100">
              <a:effectLst/>
              <a:latin typeface="+mn-lt"/>
              <a:ea typeface="+mn-ea"/>
              <a:cs typeface="+mn-cs"/>
            </a:rPr>
            <a:t>5-112-003</a:t>
          </a:r>
          <a:r>
            <a:rPr lang="en-US" sz="1100" b="0" i="0" u="none" strike="noStrike" baseline="0">
              <a:solidFill>
                <a:srgbClr val="000000"/>
              </a:solidFill>
              <a:latin typeface="+mn-lt"/>
              <a:cs typeface="Arial"/>
            </a:rPr>
            <a:t>.</a:t>
          </a:r>
        </a:p>
        <a:p>
          <a:pPr algn="l" rtl="0">
            <a:defRPr sz="1000"/>
          </a:pPr>
          <a:endParaRPr lang="en-US" sz="1100" b="0" i="0" u="none" strike="noStrike" baseline="0">
            <a:solidFill>
              <a:srgbClr val="000000"/>
            </a:solidFill>
            <a:latin typeface="+mn-lt"/>
            <a:cs typeface="Arial"/>
          </a:endParaRPr>
        </a:p>
        <a:p>
          <a:pPr algn="l" rtl="0">
            <a:defRPr sz="1000"/>
          </a:pPr>
          <a:r>
            <a:rPr lang="en-US" sz="1100">
              <a:effectLst/>
              <a:latin typeface="+mn-lt"/>
              <a:ea typeface="+mn-ea"/>
              <a:cs typeface="+mn-cs"/>
            </a:rPr>
            <a:t>©2012 by the Kellogg School of Management at Northwestern University. This case was prepared by Ioana Andreas ’12, Sigmund Gee ’12, Ivi Kolasi ’12, Stephane Lhoste ’12, and Benjamin Neuwirth ’12 under the supervision of Professor Sunil Chopra. Cases are developed solely as the basis for class discussion. Cases are not intended to serve as endorsements, sources of primary data, or illustrations of effective or ineffective management. To order copies or request permission to reproduce materials, call 847.491.5400 or e-mail cases@kellogg.northwestern.edu. No part of this publication may be reproduced, stored in a retrieval system, used in a spreadsheet, or transmitted in any form or by any means—electronic, mechanical, photocopying, recording, or otherwise—without the permission of the Kellogg School of Management.</a:t>
          </a:r>
          <a:endParaRPr lang="en-US" sz="1100" b="0" i="0" u="none" strike="noStrike" baseline="0">
            <a:solidFill>
              <a:srgbClr val="000000"/>
            </a:solidFill>
            <a:latin typeface="+mn-lt"/>
            <a:cs typeface="Arial"/>
          </a:endParaRPr>
        </a:p>
      </xdr:txBody>
    </xdr:sp>
    <xdr:clientData/>
  </xdr:twoCellAnchor>
  <xdr:twoCellAnchor editAs="oneCell">
    <xdr:from>
      <xdr:col>1</xdr:col>
      <xdr:colOff>38100</xdr:colOff>
      <xdr:row>1</xdr:row>
      <xdr:rowOff>95250</xdr:rowOff>
    </xdr:from>
    <xdr:to>
      <xdr:col>5</xdr:col>
      <xdr:colOff>371475</xdr:colOff>
      <xdr:row>5</xdr:row>
      <xdr:rowOff>104775</xdr:rowOff>
    </xdr:to>
    <xdr:pic>
      <xdr:nvPicPr>
        <xdr:cNvPr id="5" name="Picture 2" descr="Kellogg_logo_01_300dpi_bw"/>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7700" y="285750"/>
          <a:ext cx="2771775" cy="77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F22" sqref="F22"/>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78"/>
  <sheetViews>
    <sheetView showGridLines="0" topLeftCell="A37" workbookViewId="0">
      <selection activeCell="I63" sqref="I63"/>
    </sheetView>
  </sheetViews>
  <sheetFormatPr defaultColWidth="9.1796875" defaultRowHeight="12.5" x14ac:dyDescent="0.25"/>
  <cols>
    <col min="1" max="1" width="3.453125" style="1" customWidth="1"/>
    <col min="2" max="2" width="41" style="1" customWidth="1"/>
    <col min="3" max="3" width="11.26953125" style="1" customWidth="1"/>
    <col min="4" max="6" width="14.1796875" style="1" customWidth="1"/>
    <col min="7" max="7" width="10.7265625" style="1" bestFit="1" customWidth="1"/>
    <col min="8" max="8" width="9.7265625" style="1" bestFit="1" customWidth="1"/>
    <col min="9" max="9" width="10.1796875" style="1" bestFit="1" customWidth="1"/>
    <col min="10" max="16384" width="9.1796875" style="1"/>
  </cols>
  <sheetData>
    <row r="2" spans="2:6" ht="13" x14ac:dyDescent="0.3">
      <c r="B2" s="32" t="s">
        <v>42</v>
      </c>
      <c r="C2" s="32"/>
      <c r="D2" s="32"/>
      <c r="E2" s="32"/>
      <c r="F2" s="32"/>
    </row>
    <row r="3" spans="2:6" ht="13" x14ac:dyDescent="0.3">
      <c r="B3" s="32" t="s">
        <v>44</v>
      </c>
      <c r="C3" s="32"/>
      <c r="D3" s="32"/>
      <c r="E3" s="32"/>
      <c r="F3" s="32"/>
    </row>
    <row r="4" spans="2:6" ht="13" x14ac:dyDescent="0.3">
      <c r="B4" s="74" t="s">
        <v>108</v>
      </c>
      <c r="C4" s="75" t="s">
        <v>0</v>
      </c>
      <c r="D4" s="78">
        <v>26</v>
      </c>
    </row>
    <row r="5" spans="2:6" ht="13" x14ac:dyDescent="0.3">
      <c r="B5" s="74"/>
      <c r="C5" s="75"/>
      <c r="D5" s="78"/>
    </row>
    <row r="6" spans="2:6" ht="13" x14ac:dyDescent="0.3">
      <c r="B6" s="74" t="s">
        <v>34</v>
      </c>
      <c r="C6" s="75" t="s">
        <v>43</v>
      </c>
      <c r="D6" s="78">
        <v>12</v>
      </c>
    </row>
    <row r="7" spans="2:6" ht="13" x14ac:dyDescent="0.3">
      <c r="B7" s="74" t="s">
        <v>2</v>
      </c>
      <c r="C7" s="75" t="s">
        <v>8</v>
      </c>
      <c r="D7" s="78">
        <f>40*52</f>
        <v>2080</v>
      </c>
    </row>
    <row r="8" spans="2:6" ht="13" x14ac:dyDescent="0.3">
      <c r="B8" s="74"/>
      <c r="C8" s="75"/>
      <c r="D8" s="78"/>
    </row>
    <row r="9" spans="2:6" ht="13" x14ac:dyDescent="0.3">
      <c r="B9" s="74" t="s">
        <v>96</v>
      </c>
      <c r="C9" s="75" t="s">
        <v>3</v>
      </c>
      <c r="D9" s="78">
        <f>1200000/D10</f>
        <v>20000</v>
      </c>
    </row>
    <row r="10" spans="2:6" ht="13" x14ac:dyDescent="0.3">
      <c r="B10" s="79" t="s">
        <v>97</v>
      </c>
      <c r="C10" s="75" t="s">
        <v>5</v>
      </c>
      <c r="D10" s="78">
        <v>60</v>
      </c>
    </row>
    <row r="11" spans="2:6" ht="13" x14ac:dyDescent="0.3">
      <c r="B11" s="79" t="s">
        <v>98</v>
      </c>
      <c r="C11" s="75" t="s">
        <v>5</v>
      </c>
      <c r="D11" s="78">
        <v>60</v>
      </c>
    </row>
    <row r="12" spans="2:6" ht="13" x14ac:dyDescent="0.3">
      <c r="C12" s="21"/>
      <c r="D12" s="3"/>
    </row>
    <row r="13" spans="2:6" ht="13" x14ac:dyDescent="0.3">
      <c r="B13" s="32" t="s">
        <v>45</v>
      </c>
      <c r="C13" s="32"/>
      <c r="D13" s="32"/>
      <c r="E13" s="32"/>
      <c r="F13" s="32"/>
    </row>
    <row r="14" spans="2:6" s="54" customFormat="1" ht="39" x14ac:dyDescent="0.3">
      <c r="B14" s="72"/>
      <c r="C14" s="73" t="s">
        <v>99</v>
      </c>
      <c r="D14" s="132" t="s">
        <v>46</v>
      </c>
      <c r="E14" s="133" t="s">
        <v>47</v>
      </c>
      <c r="F14" s="133" t="s">
        <v>100</v>
      </c>
    </row>
    <row r="15" spans="2:6" ht="13" x14ac:dyDescent="0.3">
      <c r="B15" s="74" t="s">
        <v>101</v>
      </c>
      <c r="C15" s="75" t="s">
        <v>4</v>
      </c>
      <c r="D15" s="76">
        <v>400</v>
      </c>
      <c r="E15" s="77">
        <f>'Transportation Costs'!F26*F15</f>
        <v>158.74911140583552</v>
      </c>
      <c r="F15" s="127">
        <v>1</v>
      </c>
    </row>
    <row r="16" spans="2:6" ht="13" x14ac:dyDescent="0.3">
      <c r="B16" s="74" t="s">
        <v>24</v>
      </c>
      <c r="C16" s="75" t="s">
        <v>51</v>
      </c>
      <c r="D16" s="76">
        <f>380*12</f>
        <v>4560</v>
      </c>
      <c r="E16" s="77">
        <f>'Transportation Costs'!G26*F16</f>
        <v>125.20968169761272</v>
      </c>
      <c r="F16" s="127">
        <v>1</v>
      </c>
    </row>
    <row r="17" spans="2:6" ht="13" x14ac:dyDescent="0.3">
      <c r="B17" s="74" t="s">
        <v>18</v>
      </c>
      <c r="C17" s="75" t="s">
        <v>52</v>
      </c>
      <c r="D17" s="76">
        <f>300*6.5</f>
        <v>1950</v>
      </c>
      <c r="E17" s="77">
        <f>'Transportation Costs'!C29*F17</f>
        <v>190</v>
      </c>
      <c r="F17" s="127">
        <v>1</v>
      </c>
    </row>
    <row r="18" spans="2:6" ht="13" x14ac:dyDescent="0.3">
      <c r="C18" s="21"/>
      <c r="D18" s="31"/>
      <c r="E18" s="31"/>
    </row>
    <row r="19" spans="2:6" ht="13" x14ac:dyDescent="0.3">
      <c r="B19" s="2" t="s">
        <v>6</v>
      </c>
      <c r="C19" s="21"/>
      <c r="D19" s="3"/>
    </row>
    <row r="20" spans="2:6" ht="13" x14ac:dyDescent="0.3">
      <c r="B20" s="74" t="s">
        <v>101</v>
      </c>
      <c r="C20" s="75" t="s">
        <v>7</v>
      </c>
      <c r="D20" s="76">
        <v>0</v>
      </c>
    </row>
    <row r="21" spans="2:6" ht="13" x14ac:dyDescent="0.3">
      <c r="B21" s="74" t="s">
        <v>24</v>
      </c>
      <c r="C21" s="75" t="s">
        <v>7</v>
      </c>
      <c r="D21" s="76">
        <v>9500000</v>
      </c>
    </row>
    <row r="22" spans="2:6" ht="13" x14ac:dyDescent="0.3">
      <c r="B22" s="74" t="s">
        <v>18</v>
      </c>
      <c r="C22" s="75" t="s">
        <v>7</v>
      </c>
      <c r="D22" s="76">
        <v>10000000</v>
      </c>
    </row>
    <row r="23" spans="2:6" ht="13" x14ac:dyDescent="0.3">
      <c r="C23" s="21"/>
      <c r="D23" s="3"/>
    </row>
    <row r="24" spans="2:6" s="39" customFormat="1" ht="13" x14ac:dyDescent="0.3">
      <c r="B24" s="79" t="s">
        <v>102</v>
      </c>
      <c r="C24" s="80" t="s">
        <v>13</v>
      </c>
      <c r="D24" s="81">
        <f>'Transportation Costs'!D25</f>
        <v>14500.000000000002</v>
      </c>
    </row>
    <row r="25" spans="2:6" ht="13" x14ac:dyDescent="0.3">
      <c r="B25" s="74" t="s">
        <v>48</v>
      </c>
      <c r="C25" s="75"/>
      <c r="D25" s="82">
        <v>0.05</v>
      </c>
    </row>
    <row r="27" spans="2:6" ht="13" x14ac:dyDescent="0.3">
      <c r="B27" s="32" t="s">
        <v>36</v>
      </c>
      <c r="C27" s="32"/>
      <c r="D27" s="32"/>
      <c r="E27" s="1" t="s">
        <v>93</v>
      </c>
    </row>
    <row r="28" spans="2:6" ht="14.5" x14ac:dyDescent="0.35">
      <c r="B28" s="89" t="s">
        <v>15</v>
      </c>
      <c r="C28" s="90">
        <f>'Labor &amp; Exchange Rate Exhibit'!D35*E28</f>
        <v>11.92</v>
      </c>
      <c r="D28" s="89" t="s">
        <v>83</v>
      </c>
      <c r="E28" s="125">
        <v>1</v>
      </c>
    </row>
    <row r="29" spans="2:6" ht="14.5" x14ac:dyDescent="0.35">
      <c r="B29" s="89" t="s">
        <v>14</v>
      </c>
      <c r="C29" s="91">
        <f>'Labor &amp; Exchange Rate Exhibit'!C35*E29</f>
        <v>6.4699999999999989</v>
      </c>
      <c r="D29" s="89" t="s">
        <v>84</v>
      </c>
      <c r="E29" s="125">
        <v>1</v>
      </c>
    </row>
    <row r="30" spans="2:6" ht="14.5" x14ac:dyDescent="0.35">
      <c r="B30" s="23"/>
      <c r="C30" s="102"/>
      <c r="D30" s="23"/>
    </row>
    <row r="31" spans="2:6" ht="14.5" x14ac:dyDescent="0.35">
      <c r="B31" s="32" t="s">
        <v>86</v>
      </c>
      <c r="C31" s="102"/>
      <c r="D31" s="23" t="s">
        <v>93</v>
      </c>
    </row>
    <row r="32" spans="2:6" ht="14.5" x14ac:dyDescent="0.35">
      <c r="B32" s="103" t="s">
        <v>24</v>
      </c>
      <c r="C32" s="104">
        <f>'Labor &amp; Exchange Rate Exhibit'!J19*D32</f>
        <v>7.1428809636278234E-2</v>
      </c>
      <c r="D32" s="126">
        <v>1</v>
      </c>
    </row>
    <row r="33" spans="2:9" ht="14.5" x14ac:dyDescent="0.35">
      <c r="B33" s="103" t="s">
        <v>18</v>
      </c>
      <c r="C33" s="104">
        <f>'Labor &amp; Exchange Rate Exhibit'!I19*D33</f>
        <v>0.13422020490883155</v>
      </c>
      <c r="D33" s="126">
        <v>1</v>
      </c>
    </row>
    <row r="34" spans="2:9" ht="14.5" x14ac:dyDescent="0.35">
      <c r="D34" s="23"/>
    </row>
    <row r="36" spans="2:9" ht="13.5" thickBot="1" x14ac:dyDescent="0.35">
      <c r="B36" s="32" t="s">
        <v>103</v>
      </c>
      <c r="C36" s="32"/>
      <c r="D36" s="32"/>
      <c r="E36" s="32"/>
      <c r="F36" s="32"/>
    </row>
    <row r="37" spans="2:9" ht="13" x14ac:dyDescent="0.3">
      <c r="B37" s="110"/>
      <c r="C37" s="111" t="s">
        <v>101</v>
      </c>
      <c r="D37" s="111" t="s">
        <v>24</v>
      </c>
      <c r="E37" s="112" t="s">
        <v>18</v>
      </c>
    </row>
    <row r="38" spans="2:9" x14ac:dyDescent="0.25">
      <c r="B38" s="95" t="s">
        <v>6</v>
      </c>
      <c r="C38" s="96">
        <v>0</v>
      </c>
      <c r="D38" s="96">
        <f>Model!D21</f>
        <v>9500000</v>
      </c>
      <c r="E38" s="97">
        <f>Model!D22</f>
        <v>10000000</v>
      </c>
    </row>
    <row r="39" spans="2:9" x14ac:dyDescent="0.25">
      <c r="B39" s="95" t="s">
        <v>11</v>
      </c>
      <c r="C39" s="96">
        <v>0</v>
      </c>
      <c r="D39" s="96">
        <f>Model!D10*Model!D9</f>
        <v>1200000</v>
      </c>
      <c r="E39" s="97">
        <f>D39</f>
        <v>1200000</v>
      </c>
    </row>
    <row r="40" spans="2:9" ht="13.5" thickBot="1" x14ac:dyDescent="0.35">
      <c r="B40" s="113" t="s">
        <v>104</v>
      </c>
      <c r="C40" s="114">
        <f>SUM(C38:C39)</f>
        <v>0</v>
      </c>
      <c r="D40" s="114">
        <f>SUM(D38:D39)</f>
        <v>10700000</v>
      </c>
      <c r="E40" s="115">
        <f>SUM(E38:E39)</f>
        <v>11200000</v>
      </c>
    </row>
    <row r="41" spans="2:9" ht="13" thickBot="1" x14ac:dyDescent="0.3">
      <c r="B41" s="39"/>
      <c r="C41" s="41"/>
      <c r="D41" s="41"/>
      <c r="E41" s="41"/>
    </row>
    <row r="42" spans="2:9" x14ac:dyDescent="0.25">
      <c r="B42" s="92" t="s">
        <v>9</v>
      </c>
      <c r="C42" s="93">
        <f>Model!$D$15*Model!$D$24</f>
        <v>5800000.0000000009</v>
      </c>
      <c r="D42" s="93">
        <f>Model!$D$16*Model!$D$24/C28</f>
        <v>5546979.8657718124</v>
      </c>
      <c r="E42" s="94">
        <f>Model!$D$17*Model!$D$24/C29</f>
        <v>4370170.0154559519</v>
      </c>
    </row>
    <row r="43" spans="2:9" x14ac:dyDescent="0.25">
      <c r="B43" s="95" t="s">
        <v>12</v>
      </c>
      <c r="C43" s="96">
        <f>Model!$D$10*Model!$D$4*Model!$D$7</f>
        <v>3244800</v>
      </c>
      <c r="D43" s="96">
        <f>Model!$D$10*Model!$D$7*'Labor &amp; Exchange Rate Exhibit'!G18*(1+C32)^3/Model!$C$28</f>
        <v>325679.02401297906</v>
      </c>
      <c r="E43" s="97">
        <f>Model!$D$10*Model!$D$7*'Labor &amp; Exchange Rate Exhibit'!F18*(1+Model!C33)^3/Model!$C$29</f>
        <v>327348.89711090451</v>
      </c>
    </row>
    <row r="44" spans="2:9" x14ac:dyDescent="0.25">
      <c r="B44" s="95" t="s">
        <v>1</v>
      </c>
      <c r="C44" s="96">
        <f>Model!$E$15*Model!$D$24</f>
        <v>2301862.1153846155</v>
      </c>
      <c r="D44" s="96">
        <f>Model!$E$16*Model!$D$24</f>
        <v>1815540.3846153847</v>
      </c>
      <c r="E44" s="97">
        <f>Model!$E$17*Model!$D$24</f>
        <v>2755000.0000000005</v>
      </c>
    </row>
    <row r="45" spans="2:9" x14ac:dyDescent="0.25">
      <c r="B45" s="95" t="s">
        <v>10</v>
      </c>
      <c r="C45" s="96">
        <v>0</v>
      </c>
      <c r="D45" s="96">
        <v>0</v>
      </c>
      <c r="E45" s="97">
        <f>Model!$D$25*(Model!$D$17/C29+Model!$E$17)*Model!$D$24</f>
        <v>356258.50077279762</v>
      </c>
    </row>
    <row r="46" spans="2:9" s="2" customFormat="1" ht="13.5" thickBot="1" x14ac:dyDescent="0.35">
      <c r="B46" s="98" t="s">
        <v>105</v>
      </c>
      <c r="C46" s="99">
        <f>SUM(C42:C45)</f>
        <v>11346662.115384616</v>
      </c>
      <c r="D46" s="99">
        <f>SUM(D42:D45)</f>
        <v>7688199.2744001765</v>
      </c>
      <c r="E46" s="100">
        <f>SUM(E42:E45)</f>
        <v>7808777.4133396549</v>
      </c>
      <c r="G46" s="6"/>
      <c r="H46" s="6"/>
      <c r="I46" s="6"/>
    </row>
    <row r="47" spans="2:9" ht="13" thickBot="1" x14ac:dyDescent="0.3">
      <c r="B47" s="39"/>
      <c r="C47" s="40"/>
      <c r="D47" s="40"/>
      <c r="E47" s="40"/>
    </row>
    <row r="48" spans="2:9" x14ac:dyDescent="0.25">
      <c r="B48" s="92" t="s">
        <v>9</v>
      </c>
      <c r="C48" s="93">
        <f>Model!$D$15*Model!$D$24</f>
        <v>5800000.0000000009</v>
      </c>
      <c r="D48" s="93">
        <f>Model!$D$16*Model!$D$24/C28</f>
        <v>5546979.8657718124</v>
      </c>
      <c r="E48" s="94">
        <f>Model!$D$17*Model!$D$24/C29</f>
        <v>4370170.0154559519</v>
      </c>
    </row>
    <row r="49" spans="2:9" x14ac:dyDescent="0.25">
      <c r="B49" s="95" t="s">
        <v>12</v>
      </c>
      <c r="C49" s="96">
        <f>Model!$D$10*Model!$D$4*Model!$D$7</f>
        <v>3244800</v>
      </c>
      <c r="D49" s="96">
        <f>Model!$D$10*Model!$D$7*'Labor &amp; Exchange Rate Exhibit'!G18*(1+Model!C32)^4/C28</f>
        <v>348941.8890217311</v>
      </c>
      <c r="E49" s="97">
        <f>Model!$D$10*Model!$D$7*'Labor &amp; Exchange Rate Exhibit'!F18*(1+Model!C33)^4/Model!$C$29</f>
        <v>371285.73315781006</v>
      </c>
    </row>
    <row r="50" spans="2:9" x14ac:dyDescent="0.25">
      <c r="B50" s="95" t="s">
        <v>1</v>
      </c>
      <c r="C50" s="96">
        <f>Model!$E$15*Model!$D$24</f>
        <v>2301862.1153846155</v>
      </c>
      <c r="D50" s="96">
        <f>Model!$E$16*Model!$D$24</f>
        <v>1815540.3846153847</v>
      </c>
      <c r="E50" s="97">
        <f>Model!$E$17*Model!$D$24</f>
        <v>2755000.0000000005</v>
      </c>
    </row>
    <row r="51" spans="2:9" x14ac:dyDescent="0.25">
      <c r="B51" s="95" t="s">
        <v>10</v>
      </c>
      <c r="C51" s="96">
        <v>0</v>
      </c>
      <c r="D51" s="96">
        <v>0</v>
      </c>
      <c r="E51" s="97">
        <f>Model!$D$25*(Model!$D$17/C29+Model!$E$17)*Model!$D$24</f>
        <v>356258.50077279762</v>
      </c>
    </row>
    <row r="52" spans="2:9" ht="13.5" thickBot="1" x14ac:dyDescent="0.35">
      <c r="B52" s="98" t="s">
        <v>85</v>
      </c>
      <c r="C52" s="99">
        <f>SUM(C48:C51)</f>
        <v>11346662.115384616</v>
      </c>
      <c r="D52" s="99">
        <f>SUM(D48:D51)</f>
        <v>7711462.1394089283</v>
      </c>
      <c r="E52" s="100">
        <f>SUM(E48:E51)</f>
        <v>7852714.2493865592</v>
      </c>
      <c r="G52" s="6"/>
      <c r="H52" s="6"/>
      <c r="I52" s="6"/>
    </row>
    <row r="53" spans="2:9" ht="13" thickBot="1" x14ac:dyDescent="0.3">
      <c r="B53" s="39"/>
      <c r="C53" s="40"/>
      <c r="D53" s="40"/>
      <c r="E53" s="40"/>
    </row>
    <row r="54" spans="2:9" x14ac:dyDescent="0.25">
      <c r="B54" s="92" t="s">
        <v>9</v>
      </c>
      <c r="C54" s="93">
        <f>Model!$D$15*Model!$D$24</f>
        <v>5800000.0000000009</v>
      </c>
      <c r="D54" s="93">
        <f>Model!$D$16*Model!$D$24/C28</f>
        <v>5546979.8657718124</v>
      </c>
      <c r="E54" s="94">
        <f>Model!$D$17*Model!$D$24/C29</f>
        <v>4370170.0154559519</v>
      </c>
    </row>
    <row r="55" spans="2:9" x14ac:dyDescent="0.25">
      <c r="B55" s="95" t="s">
        <v>12</v>
      </c>
      <c r="C55" s="96">
        <f>Model!$D$10*Model!$D$4*Model!$D$7</f>
        <v>3244800</v>
      </c>
      <c r="D55" s="96">
        <f>Model!$D$10*Model!$D$7*'Labor &amp; Exchange Rate Exhibit'!G18*(1+Model!C32)^5/Model!$C$28</f>
        <v>373866.39278678765</v>
      </c>
      <c r="E55" s="97">
        <f>Model!$D$10*Model!$D$7*'Labor &amp; Exchange Rate Exhibit'!F18*(1+Model!C33)^5/Model!$C$29</f>
        <v>421119.78034197708</v>
      </c>
    </row>
    <row r="56" spans="2:9" x14ac:dyDescent="0.25">
      <c r="B56" s="95" t="s">
        <v>1</v>
      </c>
      <c r="C56" s="96">
        <f>Model!$E$15*Model!$D$24</f>
        <v>2301862.1153846155</v>
      </c>
      <c r="D56" s="96">
        <f>Model!$E$16*Model!$D$24</f>
        <v>1815540.3846153847</v>
      </c>
      <c r="E56" s="97">
        <f>Model!$E$17*Model!$D$24</f>
        <v>2755000.0000000005</v>
      </c>
    </row>
    <row r="57" spans="2:9" x14ac:dyDescent="0.25">
      <c r="B57" s="95" t="s">
        <v>10</v>
      </c>
      <c r="C57" s="96">
        <v>0</v>
      </c>
      <c r="D57" s="96">
        <v>0</v>
      </c>
      <c r="E57" s="97">
        <f>Model!$D$25*(Model!$D$17/C29+Model!$E$17)*Model!$D$24</f>
        <v>356258.50077279762</v>
      </c>
    </row>
    <row r="58" spans="2:9" ht="13.5" thickBot="1" x14ac:dyDescent="0.35">
      <c r="B58" s="98" t="s">
        <v>89</v>
      </c>
      <c r="C58" s="99">
        <f>SUM(C54:C57)</f>
        <v>11346662.115384616</v>
      </c>
      <c r="D58" s="99">
        <f>SUM(D54:D57)</f>
        <v>7736386.6431739852</v>
      </c>
      <c r="E58" s="100">
        <f>SUM(E54:E57)</f>
        <v>7902548.2965707267</v>
      </c>
      <c r="G58" s="6"/>
      <c r="H58" s="6"/>
      <c r="I58" s="6"/>
    </row>
    <row r="59" spans="2:9" ht="13" thickBot="1" x14ac:dyDescent="0.3">
      <c r="B59" s="39"/>
      <c r="C59" s="40"/>
      <c r="D59" s="40"/>
      <c r="E59" s="40"/>
    </row>
    <row r="60" spans="2:9" ht="13" x14ac:dyDescent="0.3">
      <c r="B60" s="92" t="s">
        <v>9</v>
      </c>
      <c r="C60" s="93">
        <f>Model!$D$15*Model!$D$24</f>
        <v>5800000.0000000009</v>
      </c>
      <c r="D60" s="93">
        <f>Model!$D$16*Model!$D$24/C28</f>
        <v>5546979.8657718124</v>
      </c>
      <c r="E60" s="94">
        <f>Model!$D$17*Model!$D$24/C29</f>
        <v>4370170.0154559519</v>
      </c>
      <c r="G60" s="6"/>
      <c r="H60" s="6"/>
      <c r="I60" s="6"/>
    </row>
    <row r="61" spans="2:9" x14ac:dyDescent="0.25">
      <c r="B61" s="95" t="s">
        <v>12</v>
      </c>
      <c r="C61" s="96">
        <f>Model!$D$10*Model!$D$4*Model!$D$7</f>
        <v>3244800</v>
      </c>
      <c r="D61" s="96">
        <f>Model!$D$10*Model!$D$7*'Labor &amp; Exchange Rate Exhibit'!G18*(1+Model!C32)^6/Model!$C$28</f>
        <v>400571.22418655717</v>
      </c>
      <c r="E61" s="97">
        <f>Model!$D$10*Model!$D$7*'Labor &amp; Exchange Rate Exhibit'!F18*(1+Model!C33)^6/Model!$C$29</f>
        <v>477642.56355063932</v>
      </c>
    </row>
    <row r="62" spans="2:9" x14ac:dyDescent="0.25">
      <c r="B62" s="95" t="s">
        <v>1</v>
      </c>
      <c r="C62" s="96">
        <f>Model!$E$15*Model!$D$24</f>
        <v>2301862.1153846155</v>
      </c>
      <c r="D62" s="96">
        <f>Model!$E$16*Model!$D$24</f>
        <v>1815540.3846153847</v>
      </c>
      <c r="E62" s="97">
        <f>Model!$E$17*Model!$D$24</f>
        <v>2755000.0000000005</v>
      </c>
    </row>
    <row r="63" spans="2:9" x14ac:dyDescent="0.25">
      <c r="B63" s="95" t="s">
        <v>10</v>
      </c>
      <c r="C63" s="96">
        <v>0</v>
      </c>
      <c r="D63" s="96">
        <v>0</v>
      </c>
      <c r="E63" s="97">
        <f>Model!$D$25*(Model!$D$17/C29+Model!$E$17)*Model!$D$24</f>
        <v>356258.50077279762</v>
      </c>
    </row>
    <row r="64" spans="2:9" ht="13.5" thickBot="1" x14ac:dyDescent="0.35">
      <c r="B64" s="98" t="s">
        <v>90</v>
      </c>
      <c r="C64" s="99">
        <f>SUM(C60:C63)</f>
        <v>11346662.115384616</v>
      </c>
      <c r="D64" s="99">
        <f>SUM(D60:D63)</f>
        <v>7763091.4745737547</v>
      </c>
      <c r="E64" s="100">
        <f>SUM(E60:E63)</f>
        <v>7959071.0797793893</v>
      </c>
      <c r="G64" s="6"/>
      <c r="H64" s="6"/>
      <c r="I64" s="6"/>
    </row>
    <row r="65" spans="2:9" ht="13" thickBot="1" x14ac:dyDescent="0.3">
      <c r="B65" s="39"/>
      <c r="C65" s="40"/>
      <c r="D65" s="40"/>
      <c r="E65" s="40"/>
    </row>
    <row r="66" spans="2:9" x14ac:dyDescent="0.25">
      <c r="B66" s="92" t="s">
        <v>9</v>
      </c>
      <c r="C66" s="93">
        <f>Model!$D$15*Model!$D$24</f>
        <v>5800000.0000000009</v>
      </c>
      <c r="D66" s="93">
        <f>Model!$D$16*Model!$D$24/C28</f>
        <v>5546979.8657718124</v>
      </c>
      <c r="E66" s="94">
        <f>Model!$D$17*Model!$D$24/C29</f>
        <v>4370170.0154559519</v>
      </c>
    </row>
    <row r="67" spans="2:9" x14ac:dyDescent="0.25">
      <c r="B67" s="95" t="s">
        <v>12</v>
      </c>
      <c r="C67" s="96">
        <f>Model!$D$10*Model!$D$4*Model!$D$7</f>
        <v>3244800</v>
      </c>
      <c r="D67" s="96">
        <f>Model!$D$10*Model!$D$7*'Labor &amp; Exchange Rate Exhibit'!G18*(1+Model!C32)^7/Model!$C$28</f>
        <v>429183.54990474979</v>
      </c>
      <c r="E67" s="97">
        <f>Model!$D$10*Model!$D$7*'Labor &amp; Exchange Rate Exhibit'!F18*(1+Model!C33)^7/Model!$C$29</f>
        <v>541751.84630358568</v>
      </c>
    </row>
    <row r="68" spans="2:9" x14ac:dyDescent="0.25">
      <c r="B68" s="95" t="s">
        <v>1</v>
      </c>
      <c r="C68" s="108">
        <f>Model!$E$15*Model!$D$24</f>
        <v>2301862.1153846155</v>
      </c>
      <c r="D68" s="108">
        <f>Model!$E$16*Model!$D$24</f>
        <v>1815540.3846153847</v>
      </c>
      <c r="E68" s="109">
        <f>Model!$E$17*Model!$D$24</f>
        <v>2755000.0000000005</v>
      </c>
    </row>
    <row r="69" spans="2:9" x14ac:dyDescent="0.25">
      <c r="B69" s="95" t="s">
        <v>10</v>
      </c>
      <c r="C69" s="108">
        <v>0</v>
      </c>
      <c r="D69" s="108">
        <v>0</v>
      </c>
      <c r="E69" s="109">
        <f>Model!$D$25*(Model!$D$17/C29+Model!$E$17)*Model!$D$24</f>
        <v>356258.50077279762</v>
      </c>
    </row>
    <row r="70" spans="2:9" ht="13.5" thickBot="1" x14ac:dyDescent="0.35">
      <c r="B70" s="98" t="s">
        <v>91</v>
      </c>
      <c r="C70" s="99">
        <f>SUM(C66:C69)</f>
        <v>11346662.115384616</v>
      </c>
      <c r="D70" s="99">
        <f>SUM(D66:D69)</f>
        <v>7791703.8002919471</v>
      </c>
      <c r="E70" s="100">
        <f>SUM(E66:E69)</f>
        <v>8023180.3625323353</v>
      </c>
      <c r="G70" s="6"/>
      <c r="H70" s="6"/>
      <c r="I70" s="6"/>
    </row>
    <row r="71" spans="2:9" ht="13" x14ac:dyDescent="0.3">
      <c r="B71" s="130"/>
      <c r="C71" s="131" t="s">
        <v>101</v>
      </c>
      <c r="D71" s="131" t="s">
        <v>24</v>
      </c>
      <c r="E71" s="131" t="s">
        <v>18</v>
      </c>
      <c r="G71" s="6"/>
      <c r="H71" s="6"/>
      <c r="I71" s="6"/>
    </row>
    <row r="72" spans="2:9" x14ac:dyDescent="0.25">
      <c r="B72" s="129" t="s">
        <v>94</v>
      </c>
      <c r="C72" s="128">
        <f>(C43+C49+C55+C61+C67)/($C$46+$C$52+$C$58+$C$64+$N$44)</f>
        <v>0.35746195301793515</v>
      </c>
      <c r="D72" s="128">
        <f>(D43+D49+D55+D61+D67)/($D$46+$D$52+$D$58+$D$64+$D$70)</f>
        <v>4.8544873106105418E-2</v>
      </c>
      <c r="E72" s="128">
        <f>(E43+E49+E55+E61+E67)/($E$46+$E$52+$E$58+$E$64+$E$70)</f>
        <v>5.4092273754345013E-2</v>
      </c>
    </row>
    <row r="73" spans="2:9" x14ac:dyDescent="0.25">
      <c r="B73" s="1" t="s">
        <v>95</v>
      </c>
      <c r="C73" s="128">
        <f>(C44+C50+C56+C62+C68)/($C$46+$C$52+$C$58+$C$64+$N$44)</f>
        <v>0.25358361912702793</v>
      </c>
      <c r="D73" s="128">
        <f>(D44+D50+D56+D62+D68)/($D$46+$D$52+$D$58+$D$64+$D$70)</f>
        <v>0.23462145410525373</v>
      </c>
      <c r="E73" s="128">
        <f>(E44+E50+E56+E62+E68)/($E$46+$E$52+$E$58+$E$64+$E$70)</f>
        <v>0.34832596210120631</v>
      </c>
    </row>
    <row r="74" spans="2:9" ht="13" x14ac:dyDescent="0.3">
      <c r="B74" s="74" t="s">
        <v>92</v>
      </c>
      <c r="C74" s="124">
        <v>0.1</v>
      </c>
      <c r="F74" s="141"/>
    </row>
    <row r="75" spans="2:9" ht="13.5" thickBot="1" x14ac:dyDescent="0.35">
      <c r="B75" s="32" t="s">
        <v>38</v>
      </c>
      <c r="C75" s="32"/>
      <c r="D75" s="32"/>
      <c r="E75" s="32"/>
    </row>
    <row r="76" spans="2:9" ht="13" x14ac:dyDescent="0.3">
      <c r="B76" s="116"/>
      <c r="C76" s="117" t="s">
        <v>101</v>
      </c>
      <c r="D76" s="117" t="s">
        <v>24</v>
      </c>
      <c r="E76" s="118" t="s">
        <v>18</v>
      </c>
    </row>
    <row r="77" spans="2:9" x14ac:dyDescent="0.25">
      <c r="B77" s="119" t="s">
        <v>106</v>
      </c>
      <c r="C77" s="78">
        <f>C40+C46/(1+$C$74)+C52/(1+$C$74)^2+C58/(1+$C$74)^3+C64/(1+$C$74)^4+C70/(1+$C$74)^5</f>
        <v>43012776.623948067</v>
      </c>
      <c r="D77" s="78">
        <f>D40+D46/(1+$C$74)+D52/(1+$C$74)^2+D58/(1+$C$74)^3+D64/(1+$C$74)^4+D70/(1+$C$74)^5</f>
        <v>40015174.029199556</v>
      </c>
      <c r="E77" s="120">
        <f>E40+E46/(1+$C$74)+E52/(1+$C$74)^2+E58/(1+$C$74)^3+E64/(1+$C$74)^4+E70/(1+$C$74)^5</f>
        <v>41143952.950273097</v>
      </c>
    </row>
    <row r="78" spans="2:9" ht="13" thickBot="1" x14ac:dyDescent="0.3">
      <c r="B78" s="121" t="s">
        <v>107</v>
      </c>
      <c r="C78" s="122">
        <v>0</v>
      </c>
      <c r="D78" s="122">
        <f>$C$77-D77</f>
        <v>2997602.5947485119</v>
      </c>
      <c r="E78" s="123">
        <f>$C$77-E77</f>
        <v>1868823.6736749709</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38"/>
  <sheetViews>
    <sheetView showGridLines="0" zoomScale="80" zoomScaleNormal="80" workbookViewId="0">
      <selection activeCell="B47" sqref="B47"/>
    </sheetView>
  </sheetViews>
  <sheetFormatPr defaultColWidth="9.1796875" defaultRowHeight="14.5" x14ac:dyDescent="0.35"/>
  <cols>
    <col min="1" max="1" width="6.81640625" style="7" customWidth="1"/>
    <col min="2" max="2" width="43.453125" style="7" customWidth="1"/>
    <col min="3" max="3" width="16.453125" style="7" customWidth="1"/>
    <col min="4" max="4" width="15.81640625" style="7" customWidth="1"/>
    <col min="5" max="5" width="17.1796875" style="7" customWidth="1"/>
    <col min="6" max="6" width="16.54296875" style="7" customWidth="1"/>
    <col min="7" max="7" width="17.26953125" style="7" customWidth="1"/>
    <col min="8" max="8" width="6" style="7" customWidth="1"/>
    <col min="9" max="16384" width="9.1796875" style="7"/>
  </cols>
  <sheetData>
    <row r="2" spans="1:8" s="1" customFormat="1" ht="13" x14ac:dyDescent="0.3">
      <c r="B2" s="32" t="s">
        <v>32</v>
      </c>
      <c r="C2" s="32"/>
      <c r="D2" s="32"/>
      <c r="E2" s="30"/>
    </row>
    <row r="3" spans="1:8" s="12" customFormat="1" x14ac:dyDescent="0.35">
      <c r="A3" s="7"/>
      <c r="B3" s="23" t="s">
        <v>40</v>
      </c>
      <c r="C3" s="66">
        <v>190</v>
      </c>
    </row>
    <row r="4" spans="1:8" s="12" customFormat="1" x14ac:dyDescent="0.35">
      <c r="A4" s="7"/>
      <c r="B4" s="23" t="s">
        <v>31</v>
      </c>
      <c r="C4" s="44">
        <v>26</v>
      </c>
    </row>
    <row r="5" spans="1:8" s="12" customFormat="1" x14ac:dyDescent="0.35">
      <c r="A5" s="7"/>
      <c r="C5" s="14"/>
    </row>
    <row r="6" spans="1:8" s="1" customFormat="1" ht="13" x14ac:dyDescent="0.3">
      <c r="B6" s="32" t="s">
        <v>53</v>
      </c>
      <c r="C6" s="32"/>
      <c r="D6" s="32"/>
      <c r="E6" s="30"/>
    </row>
    <row r="7" spans="1:8" s="12" customFormat="1" x14ac:dyDescent="0.35">
      <c r="A7" s="7"/>
      <c r="B7" s="55" t="s">
        <v>54</v>
      </c>
      <c r="C7" s="67">
        <v>2.2999999999999998</v>
      </c>
    </row>
    <row r="8" spans="1:8" s="12" customFormat="1" x14ac:dyDescent="0.35">
      <c r="A8" s="7"/>
      <c r="B8" s="55" t="s">
        <v>25</v>
      </c>
      <c r="C8" s="45">
        <v>26</v>
      </c>
    </row>
    <row r="9" spans="1:8" s="12" customFormat="1" x14ac:dyDescent="0.35">
      <c r="A9" s="7"/>
      <c r="B9" s="55"/>
      <c r="C9" s="26"/>
    </row>
    <row r="10" spans="1:8" s="12" customFormat="1" x14ac:dyDescent="0.35">
      <c r="A10" s="7"/>
      <c r="B10" s="28" t="s">
        <v>116</v>
      </c>
      <c r="C10" s="46" t="s">
        <v>16</v>
      </c>
      <c r="D10" s="56" t="s">
        <v>17</v>
      </c>
      <c r="F10" s="11"/>
    </row>
    <row r="11" spans="1:8" s="12" customFormat="1" x14ac:dyDescent="0.35">
      <c r="A11" s="7"/>
      <c r="B11" s="12" t="s">
        <v>19</v>
      </c>
      <c r="C11" s="43">
        <v>1636</v>
      </c>
      <c r="D11" s="43">
        <v>2261</v>
      </c>
      <c r="E11" s="16"/>
    </row>
    <row r="12" spans="1:8" s="12" customFormat="1" x14ac:dyDescent="0.35">
      <c r="A12" s="7"/>
      <c r="B12" s="12" t="s">
        <v>23</v>
      </c>
      <c r="C12" s="43">
        <v>2161</v>
      </c>
      <c r="D12" s="43">
        <v>1505</v>
      </c>
      <c r="E12" s="16"/>
    </row>
    <row r="13" spans="1:8" s="12" customFormat="1" x14ac:dyDescent="0.35">
      <c r="A13" s="7"/>
      <c r="B13" s="12" t="s">
        <v>21</v>
      </c>
      <c r="C13" s="43">
        <v>1267</v>
      </c>
      <c r="D13" s="43">
        <v>437</v>
      </c>
      <c r="E13" s="16"/>
    </row>
    <row r="14" spans="1:8" s="12" customFormat="1" x14ac:dyDescent="0.35">
      <c r="A14" s="7"/>
      <c r="C14" s="27"/>
      <c r="D14" s="27"/>
      <c r="E14" s="16"/>
      <c r="H14" s="16"/>
    </row>
    <row r="15" spans="1:8" s="1" customFormat="1" ht="13" x14ac:dyDescent="0.3">
      <c r="B15" s="32" t="s">
        <v>117</v>
      </c>
      <c r="C15" s="62" t="s">
        <v>118</v>
      </c>
      <c r="D15" s="32"/>
      <c r="E15" s="30"/>
    </row>
    <row r="16" spans="1:8" s="12" customFormat="1" x14ac:dyDescent="0.35">
      <c r="A16" s="7"/>
      <c r="B16" s="12" t="s">
        <v>19</v>
      </c>
      <c r="C16" s="47">
        <f>D22</f>
        <v>3650.0000000000005</v>
      </c>
      <c r="D16" s="27"/>
      <c r="E16" s="16"/>
      <c r="H16" s="16"/>
    </row>
    <row r="17" spans="1:8" s="12" customFormat="1" x14ac:dyDescent="0.35">
      <c r="A17" s="7"/>
      <c r="B17" s="12" t="s">
        <v>23</v>
      </c>
      <c r="C17" s="47">
        <f>D23</f>
        <v>7050.0000000000009</v>
      </c>
      <c r="D17" s="27"/>
      <c r="E17" s="16"/>
      <c r="H17" s="16"/>
    </row>
    <row r="18" spans="1:8" s="12" customFormat="1" x14ac:dyDescent="0.35">
      <c r="A18" s="7"/>
      <c r="B18" s="12" t="s">
        <v>21</v>
      </c>
      <c r="C18" s="47">
        <f>D24</f>
        <v>3800.0000000000005</v>
      </c>
    </row>
    <row r="20" spans="1:8" x14ac:dyDescent="0.35">
      <c r="B20" s="8" t="s">
        <v>26</v>
      </c>
      <c r="C20" s="9"/>
      <c r="D20" s="9"/>
      <c r="E20" s="9"/>
      <c r="F20" s="9"/>
      <c r="G20" s="9"/>
      <c r="H20" s="10"/>
    </row>
    <row r="21" spans="1:8" s="52" customFormat="1" ht="29" x14ac:dyDescent="0.35">
      <c r="B21" s="48"/>
      <c r="C21" s="49" t="s">
        <v>27</v>
      </c>
      <c r="D21" s="50" t="s">
        <v>28</v>
      </c>
      <c r="E21" s="50" t="s">
        <v>110</v>
      </c>
      <c r="F21" s="50" t="s">
        <v>29</v>
      </c>
      <c r="G21" s="50" t="s">
        <v>109</v>
      </c>
      <c r="H21" s="51"/>
    </row>
    <row r="22" spans="1:8" x14ac:dyDescent="0.35">
      <c r="B22" s="13"/>
      <c r="C22" s="12" t="s">
        <v>19</v>
      </c>
      <c r="D22" s="19">
        <v>3650.0000000000005</v>
      </c>
      <c r="E22" s="14">
        <f>D22/$C$8</f>
        <v>140.38461538461542</v>
      </c>
      <c r="F22" s="68">
        <f>E22*C11*$C$7</f>
        <v>528239.23076923087</v>
      </c>
      <c r="G22" s="68">
        <f>E22*D11*$C$7</f>
        <v>730042.11538461549</v>
      </c>
      <c r="H22" s="15"/>
    </row>
    <row r="23" spans="1:8" x14ac:dyDescent="0.35">
      <c r="B23" s="13"/>
      <c r="C23" s="12" t="s">
        <v>20</v>
      </c>
      <c r="D23" s="19">
        <v>7050.0000000000009</v>
      </c>
      <c r="E23" s="14">
        <f>D23/$C$8</f>
        <v>271.15384615384619</v>
      </c>
      <c r="F23" s="68">
        <f>E23*C12*$C$7</f>
        <v>1347715.9615384617</v>
      </c>
      <c r="G23" s="68">
        <f>E23*D12*$C$7</f>
        <v>938599.0384615385</v>
      </c>
      <c r="H23" s="15"/>
    </row>
    <row r="24" spans="1:8" x14ac:dyDescent="0.35">
      <c r="B24" s="13"/>
      <c r="C24" s="12" t="s">
        <v>21</v>
      </c>
      <c r="D24" s="20">
        <v>3800.0000000000005</v>
      </c>
      <c r="E24" s="14">
        <f>D24/$C$8</f>
        <v>146.15384615384616</v>
      </c>
      <c r="F24" s="68">
        <f>E24*C13*$C$7</f>
        <v>425906.92307692306</v>
      </c>
      <c r="G24" s="68">
        <f>E24*D13*$C$7</f>
        <v>146899.23076923078</v>
      </c>
      <c r="H24" s="15"/>
    </row>
    <row r="25" spans="1:8" x14ac:dyDescent="0.35">
      <c r="B25" s="13"/>
      <c r="C25" s="12"/>
      <c r="D25" s="16">
        <f t="shared" ref="D25" si="0">SUM(D22:D24)</f>
        <v>14500.000000000002</v>
      </c>
      <c r="E25" s="17">
        <f>SUM(E22:E24)</f>
        <v>557.69230769230774</v>
      </c>
      <c r="F25" s="63">
        <f>SUM(F22:F24)</f>
        <v>2301862.1153846155</v>
      </c>
      <c r="G25" s="63">
        <f>SUM(G22:G24)</f>
        <v>1815540.3846153847</v>
      </c>
      <c r="H25" s="15"/>
    </row>
    <row r="26" spans="1:8" x14ac:dyDescent="0.35">
      <c r="B26" s="24" t="s">
        <v>22</v>
      </c>
      <c r="C26" s="18"/>
      <c r="D26" s="25"/>
      <c r="E26" s="22"/>
      <c r="F26" s="64">
        <f>F25/D25</f>
        <v>158.74911140583552</v>
      </c>
      <c r="G26" s="64">
        <f>G25/D25</f>
        <v>125.20968169761272</v>
      </c>
      <c r="H26" s="29"/>
    </row>
    <row r="28" spans="1:8" x14ac:dyDescent="0.35">
      <c r="B28" s="5" t="s">
        <v>32</v>
      </c>
    </row>
    <row r="29" spans="1:8" x14ac:dyDescent="0.35">
      <c r="B29" t="s">
        <v>30</v>
      </c>
      <c r="C29" s="66">
        <v>190</v>
      </c>
    </row>
    <row r="30" spans="1:8" x14ac:dyDescent="0.35">
      <c r="B30" t="s">
        <v>31</v>
      </c>
      <c r="C30" s="44">
        <v>26</v>
      </c>
    </row>
    <row r="32" spans="1:8" x14ac:dyDescent="0.35">
      <c r="B32" t="s">
        <v>111</v>
      </c>
      <c r="C32" s="14">
        <f>D25</f>
        <v>14500.000000000002</v>
      </c>
    </row>
    <row r="33" spans="2:5" x14ac:dyDescent="0.35">
      <c r="B33" t="s">
        <v>112</v>
      </c>
      <c r="C33" s="65">
        <f>C29*C32</f>
        <v>2755000.0000000005</v>
      </c>
    </row>
    <row r="34" spans="2:5" x14ac:dyDescent="0.35">
      <c r="C34" s="14"/>
    </row>
    <row r="35" spans="2:5" x14ac:dyDescent="0.35">
      <c r="B35" s="5" t="s">
        <v>33</v>
      </c>
    </row>
    <row r="36" spans="2:5" x14ac:dyDescent="0.35">
      <c r="C36" s="69" t="s">
        <v>16</v>
      </c>
      <c r="D36" s="69" t="s">
        <v>17</v>
      </c>
      <c r="E36" s="69" t="s">
        <v>18</v>
      </c>
    </row>
    <row r="37" spans="2:5" x14ac:dyDescent="0.35">
      <c r="B37" s="71" t="s">
        <v>113</v>
      </c>
      <c r="C37" s="70">
        <f>F25</f>
        <v>2301862.1153846155</v>
      </c>
      <c r="D37" s="70">
        <f>G25</f>
        <v>1815540.3846153847</v>
      </c>
      <c r="E37" s="70">
        <f>C33</f>
        <v>2755000.0000000005</v>
      </c>
    </row>
    <row r="38" spans="2:5" x14ac:dyDescent="0.35">
      <c r="B38" s="71" t="s">
        <v>30</v>
      </c>
      <c r="C38" s="70">
        <f>C37/$C$32</f>
        <v>158.74911140583552</v>
      </c>
      <c r="D38" s="70">
        <f t="shared" ref="D38:E38" si="1">D37/$C$32</f>
        <v>125.20968169761272</v>
      </c>
      <c r="E38" s="70">
        <f t="shared" si="1"/>
        <v>190</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6"/>
  <sheetViews>
    <sheetView showGridLines="0" workbookViewId="0"/>
  </sheetViews>
  <sheetFormatPr defaultRowHeight="14.5" x14ac:dyDescent="0.35"/>
  <cols>
    <col min="2" max="2" width="9.81640625" customWidth="1"/>
    <col min="3" max="4" width="12.26953125" customWidth="1"/>
    <col min="5" max="5" width="6" customWidth="1"/>
    <col min="6" max="7" width="12.26953125" customWidth="1"/>
    <col min="8" max="8" width="5.26953125" customWidth="1"/>
    <col min="9" max="10" width="12.26953125" customWidth="1"/>
  </cols>
  <sheetData>
    <row r="1" spans="1:10" x14ac:dyDescent="0.35">
      <c r="A1" t="s">
        <v>35</v>
      </c>
    </row>
    <row r="3" spans="1:10" x14ac:dyDescent="0.35">
      <c r="D3" s="4"/>
      <c r="E3" s="4"/>
      <c r="F3" s="4"/>
      <c r="G3" s="4"/>
      <c r="H3" s="4"/>
    </row>
    <row r="4" spans="1:10" s="1" customFormat="1" ht="13" x14ac:dyDescent="0.3">
      <c r="B4" s="32" t="s">
        <v>41</v>
      </c>
      <c r="C4" s="33"/>
      <c r="D4" s="33"/>
      <c r="E4" s="33"/>
      <c r="F4" s="33"/>
      <c r="G4" s="33"/>
      <c r="H4" s="33"/>
      <c r="I4" s="33"/>
      <c r="J4" s="33"/>
    </row>
    <row r="5" spans="1:10" s="1" customFormat="1" ht="12.5" x14ac:dyDescent="0.25"/>
    <row r="6" spans="1:10" s="34" customFormat="1" ht="30" customHeight="1" x14ac:dyDescent="0.35">
      <c r="C6" s="137" t="s">
        <v>87</v>
      </c>
      <c r="D6" s="138"/>
      <c r="E6" s="57"/>
      <c r="F6" s="139" t="s">
        <v>88</v>
      </c>
      <c r="G6" s="139"/>
      <c r="I6" s="140" t="s">
        <v>114</v>
      </c>
      <c r="J6" s="140"/>
    </row>
    <row r="7" spans="1:10" s="1" customFormat="1" x14ac:dyDescent="0.35">
      <c r="B7" s="35" t="s">
        <v>37</v>
      </c>
      <c r="C7" s="134" t="s">
        <v>18</v>
      </c>
      <c r="D7" s="134" t="s">
        <v>24</v>
      </c>
      <c r="E7" s="107"/>
      <c r="F7" s="134" t="s">
        <v>18</v>
      </c>
      <c r="G7" s="134" t="s">
        <v>24</v>
      </c>
      <c r="I7" s="36" t="s">
        <v>18</v>
      </c>
      <c r="J7" s="36" t="s">
        <v>24</v>
      </c>
    </row>
    <row r="8" spans="1:10" s="34" customFormat="1" x14ac:dyDescent="0.35">
      <c r="B8" s="35"/>
      <c r="C8" s="37" t="s">
        <v>14</v>
      </c>
      <c r="D8" s="37" t="s">
        <v>39</v>
      </c>
      <c r="E8" s="37"/>
      <c r="F8" s="37" t="s">
        <v>14</v>
      </c>
      <c r="G8" s="37" t="s">
        <v>39</v>
      </c>
      <c r="I8" s="35"/>
      <c r="J8" s="35"/>
    </row>
    <row r="9" spans="1:10" s="1" customFormat="1" x14ac:dyDescent="0.35">
      <c r="B9">
        <v>1999</v>
      </c>
      <c r="C9" s="38">
        <v>649.5</v>
      </c>
      <c r="D9" s="38">
        <v>2392</v>
      </c>
      <c r="E9" s="38"/>
      <c r="F9" s="136">
        <f>C9*Model!$D$6/Model!$D$7</f>
        <v>3.7471153846153844</v>
      </c>
      <c r="G9" s="136">
        <f>D9*Model!$D$6/Model!$D$7</f>
        <v>13.8</v>
      </c>
      <c r="I9" s="53">
        <v>0</v>
      </c>
      <c r="J9" s="53">
        <v>0</v>
      </c>
    </row>
    <row r="10" spans="1:10" s="1" customFormat="1" x14ac:dyDescent="0.35">
      <c r="B10">
        <v>2000</v>
      </c>
      <c r="C10" s="38">
        <v>729.17</v>
      </c>
      <c r="D10" s="38">
        <v>2910.5</v>
      </c>
      <c r="E10" s="38"/>
      <c r="F10" s="136">
        <f>C10*Model!$D$6/Model!$D$7</f>
        <v>4.2067499999999995</v>
      </c>
      <c r="G10" s="136">
        <f>D10*Model!$D$6/Model!$D$7</f>
        <v>16.791346153846153</v>
      </c>
      <c r="I10" s="42">
        <f t="shared" ref="I10:I18" si="0">(C10-C9)/C9</f>
        <v>0.12266358737490371</v>
      </c>
      <c r="J10" s="42">
        <f t="shared" ref="J10:J18" si="1">(D10-D9)/D9</f>
        <v>0.21676421404682275</v>
      </c>
    </row>
    <row r="11" spans="1:10" s="1" customFormat="1" x14ac:dyDescent="0.35">
      <c r="B11">
        <v>2001</v>
      </c>
      <c r="C11" s="38">
        <v>814.5</v>
      </c>
      <c r="D11" s="38">
        <v>3367.6</v>
      </c>
      <c r="E11" s="38"/>
      <c r="F11" s="136">
        <f>C11*Model!$D$6/Model!$D$7</f>
        <v>4.6990384615384615</v>
      </c>
      <c r="G11" s="136">
        <f>D11*Model!$D$6/Model!$D$7</f>
        <v>19.428461538461537</v>
      </c>
      <c r="I11" s="42">
        <f t="shared" si="0"/>
        <v>0.11702346503558847</v>
      </c>
      <c r="J11" s="42">
        <f t="shared" si="1"/>
        <v>0.15705205291187077</v>
      </c>
    </row>
    <row r="12" spans="1:10" s="1" customFormat="1" x14ac:dyDescent="0.35">
      <c r="B12">
        <v>2002</v>
      </c>
      <c r="C12" s="38">
        <v>916.75</v>
      </c>
      <c r="D12" s="38">
        <v>3537.5</v>
      </c>
      <c r="E12" s="38"/>
      <c r="F12" s="136">
        <f>C12*Model!$D$6/Model!$D$7</f>
        <v>5.2889423076923077</v>
      </c>
      <c r="G12" s="136">
        <f>D12*Model!$D$6/Model!$D$7</f>
        <v>20.408653846153847</v>
      </c>
      <c r="I12" s="42">
        <f t="shared" si="0"/>
        <v>0.12553713934929406</v>
      </c>
      <c r="J12" s="42">
        <f t="shared" si="1"/>
        <v>5.045136001900466E-2</v>
      </c>
    </row>
    <row r="13" spans="1:10" s="1" customFormat="1" x14ac:dyDescent="0.35">
      <c r="B13">
        <v>2003</v>
      </c>
      <c r="C13" s="38">
        <v>1041.33</v>
      </c>
      <c r="D13" s="38">
        <v>3737.7</v>
      </c>
      <c r="E13" s="38"/>
      <c r="F13" s="136">
        <f>C13*Model!$D$6/Model!$D$7</f>
        <v>6.0076730769230764</v>
      </c>
      <c r="G13" s="136">
        <f>D13*Model!$D$6/Model!$D$7</f>
        <v>21.563653846153844</v>
      </c>
      <c r="I13" s="42">
        <f t="shared" si="0"/>
        <v>0.13589310062721563</v>
      </c>
      <c r="J13" s="42">
        <f t="shared" si="1"/>
        <v>5.6593639575971681E-2</v>
      </c>
    </row>
    <row r="14" spans="1:10" s="1" customFormat="1" x14ac:dyDescent="0.35">
      <c r="B14">
        <v>2004</v>
      </c>
      <c r="C14" s="38">
        <v>1169.42</v>
      </c>
      <c r="D14" s="38">
        <v>3858.8</v>
      </c>
      <c r="E14" s="38"/>
      <c r="F14" s="136">
        <f>C14*Model!$D$6/Model!$D$7</f>
        <v>6.7466538461538468</v>
      </c>
      <c r="G14" s="136">
        <f>D14*Model!$D$6/Model!$D$7</f>
        <v>22.262307692307694</v>
      </c>
      <c r="I14" s="42">
        <f t="shared" si="0"/>
        <v>0.12300615558948667</v>
      </c>
      <c r="J14" s="42">
        <f t="shared" si="1"/>
        <v>3.2399604034566813E-2</v>
      </c>
    </row>
    <row r="15" spans="1:10" s="1" customFormat="1" x14ac:dyDescent="0.35">
      <c r="B15">
        <v>2005</v>
      </c>
      <c r="C15" s="38">
        <v>1313.08</v>
      </c>
      <c r="D15" s="38">
        <f>(1+J14)*D14</f>
        <v>3983.8235920485868</v>
      </c>
      <c r="E15" s="38"/>
      <c r="F15" s="136">
        <f>C15*Model!$D$6/Model!$D$7</f>
        <v>7.5754615384615382</v>
      </c>
      <c r="G15" s="136">
        <f>D15*Model!$D$6/Model!$D$7</f>
        <v>22.983597646434156</v>
      </c>
      <c r="I15" s="42">
        <f t="shared" si="0"/>
        <v>0.12284722340989537</v>
      </c>
      <c r="J15" s="42">
        <f t="shared" si="1"/>
        <v>3.2399604034566855E-2</v>
      </c>
    </row>
    <row r="16" spans="1:10" s="1" customFormat="1" x14ac:dyDescent="0.35">
      <c r="B16">
        <v>2006</v>
      </c>
      <c r="C16" s="38">
        <v>1497.17</v>
      </c>
      <c r="D16" s="38">
        <f>(1+J15)*D15</f>
        <v>4112.8978989745265</v>
      </c>
      <c r="E16" s="38"/>
      <c r="F16" s="136">
        <f>C16*Model!$D$6/Model!$D$7</f>
        <v>8.6375192307692306</v>
      </c>
      <c r="G16" s="136">
        <f>D16*Model!$D$6/Model!$D$7</f>
        <v>23.728257109468423</v>
      </c>
      <c r="I16" s="42">
        <f t="shared" si="0"/>
        <v>0.1401970938556677</v>
      </c>
      <c r="J16" s="42">
        <f t="shared" si="1"/>
        <v>3.2399604034566779E-2</v>
      </c>
    </row>
    <row r="17" spans="1:10" s="1" customFormat="1" x14ac:dyDescent="0.35">
      <c r="B17">
        <v>2007</v>
      </c>
      <c r="C17" s="38">
        <v>1740.33</v>
      </c>
      <c r="D17" s="38">
        <f>(1+J16)*D16</f>
        <v>4246.1541623359035</v>
      </c>
      <c r="E17" s="38"/>
      <c r="F17" s="136">
        <f>C17*Model!$D$6/Model!$D$7</f>
        <v>10.040365384615384</v>
      </c>
      <c r="G17" s="136">
        <f>D17*Model!$D$6/Model!$D$7</f>
        <v>24.497043244245596</v>
      </c>
      <c r="I17" s="42">
        <f t="shared" si="0"/>
        <v>0.16241308602229529</v>
      </c>
      <c r="J17" s="42">
        <f t="shared" si="1"/>
        <v>3.2399604034566959E-2</v>
      </c>
    </row>
    <row r="18" spans="1:10" s="1" customFormat="1" x14ac:dyDescent="0.35">
      <c r="B18">
        <v>2008</v>
      </c>
      <c r="C18" s="38">
        <v>2016</v>
      </c>
      <c r="D18" s="38">
        <f>(1+J17)*D17</f>
        <v>4383.7278758653147</v>
      </c>
      <c r="E18" s="38"/>
      <c r="F18" s="136">
        <f>C18*Model!$D$6/Model!$D$7</f>
        <v>11.63076923076923</v>
      </c>
      <c r="G18" s="136">
        <f>D18*Model!$D$6/Model!$D$7</f>
        <v>25.290737745376813</v>
      </c>
      <c r="I18" s="42">
        <f t="shared" si="0"/>
        <v>0.15840099291513685</v>
      </c>
      <c r="J18" s="42">
        <f t="shared" si="1"/>
        <v>3.2399604034566855E-2</v>
      </c>
    </row>
    <row r="19" spans="1:10" s="1" customFormat="1" x14ac:dyDescent="0.35">
      <c r="B19" t="s">
        <v>55</v>
      </c>
      <c r="C19" s="38"/>
      <c r="D19" s="38"/>
      <c r="E19" s="38"/>
      <c r="F19" s="38"/>
      <c r="G19" s="38"/>
      <c r="I19" s="101">
        <f>AVERAGE(I10:I18)</f>
        <v>0.13422020490883155</v>
      </c>
      <c r="J19" s="101">
        <f>AVERAGE(J10:J18)</f>
        <v>7.1428809636278234E-2</v>
      </c>
    </row>
    <row r="20" spans="1:10" x14ac:dyDescent="0.35">
      <c r="B20" t="s">
        <v>56</v>
      </c>
      <c r="D20" s="38"/>
      <c r="E20" s="38"/>
      <c r="F20" s="38"/>
      <c r="G20" s="38"/>
      <c r="I20" s="101">
        <f>STDEV(I10:I19)</f>
        <v>1.5555811149134178E-2</v>
      </c>
      <c r="J20" s="101">
        <f>STDEV(J10:J19)</f>
        <v>6.3883791786227453E-2</v>
      </c>
    </row>
    <row r="21" spans="1:10" x14ac:dyDescent="0.35">
      <c r="D21" s="38"/>
      <c r="E21" s="38"/>
      <c r="F21" s="38"/>
      <c r="G21" s="38"/>
      <c r="I21" s="101"/>
      <c r="J21" s="101"/>
    </row>
    <row r="22" spans="1:10" ht="15" thickBot="1" x14ac:dyDescent="0.4">
      <c r="B22" s="5" t="s">
        <v>115</v>
      </c>
    </row>
    <row r="23" spans="1:10" ht="15" thickBot="1" x14ac:dyDescent="0.4">
      <c r="B23" s="135" t="s">
        <v>37</v>
      </c>
      <c r="C23" s="135" t="s">
        <v>49</v>
      </c>
      <c r="D23" s="135" t="s">
        <v>50</v>
      </c>
      <c r="E23" s="105"/>
      <c r="F23" s="105"/>
      <c r="G23" s="105"/>
    </row>
    <row r="24" spans="1:10" x14ac:dyDescent="0.35">
      <c r="B24" s="58">
        <v>2000</v>
      </c>
      <c r="C24" s="59">
        <v>8.2799999999999994</v>
      </c>
      <c r="D24" s="59">
        <v>9.34</v>
      </c>
      <c r="E24" s="59"/>
      <c r="F24" s="59"/>
      <c r="G24" s="59"/>
    </row>
    <row r="25" spans="1:10" x14ac:dyDescent="0.35">
      <c r="B25" s="58">
        <v>2001</v>
      </c>
      <c r="C25" s="59">
        <v>8.2799999999999994</v>
      </c>
      <c r="D25" s="59">
        <v>9.66</v>
      </c>
      <c r="E25" s="59"/>
      <c r="F25" s="59"/>
      <c r="G25" s="59"/>
    </row>
    <row r="26" spans="1:10" x14ac:dyDescent="0.35">
      <c r="B26" s="58">
        <v>2002</v>
      </c>
      <c r="C26" s="59">
        <v>8.2799999999999994</v>
      </c>
      <c r="D26" s="59">
        <v>10.8</v>
      </c>
      <c r="E26" s="59"/>
      <c r="F26" s="59"/>
      <c r="G26" s="59"/>
    </row>
    <row r="27" spans="1:10" x14ac:dyDescent="0.35">
      <c r="B27" s="58">
        <v>2003</v>
      </c>
      <c r="C27" s="59">
        <v>8.2799999999999994</v>
      </c>
      <c r="D27" s="59">
        <v>11.29</v>
      </c>
      <c r="E27" s="59"/>
      <c r="F27" s="59"/>
      <c r="G27" s="59"/>
    </row>
    <row r="28" spans="1:10" x14ac:dyDescent="0.35">
      <c r="B28" s="58">
        <v>2004</v>
      </c>
      <c r="C28" s="59">
        <v>9.19</v>
      </c>
      <c r="D28" s="59">
        <v>10.9</v>
      </c>
      <c r="E28" s="59"/>
      <c r="F28" s="59"/>
      <c r="G28" s="59"/>
    </row>
    <row r="29" spans="1:10" x14ac:dyDescent="0.35">
      <c r="A29">
        <v>1</v>
      </c>
      <c r="B29" s="58">
        <v>2005</v>
      </c>
      <c r="C29" s="59">
        <v>7.97</v>
      </c>
      <c r="D29" s="59">
        <v>10.9</v>
      </c>
      <c r="E29" s="59"/>
      <c r="F29" s="59"/>
      <c r="G29" s="59"/>
    </row>
    <row r="30" spans="1:10" x14ac:dyDescent="0.35">
      <c r="A30">
        <v>2</v>
      </c>
      <c r="B30" s="58">
        <v>2006</v>
      </c>
      <c r="C30" s="59">
        <v>7.61</v>
      </c>
      <c r="D30" s="59">
        <v>10.93</v>
      </c>
      <c r="E30" s="59"/>
      <c r="F30" s="59"/>
      <c r="G30" s="59"/>
    </row>
    <row r="31" spans="1:10" x14ac:dyDescent="0.35">
      <c r="A31">
        <v>3</v>
      </c>
      <c r="B31" s="58">
        <v>2007</v>
      </c>
      <c r="C31" s="59">
        <v>6.95</v>
      </c>
      <c r="D31" s="59">
        <v>11.16</v>
      </c>
      <c r="E31" s="59"/>
      <c r="F31" s="59"/>
      <c r="G31" s="59"/>
    </row>
    <row r="32" spans="1:10" x14ac:dyDescent="0.35">
      <c r="A32">
        <v>4</v>
      </c>
      <c r="B32" s="58">
        <v>2008</v>
      </c>
      <c r="C32" s="59">
        <v>6.83</v>
      </c>
      <c r="D32" s="59">
        <v>13.5</v>
      </c>
      <c r="E32" s="59"/>
      <c r="F32" s="59"/>
      <c r="G32" s="59"/>
    </row>
    <row r="33" spans="1:7" x14ac:dyDescent="0.35">
      <c r="A33">
        <v>5</v>
      </c>
      <c r="B33" s="58">
        <v>2009</v>
      </c>
      <c r="C33" s="59">
        <v>6.77</v>
      </c>
      <c r="D33" s="59">
        <v>12.63</v>
      </c>
      <c r="E33" s="59"/>
      <c r="F33" s="59"/>
      <c r="G33" s="59"/>
    </row>
    <row r="34" spans="1:7" ht="15" thickBot="1" x14ac:dyDescent="0.4">
      <c r="A34">
        <v>6</v>
      </c>
      <c r="B34" s="60">
        <v>2010</v>
      </c>
      <c r="C34" s="61">
        <v>6.65</v>
      </c>
      <c r="D34" s="61">
        <v>12.4</v>
      </c>
      <c r="E34" s="106"/>
      <c r="F34" s="106"/>
      <c r="G34" s="106"/>
    </row>
    <row r="35" spans="1:7" x14ac:dyDescent="0.35">
      <c r="A35" t="s">
        <v>57</v>
      </c>
      <c r="C35" s="88">
        <f>'CNY Regression'!B17+'CNY Regression'!B18*6</f>
        <v>6.4699999999999989</v>
      </c>
      <c r="D35">
        <f>AVERAGE(D29:D34)</f>
        <v>11.92</v>
      </c>
    </row>
    <row r="36" spans="1:7" x14ac:dyDescent="0.35">
      <c r="A36" t="s">
        <v>58</v>
      </c>
      <c r="D36" s="83">
        <f>STDEV(D29:D34)</f>
        <v>1.0797221864905806</v>
      </c>
      <c r="E36" s="83"/>
      <c r="F36" s="83"/>
      <c r="G36" s="83"/>
    </row>
  </sheetData>
  <mergeCells count="3">
    <mergeCell ref="C6:D6"/>
    <mergeCell ref="F6:G6"/>
    <mergeCell ref="I6:J6"/>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A20" sqref="A20"/>
    </sheetView>
  </sheetViews>
  <sheetFormatPr defaultRowHeight="14.5" x14ac:dyDescent="0.35"/>
  <cols>
    <col min="1" max="1" width="17.1796875" customWidth="1"/>
    <col min="2" max="2" width="11.7265625" customWidth="1"/>
    <col min="3" max="3" width="15.453125" customWidth="1"/>
    <col min="6" max="6" width="12.7265625" customWidth="1"/>
    <col min="7" max="7" width="12.54296875" customWidth="1"/>
    <col min="8" max="8" width="11.54296875" customWidth="1"/>
    <col min="9" max="9" width="11.81640625" customWidth="1"/>
  </cols>
  <sheetData>
    <row r="1" spans="1:9" x14ac:dyDescent="0.35">
      <c r="A1" t="s">
        <v>120</v>
      </c>
    </row>
    <row r="2" spans="1:9" ht="15" thickBot="1" x14ac:dyDescent="0.4"/>
    <row r="3" spans="1:9" x14ac:dyDescent="0.35">
      <c r="A3" s="87" t="s">
        <v>59</v>
      </c>
      <c r="B3" s="87"/>
    </row>
    <row r="4" spans="1:9" x14ac:dyDescent="0.35">
      <c r="A4" s="84" t="s">
        <v>60</v>
      </c>
      <c r="B4" s="84">
        <v>0.92730711048571191</v>
      </c>
    </row>
    <row r="5" spans="1:9" x14ac:dyDescent="0.35">
      <c r="A5" s="84" t="s">
        <v>61</v>
      </c>
      <c r="B5" s="84">
        <v>0.85989847715736034</v>
      </c>
    </row>
    <row r="6" spans="1:9" x14ac:dyDescent="0.35">
      <c r="A6" s="84" t="s">
        <v>62</v>
      </c>
      <c r="B6" s="84">
        <v>0.82487309644670037</v>
      </c>
    </row>
    <row r="7" spans="1:9" x14ac:dyDescent="0.35">
      <c r="A7" s="84" t="s">
        <v>63</v>
      </c>
      <c r="B7" s="84">
        <v>0.22289010745208049</v>
      </c>
    </row>
    <row r="8" spans="1:9" ht="15" thickBot="1" x14ac:dyDescent="0.4">
      <c r="A8" s="85" t="s">
        <v>64</v>
      </c>
      <c r="B8" s="85">
        <v>6</v>
      </c>
    </row>
    <row r="10" spans="1:9" ht="15" thickBot="1" x14ac:dyDescent="0.4">
      <c r="A10" t="s">
        <v>65</v>
      </c>
    </row>
    <row r="11" spans="1:9" x14ac:dyDescent="0.35">
      <c r="A11" s="86"/>
      <c r="B11" s="86" t="s">
        <v>70</v>
      </c>
      <c r="C11" s="86" t="s">
        <v>71</v>
      </c>
      <c r="D11" s="86" t="s">
        <v>72</v>
      </c>
      <c r="E11" s="86" t="s">
        <v>73</v>
      </c>
      <c r="F11" s="86" t="s">
        <v>74</v>
      </c>
    </row>
    <row r="12" spans="1:9" x14ac:dyDescent="0.35">
      <c r="A12" s="84" t="s">
        <v>66</v>
      </c>
      <c r="B12" s="84">
        <v>1</v>
      </c>
      <c r="C12" s="84">
        <v>1.2196799999999997</v>
      </c>
      <c r="D12" s="84">
        <v>1.2196799999999997</v>
      </c>
      <c r="E12" s="84">
        <v>24.55072463768116</v>
      </c>
      <c r="F12" s="84">
        <v>7.7343203527021681E-3</v>
      </c>
    </row>
    <row r="13" spans="1:9" x14ac:dyDescent="0.35">
      <c r="A13" s="84" t="s">
        <v>67</v>
      </c>
      <c r="B13" s="84">
        <v>4</v>
      </c>
      <c r="C13" s="84">
        <v>0.19871999999999992</v>
      </c>
      <c r="D13" s="84">
        <v>4.9679999999999981E-2</v>
      </c>
      <c r="E13" s="84"/>
      <c r="F13" s="84"/>
    </row>
    <row r="14" spans="1:9" ht="15" thickBot="1" x14ac:dyDescent="0.4">
      <c r="A14" s="85" t="s">
        <v>68</v>
      </c>
      <c r="B14" s="85">
        <v>5</v>
      </c>
      <c r="C14" s="85">
        <v>1.4183999999999997</v>
      </c>
      <c r="D14" s="85"/>
      <c r="E14" s="85"/>
      <c r="F14" s="85"/>
    </row>
    <row r="15" spans="1:9" ht="15" thickBot="1" x14ac:dyDescent="0.4"/>
    <row r="16" spans="1:9" x14ac:dyDescent="0.35">
      <c r="A16" s="86"/>
      <c r="B16" s="86" t="s">
        <v>75</v>
      </c>
      <c r="C16" s="86" t="s">
        <v>63</v>
      </c>
      <c r="D16" s="86" t="s">
        <v>76</v>
      </c>
      <c r="E16" s="86" t="s">
        <v>77</v>
      </c>
      <c r="F16" s="86" t="s">
        <v>78</v>
      </c>
      <c r="G16" s="86" t="s">
        <v>79</v>
      </c>
      <c r="H16" s="86" t="s">
        <v>80</v>
      </c>
      <c r="I16" s="86" t="s">
        <v>81</v>
      </c>
    </row>
    <row r="17" spans="1:9" x14ac:dyDescent="0.35">
      <c r="A17" s="84" t="s">
        <v>69</v>
      </c>
      <c r="B17" s="84">
        <v>8.0539999999999985</v>
      </c>
      <c r="C17" s="84">
        <v>0.20749939758948696</v>
      </c>
      <c r="D17" s="84">
        <v>38.814570517134158</v>
      </c>
      <c r="E17" s="84">
        <v>2.6317993273534196E-6</v>
      </c>
      <c r="F17" s="84">
        <v>7.4778893132631294</v>
      </c>
      <c r="G17" s="84">
        <v>8.6301106867368667</v>
      </c>
      <c r="H17" s="84">
        <v>7.4778893132631294</v>
      </c>
      <c r="I17" s="84">
        <v>8.6301106867368667</v>
      </c>
    </row>
    <row r="18" spans="1:9" ht="15" thickBot="1" x14ac:dyDescent="0.4">
      <c r="A18" s="85" t="s">
        <v>82</v>
      </c>
      <c r="B18" s="85">
        <v>-0.2639999999999999</v>
      </c>
      <c r="C18" s="85">
        <v>5.3280926632868743E-2</v>
      </c>
      <c r="D18" s="85">
        <v>-4.954868781075958</v>
      </c>
      <c r="E18" s="85">
        <v>7.734320352702175E-3</v>
      </c>
      <c r="F18" s="85">
        <v>-0.41193156794202634</v>
      </c>
      <c r="G18" s="85">
        <v>-0.11606843205797349</v>
      </c>
      <c r="H18" s="85">
        <v>-0.41193156794202634</v>
      </c>
      <c r="I18" s="85">
        <v>-0.11606843205797349</v>
      </c>
    </row>
    <row r="20" spans="1:9" x14ac:dyDescent="0.35">
      <c r="A20"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vt:lpstr>
      <vt:lpstr>Model</vt:lpstr>
      <vt:lpstr>Transportation Costs</vt:lpstr>
      <vt:lpstr>Labor &amp; Exchange Rate Exhibit</vt:lpstr>
      <vt:lpstr>CNY Regression</vt:lpstr>
    </vt:vector>
  </TitlesOfParts>
  <Company>Lenovo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Stephane Lhoste</dc:creator>
  <cp:lastModifiedBy>Sunil Chopra</cp:lastModifiedBy>
  <dcterms:created xsi:type="dcterms:W3CDTF">2011-11-15T01:38:54Z</dcterms:created>
  <dcterms:modified xsi:type="dcterms:W3CDTF">2017-10-18T14:45:13Z</dcterms:modified>
</cp:coreProperties>
</file>