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Q-1" sheetId="1" r:id="rId1"/>
    <sheet name="Q-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3" i="2" l="1"/>
  <c r="L12" i="2"/>
  <c r="M36" i="2"/>
  <c r="L36" i="2"/>
  <c r="K36" i="2"/>
  <c r="M32" i="2"/>
  <c r="M31" i="2"/>
  <c r="L32" i="2"/>
  <c r="L31" i="2"/>
  <c r="K32" i="2"/>
  <c r="K31" i="2"/>
  <c r="L26" i="2"/>
  <c r="L25" i="2"/>
  <c r="L24" i="2"/>
  <c r="K25" i="2"/>
  <c r="K26" i="2"/>
  <c r="K24" i="2"/>
  <c r="M18" i="2"/>
  <c r="K18" i="2"/>
  <c r="M13" i="2"/>
  <c r="M12" i="2"/>
  <c r="K13" i="2"/>
  <c r="K12" i="2"/>
  <c r="L6" i="2"/>
  <c r="L7" i="2"/>
  <c r="L5" i="2"/>
  <c r="K6" i="2"/>
  <c r="K7" i="2"/>
  <c r="K5" i="2"/>
  <c r="M4" i="1" l="1"/>
  <c r="L4" i="1"/>
  <c r="K4" i="1"/>
  <c r="L40" i="1" l="1"/>
  <c r="L36" i="1"/>
  <c r="L35" i="1"/>
  <c r="M30" i="1"/>
  <c r="M29" i="1"/>
  <c r="N29" i="1" s="1"/>
  <c r="M28" i="1"/>
  <c r="M27" i="1"/>
  <c r="M26" i="1"/>
  <c r="N27" i="1"/>
  <c r="N26" i="1"/>
  <c r="K27" i="1"/>
  <c r="K26" i="1"/>
  <c r="N31" i="1"/>
  <c r="N30" i="1"/>
  <c r="N28" i="1"/>
  <c r="M31" i="1"/>
  <c r="K31" i="1"/>
  <c r="K30" i="1"/>
  <c r="K29" i="1"/>
  <c r="K28" i="1"/>
  <c r="L20" i="1"/>
  <c r="K20" i="1"/>
  <c r="K36" i="1" l="1"/>
  <c r="K35" i="1"/>
  <c r="K40" i="1"/>
  <c r="L9" i="1"/>
  <c r="K9" i="1"/>
  <c r="M9" i="1" s="1"/>
  <c r="L8" i="1"/>
  <c r="K8" i="1"/>
  <c r="M8" i="1" s="1"/>
  <c r="M7" i="1"/>
  <c r="L7" i="1"/>
  <c r="K7" i="1"/>
  <c r="L6" i="1"/>
  <c r="M6" i="1" s="1"/>
  <c r="K6" i="1"/>
  <c r="L5" i="1"/>
  <c r="K5" i="1"/>
  <c r="M5" i="1" s="1"/>
  <c r="K14" i="1"/>
  <c r="L14" i="1" s="1"/>
  <c r="K15" i="1" l="1"/>
  <c r="L15" i="1" s="1"/>
</calcChain>
</file>

<file path=xl/sharedStrings.xml><?xml version="1.0" encoding="utf-8"?>
<sst xmlns="http://schemas.openxmlformats.org/spreadsheetml/2006/main" count="94" uniqueCount="48">
  <si>
    <t>Moon Micro Decision Analysis</t>
  </si>
  <si>
    <t xml:space="preserve">Cuurent demand </t>
  </si>
  <si>
    <t>Revenue</t>
  </si>
  <si>
    <t>per server</t>
  </si>
  <si>
    <t>Santa clara plant</t>
  </si>
  <si>
    <t>Expense</t>
  </si>
  <si>
    <t xml:space="preserve">Molectron </t>
  </si>
  <si>
    <t>Period 2 Calculation for Molectron</t>
  </si>
  <si>
    <t>Node</t>
  </si>
  <si>
    <t>Reveue</t>
  </si>
  <si>
    <t>Cost</t>
  </si>
  <si>
    <t>Profit</t>
  </si>
  <si>
    <t>D = 12500, P=12000</t>
  </si>
  <si>
    <t>D = 12500, P=10000</t>
  </si>
  <si>
    <t>D = 5000, P=12000</t>
  </si>
  <si>
    <t>D = 5000, P= 10000</t>
  </si>
  <si>
    <t>D = 0, P= 12000</t>
  </si>
  <si>
    <t>D = 0, P= 10000</t>
  </si>
  <si>
    <t>Period 1 Calculation for Molectron</t>
  </si>
  <si>
    <t>D = 5000, P = $10,000</t>
  </si>
  <si>
    <t>D = 0 , P = $10,000</t>
  </si>
  <si>
    <t>EP</t>
  </si>
  <si>
    <t xml:space="preserve">Profit </t>
  </si>
  <si>
    <t>Period 0 Calculation for Molectron</t>
  </si>
  <si>
    <t>D = 0, P = 10000</t>
  </si>
  <si>
    <t>Molectron expense</t>
  </si>
  <si>
    <t>Cost(Santa Clara)</t>
  </si>
  <si>
    <t>-</t>
  </si>
  <si>
    <t>Period 2 Calculation for Santa Clara</t>
  </si>
  <si>
    <t>Period 1 Calculation for Santa Clara</t>
  </si>
  <si>
    <t>Period 0 Calculation for Santa Clara</t>
  </si>
  <si>
    <t xml:space="preserve"> </t>
  </si>
  <si>
    <t>Unipart Case study</t>
  </si>
  <si>
    <t xml:space="preserve">Expense </t>
  </si>
  <si>
    <t>Parts4u.com</t>
  </si>
  <si>
    <t>Commission</t>
  </si>
  <si>
    <t>MRO</t>
  </si>
  <si>
    <t xml:space="preserve">Spend </t>
  </si>
  <si>
    <t>Total spending</t>
  </si>
  <si>
    <t>Second year node calculations Parts4u</t>
  </si>
  <si>
    <t>First year calculations Parts4u</t>
  </si>
  <si>
    <t xml:space="preserve">Expexted Spend </t>
  </si>
  <si>
    <t xml:space="preserve">Total spending </t>
  </si>
  <si>
    <t>Starting of the year calculations Parts4u</t>
  </si>
  <si>
    <t xml:space="preserve">Expected Spend </t>
  </si>
  <si>
    <t>Second year node calculations MRO</t>
  </si>
  <si>
    <t>First year calculations MRO</t>
  </si>
  <si>
    <t>Starting of the year calculations MRO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</si>
</sst>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_);_(@_)"/>
    <numFmt numFmtId="166" formatCode="_(&quot;$&quot;* #,##0_);_(&quot;$&quot;* \(#,##0\);_(&quot;$&quot;* &quot;-&quot;?_);_(@_)"/>
    <numFmt numFmtId="167" formatCode="&quot;$&quot;#,##0.0"/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2" fillId="0" borderId="0" xfId="0" applyFont="1"/>
    <xf numFmtId="6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Border="1"/>
    <xf numFmtId="0" fontId="0" fillId="0" borderId="19" xfId="0" applyBorder="1"/>
    <xf numFmtId="166" fontId="0" fillId="0" borderId="17" xfId="0" applyNumberFormat="1" applyBorder="1"/>
    <xf numFmtId="164" fontId="0" fillId="0" borderId="20" xfId="0" applyNumberFormat="1" applyBorder="1"/>
    <xf numFmtId="166" fontId="0" fillId="0" borderId="18" xfId="0" applyNumberFormat="1" applyBorder="1"/>
    <xf numFmtId="164" fontId="0" fillId="0" borderId="21" xfId="0" applyNumberFormat="1" applyBorder="1"/>
    <xf numFmtId="164" fontId="0" fillId="0" borderId="0" xfId="0" applyNumberFormat="1"/>
    <xf numFmtId="0" fontId="2" fillId="0" borderId="25" xfId="0" applyFont="1" applyBorder="1" applyAlignment="1">
      <alignment horizontal="left"/>
    </xf>
    <xf numFmtId="164" fontId="0" fillId="0" borderId="0" xfId="0" applyNumberFormat="1" applyBorder="1"/>
    <xf numFmtId="164" fontId="0" fillId="0" borderId="0" xfId="1" applyNumberFormat="1" applyFont="1" applyBorder="1"/>
    <xf numFmtId="164" fontId="0" fillId="0" borderId="26" xfId="0" applyNumberFormat="1" applyBorder="1"/>
    <xf numFmtId="44" fontId="0" fillId="0" borderId="0" xfId="1" applyFont="1" applyBorder="1" applyAlignment="1">
      <alignment horizontal="center"/>
    </xf>
    <xf numFmtId="44" fontId="0" fillId="0" borderId="0" xfId="1" applyFont="1" applyBorder="1"/>
    <xf numFmtId="0" fontId="2" fillId="0" borderId="19" xfId="0" applyFont="1" applyBorder="1" applyAlignment="1">
      <alignment horizontal="left"/>
    </xf>
    <xf numFmtId="44" fontId="0" fillId="0" borderId="20" xfId="1" applyFont="1" applyBorder="1"/>
    <xf numFmtId="44" fontId="0" fillId="0" borderId="20" xfId="1" applyFont="1" applyBorder="1" applyAlignment="1">
      <alignment horizontal="center"/>
    </xf>
    <xf numFmtId="164" fontId="0" fillId="0" borderId="20" xfId="1" applyNumberFormat="1" applyFont="1" applyBorder="1"/>
    <xf numFmtId="168" fontId="0" fillId="0" borderId="26" xfId="0" applyNumberFormat="1" applyBorder="1"/>
    <xf numFmtId="168" fontId="0" fillId="0" borderId="21" xfId="0" applyNumberFormat="1" applyBorder="1"/>
    <xf numFmtId="165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164" fontId="2" fillId="0" borderId="2" xfId="0" applyNumberFormat="1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1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2" xfId="1" applyNumberFormat="1" applyFont="1" applyBorder="1"/>
    <xf numFmtId="164" fontId="2" fillId="0" borderId="4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10</xdr:row>
      <xdr:rowOff>83820</xdr:rowOff>
    </xdr:from>
    <xdr:to>
      <xdr:col>5</xdr:col>
      <xdr:colOff>464820</xdr:colOff>
      <xdr:row>28</xdr:row>
      <xdr:rowOff>137159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1958340"/>
          <a:ext cx="4648200" cy="3428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8</xdr:row>
      <xdr:rowOff>129540</xdr:rowOff>
    </xdr:from>
    <xdr:to>
      <xdr:col>8</xdr:col>
      <xdr:colOff>183515</xdr:colOff>
      <xdr:row>28</xdr:row>
      <xdr:rowOff>6350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1691640"/>
          <a:ext cx="5281295" cy="358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G6" sqref="G6"/>
    </sheetView>
  </sheetViews>
  <sheetFormatPr defaultRowHeight="14.4" x14ac:dyDescent="0.3"/>
  <cols>
    <col min="1" max="1" width="15" bestFit="1" customWidth="1"/>
    <col min="2" max="2" width="17" bestFit="1" customWidth="1"/>
    <col min="3" max="4" width="11.33203125" customWidth="1"/>
    <col min="10" max="10" width="20" customWidth="1"/>
    <col min="11" max="11" width="18.5546875" customWidth="1"/>
    <col min="12" max="12" width="21.33203125" customWidth="1"/>
    <col min="13" max="13" width="15.77734375" customWidth="1"/>
    <col min="14" max="14" width="16.44140625" customWidth="1"/>
    <col min="15" max="15" width="12.109375" bestFit="1" customWidth="1"/>
  </cols>
  <sheetData>
    <row r="1" spans="1:13" ht="18.600000000000001" thickBot="1" x14ac:dyDescent="0.4">
      <c r="A1" s="50" t="s">
        <v>0</v>
      </c>
      <c r="B1" s="50"/>
      <c r="C1" s="50"/>
      <c r="D1" s="50"/>
      <c r="E1" s="50"/>
    </row>
    <row r="2" spans="1:13" ht="15" thickBot="1" x14ac:dyDescent="0.35">
      <c r="J2" s="51" t="s">
        <v>7</v>
      </c>
      <c r="K2" s="52"/>
      <c r="L2" s="52"/>
      <c r="M2" s="53"/>
    </row>
    <row r="3" spans="1:13" ht="15" thickBot="1" x14ac:dyDescent="0.35">
      <c r="A3" t="s">
        <v>1</v>
      </c>
      <c r="B3" s="1">
        <v>10000</v>
      </c>
      <c r="J3" s="19" t="s">
        <v>8</v>
      </c>
      <c r="K3" s="20" t="s">
        <v>9</v>
      </c>
      <c r="L3" s="20" t="s">
        <v>10</v>
      </c>
      <c r="M3" s="21" t="s">
        <v>11</v>
      </c>
    </row>
    <row r="4" spans="1:13" x14ac:dyDescent="0.3">
      <c r="A4" t="s">
        <v>2</v>
      </c>
      <c r="B4" s="2">
        <v>15000</v>
      </c>
      <c r="C4" t="s">
        <v>3</v>
      </c>
      <c r="J4" s="15" t="s">
        <v>12</v>
      </c>
      <c r="K4" s="16">
        <f>B4*12500</f>
        <v>187500000</v>
      </c>
      <c r="L4" s="17">
        <f>12000*12500</f>
        <v>150000000</v>
      </c>
      <c r="M4" s="18">
        <f>K4-L4</f>
        <v>37500000</v>
      </c>
    </row>
    <row r="5" spans="1:13" x14ac:dyDescent="0.3">
      <c r="A5" s="3" t="s">
        <v>4</v>
      </c>
      <c r="B5" s="3" t="s">
        <v>5</v>
      </c>
      <c r="J5" s="8" t="s">
        <v>13</v>
      </c>
      <c r="K5" s="5">
        <f>B4*12500</f>
        <v>187500000</v>
      </c>
      <c r="L5" s="6">
        <f>10000*12500</f>
        <v>125000000</v>
      </c>
      <c r="M5" s="9">
        <f t="shared" ref="M5:M9" si="0">K5-L5</f>
        <v>62500000</v>
      </c>
    </row>
    <row r="6" spans="1:13" x14ac:dyDescent="0.3">
      <c r="B6" s="2">
        <v>10000000</v>
      </c>
      <c r="J6" s="8" t="s">
        <v>14</v>
      </c>
      <c r="K6" s="5">
        <f>B4*5000</f>
        <v>75000000</v>
      </c>
      <c r="L6" s="6">
        <f>12000*5000</f>
        <v>60000000</v>
      </c>
      <c r="M6" s="9">
        <f t="shared" si="0"/>
        <v>15000000</v>
      </c>
    </row>
    <row r="7" spans="1:13" x14ac:dyDescent="0.3">
      <c r="B7" s="2">
        <v>500</v>
      </c>
      <c r="C7" t="s">
        <v>3</v>
      </c>
      <c r="J7" s="8" t="s">
        <v>15</v>
      </c>
      <c r="K7" s="5">
        <f>B4*5000</f>
        <v>75000000</v>
      </c>
      <c r="L7" s="6">
        <f>5000*10000</f>
        <v>50000000</v>
      </c>
      <c r="M7" s="9">
        <f t="shared" si="0"/>
        <v>25000000</v>
      </c>
    </row>
    <row r="8" spans="1:13" x14ac:dyDescent="0.3">
      <c r="A8" s="3" t="s">
        <v>6</v>
      </c>
      <c r="B8" s="3" t="s">
        <v>5</v>
      </c>
      <c r="J8" s="8" t="s">
        <v>16</v>
      </c>
      <c r="K8" s="5">
        <f>B4*0</f>
        <v>0</v>
      </c>
      <c r="L8" s="7">
        <f>12000*0</f>
        <v>0</v>
      </c>
      <c r="M8" s="10">
        <f t="shared" si="0"/>
        <v>0</v>
      </c>
    </row>
    <row r="9" spans="1:13" ht="15" thickBot="1" x14ac:dyDescent="0.35">
      <c r="B9" s="4">
        <v>10000</v>
      </c>
      <c r="C9" t="s">
        <v>3</v>
      </c>
      <c r="J9" s="11" t="s">
        <v>17</v>
      </c>
      <c r="K9" s="12">
        <f>B4*0</f>
        <v>0</v>
      </c>
      <c r="L9" s="13">
        <f>10000*0</f>
        <v>0</v>
      </c>
      <c r="M9" s="14">
        <f t="shared" si="0"/>
        <v>0</v>
      </c>
    </row>
    <row r="10" spans="1:13" x14ac:dyDescent="0.3">
      <c r="A10" s="3"/>
      <c r="B10" s="3"/>
      <c r="C10" s="3"/>
      <c r="D10" s="3"/>
    </row>
    <row r="11" spans="1:13" ht="15" thickBot="1" x14ac:dyDescent="0.35">
      <c r="B11" s="3"/>
    </row>
    <row r="12" spans="1:13" ht="15" thickBot="1" x14ac:dyDescent="0.35">
      <c r="B12" s="3"/>
      <c r="J12" s="47" t="s">
        <v>18</v>
      </c>
      <c r="K12" s="48"/>
      <c r="L12" s="49"/>
    </row>
    <row r="13" spans="1:13" ht="15" thickBot="1" x14ac:dyDescent="0.35">
      <c r="J13" s="19" t="s">
        <v>8</v>
      </c>
      <c r="K13" s="20" t="s">
        <v>21</v>
      </c>
      <c r="L13" s="21" t="s">
        <v>22</v>
      </c>
    </row>
    <row r="14" spans="1:13" x14ac:dyDescent="0.3">
      <c r="J14" s="22" t="s">
        <v>19</v>
      </c>
      <c r="K14" s="24">
        <f>0.4*(M4+M5)+0.2*(M6+M7)</f>
        <v>48000000</v>
      </c>
      <c r="L14" s="26">
        <f>(B4*5000)-(10000*5000)+K14</f>
        <v>73000000</v>
      </c>
    </row>
    <row r="15" spans="1:13" ht="15" thickBot="1" x14ac:dyDescent="0.35">
      <c r="J15" s="23" t="s">
        <v>20</v>
      </c>
      <c r="K15" s="25">
        <f>0.4*(M6+M7)+0.2*(M8+M9)</f>
        <v>16000000</v>
      </c>
      <c r="L15" s="27">
        <f>(B4*0)-(0*0)+K15</f>
        <v>16000000</v>
      </c>
    </row>
    <row r="17" spans="10:14" ht="15" thickBot="1" x14ac:dyDescent="0.35"/>
    <row r="18" spans="10:14" ht="15" thickBot="1" x14ac:dyDescent="0.35">
      <c r="J18" s="47" t="s">
        <v>23</v>
      </c>
      <c r="K18" s="48"/>
      <c r="L18" s="49"/>
    </row>
    <row r="19" spans="10:14" ht="15" thickBot="1" x14ac:dyDescent="0.35">
      <c r="J19" s="19" t="s">
        <v>8</v>
      </c>
      <c r="K19" s="20" t="s">
        <v>21</v>
      </c>
      <c r="L19" s="21" t="s">
        <v>22</v>
      </c>
    </row>
    <row r="20" spans="10:14" x14ac:dyDescent="0.3">
      <c r="J20" s="22" t="s">
        <v>24</v>
      </c>
      <c r="K20" s="24">
        <f>(0.8*L14)+(0.2*L15)</f>
        <v>61600000</v>
      </c>
      <c r="L20" s="26">
        <f>(0*B4)-(0*10000)+K20</f>
        <v>61600000</v>
      </c>
    </row>
    <row r="21" spans="10:14" ht="15" thickBot="1" x14ac:dyDescent="0.35">
      <c r="J21" s="23"/>
      <c r="K21" s="25"/>
      <c r="L21" s="27"/>
    </row>
    <row r="23" spans="10:14" ht="15" thickBot="1" x14ac:dyDescent="0.35"/>
    <row r="24" spans="10:14" ht="15" thickBot="1" x14ac:dyDescent="0.35">
      <c r="J24" s="44" t="s">
        <v>28</v>
      </c>
      <c r="K24" s="45"/>
      <c r="L24" s="45"/>
      <c r="M24" s="45"/>
      <c r="N24" s="46"/>
    </row>
    <row r="25" spans="10:14" ht="15" thickBot="1" x14ac:dyDescent="0.35">
      <c r="J25" s="19" t="s">
        <v>8</v>
      </c>
      <c r="K25" s="20" t="s">
        <v>9</v>
      </c>
      <c r="L25" s="20" t="s">
        <v>25</v>
      </c>
      <c r="M25" s="20" t="s">
        <v>26</v>
      </c>
      <c r="N25" s="21" t="s">
        <v>11</v>
      </c>
    </row>
    <row r="26" spans="10:14" x14ac:dyDescent="0.3">
      <c r="J26" s="29" t="s">
        <v>12</v>
      </c>
      <c r="K26" s="30">
        <f>B4*10000</f>
        <v>150000000</v>
      </c>
      <c r="L26" s="31"/>
      <c r="M26" s="31">
        <f>B6+(8500*10000)</f>
        <v>95000000</v>
      </c>
      <c r="N26" s="32">
        <f>K26-M26</f>
        <v>55000000</v>
      </c>
    </row>
    <row r="27" spans="10:14" x14ac:dyDescent="0.3">
      <c r="J27" s="29" t="s">
        <v>13</v>
      </c>
      <c r="K27" s="30">
        <f>B4*10000</f>
        <v>150000000</v>
      </c>
      <c r="L27" s="31"/>
      <c r="M27" s="31">
        <f>B6+(8500*10000)</f>
        <v>95000000</v>
      </c>
      <c r="N27" s="32">
        <f>K27-M27</f>
        <v>55000000</v>
      </c>
    </row>
    <row r="28" spans="10:14" x14ac:dyDescent="0.3">
      <c r="J28" s="29" t="s">
        <v>14</v>
      </c>
      <c r="K28" s="30">
        <f>B4*5000</f>
        <v>75000000</v>
      </c>
      <c r="L28" s="33" t="s">
        <v>27</v>
      </c>
      <c r="M28" s="31">
        <f>$B$6+(8500*5000)</f>
        <v>52500000</v>
      </c>
      <c r="N28" s="32">
        <f>K28-M28</f>
        <v>22500000</v>
      </c>
    </row>
    <row r="29" spans="10:14" x14ac:dyDescent="0.3">
      <c r="J29" s="29" t="s">
        <v>15</v>
      </c>
      <c r="K29" s="30">
        <f>B4*5000</f>
        <v>75000000</v>
      </c>
      <c r="L29" s="33" t="s">
        <v>27</v>
      </c>
      <c r="M29" s="31">
        <f>$B$6+(8500*5000)</f>
        <v>52500000</v>
      </c>
      <c r="N29" s="32">
        <f>K29-M29</f>
        <v>22500000</v>
      </c>
    </row>
    <row r="30" spans="10:14" x14ac:dyDescent="0.3">
      <c r="J30" s="29" t="s">
        <v>16</v>
      </c>
      <c r="K30" s="34">
        <f>0*15000</f>
        <v>0</v>
      </c>
      <c r="L30" s="33" t="s">
        <v>27</v>
      </c>
      <c r="M30" s="31">
        <f>B6</f>
        <v>10000000</v>
      </c>
      <c r="N30" s="39">
        <f>-M30</f>
        <v>-10000000</v>
      </c>
    </row>
    <row r="31" spans="10:14" ht="15" thickBot="1" x14ac:dyDescent="0.35">
      <c r="J31" s="35" t="s">
        <v>17</v>
      </c>
      <c r="K31" s="36">
        <f>0*15000</f>
        <v>0</v>
      </c>
      <c r="L31" s="37" t="s">
        <v>27</v>
      </c>
      <c r="M31" s="38">
        <f>B6</f>
        <v>10000000</v>
      </c>
      <c r="N31" s="40">
        <f>-M31</f>
        <v>-10000000</v>
      </c>
    </row>
    <row r="32" spans="10:14" ht="15" thickBot="1" x14ac:dyDescent="0.35"/>
    <row r="33" spans="10:15" ht="15" thickBot="1" x14ac:dyDescent="0.35">
      <c r="J33" s="47" t="s">
        <v>29</v>
      </c>
      <c r="K33" s="48"/>
      <c r="L33" s="49"/>
    </row>
    <row r="34" spans="10:15" ht="15" thickBot="1" x14ac:dyDescent="0.35">
      <c r="J34" s="19" t="s">
        <v>8</v>
      </c>
      <c r="K34" s="20" t="s">
        <v>21</v>
      </c>
      <c r="L34" s="21" t="s">
        <v>22</v>
      </c>
    </row>
    <row r="35" spans="10:15" x14ac:dyDescent="0.3">
      <c r="J35" s="22" t="s">
        <v>19</v>
      </c>
      <c r="K35" s="24">
        <f>0.4*(N26+N27)+0.2*(N28+N29)</f>
        <v>53000000</v>
      </c>
      <c r="L35" s="26">
        <f>(B4*5000)-B6-(8500*5000)+K35</f>
        <v>75500000</v>
      </c>
      <c r="N35" s="28"/>
      <c r="O35" s="42"/>
    </row>
    <row r="36" spans="10:15" ht="15" thickBot="1" x14ac:dyDescent="0.35">
      <c r="J36" s="23" t="s">
        <v>20</v>
      </c>
      <c r="K36" s="25">
        <f>0.4*(N28+N29)+0.2*(N30+N31)</f>
        <v>14000000</v>
      </c>
      <c r="L36" s="27">
        <f>(0*B4)-B6-(8500*0)+K36</f>
        <v>4000000</v>
      </c>
      <c r="N36" s="41"/>
      <c r="O36" s="43"/>
    </row>
    <row r="37" spans="10:15" ht="15" thickBot="1" x14ac:dyDescent="0.35"/>
    <row r="38" spans="10:15" ht="15" thickBot="1" x14ac:dyDescent="0.35">
      <c r="J38" s="47" t="s">
        <v>30</v>
      </c>
      <c r="K38" s="48"/>
      <c r="L38" s="49"/>
    </row>
    <row r="39" spans="10:15" ht="15" thickBot="1" x14ac:dyDescent="0.35">
      <c r="J39" s="19" t="s">
        <v>8</v>
      </c>
      <c r="K39" s="20" t="s">
        <v>21</v>
      </c>
      <c r="L39" s="21" t="s">
        <v>22</v>
      </c>
    </row>
    <row r="40" spans="10:15" x14ac:dyDescent="0.3">
      <c r="J40" s="22" t="s">
        <v>24</v>
      </c>
      <c r="K40" s="24">
        <f>(0.8*L35)+(0.2*L36)</f>
        <v>61200000</v>
      </c>
      <c r="L40" s="26">
        <f>(15000*0)-(8500*0)-B6+K40</f>
        <v>51200000</v>
      </c>
    </row>
    <row r="41" spans="10:15" ht="15" thickBot="1" x14ac:dyDescent="0.35">
      <c r="J41" s="23"/>
      <c r="K41" s="25"/>
      <c r="L41" s="27" t="s">
        <v>31</v>
      </c>
    </row>
  </sheetData>
  <mergeCells count="7">
    <mergeCell ref="J24:N24"/>
    <mergeCell ref="J33:L33"/>
    <mergeCell ref="J38:L38"/>
    <mergeCell ref="A1:E1"/>
    <mergeCell ref="J2:M2"/>
    <mergeCell ref="J12:L12"/>
    <mergeCell ref="J18:L1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G7" sqref="G7"/>
    </sheetView>
  </sheetViews>
  <sheetFormatPr defaultRowHeight="14.4" x14ac:dyDescent="0.3"/>
  <cols>
    <col min="1" max="1" width="10.88671875" bestFit="1" customWidth="1"/>
    <col min="2" max="2" width="13.6640625" bestFit="1" customWidth="1"/>
    <col min="10" max="10" width="17.77734375" customWidth="1"/>
    <col min="11" max="11" width="18.21875" customWidth="1"/>
    <col min="12" max="12" width="18.77734375" customWidth="1"/>
    <col min="13" max="13" width="16.109375" bestFit="1" customWidth="1"/>
  </cols>
  <sheetData>
    <row r="1" spans="1:13" ht="21" x14ac:dyDescent="0.4">
      <c r="A1" s="54" t="s">
        <v>32</v>
      </c>
      <c r="B1" s="54"/>
      <c r="C1" s="54"/>
      <c r="D1" s="54"/>
      <c r="E1" s="54"/>
      <c r="F1" s="54"/>
    </row>
    <row r="2" spans="1:13" ht="15" thickBot="1" x14ac:dyDescent="0.35"/>
    <row r="3" spans="1:13" x14ac:dyDescent="0.3">
      <c r="A3" s="3" t="s">
        <v>33</v>
      </c>
      <c r="B3" s="3" t="s">
        <v>34</v>
      </c>
      <c r="J3" s="56" t="s">
        <v>39</v>
      </c>
      <c r="K3" s="57"/>
      <c r="L3" s="58"/>
      <c r="M3" s="55"/>
    </row>
    <row r="4" spans="1:13" x14ac:dyDescent="0.3">
      <c r="A4" t="s">
        <v>35</v>
      </c>
      <c r="B4">
        <v>0.05</v>
      </c>
      <c r="J4" s="59" t="s">
        <v>37</v>
      </c>
      <c r="K4" s="60" t="s">
        <v>33</v>
      </c>
      <c r="L4" s="61" t="s">
        <v>38</v>
      </c>
    </row>
    <row r="5" spans="1:13" x14ac:dyDescent="0.3">
      <c r="A5" t="s">
        <v>36</v>
      </c>
      <c r="B5" s="2">
        <v>10000000</v>
      </c>
      <c r="J5" s="70">
        <v>150000000</v>
      </c>
      <c r="K5" s="64">
        <f>$B$4*J5</f>
        <v>7500000</v>
      </c>
      <c r="L5" s="65">
        <f>J5+K5</f>
        <v>157500000</v>
      </c>
    </row>
    <row r="6" spans="1:13" x14ac:dyDescent="0.3">
      <c r="A6" t="s">
        <v>35</v>
      </c>
      <c r="B6">
        <v>0.01</v>
      </c>
      <c r="J6" s="70">
        <v>135000000</v>
      </c>
      <c r="K6" s="64">
        <f t="shared" ref="K6:K7" si="0">$B$4*J6</f>
        <v>6750000</v>
      </c>
      <c r="L6" s="65">
        <f t="shared" ref="L6:L7" si="1">J6+K6</f>
        <v>141750000</v>
      </c>
    </row>
    <row r="7" spans="1:13" ht="15" thickBot="1" x14ac:dyDescent="0.35">
      <c r="J7" s="71">
        <v>121500000</v>
      </c>
      <c r="K7" s="68">
        <f t="shared" si="0"/>
        <v>6075000</v>
      </c>
      <c r="L7" s="69">
        <f t="shared" si="1"/>
        <v>127575000</v>
      </c>
    </row>
    <row r="9" spans="1:13" ht="15" thickBot="1" x14ac:dyDescent="0.35"/>
    <row r="10" spans="1:13" x14ac:dyDescent="0.3">
      <c r="J10" s="56" t="s">
        <v>40</v>
      </c>
      <c r="K10" s="57"/>
      <c r="L10" s="57"/>
      <c r="M10" s="58"/>
    </row>
    <row r="11" spans="1:13" x14ac:dyDescent="0.3">
      <c r="J11" s="59" t="s">
        <v>37</v>
      </c>
      <c r="K11" s="60" t="s">
        <v>41</v>
      </c>
      <c r="L11" s="60" t="s">
        <v>33</v>
      </c>
      <c r="M11" s="61" t="s">
        <v>42</v>
      </c>
    </row>
    <row r="12" spans="1:13" x14ac:dyDescent="0.3">
      <c r="J12" s="62">
        <v>150000000</v>
      </c>
      <c r="K12" s="63">
        <f>(0.5*(L5+L6))/1.2</f>
        <v>124687500</v>
      </c>
      <c r="L12" s="64">
        <f>B4*J12</f>
        <v>7500000</v>
      </c>
      <c r="M12" s="65">
        <f>J12+K12+L12</f>
        <v>282187500</v>
      </c>
    </row>
    <row r="13" spans="1:13" ht="15" thickBot="1" x14ac:dyDescent="0.35">
      <c r="J13" s="66">
        <v>135000000</v>
      </c>
      <c r="K13" s="67">
        <f>(0.5*(L6+L7))/1.2</f>
        <v>112218750</v>
      </c>
      <c r="L13" s="68">
        <f>B4*J13</f>
        <v>6750000</v>
      </c>
      <c r="M13" s="69">
        <f>J13+K13+L13</f>
        <v>253968750</v>
      </c>
    </row>
    <row r="15" spans="1:13" ht="15" thickBot="1" x14ac:dyDescent="0.35"/>
    <row r="16" spans="1:13" x14ac:dyDescent="0.3">
      <c r="J16" s="56" t="s">
        <v>43</v>
      </c>
      <c r="K16" s="57"/>
      <c r="L16" s="57"/>
      <c r="M16" s="58"/>
    </row>
    <row r="17" spans="10:13" x14ac:dyDescent="0.3">
      <c r="J17" s="8" t="s">
        <v>37</v>
      </c>
      <c r="K17" s="72" t="s">
        <v>44</v>
      </c>
      <c r="L17" s="72" t="s">
        <v>5</v>
      </c>
      <c r="M17" s="73" t="s">
        <v>38</v>
      </c>
    </row>
    <row r="18" spans="10:13" ht="15" thickBot="1" x14ac:dyDescent="0.35">
      <c r="J18" s="74">
        <v>0</v>
      </c>
      <c r="K18" s="13">
        <f>(0.75*M12+0.25*M13)/1.2</f>
        <v>229277343.75</v>
      </c>
      <c r="L18" s="13"/>
      <c r="M18" s="75">
        <f>K18</f>
        <v>229277343.75</v>
      </c>
    </row>
    <row r="21" spans="10:13" ht="15" thickBot="1" x14ac:dyDescent="0.35"/>
    <row r="22" spans="10:13" x14ac:dyDescent="0.3">
      <c r="J22" s="56" t="s">
        <v>45</v>
      </c>
      <c r="K22" s="57"/>
      <c r="L22" s="58"/>
    </row>
    <row r="23" spans="10:13" x14ac:dyDescent="0.3">
      <c r="J23" s="8" t="s">
        <v>37</v>
      </c>
      <c r="K23" s="72" t="s">
        <v>33</v>
      </c>
      <c r="L23" s="73" t="s">
        <v>38</v>
      </c>
    </row>
    <row r="24" spans="10:13" x14ac:dyDescent="0.3">
      <c r="J24" s="76">
        <v>150000000</v>
      </c>
      <c r="K24" s="5">
        <f>$B$6*J24</f>
        <v>1500000</v>
      </c>
      <c r="L24" s="9">
        <f>J24+K24</f>
        <v>151500000</v>
      </c>
    </row>
    <row r="25" spans="10:13" x14ac:dyDescent="0.3">
      <c r="J25" s="76">
        <v>135000000</v>
      </c>
      <c r="K25" s="5">
        <f t="shared" ref="K25:K26" si="2">$B$6*J25</f>
        <v>1350000</v>
      </c>
      <c r="L25" s="9">
        <f>J25+K25</f>
        <v>136350000</v>
      </c>
    </row>
    <row r="26" spans="10:13" ht="15" thickBot="1" x14ac:dyDescent="0.35">
      <c r="J26" s="77">
        <v>121500000</v>
      </c>
      <c r="K26" s="5">
        <f t="shared" si="2"/>
        <v>1215000</v>
      </c>
      <c r="L26" s="9">
        <f>J26+K26</f>
        <v>122715000</v>
      </c>
    </row>
    <row r="28" spans="10:13" ht="15" thickBot="1" x14ac:dyDescent="0.35"/>
    <row r="29" spans="10:13" x14ac:dyDescent="0.3">
      <c r="J29" s="56" t="s">
        <v>46</v>
      </c>
      <c r="K29" s="57"/>
      <c r="L29" s="57"/>
      <c r="M29" s="58"/>
    </row>
    <row r="30" spans="10:13" x14ac:dyDescent="0.3">
      <c r="J30" s="59" t="s">
        <v>37</v>
      </c>
      <c r="K30" s="60" t="s">
        <v>41</v>
      </c>
      <c r="L30" s="60" t="s">
        <v>33</v>
      </c>
      <c r="M30" s="61" t="s">
        <v>42</v>
      </c>
    </row>
    <row r="31" spans="10:13" x14ac:dyDescent="0.3">
      <c r="J31" s="62">
        <v>150000000</v>
      </c>
      <c r="K31" s="63">
        <f>(0.5*(L24+L25))/1.2</f>
        <v>119937500</v>
      </c>
      <c r="L31" s="64">
        <f>$B$6*J31</f>
        <v>1500000</v>
      </c>
      <c r="M31" s="65">
        <f>J31+K31+L31</f>
        <v>271437500</v>
      </c>
    </row>
    <row r="32" spans="10:13" ht="15" thickBot="1" x14ac:dyDescent="0.35">
      <c r="J32" s="66">
        <v>135000000</v>
      </c>
      <c r="K32" s="67">
        <f>(0.5*(L25+L26))/1.2</f>
        <v>107943750</v>
      </c>
      <c r="L32" s="64">
        <f>$B$6*J32</f>
        <v>1350000</v>
      </c>
      <c r="M32" s="65">
        <f>J32+K32+L32</f>
        <v>244293750</v>
      </c>
    </row>
    <row r="33" spans="10:13" ht="15" thickBot="1" x14ac:dyDescent="0.35"/>
    <row r="34" spans="10:13" x14ac:dyDescent="0.3">
      <c r="J34" s="56" t="s">
        <v>47</v>
      </c>
      <c r="K34" s="57"/>
      <c r="L34" s="57"/>
      <c r="M34" s="58"/>
    </row>
    <row r="35" spans="10:13" x14ac:dyDescent="0.3">
      <c r="J35" s="8" t="s">
        <v>37</v>
      </c>
      <c r="K35" s="72" t="s">
        <v>44</v>
      </c>
      <c r="L35" s="72" t="s">
        <v>5</v>
      </c>
      <c r="M35" s="73" t="s">
        <v>38</v>
      </c>
    </row>
    <row r="36" spans="10:13" ht="15" thickBot="1" x14ac:dyDescent="0.35">
      <c r="J36" s="74">
        <v>0</v>
      </c>
      <c r="K36" s="13">
        <f>(0.75*M31+0.25*M32)/1.2</f>
        <v>220542968.75</v>
      </c>
      <c r="L36" s="13">
        <f>B5</f>
        <v>10000000</v>
      </c>
      <c r="M36" s="75">
        <f>K36+L36</f>
        <v>230542968.75</v>
      </c>
    </row>
  </sheetData>
  <mergeCells count="7">
    <mergeCell ref="J16:M16"/>
    <mergeCell ref="J22:L22"/>
    <mergeCell ref="J29:M29"/>
    <mergeCell ref="J34:M34"/>
    <mergeCell ref="A1:F1"/>
    <mergeCell ref="J10:M10"/>
    <mergeCell ref="J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Q-1</vt:lpstr>
      <vt:lpstr>Q-2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2022-10-08T16:14:51Z</dcterms:created>
  <dcterms:modified xsi:type="dcterms:W3CDTF">2022-10-09T22:13:49Z</dcterms:modified>
</cp:coreProperties>
</file>