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isharifi/Desktop/"/>
    </mc:Choice>
  </mc:AlternateContent>
  <xr:revisionPtr revIDLastSave="0" documentId="13_ncr:1_{84D71DFB-883B-7E45-BBFF-488C417CE700}" xr6:coauthVersionLast="43" xr6:coauthVersionMax="43" xr10:uidLastSave="{00000000-0000-0000-0000-000000000000}"/>
  <bookViews>
    <workbookView xWindow="360" yWindow="760" windowWidth="24840" windowHeight="14320" xr2:uid="{1D2BB873-B0DF-7B42-9F61-8C0D2DB70E72}"/>
  </bookViews>
  <sheets>
    <sheet name="HW2" sheetId="3" r:id="rId1"/>
    <sheet name="Course self assessment" sheetId="1" r:id="rId2"/>
    <sheet name="self assessment-extr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8" i="3" l="1"/>
  <c r="K23" i="3"/>
  <c r="K12" i="3"/>
  <c r="K11" i="3"/>
  <c r="K10" i="3"/>
  <c r="K137" i="2"/>
  <c r="I123" i="2"/>
  <c r="D94" i="2"/>
  <c r="E86" i="2"/>
  <c r="E80" i="2"/>
  <c r="I80" i="2"/>
  <c r="J28" i="2"/>
  <c r="L153" i="1"/>
  <c r="L151" i="1"/>
  <c r="L149" i="1"/>
  <c r="L150" i="1"/>
  <c r="L148" i="1"/>
  <c r="L116" i="1"/>
  <c r="L108" i="1"/>
  <c r="K90" i="1"/>
  <c r="K77" i="1"/>
  <c r="M65" i="1"/>
  <c r="M64" i="1"/>
  <c r="K52" i="1"/>
  <c r="H17" i="1"/>
  <c r="H16" i="1"/>
  <c r="I6" i="1"/>
  <c r="I5" i="1"/>
  <c r="L44" i="3" l="1"/>
  <c r="K136" i="2"/>
  <c r="D132" i="2"/>
  <c r="J101" i="2"/>
  <c r="J100" i="2"/>
  <c r="I101" i="2"/>
  <c r="I100" i="2"/>
  <c r="C85" i="2"/>
  <c r="D152" i="1"/>
  <c r="L45" i="3"/>
  <c r="K91" i="1"/>
  <c r="K53" i="1"/>
  <c r="M66" i="1"/>
  <c r="K119" i="3" l="1"/>
  <c r="K121" i="3" s="1"/>
  <c r="M95" i="3"/>
  <c r="M85" i="3"/>
  <c r="M99" i="3" s="1"/>
  <c r="M102" i="3" s="1"/>
  <c r="U82" i="3" s="1"/>
  <c r="V85" i="3" s="1"/>
  <c r="V87" i="3" s="1"/>
  <c r="M112" i="3"/>
  <c r="O130" i="1"/>
  <c r="L42" i="3"/>
  <c r="K37" i="3"/>
  <c r="K38" i="3" s="1"/>
  <c r="K34" i="3"/>
  <c r="K35" i="3" s="1"/>
  <c r="K20" i="3"/>
  <c r="K21" i="3"/>
  <c r="K19" i="3"/>
  <c r="K18" i="3"/>
  <c r="K24" i="3"/>
  <c r="I124" i="2"/>
  <c r="D93" i="2"/>
  <c r="D92" i="2"/>
  <c r="E88" i="2"/>
  <c r="E82" i="2"/>
  <c r="E81" i="2"/>
  <c r="J69" i="2"/>
  <c r="J70" i="2" s="1"/>
  <c r="G64" i="2"/>
  <c r="J59" i="2"/>
  <c r="J56" i="2"/>
  <c r="J52" i="2"/>
  <c r="M35" i="2"/>
  <c r="M36" i="2" s="1"/>
  <c r="J30" i="2"/>
  <c r="J29" i="2"/>
  <c r="K5" i="2"/>
  <c r="K4" i="2"/>
  <c r="D24" i="2"/>
  <c r="L139" i="1"/>
  <c r="L138" i="1"/>
  <c r="O131" i="1"/>
  <c r="L135" i="1"/>
  <c r="L130" i="1"/>
  <c r="L134" i="1" s="1"/>
  <c r="L118" i="1"/>
  <c r="L105" i="1"/>
  <c r="L106" i="1" s="1"/>
  <c r="L102" i="1"/>
  <c r="K82" i="1"/>
  <c r="L83" i="1" s="1"/>
  <c r="K76" i="1"/>
  <c r="K51" i="1"/>
  <c r="D41" i="1"/>
  <c r="D40" i="1"/>
  <c r="D36" i="1"/>
  <c r="D37" i="1" s="1"/>
  <c r="H18" i="1" l="1"/>
  <c r="V89" i="3"/>
  <c r="K26" i="3"/>
  <c r="K27" i="3" s="1"/>
  <c r="E87" i="2"/>
  <c r="I86" i="2" s="1"/>
  <c r="K6" i="2"/>
  <c r="L136" i="1"/>
  <c r="L141" i="1" s="1"/>
  <c r="L120" i="1"/>
  <c r="D42" i="1"/>
  <c r="I39" i="1" s="1"/>
</calcChain>
</file>

<file path=xl/sharedStrings.xml><?xml version="1.0" encoding="utf-8"?>
<sst xmlns="http://schemas.openxmlformats.org/spreadsheetml/2006/main" count="530" uniqueCount="451">
  <si>
    <t>direct material</t>
  </si>
  <si>
    <t>direct labor</t>
  </si>
  <si>
    <t>overhead</t>
  </si>
  <si>
    <t>direct material decrease</t>
  </si>
  <si>
    <t>cost of good manufactured</t>
  </si>
  <si>
    <t>begnining WIP</t>
  </si>
  <si>
    <t>cost of good manugactured = mfg.costs incurred +B. WIP - E. WIP</t>
  </si>
  <si>
    <t>mfg. costs incurred</t>
  </si>
  <si>
    <t>E. WIP</t>
  </si>
  <si>
    <t>Mfg. Costs incurred =Direct material + Direct labor + Mfg. Overhead</t>
  </si>
  <si>
    <t>SA 1</t>
  </si>
  <si>
    <t>SA 2</t>
  </si>
  <si>
    <t xml:space="preserve">estimate: factory overhead </t>
  </si>
  <si>
    <t>Estimate: Direct labor hours for year</t>
  </si>
  <si>
    <t>actual: factory overhead</t>
  </si>
  <si>
    <t>overapplied or underapplied factory overhead</t>
  </si>
  <si>
    <t>?</t>
  </si>
  <si>
    <t>actual: direct labor hours</t>
  </si>
  <si>
    <t>OH Rate: Total OH Cost / Total Activity</t>
  </si>
  <si>
    <t>Allocated OH = OH Rate x Actual Activity</t>
  </si>
  <si>
    <t>Oh rate:</t>
  </si>
  <si>
    <t>allocated oh</t>
  </si>
  <si>
    <t>overapplied</t>
  </si>
  <si>
    <t>SA 3</t>
  </si>
  <si>
    <t>direct labor hours</t>
  </si>
  <si>
    <t>machine hours</t>
  </si>
  <si>
    <t>setups</t>
  </si>
  <si>
    <r>
      <t> </t>
    </r>
    <r>
      <rPr>
        <u/>
        <sz val="16"/>
        <color rgb="FF222222"/>
        <rFont val="Helvetica Neue"/>
        <family val="2"/>
      </rPr>
      <t>Overhead expenses</t>
    </r>
    <r>
      <rPr>
        <sz val="16"/>
        <color rgb="FF222222"/>
        <rFont val="Helvetica Neue"/>
        <family val="2"/>
      </rPr>
      <t>:           </t>
    </r>
    <r>
      <rPr>
        <u/>
        <sz val="16"/>
        <color rgb="FF222222"/>
        <rFont val="Helvetica Neue"/>
        <family val="2"/>
      </rPr>
      <t>Volume of activities:</t>
    </r>
  </si>
  <si>
    <t>              Machining center               $175,000                 25,000 machine hours</t>
  </si>
  <si>
    <r>
      <t>              Setup center                     </t>
    </r>
    <r>
      <rPr>
        <u/>
        <sz val="16"/>
        <color rgb="FF222222"/>
        <rFont val="Helvetica Neue"/>
        <family val="2"/>
      </rPr>
      <t>  66,000</t>
    </r>
    <r>
      <rPr>
        <sz val="16"/>
        <color rgb="FF222222"/>
        <rFont val="Helvetica Neue"/>
        <family val="2"/>
      </rPr>
      <t>                           100 setups</t>
    </r>
  </si>
  <si>
    <r>
      <t>              Total                                  </t>
    </r>
    <r>
      <rPr>
        <u/>
        <sz val="16"/>
        <color rgb="FF222222"/>
        <rFont val="Helvetica Neue"/>
        <family val="2"/>
      </rPr>
      <t>$241,000</t>
    </r>
    <r>
      <rPr>
        <sz val="16"/>
        <color rgb="FF222222"/>
        <rFont val="Helvetica Neue"/>
        <family val="2"/>
      </rPr>
      <t>                5,000 direct labor hours</t>
    </r>
  </si>
  <si>
    <t>OH rate</t>
  </si>
  <si>
    <t>cost volume based</t>
  </si>
  <si>
    <t>Direct labor hours</t>
  </si>
  <si>
    <t>using ABC</t>
  </si>
  <si>
    <t>machine oh</t>
  </si>
  <si>
    <t>setup oh</t>
  </si>
  <si>
    <t>total OH</t>
  </si>
  <si>
    <t>difference=</t>
  </si>
  <si>
    <t>SA 4</t>
  </si>
  <si>
    <t>inventory baseball</t>
  </si>
  <si>
    <t>price of above</t>
  </si>
  <si>
    <t>standard usage of number balls</t>
  </si>
  <si>
    <t>number of games july</t>
  </si>
  <si>
    <t>total standard cost allowed</t>
  </si>
  <si>
    <t>standard price</t>
  </si>
  <si>
    <t>total standard number of balls used</t>
  </si>
  <si>
    <t>Standard cost = standard price * standard quantity</t>
  </si>
  <si>
    <t>standar price</t>
  </si>
  <si>
    <t>Materials Price Variance (MPV) = AQ (AP – SP)</t>
  </si>
  <si>
    <t>Materials Quantity Variance (MQV) = SP (AQ – SQ)</t>
  </si>
  <si>
    <t>actual quantity (AQ)</t>
  </si>
  <si>
    <t>SA 4 - 2</t>
  </si>
  <si>
    <t>hours project budget</t>
  </si>
  <si>
    <t>AH actual number of hours =</t>
  </si>
  <si>
    <t>AR actual rate =</t>
  </si>
  <si>
    <t>Total cost variance = labor rate variance + labor efficiency variance.</t>
  </si>
  <si>
    <r>
      <t>•</t>
    </r>
    <r>
      <rPr>
        <sz val="20"/>
        <color rgb="FF000000"/>
        <rFont val="Calibri"/>
        <family val="2"/>
        <scheme val="minor"/>
      </rPr>
      <t>Labor Rate Variance (LRV) = AH (AR – SR)</t>
    </r>
  </si>
  <si>
    <r>
      <t>•</t>
    </r>
    <r>
      <rPr>
        <sz val="20"/>
        <color rgb="FF000000"/>
        <rFont val="Calibri"/>
        <family val="2"/>
        <scheme val="minor"/>
      </rPr>
      <t>Labor Efficiency Variance (LEV) = SR (AH – SH)</t>
    </r>
  </si>
  <si>
    <t>labor rate variance =</t>
  </si>
  <si>
    <t>SA 4 - 3</t>
  </si>
  <si>
    <t>total dental checkups</t>
  </si>
  <si>
    <t>standard checkup</t>
  </si>
  <si>
    <t>min</t>
  </si>
  <si>
    <t>standard rate</t>
  </si>
  <si>
    <t>per hour</t>
  </si>
  <si>
    <t>overtime basis</t>
  </si>
  <si>
    <t>actual labor rate</t>
  </si>
  <si>
    <t>LEV = SR (AH -SH)</t>
  </si>
  <si>
    <t>hours</t>
  </si>
  <si>
    <t xml:space="preserve">SH = </t>
  </si>
  <si>
    <t>LEV =</t>
  </si>
  <si>
    <t xml:space="preserve">labor efficiency variance </t>
  </si>
  <si>
    <t>total labor cost variance</t>
  </si>
  <si>
    <t xml:space="preserve">LRV = </t>
  </si>
  <si>
    <t>SA 5</t>
  </si>
  <si>
    <t>totla nunits needed</t>
  </si>
  <si>
    <t>possible rent</t>
  </si>
  <si>
    <t xml:space="preserve">fixed overhead </t>
  </si>
  <si>
    <t>Cost to Miller to make the part:     </t>
  </si>
  <si>
    <t>                  Direct materials                           $ 4</t>
  </si>
  <si>
    <t>                  Direct labor                                   16</t>
  </si>
  <si>
    <t>                  Variable overhead                         8</t>
  </si>
  <si>
    <r>
      <t>                  Fixed overhead                           </t>
    </r>
    <r>
      <rPr>
        <u/>
        <sz val="16"/>
        <color rgb="FF222222"/>
        <rFont val="Helvetica Neue"/>
        <family val="2"/>
      </rPr>
      <t>10</t>
    </r>
  </si>
  <si>
    <r>
      <t>                                                                     </t>
    </r>
    <r>
      <rPr>
        <u/>
        <sz val="16"/>
        <color rgb="FF222222"/>
        <rFont val="Helvetica Neue"/>
        <family val="2"/>
      </rPr>
      <t>$38</t>
    </r>
  </si>
  <si>
    <t>            Cost to buy the part from the</t>
  </si>
  <si>
    <r>
      <t>                  Thomas Company                      </t>
    </r>
    <r>
      <rPr>
        <u/>
        <sz val="16"/>
        <color rgb="FF222222"/>
        <rFont val="Helvetica Neue"/>
        <family val="2"/>
      </rPr>
      <t>$36</t>
    </r>
  </si>
  <si>
    <t>total cost to make parts and build</t>
  </si>
  <si>
    <t>cost to buy and build</t>
  </si>
  <si>
    <t>cost minus rent</t>
  </si>
  <si>
    <t>results</t>
  </si>
  <si>
    <t>it is more beneficial to build and make them</t>
  </si>
  <si>
    <t>SA 6</t>
  </si>
  <si>
    <t>total caps per year</t>
  </si>
  <si>
    <t>sell nascar</t>
  </si>
  <si>
    <t>per hat</t>
  </si>
  <si>
    <t>per hat to nascar</t>
  </si>
  <si>
    <t>overhead costs</t>
  </si>
  <si>
    <t>offer</t>
  </si>
  <si>
    <t>cost</t>
  </si>
  <si>
    <t>profit or loss</t>
  </si>
  <si>
    <t>total cost to make hats for sugar co</t>
  </si>
  <si>
    <t>total sale from sugar co</t>
  </si>
  <si>
    <t>No opportunity cost</t>
  </si>
  <si>
    <t>SA 7</t>
  </si>
  <si>
    <t>Rome Metals Cost Breakdown Cost per Unit</t>
  </si>
  <si>
    <t>Direct materials $8</t>
  </si>
  <si>
    <t>Direct labor $45</t>
  </si>
  <si>
    <t>Variable Overhead $9</t>
  </si>
  <si>
    <t>Fixed Overhead $14</t>
  </si>
  <si>
    <t>Shipping Costs $2</t>
  </si>
  <si>
    <t>Total Per Unit $78</t>
  </si>
  <si>
    <t xml:space="preserve">practical capacity </t>
  </si>
  <si>
    <t>ave capacity</t>
  </si>
  <si>
    <t>l</t>
  </si>
  <si>
    <t>shipping included</t>
  </si>
  <si>
    <t xml:space="preserve">order </t>
  </si>
  <si>
    <t>there is opportunity cost</t>
  </si>
  <si>
    <t>price per unit only</t>
  </si>
  <si>
    <t>shipping is included</t>
  </si>
  <si>
    <t>cost for make 10000 for fedex</t>
  </si>
  <si>
    <t>sale for making 10000</t>
  </si>
  <si>
    <t>this is not cost … this is sale price</t>
  </si>
  <si>
    <t>total cost without fixed overhead</t>
  </si>
  <si>
    <t>Economic profit = revenues – explicit costs - opportunity costs</t>
  </si>
  <si>
    <t>profit or loss from fedex deal</t>
  </si>
  <si>
    <t>profit missed (opportunity profit)</t>
  </si>
  <si>
    <t>total economic profit</t>
  </si>
  <si>
    <t>fixed cost  (opportunity cost)</t>
  </si>
  <si>
    <t>I understand that we are losing this profit:</t>
  </si>
  <si>
    <t>3,000 * (78-64)</t>
  </si>
  <si>
    <t>I would assume that we are gaining this fixed cost (not losing):</t>
  </si>
  <si>
    <t>3,000 * (14) </t>
  </si>
  <si>
    <t>hence the total opportunity lost is :</t>
  </si>
  <si>
    <t>3,000 * (78-64) + 3,000 (14)</t>
  </si>
  <si>
    <t>&lt;----</t>
  </si>
  <si>
    <t>Table A</t>
  </si>
  <si>
    <t>Variable Costs/Tour (Year 3 - Projected)</t>
  </si>
  <si>
    <t>Food</t>
  </si>
  <si>
    <t>Supplies</t>
  </si>
  <si>
    <t>Guide's Salary</t>
  </si>
  <si>
    <t>Insurance</t>
  </si>
  <si>
    <t>Total</t>
  </si>
  <si>
    <t>Table B</t>
  </si>
  <si>
    <t>Monthly Fixed Costs (Year 3 - Projected)</t>
  </si>
  <si>
    <t>Equipment rental</t>
  </si>
  <si>
    <t>Marketing</t>
  </si>
  <si>
    <t>Customer service</t>
  </si>
  <si>
    <t>Administration</t>
  </si>
  <si>
    <t>max explorers</t>
  </si>
  <si>
    <t>fee per person</t>
  </si>
  <si>
    <t>max tours-day per month</t>
  </si>
  <si>
    <t>current tour-days per month</t>
  </si>
  <si>
    <t xml:space="preserve">fee increases by </t>
  </si>
  <si>
    <t>number of tours-days</t>
  </si>
  <si>
    <t>600-200</t>
  </si>
  <si>
    <t>profit without the changes</t>
  </si>
  <si>
    <t>profit after the changes</t>
  </si>
  <si>
    <t>The effect</t>
  </si>
  <si>
    <t>SA 8</t>
  </si>
  <si>
    <t xml:space="preserve">proposal </t>
  </si>
  <si>
    <t>fee to be reduced</t>
  </si>
  <si>
    <t>No food cost</t>
  </si>
  <si>
    <t>Bus expense per tour</t>
  </si>
  <si>
    <t>total profit</t>
  </si>
  <si>
    <t>total opportunity cost for 100 extra in july</t>
  </si>
  <si>
    <t>total profit after subtracting opp cost</t>
  </si>
  <si>
    <t>SA 9</t>
  </si>
  <si>
    <t>contribution margin</t>
  </si>
  <si>
    <t xml:space="preserve">overheard allocated </t>
  </si>
  <si>
    <t>fixed overhead</t>
  </si>
  <si>
    <t>first hint</t>
  </si>
  <si>
    <t>overhead that will be eliminated by shutting down the division</t>
  </si>
  <si>
    <t xml:space="preserve">benefit by the contributing margin </t>
  </si>
  <si>
    <t>Standard Cost Per Case</t>
  </si>
  <si>
    <t>Direct materials (6kg @ $3.00)</t>
  </si>
  <si>
    <t>Direct labor (.8hr @$5.00/hr)</t>
  </si>
  <si>
    <t>Variable overhead (.8hr @$3.00/hr)</t>
  </si>
  <si>
    <t>Fixed overhead (.8hr @$7.00/hr)</t>
  </si>
  <si>
    <t>Total Cost</t>
  </si>
  <si>
    <t>DM Variances:</t>
  </si>
  <si>
    <r>
      <t>•</t>
    </r>
    <r>
      <rPr>
        <sz val="12"/>
        <color rgb="FF000000"/>
        <rFont val="Calibri"/>
        <family val="2"/>
        <scheme val="minor"/>
      </rPr>
      <t>Materials Price Variance (MPV) = AQ (AP – SP)</t>
    </r>
  </si>
  <si>
    <r>
      <t>•</t>
    </r>
    <r>
      <rPr>
        <sz val="12"/>
        <color rgb="FF000000"/>
        <rFont val="Calibri"/>
        <family val="2"/>
        <scheme val="minor"/>
      </rPr>
      <t>Materials Quantity Variance (MQV) = SP (AQ – SQ)</t>
    </r>
  </si>
  <si>
    <t>DL Variances:</t>
  </si>
  <si>
    <r>
      <t>•</t>
    </r>
    <r>
      <rPr>
        <sz val="12"/>
        <color rgb="FF000000"/>
        <rFont val="Calibri"/>
        <family val="2"/>
        <scheme val="minor"/>
      </rPr>
      <t>Labor Rate Variance (LRV) = AH (AR – SR)</t>
    </r>
  </si>
  <si>
    <r>
      <t>•</t>
    </r>
    <r>
      <rPr>
        <sz val="12"/>
        <color rgb="FF000000"/>
        <rFont val="Calibri"/>
        <family val="2"/>
        <scheme val="minor"/>
      </rPr>
      <t>Labor Efficiency Variance (LEV) = SR (AH – SH)</t>
    </r>
  </si>
  <si>
    <t>---------</t>
  </si>
  <si>
    <t>Variances</t>
  </si>
  <si>
    <t>Costs</t>
  </si>
  <si>
    <t>Standard Cost</t>
  </si>
  <si>
    <t>Price</t>
  </si>
  <si>
    <t>Budget</t>
  </si>
  <si>
    <t>Qty/Eff</t>
  </si>
  <si>
    <t>Volume</t>
  </si>
  <si>
    <t>Direct materials</t>
  </si>
  <si>
    <t>$6,900F</t>
  </si>
  <si>
    <t>$9,000U</t>
  </si>
  <si>
    <t>Direct labor</t>
  </si>
  <si>
    <t>$4,850U</t>
  </si>
  <si>
    <t>$7,000U</t>
  </si>
  <si>
    <t>Variable overhead</t>
  </si>
  <si>
    <t>$1,300F</t>
  </si>
  <si>
    <t>Fixed overhead</t>
  </si>
  <si>
    <t>$500F</t>
  </si>
  <si>
    <t>$14,000U</t>
  </si>
  <si>
    <t>SC = SP * SQ; $405,000 = $3 * SQ</t>
  </si>
  <si>
    <t>standard cost = standard price * standard quantity</t>
  </si>
  <si>
    <t>SP (AQ – SQ) = MQV</t>
  </si>
  <si>
    <t>+$9000 = $3 (AQ – 135,000kg)</t>
  </si>
  <si>
    <t xml:space="preserve">SQ = </t>
  </si>
  <si>
    <t xml:space="preserve">AQ = </t>
  </si>
  <si>
    <t>SA 10, 11, 12</t>
  </si>
  <si>
    <t>138,000 (AP – 3) = MPV = -6,900</t>
  </si>
  <si>
    <t xml:space="preserve">AP = </t>
  </si>
  <si>
    <t xml:space="preserve">Thank you Prema. Yes, product costs refer to all the costs incurred to create a product. </t>
  </si>
  <si>
    <t>These costs include direct labor, direct materials, and factory/manufacturing overhead.</t>
  </si>
  <si>
    <t>SA 15</t>
  </si>
  <si>
    <t>SA 14</t>
  </si>
  <si>
    <t>Material Price Variance = MPV = AQ (AP - SP)</t>
  </si>
  <si>
    <t>MPV =</t>
  </si>
  <si>
    <t>SA 16</t>
  </si>
  <si>
    <t xml:space="preserve">First off the most obvious. Net income = revenues - expenses. </t>
  </si>
  <si>
    <t>The manager's bonus which would be a percentage of net income would therefore be understated as well.</t>
  </si>
  <si>
    <t xml:space="preserve">If you classify too many expenses no matter what they are (expenses that weren't yet supposed to be deducted, like the $9000 for this particular scenario) </t>
  </si>
  <si>
    <t xml:space="preserve">you will have understated net income because that $9000 should still be in inventory and on the balance sheet. </t>
  </si>
  <si>
    <t>SA 17</t>
  </si>
  <si>
    <t>annual sale</t>
  </si>
  <si>
    <t>Manufacturing Costs = $60,000 + 40% of sales</t>
  </si>
  <si>
    <t>Selling Costs = $15,000 + 10% of sales</t>
  </si>
  <si>
    <t>Administrative Costs = $18,000 + 10% of sales</t>
  </si>
  <si>
    <t xml:space="preserve">net income = </t>
  </si>
  <si>
    <t>SA 18</t>
  </si>
  <si>
    <t>manufacturing costs</t>
  </si>
  <si>
    <t>selling costs</t>
  </si>
  <si>
    <t>administrative costs</t>
  </si>
  <si>
    <t>Net income</t>
  </si>
  <si>
    <t>SA 19</t>
  </si>
  <si>
    <t>Straight-Line Depreciation Expense =</t>
  </si>
  <si>
    <t>(Cost − Salvage Value)/Useful Life of the Asset</t>
  </si>
  <si>
    <t xml:space="preserve">depreciation </t>
  </si>
  <si>
    <t>The depreciation of the equipment is a direct cost and it is captured in your Cost Of Goods Manufactured, but remember that your COGS = Beginning Inventory + COGM - Ending Inventory.</t>
  </si>
  <si>
    <t>The remaining $400 is captured in the 200 units you manufactured, but are now in Ending Inventory.</t>
  </si>
  <si>
    <t xml:space="preserve">So while the amount we depreciate the equipment each year IS $2400, when we are looking at the cost of goods sold we only apply </t>
  </si>
  <si>
    <t>the amount for the actual number of units sold that year in our Cost Of Goods Sold..  That would be $2400/1200 = $2 per unit, then multiply by 1000 units sold = $2000.</t>
  </si>
  <si>
    <t>depreciation per unit</t>
  </si>
  <si>
    <t>depreciation on sold items</t>
  </si>
  <si>
    <t>SA 21</t>
  </si>
  <si>
    <t>both serve total customer</t>
  </si>
  <si>
    <t>both charge this service</t>
  </si>
  <si>
    <t>top dogs</t>
  </si>
  <si>
    <t>per year</t>
  </si>
  <si>
    <t>dogs are people too</t>
  </si>
  <si>
    <t>per dog</t>
  </si>
  <si>
    <t>top dogs total customer tooks</t>
  </si>
  <si>
    <t>Price of grooming</t>
  </si>
  <si>
    <t>fixed cost</t>
  </si>
  <si>
    <t>dogs are people</t>
  </si>
  <si>
    <t>net income</t>
  </si>
  <si>
    <t>groomer</t>
  </si>
  <si>
    <t>new net income</t>
  </si>
  <si>
    <t>dogs are people too rent a property</t>
  </si>
  <si>
    <t>SA 23</t>
  </si>
  <si>
    <t>total portable coolers</t>
  </si>
  <si>
    <t>price</t>
  </si>
  <si>
    <t>product cost + 40%</t>
  </si>
  <si>
    <t>direct material costs</t>
  </si>
  <si>
    <t>direct labor cost</t>
  </si>
  <si>
    <t>advertising costs</t>
  </si>
  <si>
    <t>factory overhead</t>
  </si>
  <si>
    <t>product cost</t>
  </si>
  <si>
    <t>Not part of manufacturing overhead, not related to making the product. Examples: Anything at corporate.</t>
  </si>
  <si>
    <t xml:space="preserve"> headquaters, anything related to selling the product, shipping costs, administrative salaries, </t>
  </si>
  <si>
    <t>executive salaries, administrative office expenses, sales commissions, advertising, research and development, etc</t>
  </si>
  <si>
    <t>SA 25</t>
  </si>
  <si>
    <t>Raspberry Mango</t>
  </si>
  <si>
    <t>Revenue from sales</t>
  </si>
  <si>
    <t>Salaries for workers</t>
  </si>
  <si>
    <t>Direct materials costs</t>
  </si>
  <si>
    <t>Sunk costs (equipment depreciation)</t>
  </si>
  <si>
    <t>Allocated company-wide facility costs</t>
  </si>
  <si>
    <t>Net Loss from Raspberry Mango</t>
  </si>
  <si>
    <t>total revenue</t>
  </si>
  <si>
    <t>The variable cost is the relavent cost</t>
  </si>
  <si>
    <t>SA 26</t>
  </si>
  <si>
    <t xml:space="preserve">When you eliminate the department, the fixed costs continue to remain as you have mentioned. </t>
  </si>
  <si>
    <t xml:space="preserve">However, the additional revenue from the department also go away. The Raspberry Mango line had a revenue of 500000 and variable costs of 420000. </t>
  </si>
  <si>
    <t xml:space="preserve">Hence, it was making 80000 from continuing to operate the Raspberry Mango line. This profit of 80000 was not enough to cover the fixed cost allocated to the line. </t>
  </si>
  <si>
    <t>However, in case the line is discontinued, the company would still continue to accrue the fixed cost.</t>
  </si>
  <si>
    <t>price for X</t>
  </si>
  <si>
    <t>price for Y</t>
  </si>
  <si>
    <t>Product X</t>
  </si>
  <si>
    <t>Product Y</t>
  </si>
  <si>
    <t>Number of Units</t>
  </si>
  <si>
    <t>Direct Material Costs per Unit</t>
  </si>
  <si>
    <t>Direct Labor Costs per Unit</t>
  </si>
  <si>
    <t>Direct Labor Hours</t>
  </si>
  <si>
    <t>Number of Set-Ups</t>
  </si>
  <si>
    <t>Machine Hours</t>
  </si>
  <si>
    <t>Inspection Hours</t>
  </si>
  <si>
    <t>Purchase Orders</t>
  </si>
  <si>
    <t>Overhead Cost Item</t>
  </si>
  <si>
    <t>Amount</t>
  </si>
  <si>
    <t>Inspection Costs</t>
  </si>
  <si>
    <t>Purchasing Costs</t>
  </si>
  <si>
    <t>Machine Costs</t>
  </si>
  <si>
    <t>Setup Costs</t>
  </si>
  <si>
    <t>Total Costs</t>
  </si>
  <si>
    <t>total cost for X</t>
  </si>
  <si>
    <r>
      <t xml:space="preserve">Allocation using </t>
    </r>
    <r>
      <rPr>
        <b/>
        <sz val="14"/>
        <color rgb="FF000000"/>
        <rFont val="Calibri"/>
        <family val="2"/>
        <scheme val="minor"/>
      </rPr>
      <t>direct labor hours</t>
    </r>
    <r>
      <rPr>
        <sz val="14"/>
        <color rgb="FF000000"/>
        <rFont val="Calibri"/>
        <family val="2"/>
        <scheme val="minor"/>
      </rPr>
      <t xml:space="preserve"> (Volume-based costing):</t>
    </r>
  </si>
  <si>
    <t>gross margin</t>
  </si>
  <si>
    <t>Allocation using ABC</t>
  </si>
  <si>
    <t xml:space="preserve">inspection rate </t>
  </si>
  <si>
    <t>purchasing rate</t>
  </si>
  <si>
    <t>machine rate</t>
  </si>
  <si>
    <t>setup rate</t>
  </si>
  <si>
    <t>total cost for X based ABC</t>
  </si>
  <si>
    <t>gross margin for X based ABC</t>
  </si>
  <si>
    <t>total cost for Y based ABC</t>
  </si>
  <si>
    <t>gross margin using ABC</t>
  </si>
  <si>
    <t>HW1 , 2</t>
  </si>
  <si>
    <t>price per unite</t>
  </si>
  <si>
    <t>12.5kg*$4</t>
  </si>
  <si>
    <t xml:space="preserve">actual amount material </t>
  </si>
  <si>
    <t>kg</t>
  </si>
  <si>
    <t>direct material quantity variance</t>
  </si>
  <si>
    <t>SP</t>
  </si>
  <si>
    <t>MQV</t>
  </si>
  <si>
    <t>AQ</t>
  </si>
  <si>
    <t>actual production  = standard quantity</t>
  </si>
  <si>
    <t>MQV = 15,900 = 4 * (45,600 - SQ)</t>
  </si>
  <si>
    <t>total production is SQ/12.5</t>
  </si>
  <si>
    <t xml:space="preserve">MPV = </t>
  </si>
  <si>
    <t>Actual Price (AP)</t>
  </si>
  <si>
    <t>Total actual amount paid</t>
  </si>
  <si>
    <t xml:space="preserve">SQ </t>
  </si>
  <si>
    <t>HW3, 4</t>
  </si>
  <si>
    <t>HW5</t>
  </si>
  <si>
    <t>Rome Metals Cost Breakdown</t>
  </si>
  <si>
    <t>Per Unit</t>
  </si>
  <si>
    <t>Shipping Cost</t>
  </si>
  <si>
    <t>Total Per Unit</t>
  </si>
  <si>
    <t>practical capacity</t>
  </si>
  <si>
    <t>average capacity</t>
  </si>
  <si>
    <t>price per Unit</t>
  </si>
  <si>
    <t>FedEx price</t>
  </si>
  <si>
    <t>total quantity</t>
  </si>
  <si>
    <t>3000 is more than the capacity</t>
  </si>
  <si>
    <t>cost of accepting the offer</t>
  </si>
  <si>
    <t>to accept, you need to abandon</t>
  </si>
  <si>
    <t xml:space="preserve">opportunity cost of leaving 3000 cap </t>
  </si>
  <si>
    <t>cost of units</t>
  </si>
  <si>
    <t xml:space="preserve">Fixed overhead and sunk costs are examples of irrelevant costs that would not affect the decision to shut down a division of a company, or make a product instead of purchasing it from a supplier. </t>
  </si>
  <si>
    <t>HW6</t>
  </si>
  <si>
    <t>Purchases of raw materials</t>
  </si>
  <si>
    <t>Raw materials</t>
  </si>
  <si>
    <t>Work in process</t>
  </si>
  <si>
    <t>Indirect labor</t>
  </si>
  <si>
    <t>Finished Goods</t>
  </si>
  <si>
    <t>Factory Rent</t>
  </si>
  <si>
    <t>Depreciation Expense - Factory Equipment</t>
  </si>
  <si>
    <t>Insurance - factory</t>
  </si>
  <si>
    <t>December 31 inventories</t>
  </si>
  <si>
    <t>Salesperson's salaries</t>
  </si>
  <si>
    <t>Maintenance - Factory Equipment</t>
  </si>
  <si>
    <t>Administrative Office Wages</t>
  </si>
  <si>
    <t>Finished goods</t>
  </si>
  <si>
    <t>Miscellaneous Expenses - Factory </t>
  </si>
  <si>
    <t>Miscellaneous Expenses- Office</t>
  </si>
  <si>
    <t>Raw Material Purchase Returns</t>
  </si>
  <si>
    <t> $6,200</t>
  </si>
  <si>
    <t>Net Sales Revenues</t>
  </si>
  <si>
    <t>CEO Salary</t>
  </si>
  <si>
    <t>Utilities Expense - Factory</t>
  </si>
  <si>
    <t>Administrative Office Rent</t>
  </si>
  <si>
    <t xml:space="preserve">January 1 inventories	 </t>
  </si>
  <si>
    <t>total</t>
  </si>
  <si>
    <t>beg Finished Goods</t>
  </si>
  <si>
    <t>end Finished goods</t>
  </si>
  <si>
    <t>beg Work in process</t>
  </si>
  <si>
    <t>end Work in process</t>
  </si>
  <si>
    <t>beg Raw materials</t>
  </si>
  <si>
    <t>end Raw materials</t>
  </si>
  <si>
    <t>https://courses.lumenlearning.com/tcc-managacct/chapter/the-statement-of-cost-of-goods-manufactured/</t>
  </si>
  <si>
    <t>Direct material used</t>
  </si>
  <si>
    <t>total direct material used</t>
  </si>
  <si>
    <t>Manufacturing overhead</t>
  </si>
  <si>
    <t>Total manufacturing overhead</t>
  </si>
  <si>
    <t>Total manufacturing cost</t>
  </si>
  <si>
    <t>Cost of goods manufactured</t>
  </si>
  <si>
    <t>Income statement</t>
  </si>
  <si>
    <t>Cost of goods sold</t>
  </si>
  <si>
    <t>Operating expeses</t>
  </si>
  <si>
    <t>Gross Margin</t>
  </si>
  <si>
    <t>income</t>
  </si>
  <si>
    <t>HW9</t>
  </si>
  <si>
    <t>European</t>
  </si>
  <si>
    <t>Legacy</t>
  </si>
  <si>
    <t>Estimated unit sales per month</t>
  </si>
  <si>
    <t>Selling price</t>
  </si>
  <si>
    <t>Variable manufacturing costs</t>
  </si>
  <si>
    <t>Variable selling and administrative costs</t>
  </si>
  <si>
    <t>budgeted net income</t>
  </si>
  <si>
    <t>net income = revenu - cost of goods - other costs (such as fix or operation)</t>
  </si>
  <si>
    <t>net income = gross margin - other costs</t>
  </si>
  <si>
    <t>SQ</t>
  </si>
  <si>
    <t>matrial quantity variance MQV (U)</t>
  </si>
  <si>
    <t>AQ = MQV/SP + SQ</t>
  </si>
  <si>
    <t>(Actual rate - Standard rate) x Actual hours worked = Labor rate variance</t>
  </si>
  <si>
    <t>LEV</t>
  </si>
  <si>
    <t>SR</t>
  </si>
  <si>
    <t>SH</t>
  </si>
  <si>
    <t>Labor efficiency variance</t>
  </si>
  <si>
    <t xml:space="preserve">                                     </t>
  </si>
  <si>
    <t>Total labor cost variance   </t>
  </si>
  <si>
    <t>Actual wage rate paid </t>
  </si>
  <si>
    <t>Standard wage rate</t>
  </si>
  <si>
    <t xml:space="preserve">                                              </t>
  </si>
  <si>
    <t>total cost variance</t>
  </si>
  <si>
    <t>AH = SH - LEV/SR</t>
  </si>
  <si>
    <t>favorable</t>
  </si>
  <si>
    <t>unfavorable</t>
  </si>
  <si>
    <t>AH</t>
  </si>
  <si>
    <t>AR</t>
  </si>
  <si>
    <t>LRV = AH (AR -SR)</t>
  </si>
  <si>
    <t>SC</t>
  </si>
  <si>
    <t>standard price SP</t>
  </si>
  <si>
    <t>per kg</t>
  </si>
  <si>
    <t>total units</t>
  </si>
  <si>
    <t>total material</t>
  </si>
  <si>
    <t>MQV = SP * (AQ - SQ)</t>
  </si>
  <si>
    <t xml:space="preserve">standard quantity </t>
  </si>
  <si>
    <t>MQV =</t>
  </si>
  <si>
    <t>this is unfavorable</t>
  </si>
  <si>
    <t>direct matereials</t>
  </si>
  <si>
    <t>variable overhead</t>
  </si>
  <si>
    <t xml:space="preserve">total </t>
  </si>
  <si>
    <t>current production</t>
  </si>
  <si>
    <t xml:space="preserve">production capacity </t>
  </si>
  <si>
    <t>price offered</t>
  </si>
  <si>
    <t>extra fixed overhead cost</t>
  </si>
  <si>
    <t>opportunity cost</t>
  </si>
  <si>
    <t>no fixed cost</t>
  </si>
  <si>
    <t>profit of taking offer not considering opportunity cost</t>
  </si>
  <si>
    <t>total profit of taking offer</t>
  </si>
  <si>
    <t>The profit is affected by the firs year of fixed overhead price</t>
  </si>
  <si>
    <t>SA 22</t>
  </si>
  <si>
    <t>Since direct labor hours is being used as a method to allocate the overheads, higher the ratio of labor hours in a process, higher the over head costs allocated to that process. Say</t>
  </si>
  <si>
    <t>Previously process 1 and process2 had 100 labor hours each. The total over head costs were 15000. Then each process will be allocated an overhead of 15000×100/(100+100) = 7500 each.</t>
  </si>
  <si>
    <t>Now since process2 is automated,  it will need less manpower. Say the manpower requirement for process2 reduced to 50. So the overhead allocated to process1 = 15000×100/(100+50)= 10000. For process2 = 15000×50/(100+50) = 5000 .</t>
  </si>
  <si>
    <t>Hence the answer is too much overhead will be allocated to process1( traditional line)</t>
  </si>
  <si>
    <t>2/3 of it is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</si>
</sst>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00"/>
    <numFmt numFmtId="166" formatCode="&quot;$&quot;#,##0.0_);[Red]\(&quot;$&quot;#,##0.0\)"/>
    <numFmt numFmtId="167" formatCode="&quot;$&quot;#,##0.00"/>
  </numFmts>
  <fonts count="3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 (Body)"/>
    </font>
    <font>
      <sz val="24"/>
      <color rgb="FF000000"/>
      <name val="Calibri"/>
      <family val="2"/>
      <scheme val="minor"/>
    </font>
    <font>
      <sz val="16"/>
      <color rgb="FF222222"/>
      <name val="Helvetica Neue"/>
      <family val="2"/>
    </font>
    <font>
      <u/>
      <sz val="16"/>
      <color rgb="FF222222"/>
      <name val="Helvetica Neue"/>
      <family val="2"/>
    </font>
    <font>
      <sz val="13"/>
      <color rgb="FF333333"/>
      <name val="Helvetica Neue"/>
      <family val="2"/>
    </font>
    <font>
      <sz val="20"/>
      <color theme="1"/>
      <name val="Arial"/>
      <family val="2"/>
    </font>
    <font>
      <sz val="20"/>
      <color rgb="FF000000"/>
      <name val="Calibri"/>
      <family val="2"/>
      <scheme val="minor"/>
    </font>
    <font>
      <sz val="18"/>
      <color rgb="FF111111"/>
      <name val="Arial"/>
      <family val="2"/>
    </font>
    <font>
      <sz val="14"/>
      <color rgb="FF333333"/>
      <name val="Helvetica Neue"/>
      <family val="2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4"/>
      <color rgb="FF222222"/>
      <name val="Helvetica Neue"/>
      <family val="2"/>
    </font>
    <font>
      <sz val="14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333333"/>
      <name val="Helvetica Neue"/>
      <family val="2"/>
    </font>
    <font>
      <sz val="12"/>
      <color rgb="FF222222"/>
      <name val="Helvetica Neue"/>
      <family val="2"/>
    </font>
    <font>
      <sz val="16"/>
      <color rgb="FF212529"/>
      <name val="Helvetica Neue"/>
      <family val="2"/>
    </font>
    <font>
      <sz val="12"/>
      <color rgb="FF212529"/>
      <name val="Helvetica Neue"/>
      <family val="2"/>
    </font>
    <font>
      <sz val="11"/>
      <color rgb="FF222222"/>
      <name val="Helvetica Neue"/>
      <family val="2"/>
    </font>
    <font>
      <sz val="16"/>
      <color rgb="FF2D3B45"/>
      <name val="Helvetica Neue"/>
      <family val="2"/>
    </font>
    <font>
      <sz val="12"/>
      <color rgb="FF2D3B45"/>
      <name val="Helvetica Neue"/>
      <family val="2"/>
    </font>
    <font>
      <sz val="10"/>
      <color rgb="FF2D3B45"/>
      <name val="Helvetica Neue"/>
      <family val="2"/>
    </font>
    <font>
      <b/>
      <sz val="14"/>
      <color rgb="FF000000"/>
      <name val="Calibri"/>
      <family val="2"/>
      <scheme val="minor"/>
    </font>
    <font>
      <b/>
      <sz val="12"/>
      <color rgb="FF2D3B45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theme="7" tint="-0.499984740745262"/>
      <name val="Helvetica Neue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theme="7" tint="-0.499984740745262"/>
      <name val="Helvetica Neue"/>
      <family val="2"/>
    </font>
    <font>
      <b/>
      <sz val="12"/>
      <color rgb="FF2D3B45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center" readingOrder="1"/>
    </xf>
    <xf numFmtId="3" fontId="0" fillId="0" borderId="0" xfId="0" applyNumberFormat="1"/>
    <xf numFmtId="0" fontId="4" fillId="0" borderId="0" xfId="0" applyFont="1"/>
    <xf numFmtId="0" fontId="3" fillId="0" borderId="0" xfId="0" applyFont="1" applyAlignment="1">
      <alignment horizontal="left" vertical="center" indent="3" readingOrder="1"/>
    </xf>
    <xf numFmtId="0" fontId="6" fillId="0" borderId="0" xfId="0" applyFont="1"/>
    <xf numFmtId="0" fontId="7" fillId="0" borderId="0" xfId="0" applyFont="1" applyAlignment="1">
      <alignment horizontal="left" vertical="center" indent="3" readingOrder="1"/>
    </xf>
    <xf numFmtId="9" fontId="0" fillId="0" borderId="0" xfId="0" applyNumberFormat="1"/>
    <xf numFmtId="6" fontId="0" fillId="0" borderId="0" xfId="0" applyNumberFormat="1"/>
    <xf numFmtId="0" fontId="9" fillId="0" borderId="0" xfId="0" applyFont="1"/>
    <xf numFmtId="0" fontId="1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/>
    <xf numFmtId="6" fontId="4" fillId="0" borderId="0" xfId="0" applyNumberFormat="1" applyFont="1"/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indent="3" readingOrder="1"/>
    </xf>
    <xf numFmtId="0" fontId="14" fillId="0" borderId="0" xfId="0" applyFont="1"/>
    <xf numFmtId="6" fontId="14" fillId="0" borderId="0" xfId="0" applyNumberFormat="1" applyFon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 vertical="center" readingOrder="1"/>
    </xf>
    <xf numFmtId="6" fontId="1" fillId="0" borderId="0" xfId="0" applyNumberFormat="1" applyFont="1"/>
    <xf numFmtId="6" fontId="17" fillId="3" borderId="0" xfId="0" applyNumberFormat="1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5" fontId="0" fillId="0" borderId="0" xfId="0" applyNumberFormat="1"/>
    <xf numFmtId="0" fontId="23" fillId="0" borderId="0" xfId="0" applyFont="1"/>
    <xf numFmtId="6" fontId="23" fillId="0" borderId="0" xfId="0" applyNumberFormat="1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0" fontId="26" fillId="0" borderId="0" xfId="0" applyFont="1"/>
    <xf numFmtId="3" fontId="26" fillId="0" borderId="0" xfId="0" applyNumberFormat="1" applyFont="1"/>
    <xf numFmtId="8" fontId="26" fillId="0" borderId="0" xfId="0" applyNumberFormat="1" applyFont="1"/>
    <xf numFmtId="6" fontId="24" fillId="0" borderId="0" xfId="0" applyNumberFormat="1" applyFont="1"/>
    <xf numFmtId="6" fontId="25" fillId="0" borderId="0" xfId="0" applyNumberFormat="1" applyFont="1"/>
    <xf numFmtId="8" fontId="1" fillId="0" borderId="0" xfId="0" applyNumberFormat="1" applyFont="1"/>
    <xf numFmtId="0" fontId="12" fillId="0" borderId="0" xfId="0" applyFont="1" applyAlignment="1">
      <alignment horizontal="left" vertical="center" indent="3" readingOrder="1"/>
    </xf>
    <xf numFmtId="166" fontId="0" fillId="0" borderId="0" xfId="0" applyNumberFormat="1"/>
    <xf numFmtId="166" fontId="1" fillId="0" borderId="0" xfId="0" applyNumberFormat="1" applyFont="1"/>
    <xf numFmtId="6" fontId="18" fillId="0" borderId="0" xfId="0" applyNumberFormat="1" applyFont="1"/>
    <xf numFmtId="0" fontId="28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9" fillId="0" borderId="0" xfId="1" applyBorder="1"/>
    <xf numFmtId="0" fontId="0" fillId="0" borderId="0" xfId="0" applyBorder="1"/>
    <xf numFmtId="0" fontId="0" fillId="0" borderId="5" xfId="0" applyBorder="1"/>
    <xf numFmtId="0" fontId="31" fillId="0" borderId="0" xfId="0" applyFont="1" applyBorder="1"/>
    <xf numFmtId="0" fontId="33" fillId="0" borderId="0" xfId="0" applyFont="1" applyBorder="1"/>
    <xf numFmtId="0" fontId="1" fillId="0" borderId="0" xfId="0" applyFont="1" applyBorder="1"/>
    <xf numFmtId="6" fontId="28" fillId="0" borderId="5" xfId="0" applyNumberFormat="1" applyFont="1" applyBorder="1"/>
    <xf numFmtId="0" fontId="25" fillId="0" borderId="0" xfId="0" applyFont="1" applyBorder="1"/>
    <xf numFmtId="0" fontId="0" fillId="0" borderId="0" xfId="0" applyFont="1" applyBorder="1"/>
    <xf numFmtId="6" fontId="25" fillId="0" borderId="0" xfId="0" applyNumberFormat="1" applyFont="1" applyBorder="1"/>
    <xf numFmtId="0" fontId="28" fillId="0" borderId="0" xfId="0" applyFont="1" applyBorder="1"/>
    <xf numFmtId="6" fontId="1" fillId="0" borderId="0" xfId="0" applyNumberFormat="1" applyFont="1" applyBorder="1"/>
    <xf numFmtId="6" fontId="31" fillId="0" borderId="5" xfId="0" applyNumberFormat="1" applyFont="1" applyBorder="1"/>
    <xf numFmtId="0" fontId="30" fillId="0" borderId="0" xfId="0" applyFont="1" applyBorder="1"/>
    <xf numFmtId="0" fontId="32" fillId="0" borderId="0" xfId="0" applyFont="1" applyBorder="1"/>
    <xf numFmtId="0" fontId="34" fillId="0" borderId="0" xfId="0" applyFont="1" applyBorder="1"/>
    <xf numFmtId="6" fontId="1" fillId="0" borderId="5" xfId="0" applyNumberFormat="1" applyFont="1" applyBorder="1"/>
    <xf numFmtId="6" fontId="28" fillId="0" borderId="0" xfId="0" applyNumberFormat="1" applyFont="1" applyBorder="1"/>
    <xf numFmtId="6" fontId="31" fillId="0" borderId="0" xfId="0" applyNumberFormat="1" applyFont="1" applyBorder="1"/>
    <xf numFmtId="6" fontId="0" fillId="0" borderId="0" xfId="0" applyNumberFormat="1" applyBorder="1"/>
    <xf numFmtId="0" fontId="18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5" fillId="0" borderId="0" xfId="0" applyFont="1"/>
    <xf numFmtId="6" fontId="15" fillId="0" borderId="0" xfId="0" applyNumberFormat="1" applyFont="1"/>
    <xf numFmtId="0" fontId="36" fillId="0" borderId="0" xfId="0" applyFont="1"/>
    <xf numFmtId="0" fontId="15" fillId="0" borderId="0" xfId="0" applyFont="1" applyAlignment="1">
      <alignment horizont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ses.lumenlearning.com/tcc-managacct/chapter/the-statement-of-cost-of-goods-manufactur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93B5-1357-2147-B7C6-E3FA7D139D55}">
  <dimension ref="A1:V124"/>
  <sheetViews>
    <sheetView tabSelected="1" topLeftCell="C76" zoomScale="80" zoomScaleNormal="80" workbookViewId="0">
      <selection activeCell="K119" sqref="K119"/>
    </sheetView>
  </sheetViews>
  <sheetFormatPr baseColWidth="10" defaultRowHeight="16"/>
  <cols>
    <col min="5" max="5" width="11.83203125" bestFit="1" customWidth="1"/>
    <col min="8" max="9" width="11.83203125" bestFit="1" customWidth="1"/>
    <col min="11" max="11" width="11.83203125" bestFit="1" customWidth="1"/>
    <col min="12" max="13" width="11.5" bestFit="1" customWidth="1"/>
    <col min="21" max="22" width="11.5" bestFit="1" customWidth="1"/>
  </cols>
  <sheetData>
    <row r="1" spans="1:11">
      <c r="A1" s="3" t="s">
        <v>319</v>
      </c>
      <c r="B1" s="2"/>
      <c r="C1" s="2"/>
      <c r="D1" s="2"/>
      <c r="E1" s="2"/>
    </row>
    <row r="3" spans="1:11">
      <c r="A3" t="s">
        <v>288</v>
      </c>
      <c r="E3" s="15">
        <v>14.2</v>
      </c>
    </row>
    <row r="4" spans="1:11">
      <c r="A4" t="s">
        <v>289</v>
      </c>
      <c r="E4" s="15">
        <v>15.5</v>
      </c>
      <c r="K4" s="15"/>
    </row>
    <row r="5" spans="1:11">
      <c r="K5" s="15"/>
    </row>
    <row r="6" spans="1:11">
      <c r="C6" s="39" t="s">
        <v>290</v>
      </c>
      <c r="E6" s="39" t="s">
        <v>291</v>
      </c>
      <c r="K6" s="15"/>
    </row>
    <row r="7" spans="1:11">
      <c r="A7" s="39" t="s">
        <v>292</v>
      </c>
      <c r="C7" s="40">
        <v>16500</v>
      </c>
      <c r="D7" s="39"/>
      <c r="E7" s="40">
        <v>5200</v>
      </c>
      <c r="K7" s="15"/>
    </row>
    <row r="8" spans="1:11">
      <c r="A8" s="39" t="s">
        <v>293</v>
      </c>
      <c r="C8" s="41">
        <v>3.95</v>
      </c>
      <c r="D8" s="39"/>
      <c r="E8" s="41">
        <v>4.12</v>
      </c>
    </row>
    <row r="9" spans="1:11" ht="19">
      <c r="A9" s="39" t="s">
        <v>294</v>
      </c>
      <c r="C9" s="41">
        <v>2.48</v>
      </c>
      <c r="D9" s="39"/>
      <c r="E9" s="41">
        <v>2.98</v>
      </c>
      <c r="H9" s="18" t="s">
        <v>308</v>
      </c>
    </row>
    <row r="10" spans="1:11">
      <c r="A10" s="39" t="s">
        <v>295</v>
      </c>
      <c r="C10" s="40">
        <v>9500</v>
      </c>
      <c r="D10" s="39"/>
      <c r="E10" s="40">
        <v>3800</v>
      </c>
      <c r="H10" t="s">
        <v>31</v>
      </c>
      <c r="K10" s="15">
        <f>E22/(C10+E10)</f>
        <v>6.518796992481203</v>
      </c>
    </row>
    <row r="11" spans="1:11">
      <c r="A11" s="39" t="s">
        <v>296</v>
      </c>
      <c r="C11" s="39">
        <v>65</v>
      </c>
      <c r="D11" s="39"/>
      <c r="E11" s="39">
        <v>29</v>
      </c>
      <c r="H11" t="s">
        <v>307</v>
      </c>
      <c r="K11" s="15">
        <f>C8+C9+(K10*C10)/C7</f>
        <v>10.183246753246753</v>
      </c>
    </row>
    <row r="12" spans="1:11">
      <c r="A12" s="39" t="s">
        <v>297</v>
      </c>
      <c r="C12" s="40">
        <v>2300</v>
      </c>
      <c r="D12" s="39"/>
      <c r="E12" s="40">
        <v>2200</v>
      </c>
      <c r="H12" s="13" t="s">
        <v>309</v>
      </c>
      <c r="I12" s="13"/>
      <c r="J12" s="13"/>
      <c r="K12" s="44">
        <f>E3-K11</f>
        <v>4.0167532467532467</v>
      </c>
    </row>
    <row r="13" spans="1:11">
      <c r="A13" s="39" t="s">
        <v>298</v>
      </c>
      <c r="C13" s="39">
        <v>90</v>
      </c>
      <c r="D13" s="39"/>
      <c r="E13" s="39">
        <v>115</v>
      </c>
    </row>
    <row r="14" spans="1:11">
      <c r="A14" s="39" t="s">
        <v>299</v>
      </c>
      <c r="C14" s="39">
        <v>10</v>
      </c>
      <c r="D14" s="39"/>
      <c r="E14" s="39">
        <v>30</v>
      </c>
    </row>
    <row r="16" spans="1:11">
      <c r="H16" t="s">
        <v>310</v>
      </c>
    </row>
    <row r="17" spans="1:15">
      <c r="A17" s="37" t="s">
        <v>300</v>
      </c>
      <c r="B17" s="37"/>
      <c r="C17" s="38"/>
      <c r="D17" s="38"/>
      <c r="E17" s="37" t="s">
        <v>301</v>
      </c>
    </row>
    <row r="18" spans="1:15">
      <c r="A18" s="37" t="s">
        <v>302</v>
      </c>
      <c r="B18" s="37"/>
      <c r="C18" s="38"/>
      <c r="D18" s="38"/>
      <c r="E18" s="43">
        <v>19000</v>
      </c>
      <c r="H18" t="s">
        <v>311</v>
      </c>
      <c r="K18" s="15">
        <f>E18/(C13+E13)</f>
        <v>92.682926829268297</v>
      </c>
    </row>
    <row r="19" spans="1:15">
      <c r="A19" s="37" t="s">
        <v>303</v>
      </c>
      <c r="B19" s="37"/>
      <c r="C19" s="38"/>
      <c r="D19" s="38"/>
      <c r="E19" s="43">
        <v>9200</v>
      </c>
      <c r="H19" t="s">
        <v>312</v>
      </c>
      <c r="K19" s="11">
        <f>E19/(C14+E14)</f>
        <v>230</v>
      </c>
    </row>
    <row r="20" spans="1:15">
      <c r="A20" s="37" t="s">
        <v>304</v>
      </c>
      <c r="B20" s="37"/>
      <c r="C20" s="38"/>
      <c r="D20" s="38"/>
      <c r="E20" s="43">
        <v>53500</v>
      </c>
      <c r="H20" t="s">
        <v>313</v>
      </c>
      <c r="K20" s="15">
        <f>E20/(C12+E12)</f>
        <v>11.888888888888889</v>
      </c>
    </row>
    <row r="21" spans="1:15">
      <c r="A21" s="37" t="s">
        <v>305</v>
      </c>
      <c r="B21" s="37"/>
      <c r="C21" s="38"/>
      <c r="D21" s="38"/>
      <c r="E21" s="43">
        <v>5000</v>
      </c>
      <c r="H21" t="s">
        <v>314</v>
      </c>
      <c r="K21" s="15">
        <f>E21/(C11+E11)</f>
        <v>53.191489361702125</v>
      </c>
    </row>
    <row r="22" spans="1:15">
      <c r="A22" s="37" t="s">
        <v>306</v>
      </c>
      <c r="B22" s="37"/>
      <c r="C22" s="38"/>
      <c r="D22" s="38"/>
      <c r="E22" s="43">
        <v>86700</v>
      </c>
      <c r="I22" s="11"/>
    </row>
    <row r="23" spans="1:15">
      <c r="H23" t="s">
        <v>315</v>
      </c>
      <c r="K23" s="15">
        <f>C8+C9+(C11*K21+C13*K18+C14*K19+C12*K20)/C7</f>
        <v>8.9417184647023777</v>
      </c>
    </row>
    <row r="24" spans="1:15">
      <c r="H24" t="s">
        <v>316</v>
      </c>
      <c r="K24" s="15">
        <f>E3-K12</f>
        <v>10.183246753246753</v>
      </c>
    </row>
    <row r="26" spans="1:15">
      <c r="H26" t="s">
        <v>317</v>
      </c>
      <c r="K26" s="15">
        <f>E8+E9+(E11*K21+E12*K20+E13*K18+E14*K19)/E7</f>
        <v>15.803201025463609</v>
      </c>
    </row>
    <row r="27" spans="1:15">
      <c r="H27" s="13" t="s">
        <v>318</v>
      </c>
      <c r="I27" s="13"/>
      <c r="J27" s="13"/>
      <c r="K27" s="44">
        <f>K26-E4</f>
        <v>0.3032010254636095</v>
      </c>
    </row>
    <row r="29" spans="1:15">
      <c r="A29" s="3" t="s">
        <v>335</v>
      </c>
      <c r="B29" s="2"/>
      <c r="C29" s="2"/>
      <c r="D29" s="2"/>
      <c r="E29" s="2"/>
    </row>
    <row r="30" spans="1:15">
      <c r="A30" t="s">
        <v>320</v>
      </c>
      <c r="D30" t="s">
        <v>325</v>
      </c>
      <c r="E30" s="11">
        <v>50</v>
      </c>
      <c r="F30" t="s">
        <v>321</v>
      </c>
    </row>
    <row r="31" spans="1:15">
      <c r="A31" t="s">
        <v>333</v>
      </c>
      <c r="E31" s="11">
        <v>173280</v>
      </c>
      <c r="H31" s="45" t="s">
        <v>49</v>
      </c>
      <c r="I31" s="38"/>
      <c r="J31" s="38"/>
      <c r="K31" s="38"/>
      <c r="L31" s="38"/>
      <c r="M31" s="38"/>
      <c r="N31" s="38"/>
      <c r="O31" s="38"/>
    </row>
    <row r="32" spans="1:15">
      <c r="A32" t="s">
        <v>322</v>
      </c>
      <c r="D32" t="s">
        <v>327</v>
      </c>
      <c r="E32" s="5">
        <v>45600</v>
      </c>
      <c r="F32" t="s">
        <v>323</v>
      </c>
      <c r="H32" s="45" t="s">
        <v>50</v>
      </c>
      <c r="I32" s="38"/>
      <c r="J32" s="38"/>
      <c r="K32" s="38"/>
      <c r="L32" s="38"/>
      <c r="M32" s="38"/>
      <c r="N32" s="38"/>
      <c r="O32" s="38"/>
    </row>
    <row r="33" spans="1:12">
      <c r="A33" t="s">
        <v>324</v>
      </c>
      <c r="D33" t="s">
        <v>326</v>
      </c>
      <c r="E33" s="11">
        <v>15900</v>
      </c>
      <c r="H33" t="s">
        <v>329</v>
      </c>
    </row>
    <row r="34" spans="1:12">
      <c r="A34" t="s">
        <v>328</v>
      </c>
      <c r="E34" t="s">
        <v>16</v>
      </c>
      <c r="H34" t="s">
        <v>334</v>
      </c>
      <c r="K34" s="11">
        <f>E32-E33/4</f>
        <v>41625</v>
      </c>
    </row>
    <row r="35" spans="1:12">
      <c r="H35" s="13" t="s">
        <v>330</v>
      </c>
      <c r="I35" s="13"/>
      <c r="J35" s="13"/>
      <c r="K35" s="47">
        <f>K34/12.5</f>
        <v>3330</v>
      </c>
    </row>
    <row r="36" spans="1:12">
      <c r="H36" s="13"/>
      <c r="I36" s="13"/>
    </row>
    <row r="37" spans="1:12">
      <c r="H37" t="s">
        <v>332</v>
      </c>
      <c r="K37" s="15">
        <f>E31/E32</f>
        <v>3.8</v>
      </c>
    </row>
    <row r="38" spans="1:12">
      <c r="H38" t="s">
        <v>331</v>
      </c>
      <c r="I38" s="46"/>
      <c r="K38" s="5">
        <f>E32*(K37-4)</f>
        <v>-9120.0000000000073</v>
      </c>
    </row>
    <row r="40" spans="1:12">
      <c r="A40" s="3" t="s">
        <v>336</v>
      </c>
      <c r="B40" s="2"/>
      <c r="C40" s="2"/>
      <c r="D40" s="2"/>
      <c r="E40" s="2"/>
    </row>
    <row r="41" spans="1:12" ht="20">
      <c r="A41" s="36" t="s">
        <v>337</v>
      </c>
      <c r="E41" s="36" t="s">
        <v>338</v>
      </c>
      <c r="H41" t="s">
        <v>351</v>
      </c>
    </row>
    <row r="42" spans="1:12" ht="20">
      <c r="A42" s="36" t="s">
        <v>194</v>
      </c>
      <c r="E42" s="42">
        <v>8</v>
      </c>
      <c r="H42" s="28" t="s">
        <v>350</v>
      </c>
      <c r="I42" s="28"/>
      <c r="J42" s="28"/>
      <c r="K42" s="28"/>
      <c r="L42" s="48">
        <f>E42+E43+E44+E46</f>
        <v>64</v>
      </c>
    </row>
    <row r="43" spans="1:12" ht="20">
      <c r="A43" s="36" t="s">
        <v>197</v>
      </c>
      <c r="E43" s="42">
        <v>45</v>
      </c>
      <c r="H43" t="s">
        <v>346</v>
      </c>
    </row>
    <row r="44" spans="1:12" ht="20">
      <c r="A44" s="36" t="s">
        <v>200</v>
      </c>
      <c r="E44" s="42">
        <v>9</v>
      </c>
      <c r="H44" t="s">
        <v>347</v>
      </c>
      <c r="L44" s="11">
        <f>E55*(E54-L42+E46)-E56*(E52-L42)</f>
        <v>76000</v>
      </c>
    </row>
    <row r="45" spans="1:12" ht="20">
      <c r="A45" s="36" t="s">
        <v>202</v>
      </c>
      <c r="E45" s="42">
        <v>14</v>
      </c>
      <c r="H45" t="s">
        <v>349</v>
      </c>
      <c r="L45" s="11">
        <f>E56*(E52-L42)</f>
        <v>84000</v>
      </c>
    </row>
    <row r="46" spans="1:12" ht="20">
      <c r="A46" s="36" t="s">
        <v>339</v>
      </c>
      <c r="E46" s="42">
        <v>2</v>
      </c>
    </row>
    <row r="47" spans="1:12" ht="20">
      <c r="A47" s="36" t="s">
        <v>340</v>
      </c>
      <c r="E47" s="42">
        <v>78</v>
      </c>
    </row>
    <row r="50" spans="1:10" ht="20">
      <c r="A50" s="36" t="s">
        <v>341</v>
      </c>
      <c r="E50" s="5">
        <v>42000</v>
      </c>
    </row>
    <row r="51" spans="1:10" ht="20">
      <c r="A51" s="36" t="s">
        <v>342</v>
      </c>
      <c r="E51" s="5">
        <v>35000</v>
      </c>
    </row>
    <row r="52" spans="1:10" ht="20">
      <c r="A52" s="36" t="s">
        <v>343</v>
      </c>
      <c r="E52" s="11">
        <v>92</v>
      </c>
    </row>
    <row r="54" spans="1:10" ht="20">
      <c r="A54" s="36" t="s">
        <v>344</v>
      </c>
      <c r="E54" s="11">
        <v>78</v>
      </c>
    </row>
    <row r="55" spans="1:10" ht="20">
      <c r="A55" s="36" t="s">
        <v>345</v>
      </c>
      <c r="E55" s="5">
        <v>10000</v>
      </c>
    </row>
    <row r="56" spans="1:10" ht="20">
      <c r="A56" s="36" t="s">
        <v>348</v>
      </c>
      <c r="E56" s="5">
        <v>3000</v>
      </c>
    </row>
    <row r="59" spans="1:10">
      <c r="A59" s="3" t="s">
        <v>352</v>
      </c>
      <c r="B59" s="2"/>
      <c r="C59" s="2"/>
      <c r="D59" s="2"/>
      <c r="E59" s="2"/>
    </row>
    <row r="61" spans="1:10">
      <c r="G61" s="49" t="s">
        <v>374</v>
      </c>
    </row>
    <row r="62" spans="1:10">
      <c r="A62" s="37" t="s">
        <v>353</v>
      </c>
      <c r="B62" s="38"/>
      <c r="C62" s="38"/>
      <c r="D62" s="38"/>
      <c r="E62" s="43">
        <v>171000</v>
      </c>
      <c r="F62" s="37"/>
      <c r="G62" s="37" t="s">
        <v>354</v>
      </c>
      <c r="J62" s="43">
        <v>38000</v>
      </c>
    </row>
    <row r="63" spans="1:10">
      <c r="A63" s="37" t="s">
        <v>197</v>
      </c>
      <c r="B63" s="38"/>
      <c r="C63" s="38"/>
      <c r="D63" s="38"/>
      <c r="E63" s="43">
        <v>205000</v>
      </c>
      <c r="F63" s="37"/>
      <c r="G63" s="37" t="s">
        <v>355</v>
      </c>
      <c r="J63" s="43">
        <v>41000</v>
      </c>
    </row>
    <row r="64" spans="1:10">
      <c r="A64" s="37" t="s">
        <v>356</v>
      </c>
      <c r="B64" s="38"/>
      <c r="C64" s="38"/>
      <c r="D64" s="38"/>
      <c r="E64" s="43">
        <v>35000</v>
      </c>
      <c r="F64" s="37"/>
      <c r="G64" s="37" t="s">
        <v>357</v>
      </c>
      <c r="J64" s="43">
        <v>105000</v>
      </c>
    </row>
    <row r="65" spans="1:22">
      <c r="A65" s="37" t="s">
        <v>358</v>
      </c>
      <c r="B65" s="38"/>
      <c r="C65" s="38"/>
      <c r="D65" s="38"/>
      <c r="E65" s="43">
        <v>84500</v>
      </c>
      <c r="F65" s="37"/>
      <c r="G65" s="37"/>
      <c r="J65" s="37"/>
    </row>
    <row r="66" spans="1:22">
      <c r="A66" s="37" t="s">
        <v>359</v>
      </c>
      <c r="B66" s="38"/>
      <c r="C66" s="38"/>
      <c r="D66" s="38"/>
      <c r="E66" s="43">
        <v>25000</v>
      </c>
      <c r="F66" s="37"/>
      <c r="G66" s="37"/>
      <c r="J66" s="37"/>
    </row>
    <row r="67" spans="1:22">
      <c r="A67" s="37" t="s">
        <v>360</v>
      </c>
      <c r="B67" s="38"/>
      <c r="C67" s="38"/>
      <c r="D67" s="38"/>
      <c r="E67" s="43">
        <v>18000</v>
      </c>
      <c r="F67" s="37"/>
      <c r="G67" s="49" t="s">
        <v>361</v>
      </c>
      <c r="J67" s="37"/>
    </row>
    <row r="68" spans="1:22">
      <c r="A68" s="37" t="s">
        <v>362</v>
      </c>
      <c r="B68" s="38"/>
      <c r="C68" s="38"/>
      <c r="D68" s="38"/>
      <c r="E68" s="43">
        <v>92000</v>
      </c>
      <c r="F68" s="37"/>
      <c r="G68" s="37" t="s">
        <v>354</v>
      </c>
      <c r="J68" s="43">
        <v>47000</v>
      </c>
    </row>
    <row r="69" spans="1:22">
      <c r="A69" s="37" t="s">
        <v>363</v>
      </c>
      <c r="B69" s="38"/>
      <c r="C69" s="38"/>
      <c r="D69" s="38"/>
      <c r="E69" s="43">
        <v>14000</v>
      </c>
      <c r="F69" s="37"/>
      <c r="G69" s="37" t="s">
        <v>355</v>
      </c>
      <c r="J69" s="43">
        <v>25000</v>
      </c>
    </row>
    <row r="70" spans="1:22">
      <c r="A70" s="37" t="s">
        <v>364</v>
      </c>
      <c r="B70" s="38"/>
      <c r="C70" s="38"/>
      <c r="D70" s="38"/>
      <c r="E70" s="43">
        <v>76000</v>
      </c>
      <c r="F70" s="37"/>
      <c r="G70" s="37" t="s">
        <v>365</v>
      </c>
      <c r="J70" s="43">
        <v>93000</v>
      </c>
    </row>
    <row r="71" spans="1:22">
      <c r="A71" s="37" t="s">
        <v>366</v>
      </c>
      <c r="B71" s="38"/>
      <c r="C71" s="38"/>
      <c r="D71" s="38"/>
      <c r="E71" s="43">
        <v>28000</v>
      </c>
      <c r="F71" s="37"/>
      <c r="G71" s="37"/>
      <c r="J71" s="37"/>
    </row>
    <row r="72" spans="1:22">
      <c r="A72" s="37" t="s">
        <v>367</v>
      </c>
      <c r="B72" s="38"/>
      <c r="C72" s="38"/>
      <c r="D72" s="38"/>
      <c r="E72" s="43">
        <v>45000</v>
      </c>
      <c r="F72" s="37"/>
      <c r="G72" s="37" t="s">
        <v>368</v>
      </c>
      <c r="J72" s="37" t="s">
        <v>369</v>
      </c>
    </row>
    <row r="73" spans="1:22">
      <c r="A73" s="37" t="s">
        <v>370</v>
      </c>
      <c r="B73" s="38"/>
      <c r="C73" s="38"/>
      <c r="D73" s="38"/>
      <c r="E73" s="43">
        <v>950000</v>
      </c>
      <c r="F73" s="37"/>
      <c r="G73" s="37"/>
      <c r="H73" s="37"/>
      <c r="I73" s="38"/>
    </row>
    <row r="74" spans="1:22">
      <c r="A74" s="37" t="s">
        <v>371</v>
      </c>
      <c r="B74" s="38"/>
      <c r="C74" s="38"/>
      <c r="D74" s="38"/>
      <c r="E74" s="43">
        <v>100000</v>
      </c>
      <c r="F74" s="37"/>
      <c r="G74" s="37"/>
      <c r="H74" s="37"/>
      <c r="I74" s="38"/>
    </row>
    <row r="75" spans="1:22">
      <c r="A75" s="37" t="s">
        <v>372</v>
      </c>
      <c r="B75" s="38"/>
      <c r="C75" s="38"/>
      <c r="D75" s="38"/>
      <c r="E75" s="43">
        <v>32000</v>
      </c>
      <c r="F75" s="37"/>
      <c r="G75" s="37"/>
      <c r="H75" s="37"/>
      <c r="I75" s="38"/>
    </row>
    <row r="76" spans="1:22" ht="17" thickBot="1">
      <c r="A76" s="37" t="s">
        <v>373</v>
      </c>
      <c r="B76" s="38"/>
      <c r="C76" s="38"/>
      <c r="D76" s="38"/>
      <c r="E76" s="43">
        <v>34000</v>
      </c>
      <c r="F76" s="37"/>
      <c r="G76" s="37"/>
      <c r="H76" s="38"/>
      <c r="I76" s="38"/>
    </row>
    <row r="77" spans="1:22"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2"/>
    </row>
    <row r="78" spans="1:22">
      <c r="G78" s="53"/>
      <c r="H78" s="54" t="s">
        <v>382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6"/>
    </row>
    <row r="79" spans="1:22">
      <c r="G79" s="53"/>
      <c r="H79" s="55"/>
      <c r="I79" s="55"/>
      <c r="J79" s="55"/>
      <c r="K79" s="55"/>
      <c r="L79" s="55"/>
      <c r="M79" s="55"/>
      <c r="N79" s="55"/>
      <c r="O79" s="55"/>
      <c r="P79" s="55"/>
      <c r="Q79" s="57" t="s">
        <v>389</v>
      </c>
      <c r="R79" s="57"/>
      <c r="S79" s="55"/>
      <c r="T79" s="55"/>
      <c r="U79" s="55"/>
      <c r="V79" s="56"/>
    </row>
    <row r="80" spans="1:22">
      <c r="G80" s="53"/>
      <c r="H80" s="67" t="s">
        <v>383</v>
      </c>
      <c r="I80" s="55"/>
      <c r="J80" s="55"/>
      <c r="K80" s="55"/>
      <c r="L80" s="55"/>
      <c r="M80" s="55"/>
      <c r="N80" s="55"/>
      <c r="O80" s="55"/>
      <c r="P80" s="55"/>
      <c r="Q80" s="58" t="s">
        <v>370</v>
      </c>
      <c r="R80" s="59"/>
      <c r="S80" s="59"/>
      <c r="T80" s="59"/>
      <c r="U80" s="59"/>
      <c r="V80" s="60">
        <v>950000</v>
      </c>
    </row>
    <row r="81" spans="1:22">
      <c r="A81" s="37" t="s">
        <v>353</v>
      </c>
      <c r="B81" s="38"/>
      <c r="C81" s="38"/>
      <c r="D81" s="38"/>
      <c r="E81" s="43">
        <v>171000</v>
      </c>
      <c r="G81" s="53"/>
      <c r="H81" s="61" t="s">
        <v>353</v>
      </c>
      <c r="I81" s="62"/>
      <c r="J81" s="62"/>
      <c r="K81" s="62"/>
      <c r="L81" s="63">
        <v>171000</v>
      </c>
      <c r="M81" s="55"/>
      <c r="N81" s="55"/>
      <c r="O81" s="55"/>
      <c r="P81" s="55"/>
      <c r="Q81" s="61"/>
      <c r="R81" s="62"/>
      <c r="S81" s="62"/>
      <c r="T81" s="62"/>
      <c r="U81" s="63"/>
      <c r="V81" s="56"/>
    </row>
    <row r="82" spans="1:22">
      <c r="A82" s="37" t="s">
        <v>197</v>
      </c>
      <c r="B82" s="38"/>
      <c r="C82" s="38"/>
      <c r="D82" s="38"/>
      <c r="E82" s="43">
        <v>205000</v>
      </c>
      <c r="G82" s="53"/>
      <c r="H82" s="61" t="s">
        <v>380</v>
      </c>
      <c r="I82" s="55"/>
      <c r="J82" s="55"/>
      <c r="K82" s="55"/>
      <c r="L82" s="63">
        <v>38000</v>
      </c>
      <c r="M82" s="55"/>
      <c r="N82" s="55"/>
      <c r="O82" s="55"/>
      <c r="P82" s="55"/>
      <c r="Q82" s="61" t="s">
        <v>388</v>
      </c>
      <c r="R82" s="62"/>
      <c r="S82" s="62"/>
      <c r="T82" s="62"/>
      <c r="U82" s="63">
        <f>M102</f>
        <v>613300</v>
      </c>
      <c r="V82" s="56"/>
    </row>
    <row r="83" spans="1:22">
      <c r="A83" s="37" t="s">
        <v>356</v>
      </c>
      <c r="B83" s="38"/>
      <c r="C83" s="38"/>
      <c r="D83" s="38"/>
      <c r="E83" s="43">
        <v>35000</v>
      </c>
      <c r="G83" s="53"/>
      <c r="H83" s="61" t="s">
        <v>381</v>
      </c>
      <c r="I83" s="55"/>
      <c r="J83" s="55"/>
      <c r="K83" s="55"/>
      <c r="L83" s="63">
        <v>-47000</v>
      </c>
      <c r="M83" s="55"/>
      <c r="N83" s="55"/>
      <c r="O83" s="55"/>
      <c r="P83" s="55"/>
      <c r="Q83" s="61" t="s">
        <v>376</v>
      </c>
      <c r="R83" s="55"/>
      <c r="S83" s="55"/>
      <c r="T83" s="55"/>
      <c r="U83" s="63">
        <v>105000</v>
      </c>
      <c r="V83" s="56"/>
    </row>
    <row r="84" spans="1:22">
      <c r="A84" s="37" t="s">
        <v>358</v>
      </c>
      <c r="B84" s="38"/>
      <c r="C84" s="38"/>
      <c r="D84" s="38"/>
      <c r="E84" s="43">
        <v>84500</v>
      </c>
      <c r="G84" s="53"/>
      <c r="H84" s="61" t="s">
        <v>368</v>
      </c>
      <c r="I84" s="55"/>
      <c r="J84" s="55"/>
      <c r="K84" s="55"/>
      <c r="L84" s="63">
        <v>-6200</v>
      </c>
      <c r="M84" s="55"/>
      <c r="N84" s="55"/>
      <c r="O84" s="55"/>
      <c r="P84" s="55"/>
      <c r="Q84" s="61" t="s">
        <v>377</v>
      </c>
      <c r="R84" s="55"/>
      <c r="S84" s="55"/>
      <c r="T84" s="55"/>
      <c r="U84" s="63">
        <v>-93000</v>
      </c>
      <c r="V84" s="56"/>
    </row>
    <row r="85" spans="1:22">
      <c r="A85" s="37" t="s">
        <v>359</v>
      </c>
      <c r="B85" s="38"/>
      <c r="C85" s="38"/>
      <c r="D85" s="38"/>
      <c r="E85" s="43">
        <v>25000</v>
      </c>
      <c r="G85" s="53"/>
      <c r="H85" s="64" t="s">
        <v>384</v>
      </c>
      <c r="I85" s="59"/>
      <c r="J85" s="59"/>
      <c r="K85" s="59"/>
      <c r="L85" s="59"/>
      <c r="M85" s="65">
        <f>SUM(L81:L84)</f>
        <v>155800</v>
      </c>
      <c r="N85" s="55"/>
      <c r="O85" s="55"/>
      <c r="P85" s="55"/>
      <c r="Q85" s="57" t="s">
        <v>390</v>
      </c>
      <c r="R85" s="57"/>
      <c r="S85" s="57"/>
      <c r="T85" s="57"/>
      <c r="U85" s="57"/>
      <c r="V85" s="66">
        <f>SUM(U82:U84)</f>
        <v>625300</v>
      </c>
    </row>
    <row r="86" spans="1:22">
      <c r="A86" s="37" t="s">
        <v>360</v>
      </c>
      <c r="B86" s="38"/>
      <c r="C86" s="38"/>
      <c r="D86" s="38"/>
      <c r="E86" s="43">
        <v>18000</v>
      </c>
      <c r="G86" s="53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6"/>
    </row>
    <row r="87" spans="1:22">
      <c r="A87" s="37" t="s">
        <v>363</v>
      </c>
      <c r="B87" s="38"/>
      <c r="C87" s="38"/>
      <c r="D87" s="38"/>
      <c r="E87" s="43">
        <v>14000</v>
      </c>
      <c r="G87" s="53"/>
      <c r="H87" s="67" t="s">
        <v>385</v>
      </c>
      <c r="I87" s="55"/>
      <c r="J87" s="55"/>
      <c r="K87" s="55"/>
      <c r="L87" s="55"/>
      <c r="M87" s="55"/>
      <c r="N87" s="55"/>
      <c r="O87" s="55"/>
      <c r="P87" s="55"/>
      <c r="Q87" s="68" t="s">
        <v>392</v>
      </c>
      <c r="R87" s="57"/>
      <c r="S87" s="57"/>
      <c r="T87" s="57"/>
      <c r="U87" s="57"/>
      <c r="V87" s="66">
        <f>V80-V85</f>
        <v>324700</v>
      </c>
    </row>
    <row r="88" spans="1:22">
      <c r="A88" s="37" t="s">
        <v>366</v>
      </c>
      <c r="B88" s="38"/>
      <c r="C88" s="38"/>
      <c r="D88" s="38"/>
      <c r="E88" s="43">
        <v>28000</v>
      </c>
      <c r="G88" s="53"/>
      <c r="H88" s="61" t="s">
        <v>356</v>
      </c>
      <c r="I88" s="62"/>
      <c r="J88" s="62"/>
      <c r="K88" s="62"/>
      <c r="L88" s="63">
        <v>35000</v>
      </c>
      <c r="M88" s="55"/>
      <c r="N88" s="55"/>
      <c r="O88" s="55"/>
      <c r="P88" s="55"/>
      <c r="Q88" s="55"/>
      <c r="R88" s="55"/>
      <c r="S88" s="55"/>
      <c r="T88" s="55"/>
      <c r="U88" s="55"/>
      <c r="V88" s="56"/>
    </row>
    <row r="89" spans="1:22" ht="19">
      <c r="A89" s="37" t="s">
        <v>372</v>
      </c>
      <c r="B89" s="38"/>
      <c r="C89" s="38"/>
      <c r="D89" s="38"/>
      <c r="E89" s="43">
        <v>32000</v>
      </c>
      <c r="G89" s="53"/>
      <c r="H89" s="61" t="s">
        <v>358</v>
      </c>
      <c r="I89" s="62"/>
      <c r="J89" s="62"/>
      <c r="K89" s="62"/>
      <c r="L89" s="63">
        <v>84500</v>
      </c>
      <c r="M89" s="55"/>
      <c r="N89" s="55"/>
      <c r="O89" s="55"/>
      <c r="P89" s="55"/>
      <c r="Q89" s="69" t="s">
        <v>393</v>
      </c>
      <c r="R89" s="55"/>
      <c r="S89" s="55"/>
      <c r="T89" s="55"/>
      <c r="U89" s="55"/>
      <c r="V89" s="70">
        <f>V87-M112</f>
        <v>-22300</v>
      </c>
    </row>
    <row r="90" spans="1:22">
      <c r="A90" s="37" t="s">
        <v>376</v>
      </c>
      <c r="E90" s="43">
        <v>105000</v>
      </c>
      <c r="G90" s="53"/>
      <c r="H90" s="61" t="s">
        <v>359</v>
      </c>
      <c r="I90" s="62"/>
      <c r="J90" s="62"/>
      <c r="K90" s="62"/>
      <c r="L90" s="63">
        <v>25000</v>
      </c>
      <c r="M90" s="55"/>
      <c r="N90" s="55"/>
      <c r="O90" s="55"/>
      <c r="P90" s="55"/>
      <c r="Q90" s="55"/>
      <c r="R90" s="55"/>
      <c r="S90" s="55"/>
      <c r="T90" s="55"/>
      <c r="U90" s="55"/>
      <c r="V90" s="56"/>
    </row>
    <row r="91" spans="1:22">
      <c r="A91" s="37" t="s">
        <v>377</v>
      </c>
      <c r="E91" s="43">
        <v>-93000</v>
      </c>
      <c r="G91" s="53"/>
      <c r="H91" s="61" t="s">
        <v>360</v>
      </c>
      <c r="I91" s="62"/>
      <c r="J91" s="62"/>
      <c r="K91" s="62"/>
      <c r="L91" s="63">
        <v>18000</v>
      </c>
      <c r="M91" s="55"/>
      <c r="N91" s="55"/>
      <c r="O91" s="55"/>
      <c r="P91" s="55"/>
      <c r="Q91" s="55"/>
      <c r="R91" s="55"/>
      <c r="S91" s="55"/>
      <c r="T91" s="55"/>
      <c r="U91" s="55"/>
      <c r="V91" s="56"/>
    </row>
    <row r="92" spans="1:22">
      <c r="A92" s="37" t="s">
        <v>378</v>
      </c>
      <c r="E92" s="43">
        <v>41000</v>
      </c>
      <c r="G92" s="53"/>
      <c r="H92" s="61" t="s">
        <v>363</v>
      </c>
      <c r="I92" s="62"/>
      <c r="J92" s="62"/>
      <c r="K92" s="62"/>
      <c r="L92" s="63">
        <v>14000</v>
      </c>
      <c r="M92" s="55"/>
      <c r="N92" s="55"/>
      <c r="O92" s="55"/>
      <c r="P92" s="55"/>
      <c r="Q92" s="55"/>
      <c r="R92" s="55"/>
      <c r="S92" s="55"/>
      <c r="T92" s="55"/>
      <c r="U92" s="55"/>
      <c r="V92" s="56"/>
    </row>
    <row r="93" spans="1:22">
      <c r="A93" s="37" t="s">
        <v>379</v>
      </c>
      <c r="E93" s="11">
        <v>-25000</v>
      </c>
      <c r="G93" s="53"/>
      <c r="H93" s="61" t="s">
        <v>366</v>
      </c>
      <c r="I93" s="62"/>
      <c r="J93" s="62"/>
      <c r="K93" s="62"/>
      <c r="L93" s="63">
        <v>28000</v>
      </c>
      <c r="M93" s="55"/>
      <c r="N93" s="55"/>
      <c r="O93" s="55"/>
      <c r="P93" s="55"/>
      <c r="Q93" s="55"/>
      <c r="R93" s="55"/>
      <c r="S93" s="55"/>
      <c r="T93" s="55"/>
      <c r="U93" s="55"/>
      <c r="V93" s="56"/>
    </row>
    <row r="94" spans="1:22">
      <c r="A94" s="37" t="s">
        <v>380</v>
      </c>
      <c r="E94" s="43">
        <v>38000</v>
      </c>
      <c r="G94" s="53"/>
      <c r="H94" s="61" t="s">
        <v>372</v>
      </c>
      <c r="I94" s="62"/>
      <c r="J94" s="62"/>
      <c r="K94" s="62"/>
      <c r="L94" s="63">
        <v>32000</v>
      </c>
      <c r="M94" s="55"/>
      <c r="N94" s="55"/>
      <c r="O94" s="55"/>
      <c r="P94" s="55"/>
      <c r="Q94" s="55"/>
      <c r="R94" s="55"/>
      <c r="S94" s="55"/>
      <c r="T94" s="55"/>
      <c r="U94" s="55"/>
      <c r="V94" s="56"/>
    </row>
    <row r="95" spans="1:22">
      <c r="A95" s="37" t="s">
        <v>381</v>
      </c>
      <c r="E95" s="43">
        <v>-47000</v>
      </c>
      <c r="G95" s="53"/>
      <c r="H95" s="64" t="s">
        <v>386</v>
      </c>
      <c r="I95" s="59"/>
      <c r="J95" s="59"/>
      <c r="K95" s="59"/>
      <c r="L95" s="59"/>
      <c r="M95" s="65">
        <f>SUM(L88:L94)</f>
        <v>236500</v>
      </c>
      <c r="N95" s="55"/>
      <c r="O95" s="55"/>
      <c r="P95" s="55"/>
      <c r="Q95" s="55"/>
      <c r="R95" s="55"/>
      <c r="S95" s="55"/>
      <c r="T95" s="55"/>
      <c r="U95" s="55"/>
      <c r="V95" s="56"/>
    </row>
    <row r="96" spans="1:22">
      <c r="A96" s="37" t="s">
        <v>368</v>
      </c>
      <c r="E96" s="37" t="s">
        <v>369</v>
      </c>
      <c r="G96" s="53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6"/>
    </row>
    <row r="97" spans="7:22">
      <c r="G97" s="53"/>
      <c r="H97" s="64" t="s">
        <v>197</v>
      </c>
      <c r="I97" s="55"/>
      <c r="J97" s="55"/>
      <c r="K97" s="55"/>
      <c r="L97" s="63"/>
      <c r="M97" s="71">
        <v>205000</v>
      </c>
      <c r="N97" s="55"/>
      <c r="O97" s="55"/>
      <c r="P97" s="55"/>
      <c r="Q97" s="55"/>
      <c r="R97" s="55"/>
      <c r="S97" s="55"/>
      <c r="T97" s="55"/>
      <c r="U97" s="55"/>
      <c r="V97" s="56"/>
    </row>
    <row r="98" spans="7:22">
      <c r="G98" s="53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6"/>
    </row>
    <row r="99" spans="7:22">
      <c r="G99" s="53"/>
      <c r="H99" s="57" t="s">
        <v>387</v>
      </c>
      <c r="I99" s="57"/>
      <c r="J99" s="57"/>
      <c r="K99" s="57"/>
      <c r="L99" s="57"/>
      <c r="M99" s="72">
        <f>SUM(M85:M97)</f>
        <v>597300</v>
      </c>
      <c r="N99" s="55"/>
      <c r="O99" s="55"/>
      <c r="P99" s="55"/>
      <c r="Q99" s="55"/>
      <c r="R99" s="55"/>
      <c r="S99" s="55"/>
      <c r="T99" s="55"/>
      <c r="U99" s="55"/>
      <c r="V99" s="56"/>
    </row>
    <row r="100" spans="7:22">
      <c r="G100" s="53"/>
      <c r="H100" s="61" t="s">
        <v>378</v>
      </c>
      <c r="I100" s="55"/>
      <c r="J100" s="55"/>
      <c r="K100" s="55"/>
      <c r="L100" s="63">
        <v>41000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6"/>
    </row>
    <row r="101" spans="7:22">
      <c r="G101" s="53"/>
      <c r="H101" s="61" t="s">
        <v>379</v>
      </c>
      <c r="I101" s="55"/>
      <c r="J101" s="55"/>
      <c r="K101" s="55"/>
      <c r="L101" s="73">
        <v>-25000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6"/>
    </row>
    <row r="102" spans="7:22">
      <c r="G102" s="53"/>
      <c r="H102" s="57" t="s">
        <v>388</v>
      </c>
      <c r="I102" s="57"/>
      <c r="J102" s="57"/>
      <c r="K102" s="57"/>
      <c r="L102" s="57"/>
      <c r="M102" s="72">
        <f>M99+L100+L101</f>
        <v>613300</v>
      </c>
      <c r="N102" s="55"/>
      <c r="O102" s="55"/>
      <c r="P102" s="55"/>
      <c r="Q102" s="55"/>
      <c r="R102" s="55"/>
      <c r="S102" s="55"/>
      <c r="T102" s="55"/>
      <c r="U102" s="55"/>
      <c r="V102" s="56"/>
    </row>
    <row r="103" spans="7:22">
      <c r="G103" s="53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6"/>
    </row>
    <row r="104" spans="7:22">
      <c r="G104" s="53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6"/>
    </row>
    <row r="105" spans="7:22">
      <c r="G105" s="53"/>
      <c r="H105" s="67" t="s">
        <v>391</v>
      </c>
      <c r="I105" s="74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6"/>
    </row>
    <row r="106" spans="7:22">
      <c r="G106" s="53"/>
      <c r="H106" s="61" t="s">
        <v>373</v>
      </c>
      <c r="I106" s="62"/>
      <c r="J106" s="62"/>
      <c r="K106" s="62"/>
      <c r="L106" s="63">
        <v>34000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6"/>
    </row>
    <row r="107" spans="7:22">
      <c r="G107" s="53"/>
      <c r="H107" s="61" t="s">
        <v>371</v>
      </c>
      <c r="I107" s="62"/>
      <c r="J107" s="62"/>
      <c r="K107" s="62"/>
      <c r="L107" s="63">
        <v>100000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6"/>
    </row>
    <row r="108" spans="7:22">
      <c r="G108" s="53"/>
      <c r="H108" s="61" t="s">
        <v>367</v>
      </c>
      <c r="I108" s="62"/>
      <c r="J108" s="62"/>
      <c r="K108" s="62"/>
      <c r="L108" s="63">
        <v>45000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6"/>
    </row>
    <row r="109" spans="7:22">
      <c r="G109" s="53"/>
      <c r="H109" s="61" t="s">
        <v>364</v>
      </c>
      <c r="I109" s="62"/>
      <c r="J109" s="62"/>
      <c r="K109" s="62"/>
      <c r="L109" s="63">
        <v>76000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6"/>
    </row>
    <row r="110" spans="7:22">
      <c r="G110" s="53"/>
      <c r="H110" s="61" t="s">
        <v>362</v>
      </c>
      <c r="I110" s="62"/>
      <c r="J110" s="62"/>
      <c r="K110" s="62"/>
      <c r="L110" s="63">
        <v>92000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6"/>
    </row>
    <row r="111" spans="7:22">
      <c r="G111" s="53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6"/>
    </row>
    <row r="112" spans="7:22">
      <c r="G112" s="53"/>
      <c r="H112" s="68" t="s">
        <v>375</v>
      </c>
      <c r="I112" s="57"/>
      <c r="J112" s="57"/>
      <c r="K112" s="57"/>
      <c r="L112" s="57"/>
      <c r="M112" s="72">
        <f>SUM(L106:L110)</f>
        <v>347000</v>
      </c>
      <c r="N112" s="55"/>
      <c r="O112" s="55"/>
      <c r="P112" s="55"/>
      <c r="Q112" s="55"/>
      <c r="R112" s="55"/>
      <c r="S112" s="55"/>
      <c r="T112" s="55"/>
      <c r="U112" s="55"/>
      <c r="V112" s="56"/>
    </row>
    <row r="113" spans="1:22" ht="17" thickBot="1">
      <c r="G113" s="75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7"/>
    </row>
    <row r="115" spans="1:22">
      <c r="A115" s="3" t="s">
        <v>394</v>
      </c>
      <c r="B115" s="2"/>
      <c r="C115" s="2"/>
      <c r="D115" s="2"/>
      <c r="E115" s="2"/>
      <c r="H115" t="s">
        <v>402</v>
      </c>
    </row>
    <row r="116" spans="1:22">
      <c r="H116" t="s">
        <v>403</v>
      </c>
    </row>
    <row r="117" spans="1:22">
      <c r="A117" s="37" t="s">
        <v>395</v>
      </c>
      <c r="B117" s="38"/>
      <c r="C117" s="38"/>
      <c r="D117" s="37" t="s">
        <v>396</v>
      </c>
      <c r="E117" s="38"/>
    </row>
    <row r="118" spans="1:22">
      <c r="A118" s="37" t="s">
        <v>397</v>
      </c>
      <c r="B118" s="38"/>
      <c r="C118" s="38"/>
      <c r="D118" s="37">
        <v>500</v>
      </c>
      <c r="E118" s="37">
        <v>1000</v>
      </c>
      <c r="H118" t="s">
        <v>309</v>
      </c>
      <c r="K118" s="11">
        <f>D118*(D119-D120-D121) + E118*(E119-E120-E121)</f>
        <v>105000</v>
      </c>
    </row>
    <row r="119" spans="1:22">
      <c r="A119" s="37" t="s">
        <v>398</v>
      </c>
      <c r="B119" s="38"/>
      <c r="C119" s="38"/>
      <c r="D119" s="43">
        <v>200</v>
      </c>
      <c r="E119" s="43">
        <v>175</v>
      </c>
      <c r="H119" t="s">
        <v>257</v>
      </c>
      <c r="K119" s="11">
        <f>E124</f>
        <v>55000</v>
      </c>
    </row>
    <row r="120" spans="1:22">
      <c r="A120" s="37" t="s">
        <v>399</v>
      </c>
      <c r="B120" s="38"/>
      <c r="C120" s="38"/>
      <c r="D120" s="43">
        <v>110</v>
      </c>
      <c r="E120" s="43">
        <v>100</v>
      </c>
    </row>
    <row r="121" spans="1:22">
      <c r="A121" s="37" t="s">
        <v>400</v>
      </c>
      <c r="B121" s="38"/>
      <c r="C121" s="38"/>
      <c r="D121" s="43">
        <v>10</v>
      </c>
      <c r="E121" s="43">
        <v>10</v>
      </c>
      <c r="H121" s="13" t="s">
        <v>255</v>
      </c>
      <c r="I121" s="13"/>
      <c r="J121" s="13"/>
      <c r="K121" s="26">
        <f>K118-K119</f>
        <v>50000</v>
      </c>
    </row>
    <row r="124" spans="1:22">
      <c r="A124" s="37" t="s">
        <v>401</v>
      </c>
      <c r="E124" s="11">
        <v>55000</v>
      </c>
    </row>
  </sheetData>
  <hyperlinks>
    <hyperlink ref="H78" r:id="rId1" xr:uid="{166DAA12-A65F-FA49-BFB9-71CB4320A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6010-FD7D-4942-B016-1BFB84E450C8}">
  <dimension ref="A1:R160"/>
  <sheetViews>
    <sheetView topLeftCell="A123" workbookViewId="0">
      <selection activeCell="L154" sqref="L154"/>
    </sheetView>
  </sheetViews>
  <sheetFormatPr baseColWidth="10" defaultRowHeight="16"/>
  <sheetData>
    <row r="1" spans="1:9">
      <c r="A1" s="3" t="s">
        <v>10</v>
      </c>
      <c r="B1" s="2"/>
      <c r="C1" s="2"/>
      <c r="D1" s="2"/>
      <c r="E1" s="2"/>
    </row>
    <row r="2" spans="1:9" ht="31">
      <c r="A2" t="s">
        <v>0</v>
      </c>
      <c r="C2" s="1">
        <v>15000</v>
      </c>
      <c r="G2" s="4" t="s">
        <v>9</v>
      </c>
    </row>
    <row r="3" spans="1:9" ht="31">
      <c r="A3" t="s">
        <v>1</v>
      </c>
      <c r="C3" s="1">
        <v>40000</v>
      </c>
      <c r="G3" s="4" t="s">
        <v>6</v>
      </c>
    </row>
    <row r="4" spans="1:9">
      <c r="A4" t="s">
        <v>2</v>
      </c>
      <c r="C4" s="1">
        <v>50000</v>
      </c>
    </row>
    <row r="5" spans="1:9">
      <c r="A5" t="s">
        <v>3</v>
      </c>
      <c r="C5" s="1">
        <v>4000</v>
      </c>
      <c r="G5" t="s">
        <v>7</v>
      </c>
      <c r="I5" s="1">
        <f>C2+C4+C3+C5</f>
        <v>109000</v>
      </c>
    </row>
    <row r="6" spans="1:9">
      <c r="A6" t="s">
        <v>4</v>
      </c>
      <c r="C6" s="1">
        <v>99000</v>
      </c>
      <c r="G6" t="s">
        <v>8</v>
      </c>
      <c r="I6" s="1">
        <f>C7+I5-C6</f>
        <v>38000</v>
      </c>
    </row>
    <row r="7" spans="1:9">
      <c r="A7" t="s">
        <v>5</v>
      </c>
      <c r="C7" s="1">
        <v>28000</v>
      </c>
    </row>
    <row r="10" spans="1:9">
      <c r="A10" s="3" t="s">
        <v>11</v>
      </c>
      <c r="B10" s="2"/>
      <c r="C10" s="2"/>
      <c r="D10" s="2"/>
      <c r="E10" s="2"/>
    </row>
    <row r="11" spans="1:9" ht="31">
      <c r="A11" t="s">
        <v>12</v>
      </c>
      <c r="E11" s="1">
        <v>1300000</v>
      </c>
      <c r="G11" s="4" t="s">
        <v>18</v>
      </c>
    </row>
    <row r="12" spans="1:9" ht="31">
      <c r="A12" t="s">
        <v>13</v>
      </c>
      <c r="E12" s="5">
        <v>110000</v>
      </c>
      <c r="G12" s="4" t="s">
        <v>19</v>
      </c>
    </row>
    <row r="13" spans="1:9">
      <c r="A13" t="s">
        <v>14</v>
      </c>
      <c r="E13" s="1">
        <v>1248500</v>
      </c>
    </row>
    <row r="14" spans="1:9">
      <c r="A14" t="s">
        <v>17</v>
      </c>
      <c r="E14" s="5">
        <v>107500</v>
      </c>
    </row>
    <row r="15" spans="1:9">
      <c r="A15" t="s">
        <v>15</v>
      </c>
      <c r="E15" t="s">
        <v>16</v>
      </c>
    </row>
    <row r="16" spans="1:9">
      <c r="G16" t="s">
        <v>20</v>
      </c>
      <c r="H16" s="82">
        <f>E11/E12</f>
        <v>11.818181818181818</v>
      </c>
    </row>
    <row r="17" spans="1:8">
      <c r="G17" t="s">
        <v>21</v>
      </c>
      <c r="H17" s="1">
        <f>H16*E14</f>
        <v>1270454.5454545454</v>
      </c>
    </row>
    <row r="18" spans="1:8">
      <c r="G18" t="s">
        <v>22</v>
      </c>
      <c r="H18" s="1">
        <f>H17-E13</f>
        <v>21954.545454545412</v>
      </c>
    </row>
    <row r="20" spans="1:8">
      <c r="A20" s="3" t="s">
        <v>23</v>
      </c>
      <c r="B20" s="2"/>
      <c r="C20" s="2"/>
      <c r="D20" s="2"/>
      <c r="E20" s="2"/>
    </row>
    <row r="22" spans="1:8">
      <c r="A22" t="s">
        <v>24</v>
      </c>
      <c r="C22">
        <v>360</v>
      </c>
    </row>
    <row r="23" spans="1:8">
      <c r="A23" t="s">
        <v>25</v>
      </c>
      <c r="C23">
        <v>450</v>
      </c>
    </row>
    <row r="24" spans="1:8">
      <c r="A24" t="s">
        <v>26</v>
      </c>
      <c r="C24">
        <v>23</v>
      </c>
    </row>
    <row r="26" spans="1:8" ht="20">
      <c r="D26" s="6" t="s">
        <v>27</v>
      </c>
    </row>
    <row r="28" spans="1:8" ht="20">
      <c r="A28" s="6" t="s">
        <v>28</v>
      </c>
    </row>
    <row r="30" spans="1:8" ht="20">
      <c r="A30" s="6" t="s">
        <v>29</v>
      </c>
    </row>
    <row r="32" spans="1:8" ht="20">
      <c r="A32" s="6" t="s">
        <v>30</v>
      </c>
    </row>
    <row r="35" spans="1:9">
      <c r="A35" t="s">
        <v>33</v>
      </c>
    </row>
    <row r="36" spans="1:9">
      <c r="A36" t="s">
        <v>31</v>
      </c>
      <c r="D36">
        <f>241000/5000</f>
        <v>48.2</v>
      </c>
    </row>
    <row r="37" spans="1:9">
      <c r="A37" t="s">
        <v>32</v>
      </c>
      <c r="D37">
        <f>360*D36</f>
        <v>17352</v>
      </c>
    </row>
    <row r="39" spans="1:9">
      <c r="A39" t="s">
        <v>34</v>
      </c>
      <c r="H39" s="78" t="s">
        <v>38</v>
      </c>
      <c r="I39" s="78">
        <f>D42-D37</f>
        <v>978</v>
      </c>
    </row>
    <row r="40" spans="1:9">
      <c r="A40" t="s">
        <v>35</v>
      </c>
      <c r="D40">
        <f>175000/25000</f>
        <v>7</v>
      </c>
    </row>
    <row r="41" spans="1:9">
      <c r="A41" t="s">
        <v>36</v>
      </c>
      <c r="D41">
        <f>66000/100</f>
        <v>660</v>
      </c>
    </row>
    <row r="42" spans="1:9">
      <c r="A42" t="s">
        <v>37</v>
      </c>
      <c r="D42">
        <f>23*D41+450*D40</f>
        <v>18330</v>
      </c>
    </row>
    <row r="44" spans="1:9">
      <c r="A44" s="3" t="s">
        <v>39</v>
      </c>
      <c r="B44" s="2"/>
      <c r="C44" s="2"/>
      <c r="D44" s="2"/>
      <c r="E44" s="2"/>
    </row>
    <row r="46" spans="1:9" ht="31">
      <c r="A46" t="s">
        <v>40</v>
      </c>
      <c r="D46">
        <v>3000</v>
      </c>
      <c r="G46" s="4" t="s">
        <v>47</v>
      </c>
    </row>
    <row r="47" spans="1:9" ht="31">
      <c r="A47" t="s">
        <v>41</v>
      </c>
      <c r="D47" s="11">
        <v>6600</v>
      </c>
      <c r="G47" s="7" t="s">
        <v>49</v>
      </c>
    </row>
    <row r="48" spans="1:9" ht="31">
      <c r="A48" t="s">
        <v>42</v>
      </c>
      <c r="D48">
        <v>5</v>
      </c>
      <c r="G48" s="7" t="s">
        <v>50</v>
      </c>
    </row>
    <row r="49" spans="1:18">
      <c r="A49" t="s">
        <v>43</v>
      </c>
      <c r="D49">
        <v>330</v>
      </c>
    </row>
    <row r="50" spans="1:18">
      <c r="A50" t="s">
        <v>44</v>
      </c>
      <c r="D50" s="11">
        <v>3762</v>
      </c>
      <c r="E50" t="s">
        <v>424</v>
      </c>
    </row>
    <row r="51" spans="1:18">
      <c r="A51" t="s">
        <v>405</v>
      </c>
      <c r="D51">
        <v>171</v>
      </c>
      <c r="E51" t="s">
        <v>326</v>
      </c>
      <c r="F51" t="s">
        <v>404</v>
      </c>
      <c r="G51" t="s">
        <v>46</v>
      </c>
      <c r="K51">
        <f>330*5</f>
        <v>1650</v>
      </c>
    </row>
    <row r="52" spans="1:18">
      <c r="F52" t="s">
        <v>325</v>
      </c>
      <c r="G52" t="s">
        <v>48</v>
      </c>
      <c r="K52">
        <f>3762/K51</f>
        <v>2.2799999999999998</v>
      </c>
    </row>
    <row r="53" spans="1:18">
      <c r="A53" t="s">
        <v>45</v>
      </c>
      <c r="G53" t="s">
        <v>51</v>
      </c>
      <c r="K53">
        <f xml:space="preserve"> (D51/K52)+K51</f>
        <v>1725</v>
      </c>
      <c r="M53" t="s">
        <v>406</v>
      </c>
    </row>
    <row r="57" spans="1:18">
      <c r="A57" s="3" t="s">
        <v>52</v>
      </c>
      <c r="B57" s="2"/>
      <c r="C57" s="2"/>
      <c r="D57" s="2"/>
      <c r="E57" s="2"/>
    </row>
    <row r="58" spans="1:18" ht="19">
      <c r="A58" s="23"/>
      <c r="B58" s="23"/>
      <c r="C58" s="23"/>
      <c r="D58" s="23"/>
      <c r="E58" s="23"/>
      <c r="F58" s="23"/>
      <c r="G58" s="23"/>
      <c r="H58" s="23"/>
    </row>
    <row r="59" spans="1:18" ht="26">
      <c r="A59" s="23" t="s">
        <v>412</v>
      </c>
      <c r="B59" s="23"/>
      <c r="C59" s="23"/>
      <c r="D59" s="23"/>
      <c r="E59" s="23"/>
      <c r="F59" s="23"/>
      <c r="G59" s="23"/>
      <c r="H59" s="23"/>
      <c r="J59" s="9" t="s">
        <v>57</v>
      </c>
      <c r="R59" t="s">
        <v>407</v>
      </c>
    </row>
    <row r="60" spans="1:18" ht="26">
      <c r="A60" s="23" t="s">
        <v>411</v>
      </c>
      <c r="B60" s="23"/>
      <c r="C60" s="23"/>
      <c r="D60" s="79">
        <v>-7040</v>
      </c>
      <c r="E60" s="23" t="s">
        <v>419</v>
      </c>
      <c r="F60" s="23"/>
      <c r="G60" s="23" t="s">
        <v>408</v>
      </c>
      <c r="H60" s="23"/>
      <c r="J60" s="9" t="s">
        <v>58</v>
      </c>
    </row>
    <row r="61" spans="1:18" ht="25">
      <c r="A61" s="80" t="s">
        <v>413</v>
      </c>
      <c r="B61" s="23"/>
      <c r="C61" s="23"/>
      <c r="D61" s="79">
        <v>13000</v>
      </c>
      <c r="E61" s="23" t="s">
        <v>420</v>
      </c>
      <c r="F61" s="23"/>
      <c r="G61" s="23" t="s">
        <v>417</v>
      </c>
      <c r="H61" s="23"/>
      <c r="J61" s="9" t="s">
        <v>56</v>
      </c>
    </row>
    <row r="62" spans="1:18" ht="19">
      <c r="A62" s="23" t="s">
        <v>414</v>
      </c>
      <c r="B62" s="23"/>
      <c r="C62" s="23"/>
      <c r="D62" s="81" t="s">
        <v>16</v>
      </c>
      <c r="E62" s="23"/>
      <c r="F62" s="23"/>
      <c r="G62" s="23"/>
      <c r="H62" s="23"/>
    </row>
    <row r="63" spans="1:18" ht="19">
      <c r="A63" s="23" t="s">
        <v>415</v>
      </c>
      <c r="B63" s="23"/>
      <c r="C63" s="23"/>
      <c r="D63" s="79">
        <v>110</v>
      </c>
      <c r="E63" s="23" t="s">
        <v>65</v>
      </c>
      <c r="F63" s="23"/>
      <c r="G63" s="23" t="s">
        <v>409</v>
      </c>
      <c r="H63" s="23"/>
    </row>
    <row r="64" spans="1:18" ht="19">
      <c r="A64" s="23" t="s">
        <v>53</v>
      </c>
      <c r="B64" s="23"/>
      <c r="C64" s="23"/>
      <c r="D64" s="23">
        <v>2000</v>
      </c>
      <c r="E64" s="23"/>
      <c r="F64" s="23"/>
      <c r="G64" s="23" t="s">
        <v>410</v>
      </c>
      <c r="H64" s="23"/>
      <c r="J64" t="s">
        <v>54</v>
      </c>
      <c r="M64">
        <f>-7040/110+2000</f>
        <v>1936</v>
      </c>
      <c r="O64" t="s">
        <v>418</v>
      </c>
    </row>
    <row r="65" spans="1:13" ht="19">
      <c r="A65" s="23" t="s">
        <v>416</v>
      </c>
      <c r="B65" s="23"/>
      <c r="C65" s="23"/>
      <c r="D65" s="23"/>
      <c r="E65" s="23"/>
      <c r="F65" s="23"/>
      <c r="G65" s="23"/>
      <c r="H65" s="23"/>
      <c r="J65" t="s">
        <v>59</v>
      </c>
      <c r="M65" s="11">
        <f>D61-D60</f>
        <v>20040</v>
      </c>
    </row>
    <row r="66" spans="1:13" ht="19">
      <c r="A66" s="23"/>
      <c r="B66" s="23"/>
      <c r="C66" s="23"/>
      <c r="D66" s="23"/>
      <c r="E66" s="23"/>
      <c r="F66" s="23"/>
      <c r="G66" s="23"/>
      <c r="H66" s="23"/>
      <c r="J66" t="s">
        <v>55</v>
      </c>
      <c r="M66">
        <f>(M65/M64)+110</f>
        <v>120.35123966942149</v>
      </c>
    </row>
    <row r="72" spans="1:13">
      <c r="A72" s="3" t="s">
        <v>60</v>
      </c>
      <c r="B72" s="2"/>
      <c r="C72" s="2"/>
      <c r="D72" s="2"/>
      <c r="E72" s="2"/>
    </row>
    <row r="73" spans="1:13">
      <c r="J73" t="s">
        <v>423</v>
      </c>
    </row>
    <row r="74" spans="1:13">
      <c r="A74" t="s">
        <v>61</v>
      </c>
      <c r="D74">
        <v>2120</v>
      </c>
      <c r="F74" t="s">
        <v>327</v>
      </c>
      <c r="J74" t="s">
        <v>68</v>
      </c>
    </row>
    <row r="75" spans="1:13">
      <c r="A75" t="s">
        <v>24</v>
      </c>
      <c r="D75">
        <v>1620</v>
      </c>
      <c r="E75" t="s">
        <v>69</v>
      </c>
      <c r="F75" t="s">
        <v>421</v>
      </c>
    </row>
    <row r="76" spans="1:13">
      <c r="A76" t="s">
        <v>62</v>
      </c>
      <c r="D76">
        <v>45</v>
      </c>
      <c r="E76" t="s">
        <v>63</v>
      </c>
      <c r="J76" t="s">
        <v>70</v>
      </c>
      <c r="K76">
        <f>2120*45/60</f>
        <v>1590</v>
      </c>
    </row>
    <row r="77" spans="1:13">
      <c r="A77" t="s">
        <v>64</v>
      </c>
      <c r="D77" s="11">
        <v>90</v>
      </c>
      <c r="E77" t="s">
        <v>65</v>
      </c>
      <c r="F77" t="s">
        <v>409</v>
      </c>
      <c r="J77" t="s">
        <v>71</v>
      </c>
      <c r="K77">
        <f>90*(1620 - K76)</f>
        <v>2700</v>
      </c>
    </row>
    <row r="78" spans="1:13">
      <c r="A78" t="s">
        <v>66</v>
      </c>
      <c r="D78" s="10">
        <v>0.05</v>
      </c>
    </row>
    <row r="79" spans="1:13">
      <c r="A79" t="s">
        <v>67</v>
      </c>
      <c r="D79" s="15">
        <v>92.25</v>
      </c>
      <c r="F79" t="s">
        <v>422</v>
      </c>
    </row>
    <row r="82" spans="1:13">
      <c r="A82" t="s">
        <v>72</v>
      </c>
      <c r="D82">
        <v>2200</v>
      </c>
      <c r="J82" t="s">
        <v>74</v>
      </c>
      <c r="K82">
        <f>1620 *(92.25-90)</f>
        <v>3645</v>
      </c>
    </row>
    <row r="83" spans="1:13">
      <c r="A83" t="s">
        <v>73</v>
      </c>
      <c r="J83" t="s">
        <v>73</v>
      </c>
      <c r="L83">
        <f>K82+2200</f>
        <v>5845</v>
      </c>
    </row>
    <row r="87" spans="1:13">
      <c r="A87" s="3" t="s">
        <v>60</v>
      </c>
      <c r="B87" s="2"/>
      <c r="C87" s="2"/>
      <c r="D87" s="2"/>
      <c r="E87" s="2"/>
    </row>
    <row r="88" spans="1:13">
      <c r="A88" t="s">
        <v>430</v>
      </c>
      <c r="E88">
        <v>1.5</v>
      </c>
      <c r="F88" t="s">
        <v>323</v>
      </c>
      <c r="J88" t="s">
        <v>429</v>
      </c>
    </row>
    <row r="89" spans="1:13">
      <c r="A89" t="s">
        <v>425</v>
      </c>
      <c r="E89">
        <v>2</v>
      </c>
      <c r="F89" t="s">
        <v>426</v>
      </c>
    </row>
    <row r="90" spans="1:13">
      <c r="A90" t="s">
        <v>427</v>
      </c>
      <c r="E90">
        <v>5000</v>
      </c>
      <c r="J90" t="s">
        <v>334</v>
      </c>
      <c r="K90">
        <f xml:space="preserve"> E88*E90</f>
        <v>7500</v>
      </c>
    </row>
    <row r="91" spans="1:13">
      <c r="A91" t="s">
        <v>428</v>
      </c>
      <c r="E91">
        <v>8000</v>
      </c>
      <c r="J91" t="s">
        <v>431</v>
      </c>
      <c r="K91">
        <f>E89*(E91-K90)</f>
        <v>1000</v>
      </c>
      <c r="M91" t="s">
        <v>432</v>
      </c>
    </row>
    <row r="92" spans="1:13">
      <c r="A92" t="s">
        <v>326</v>
      </c>
    </row>
    <row r="99" spans="1:12">
      <c r="A99" s="3" t="s">
        <v>75</v>
      </c>
      <c r="B99" s="2"/>
      <c r="C99" s="2"/>
      <c r="D99" s="2"/>
      <c r="E99" s="2"/>
    </row>
    <row r="100" spans="1:12">
      <c r="A100" t="s">
        <v>76</v>
      </c>
      <c r="D100">
        <v>20000</v>
      </c>
    </row>
    <row r="101" spans="1:12">
      <c r="A101" t="s">
        <v>77</v>
      </c>
      <c r="D101">
        <v>10000</v>
      </c>
    </row>
    <row r="102" spans="1:12">
      <c r="A102" t="s">
        <v>78</v>
      </c>
      <c r="D102" s="10">
        <v>0.6</v>
      </c>
      <c r="I102" t="s">
        <v>87</v>
      </c>
      <c r="L102" s="1">
        <f>(4+16+8+10*0.4)*20000</f>
        <v>640000</v>
      </c>
    </row>
    <row r="103" spans="1:12">
      <c r="L103" s="1"/>
    </row>
    <row r="104" spans="1:12" ht="20">
      <c r="A104" s="6" t="s">
        <v>79</v>
      </c>
      <c r="L104" s="1"/>
    </row>
    <row r="105" spans="1:12" ht="20">
      <c r="A105" s="6" t="s">
        <v>80</v>
      </c>
      <c r="I105" t="s">
        <v>88</v>
      </c>
      <c r="L105" s="1">
        <f>36*20000</f>
        <v>720000</v>
      </c>
    </row>
    <row r="106" spans="1:12" ht="20">
      <c r="A106" s="6" t="s">
        <v>81</v>
      </c>
      <c r="I106" t="s">
        <v>89</v>
      </c>
      <c r="L106" s="1">
        <f>L105-D101</f>
        <v>710000</v>
      </c>
    </row>
    <row r="107" spans="1:12" ht="20">
      <c r="A107" s="6" t="s">
        <v>82</v>
      </c>
      <c r="L107" s="1"/>
    </row>
    <row r="108" spans="1:12" ht="20">
      <c r="A108" s="6" t="s">
        <v>83</v>
      </c>
      <c r="I108" t="s">
        <v>90</v>
      </c>
      <c r="L108" s="1">
        <f>L106-L102</f>
        <v>70000</v>
      </c>
    </row>
    <row r="109" spans="1:12">
      <c r="I109" t="s">
        <v>91</v>
      </c>
      <c r="L109" s="1"/>
    </row>
    <row r="110" spans="1:12" ht="20">
      <c r="A110" s="6" t="s">
        <v>84</v>
      </c>
      <c r="L110" s="1"/>
    </row>
    <row r="111" spans="1:12" ht="20">
      <c r="A111" s="6" t="s">
        <v>85</v>
      </c>
      <c r="L111" s="1"/>
    </row>
    <row r="112" spans="1:12" ht="20">
      <c r="A112" s="6" t="s">
        <v>86</v>
      </c>
      <c r="L112" s="1"/>
    </row>
    <row r="113" spans="1:12">
      <c r="L113" s="1"/>
    </row>
    <row r="114" spans="1:12">
      <c r="L114" s="1"/>
    </row>
    <row r="115" spans="1:12">
      <c r="A115" s="3" t="s">
        <v>92</v>
      </c>
      <c r="B115" s="2"/>
      <c r="C115" s="2"/>
      <c r="D115" s="2"/>
      <c r="E115" s="2"/>
      <c r="I115" t="s">
        <v>103</v>
      </c>
      <c r="L115" s="1"/>
    </row>
    <row r="116" spans="1:12">
      <c r="A116" t="s">
        <v>93</v>
      </c>
      <c r="D116">
        <v>10000</v>
      </c>
      <c r="I116" t="s">
        <v>101</v>
      </c>
      <c r="L116" s="1">
        <f>(5+(3/3*1))*1000 + 200</f>
        <v>6200</v>
      </c>
    </row>
    <row r="117" spans="1:12">
      <c r="L117" s="1"/>
    </row>
    <row r="118" spans="1:12">
      <c r="A118" t="s">
        <v>94</v>
      </c>
      <c r="D118">
        <v>9000</v>
      </c>
      <c r="I118" t="s">
        <v>102</v>
      </c>
      <c r="L118" s="1">
        <f>7*1000</f>
        <v>7000</v>
      </c>
    </row>
    <row r="119" spans="1:12">
      <c r="A119" t="s">
        <v>96</v>
      </c>
      <c r="D119" s="11">
        <v>10</v>
      </c>
      <c r="L119" s="1"/>
    </row>
    <row r="120" spans="1:12">
      <c r="I120" t="s">
        <v>100</v>
      </c>
      <c r="L120" s="1">
        <f>L118-L116</f>
        <v>800</v>
      </c>
    </row>
    <row r="121" spans="1:12">
      <c r="A121" t="s">
        <v>0</v>
      </c>
      <c r="D121">
        <v>5</v>
      </c>
    </row>
    <row r="122" spans="1:12">
      <c r="A122" t="s">
        <v>97</v>
      </c>
      <c r="D122">
        <v>3</v>
      </c>
      <c r="E122" t="s">
        <v>450</v>
      </c>
    </row>
    <row r="124" spans="1:12">
      <c r="A124" t="s">
        <v>98</v>
      </c>
      <c r="D124">
        <v>1000</v>
      </c>
    </row>
    <row r="125" spans="1:12">
      <c r="A125" t="s">
        <v>95</v>
      </c>
      <c r="D125">
        <v>7</v>
      </c>
    </row>
    <row r="126" spans="1:12">
      <c r="A126" t="s">
        <v>99</v>
      </c>
      <c r="D126">
        <v>200</v>
      </c>
    </row>
    <row r="128" spans="1:12">
      <c r="A128" s="3" t="s">
        <v>104</v>
      </c>
      <c r="B128" s="2"/>
      <c r="C128" s="2"/>
      <c r="D128" s="2"/>
      <c r="E128" s="2"/>
      <c r="I128" t="s">
        <v>351</v>
      </c>
    </row>
    <row r="129" spans="1:15" ht="23">
      <c r="A129" s="6" t="s">
        <v>105</v>
      </c>
      <c r="I129" s="12" t="s">
        <v>124</v>
      </c>
    </row>
    <row r="130" spans="1:15" ht="20">
      <c r="A130" s="6" t="s">
        <v>106</v>
      </c>
      <c r="I130" t="s">
        <v>123</v>
      </c>
      <c r="L130">
        <f>8+45+9+2</f>
        <v>64</v>
      </c>
      <c r="O130">
        <f>10000*(78-62)-3000*(92-64)</f>
        <v>76000</v>
      </c>
    </row>
    <row r="131" spans="1:15" ht="20">
      <c r="A131" s="6" t="s">
        <v>107</v>
      </c>
      <c r="O131">
        <f>3000 * (92 - 64)</f>
        <v>84000</v>
      </c>
    </row>
    <row r="132" spans="1:15" ht="20">
      <c r="A132" s="6" t="s">
        <v>108</v>
      </c>
    </row>
    <row r="133" spans="1:15" ht="20">
      <c r="A133" s="6" t="s">
        <v>109</v>
      </c>
    </row>
    <row r="134" spans="1:15" ht="20">
      <c r="A134" s="6" t="s">
        <v>110</v>
      </c>
      <c r="I134" t="s">
        <v>120</v>
      </c>
      <c r="L134">
        <f>10000*(L130-E139)</f>
        <v>620000</v>
      </c>
      <c r="O134" s="14" t="s">
        <v>129</v>
      </c>
    </row>
    <row r="135" spans="1:15" ht="20">
      <c r="A135" s="6" t="s">
        <v>111</v>
      </c>
      <c r="E135" t="s">
        <v>122</v>
      </c>
      <c r="I135" t="s">
        <v>121</v>
      </c>
      <c r="L135">
        <f>10000*E142</f>
        <v>780000</v>
      </c>
      <c r="O135" s="14" t="s">
        <v>130</v>
      </c>
    </row>
    <row r="136" spans="1:15">
      <c r="I136" t="s">
        <v>125</v>
      </c>
      <c r="L136">
        <f>L135-L134</f>
        <v>160000</v>
      </c>
    </row>
    <row r="137" spans="1:15" ht="20">
      <c r="A137" s="6" t="s">
        <v>112</v>
      </c>
      <c r="E137">
        <v>42000</v>
      </c>
      <c r="O137" s="14" t="s">
        <v>131</v>
      </c>
    </row>
    <row r="138" spans="1:15" ht="20">
      <c r="A138" s="6" t="s">
        <v>113</v>
      </c>
      <c r="B138" t="s">
        <v>114</v>
      </c>
      <c r="E138">
        <v>35000</v>
      </c>
      <c r="I138" t="s">
        <v>126</v>
      </c>
      <c r="L138">
        <f>3000*(78-64)</f>
        <v>42000</v>
      </c>
      <c r="O138" s="14" t="s">
        <v>132</v>
      </c>
    </row>
    <row r="139" spans="1:15" ht="20">
      <c r="A139" s="6" t="s">
        <v>115</v>
      </c>
      <c r="E139">
        <v>2</v>
      </c>
      <c r="I139" t="s">
        <v>128</v>
      </c>
      <c r="L139">
        <f>3000*14</f>
        <v>42000</v>
      </c>
    </row>
    <row r="140" spans="1:15" ht="18">
      <c r="O140" s="14" t="s">
        <v>133</v>
      </c>
    </row>
    <row r="141" spans="1:15" ht="20">
      <c r="A141" s="6" t="s">
        <v>116</v>
      </c>
      <c r="E141">
        <v>10000</v>
      </c>
      <c r="F141" t="s">
        <v>117</v>
      </c>
      <c r="I141" t="s">
        <v>127</v>
      </c>
      <c r="L141">
        <f>L136-L138-L139</f>
        <v>76000</v>
      </c>
      <c r="N141" t="s">
        <v>135</v>
      </c>
      <c r="O141" s="14" t="s">
        <v>134</v>
      </c>
    </row>
    <row r="142" spans="1:15" ht="20">
      <c r="A142" s="6" t="s">
        <v>118</v>
      </c>
      <c r="E142">
        <v>78</v>
      </c>
    </row>
    <row r="143" spans="1:15" ht="20">
      <c r="A143" s="6" t="s">
        <v>119</v>
      </c>
      <c r="E143">
        <v>-2</v>
      </c>
    </row>
    <row r="146" spans="1:14">
      <c r="A146" s="3" t="s">
        <v>104</v>
      </c>
      <c r="B146" s="2"/>
      <c r="C146" s="2"/>
      <c r="D146" s="2"/>
      <c r="E146" s="2"/>
    </row>
    <row r="148" spans="1:14">
      <c r="A148" t="s">
        <v>433</v>
      </c>
      <c r="D148" s="11">
        <v>25</v>
      </c>
      <c r="H148" t="s">
        <v>99</v>
      </c>
      <c r="L148" s="11">
        <f>D148+D149+D150</f>
        <v>47</v>
      </c>
      <c r="N148" t="s">
        <v>441</v>
      </c>
    </row>
    <row r="149" spans="1:14">
      <c r="A149" t="s">
        <v>1</v>
      </c>
      <c r="D149" s="11">
        <v>16</v>
      </c>
      <c r="H149" t="s">
        <v>440</v>
      </c>
      <c r="L149" s="11">
        <f>5000*(D156-L148)</f>
        <v>65000</v>
      </c>
    </row>
    <row r="150" spans="1:14">
      <c r="A150" t="s">
        <v>434</v>
      </c>
      <c r="D150" s="11">
        <v>6</v>
      </c>
      <c r="H150" t="s">
        <v>442</v>
      </c>
      <c r="L150" s="5">
        <f>D158*(D159-L148)</f>
        <v>200000</v>
      </c>
    </row>
    <row r="151" spans="1:14">
      <c r="A151" t="s">
        <v>170</v>
      </c>
      <c r="D151" s="11">
        <v>4</v>
      </c>
      <c r="H151" t="s">
        <v>443</v>
      </c>
      <c r="L151" s="11">
        <f>L150-L149</f>
        <v>135000</v>
      </c>
    </row>
    <row r="152" spans="1:14">
      <c r="A152" t="s">
        <v>435</v>
      </c>
      <c r="D152" s="11">
        <f>SUM(D148:D151)</f>
        <v>51</v>
      </c>
      <c r="H152" t="s">
        <v>444</v>
      </c>
    </row>
    <row r="153" spans="1:14">
      <c r="L153" s="11">
        <f>L151-D160</f>
        <v>110000</v>
      </c>
    </row>
    <row r="154" spans="1:14">
      <c r="A154" t="s">
        <v>437</v>
      </c>
      <c r="D154" s="5">
        <v>105000</v>
      </c>
    </row>
    <row r="155" spans="1:14">
      <c r="A155" t="s">
        <v>436</v>
      </c>
      <c r="D155" s="5">
        <v>90000</v>
      </c>
    </row>
    <row r="156" spans="1:14">
      <c r="A156" t="s">
        <v>263</v>
      </c>
      <c r="D156" s="11">
        <v>60</v>
      </c>
    </row>
    <row r="158" spans="1:14">
      <c r="A158" t="s">
        <v>116</v>
      </c>
      <c r="D158" s="5">
        <v>20000</v>
      </c>
    </row>
    <row r="159" spans="1:14">
      <c r="A159" t="s">
        <v>438</v>
      </c>
      <c r="D159" s="11">
        <v>57</v>
      </c>
    </row>
    <row r="160" spans="1:14">
      <c r="A160" t="s">
        <v>439</v>
      </c>
      <c r="D160" s="11"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30D7-6FDE-9F4F-BA26-3FE928109F20}">
  <dimension ref="A1:M150"/>
  <sheetViews>
    <sheetView topLeftCell="A125" workbookViewId="0">
      <selection activeCell="K137" sqref="K137"/>
    </sheetView>
  </sheetViews>
  <sheetFormatPr baseColWidth="10" defaultRowHeight="16"/>
  <cols>
    <col min="1" max="1" width="23" bestFit="1" customWidth="1"/>
    <col min="2" max="2" width="11.5" customWidth="1"/>
    <col min="7" max="7" width="11.1640625" bestFit="1" customWidth="1"/>
  </cols>
  <sheetData>
    <row r="1" spans="1:11">
      <c r="A1" s="3" t="s">
        <v>104</v>
      </c>
      <c r="B1" s="2"/>
      <c r="C1" s="2"/>
      <c r="D1" s="2"/>
      <c r="E1" s="2"/>
    </row>
    <row r="3" spans="1:11" ht="20">
      <c r="A3" s="6" t="s">
        <v>136</v>
      </c>
      <c r="B3" s="6" t="s">
        <v>137</v>
      </c>
    </row>
    <row r="4" spans="1:11" ht="20">
      <c r="A4" s="6" t="s">
        <v>138</v>
      </c>
      <c r="B4" s="16">
        <v>7.5</v>
      </c>
      <c r="H4" t="s">
        <v>156</v>
      </c>
      <c r="K4">
        <f>(75-60)*600</f>
        <v>9000</v>
      </c>
    </row>
    <row r="5" spans="1:11" ht="20">
      <c r="A5" s="6" t="s">
        <v>139</v>
      </c>
      <c r="B5" s="16">
        <v>3</v>
      </c>
      <c r="H5" t="s">
        <v>157</v>
      </c>
      <c r="K5">
        <f>(75+18-60)*400</f>
        <v>13200</v>
      </c>
    </row>
    <row r="6" spans="1:11" ht="20">
      <c r="A6" s="6" t="s">
        <v>140</v>
      </c>
      <c r="B6" s="16">
        <v>37.5</v>
      </c>
      <c r="H6" t="s">
        <v>158</v>
      </c>
      <c r="K6">
        <f>K5-K4</f>
        <v>4200</v>
      </c>
    </row>
    <row r="7" spans="1:11" ht="20">
      <c r="A7" s="6" t="s">
        <v>141</v>
      </c>
      <c r="B7" s="16">
        <v>12</v>
      </c>
    </row>
    <row r="8" spans="1:11" ht="20">
      <c r="A8" s="6" t="s">
        <v>142</v>
      </c>
      <c r="B8" s="16">
        <v>60</v>
      </c>
    </row>
    <row r="9" spans="1:11" ht="20">
      <c r="A9" s="6"/>
      <c r="B9" s="6"/>
    </row>
    <row r="10" spans="1:11" ht="20">
      <c r="A10" s="6" t="s">
        <v>143</v>
      </c>
      <c r="B10" s="6" t="s">
        <v>144</v>
      </c>
    </row>
    <row r="11" spans="1:11" ht="20">
      <c r="A11" s="6" t="s">
        <v>145</v>
      </c>
      <c r="B11" s="17">
        <v>7500</v>
      </c>
    </row>
    <row r="12" spans="1:11" ht="20">
      <c r="A12" s="6" t="s">
        <v>146</v>
      </c>
      <c r="B12" s="17">
        <v>3000</v>
      </c>
    </row>
    <row r="13" spans="1:11" ht="20">
      <c r="A13" s="6" t="s">
        <v>147</v>
      </c>
      <c r="B13" s="17">
        <v>1500</v>
      </c>
    </row>
    <row r="14" spans="1:11" ht="20">
      <c r="A14" s="6" t="s">
        <v>148</v>
      </c>
      <c r="B14" s="17">
        <v>6000</v>
      </c>
    </row>
    <row r="15" spans="1:11" ht="20">
      <c r="A15" s="6" t="s">
        <v>142</v>
      </c>
      <c r="B15" s="17">
        <v>18000</v>
      </c>
    </row>
    <row r="18" spans="1:10" ht="20">
      <c r="A18" s="6" t="s">
        <v>149</v>
      </c>
      <c r="D18">
        <v>30</v>
      </c>
    </row>
    <row r="19" spans="1:10" ht="20">
      <c r="A19" s="6" t="s">
        <v>150</v>
      </c>
      <c r="D19">
        <v>75</v>
      </c>
    </row>
    <row r="20" spans="1:10" ht="20">
      <c r="A20" s="6" t="s">
        <v>151</v>
      </c>
      <c r="D20">
        <v>800</v>
      </c>
    </row>
    <row r="21" spans="1:10" ht="20">
      <c r="A21" s="6" t="s">
        <v>152</v>
      </c>
      <c r="D21">
        <v>600</v>
      </c>
    </row>
    <row r="23" spans="1:10" ht="20">
      <c r="A23" s="6" t="s">
        <v>153</v>
      </c>
      <c r="D23">
        <v>18</v>
      </c>
    </row>
    <row r="24" spans="1:10" ht="20">
      <c r="A24" s="6" t="s">
        <v>154</v>
      </c>
      <c r="D24">
        <f>600-200</f>
        <v>400</v>
      </c>
      <c r="E24" t="s">
        <v>155</v>
      </c>
    </row>
    <row r="27" spans="1:10">
      <c r="A27" s="3" t="s">
        <v>159</v>
      </c>
      <c r="B27" s="2"/>
      <c r="C27" s="2"/>
      <c r="D27" s="2"/>
      <c r="E27" s="2"/>
    </row>
    <row r="28" spans="1:10">
      <c r="A28" t="s">
        <v>160</v>
      </c>
      <c r="D28">
        <v>300</v>
      </c>
      <c r="F28" t="s">
        <v>164</v>
      </c>
      <c r="J28">
        <f>(67.5-(60-7.5))*300 - 300</f>
        <v>4200</v>
      </c>
    </row>
    <row r="29" spans="1:10">
      <c r="A29" t="s">
        <v>161</v>
      </c>
      <c r="D29">
        <v>67.5</v>
      </c>
      <c r="F29" t="s">
        <v>165</v>
      </c>
      <c r="J29">
        <f>100*(75-60)</f>
        <v>1500</v>
      </c>
    </row>
    <row r="30" spans="1:10">
      <c r="A30" t="s">
        <v>162</v>
      </c>
      <c r="F30" t="s">
        <v>166</v>
      </c>
      <c r="J30">
        <f>4200-1500</f>
        <v>2700</v>
      </c>
    </row>
    <row r="31" spans="1:10">
      <c r="A31" t="s">
        <v>163</v>
      </c>
      <c r="D31">
        <v>300</v>
      </c>
    </row>
    <row r="34" spans="1:13">
      <c r="A34" s="3" t="s">
        <v>167</v>
      </c>
      <c r="B34" s="2"/>
      <c r="C34" s="2"/>
      <c r="D34" s="2"/>
      <c r="E34" s="2"/>
    </row>
    <row r="35" spans="1:13">
      <c r="A35" t="s">
        <v>168</v>
      </c>
      <c r="D35">
        <v>500000</v>
      </c>
      <c r="G35" t="s">
        <v>171</v>
      </c>
      <c r="H35" t="s">
        <v>172</v>
      </c>
      <c r="M35">
        <f>D36-D37</f>
        <v>1125000</v>
      </c>
    </row>
    <row r="36" spans="1:13">
      <c r="A36" t="s">
        <v>169</v>
      </c>
      <c r="D36">
        <v>1250000</v>
      </c>
      <c r="G36" t="s">
        <v>173</v>
      </c>
      <c r="M36">
        <f>M35-D35</f>
        <v>625000</v>
      </c>
    </row>
    <row r="37" spans="1:13">
      <c r="A37" t="s">
        <v>170</v>
      </c>
      <c r="D37">
        <v>125000</v>
      </c>
    </row>
    <row r="40" spans="1:13">
      <c r="A40" s="3" t="s">
        <v>211</v>
      </c>
      <c r="B40" s="2"/>
      <c r="C40" s="2"/>
      <c r="D40" s="2"/>
      <c r="E40" s="2"/>
    </row>
    <row r="42" spans="1:13" ht="20">
      <c r="B42" s="6" t="s">
        <v>174</v>
      </c>
      <c r="I42" s="19" t="s">
        <v>180</v>
      </c>
    </row>
    <row r="43" spans="1:13" ht="20">
      <c r="A43" s="6" t="s">
        <v>175</v>
      </c>
      <c r="D43" s="16">
        <v>18</v>
      </c>
      <c r="I43" s="20" t="s">
        <v>181</v>
      </c>
    </row>
    <row r="44" spans="1:13" ht="20">
      <c r="A44" s="6" t="s">
        <v>176</v>
      </c>
      <c r="D44" s="16">
        <v>4</v>
      </c>
      <c r="I44" s="20" t="s">
        <v>182</v>
      </c>
    </row>
    <row r="45" spans="1:13" ht="20">
      <c r="A45" s="6" t="s">
        <v>177</v>
      </c>
      <c r="D45" s="16">
        <v>2.4</v>
      </c>
    </row>
    <row r="46" spans="1:13" ht="20">
      <c r="A46" s="6" t="s">
        <v>178</v>
      </c>
      <c r="D46" s="16">
        <v>5.6</v>
      </c>
      <c r="I46" s="19" t="s">
        <v>183</v>
      </c>
    </row>
    <row r="47" spans="1:13" ht="20">
      <c r="A47" s="6" t="s">
        <v>179</v>
      </c>
      <c r="D47" s="16">
        <v>30</v>
      </c>
      <c r="I47" s="20" t="s">
        <v>184</v>
      </c>
    </row>
    <row r="48" spans="1:13">
      <c r="I48" s="20" t="s">
        <v>185</v>
      </c>
    </row>
    <row r="49" spans="1:10">
      <c r="I49" s="20"/>
    </row>
    <row r="50" spans="1:10" ht="18">
      <c r="A50" s="21"/>
      <c r="B50" s="21" t="s">
        <v>142</v>
      </c>
      <c r="D50" s="21" t="s">
        <v>186</v>
      </c>
      <c r="E50" s="21" t="s">
        <v>186</v>
      </c>
      <c r="F50" s="21" t="s">
        <v>187</v>
      </c>
      <c r="G50" s="21" t="s">
        <v>186</v>
      </c>
      <c r="I50" s="20" t="s">
        <v>206</v>
      </c>
    </row>
    <row r="51" spans="1:10" ht="20">
      <c r="A51" s="21" t="s">
        <v>188</v>
      </c>
      <c r="B51" s="21" t="s">
        <v>189</v>
      </c>
      <c r="D51" s="21" t="s">
        <v>190</v>
      </c>
      <c r="E51" s="21" t="s">
        <v>191</v>
      </c>
      <c r="F51" s="21" t="s">
        <v>192</v>
      </c>
      <c r="G51" s="21" t="s">
        <v>193</v>
      </c>
      <c r="I51" s="24" t="s">
        <v>205</v>
      </c>
    </row>
    <row r="52" spans="1:10" ht="18">
      <c r="A52" s="21"/>
      <c r="B52" s="21"/>
      <c r="D52" s="21"/>
      <c r="E52" s="21"/>
      <c r="F52" s="21"/>
      <c r="G52" s="21"/>
      <c r="I52" s="20" t="s">
        <v>209</v>
      </c>
      <c r="J52" s="27">
        <f>B53/3</f>
        <v>135000</v>
      </c>
    </row>
    <row r="53" spans="1:10" ht="18">
      <c r="A53" s="21" t="s">
        <v>194</v>
      </c>
      <c r="B53" s="22">
        <v>405000</v>
      </c>
      <c r="D53" s="21" t="s">
        <v>195</v>
      </c>
      <c r="E53" s="21"/>
      <c r="F53" s="21" t="s">
        <v>196</v>
      </c>
      <c r="G53" s="21"/>
    </row>
    <row r="54" spans="1:10" ht="18">
      <c r="A54" s="21" t="s">
        <v>197</v>
      </c>
      <c r="B54" s="22">
        <v>90000</v>
      </c>
      <c r="D54" s="21" t="s">
        <v>198</v>
      </c>
      <c r="E54" s="21"/>
      <c r="F54" s="21" t="s">
        <v>199</v>
      </c>
      <c r="G54" s="21"/>
      <c r="I54" t="s">
        <v>207</v>
      </c>
    </row>
    <row r="55" spans="1:10" ht="20">
      <c r="A55" s="21" t="s">
        <v>200</v>
      </c>
      <c r="B55" s="22">
        <v>54000</v>
      </c>
      <c r="D55" s="21" t="s">
        <v>201</v>
      </c>
      <c r="E55" s="21"/>
      <c r="F55" s="21"/>
      <c r="G55" s="23"/>
      <c r="I55" s="25" t="s">
        <v>208</v>
      </c>
    </row>
    <row r="56" spans="1:10" ht="19">
      <c r="A56" s="21" t="s">
        <v>202</v>
      </c>
      <c r="B56" s="22">
        <v>126000</v>
      </c>
      <c r="D56" s="21" t="s">
        <v>203</v>
      </c>
      <c r="E56" s="21"/>
      <c r="F56" s="21" t="s">
        <v>204</v>
      </c>
      <c r="G56" s="23"/>
      <c r="I56" t="s">
        <v>210</v>
      </c>
      <c r="J56" s="28">
        <f>9000/3+135000</f>
        <v>138000</v>
      </c>
    </row>
    <row r="58" spans="1:10">
      <c r="I58" t="s">
        <v>212</v>
      </c>
    </row>
    <row r="59" spans="1:10">
      <c r="I59" t="s">
        <v>213</v>
      </c>
      <c r="J59">
        <f>-6900/138000+3</f>
        <v>2.95</v>
      </c>
    </row>
    <row r="61" spans="1:10">
      <c r="A61" s="3" t="s">
        <v>217</v>
      </c>
      <c r="B61" s="2"/>
      <c r="C61" s="2"/>
      <c r="D61" s="2"/>
      <c r="E61" s="2"/>
    </row>
    <row r="62" spans="1:10">
      <c r="G62" s="29" t="s">
        <v>214</v>
      </c>
    </row>
    <row r="63" spans="1:10">
      <c r="G63" t="s">
        <v>215</v>
      </c>
    </row>
    <row r="64" spans="1:10">
      <c r="G64">
        <f>14000+17000+18000+12000</f>
        <v>61000</v>
      </c>
    </row>
    <row r="66" spans="1:10">
      <c r="A66" s="3" t="s">
        <v>216</v>
      </c>
      <c r="B66" s="2"/>
      <c r="C66" s="2"/>
      <c r="D66" s="2"/>
      <c r="E66" s="2"/>
    </row>
    <row r="68" spans="1:10">
      <c r="H68" t="s">
        <v>218</v>
      </c>
    </row>
    <row r="69" spans="1:10">
      <c r="H69" t="s">
        <v>213</v>
      </c>
      <c r="J69">
        <f>136000/16000</f>
        <v>8.5</v>
      </c>
    </row>
    <row r="70" spans="1:10">
      <c r="H70" t="s">
        <v>219</v>
      </c>
      <c r="J70">
        <f>16000 *(J69 - 8)</f>
        <v>8000</v>
      </c>
    </row>
    <row r="72" spans="1:10">
      <c r="A72" s="3" t="s">
        <v>220</v>
      </c>
      <c r="B72" s="2"/>
      <c r="C72" s="2"/>
      <c r="D72" s="2"/>
      <c r="E72" s="2"/>
    </row>
    <row r="73" spans="1:10">
      <c r="A73" t="s">
        <v>221</v>
      </c>
    </row>
    <row r="74" spans="1:10">
      <c r="A74" t="s">
        <v>223</v>
      </c>
    </row>
    <row r="75" spans="1:10">
      <c r="A75" t="s">
        <v>224</v>
      </c>
    </row>
    <row r="76" spans="1:10">
      <c r="A76" t="s">
        <v>222</v>
      </c>
    </row>
    <row r="78" spans="1:10">
      <c r="A78" s="3" t="s">
        <v>225</v>
      </c>
      <c r="B78" s="2"/>
      <c r="C78" s="2"/>
      <c r="D78" s="2"/>
      <c r="E78" s="2"/>
    </row>
    <row r="79" spans="1:10">
      <c r="A79" t="s">
        <v>226</v>
      </c>
      <c r="C79">
        <v>300000</v>
      </c>
    </row>
    <row r="80" spans="1:10">
      <c r="A80" s="30" t="s">
        <v>227</v>
      </c>
      <c r="E80">
        <f>60000+0.4*C79</f>
        <v>180000</v>
      </c>
      <c r="G80" t="s">
        <v>230</v>
      </c>
      <c r="I80">
        <f>C79-E80-E81-E82</f>
        <v>27000</v>
      </c>
    </row>
    <row r="81" spans="1:11">
      <c r="A81" s="30" t="s">
        <v>228</v>
      </c>
      <c r="E81">
        <f>15000+0.1*C79</f>
        <v>45000</v>
      </c>
    </row>
    <row r="82" spans="1:11">
      <c r="A82" s="30" t="s">
        <v>229</v>
      </c>
      <c r="E82">
        <f>18000+0.1*C79</f>
        <v>48000</v>
      </c>
    </row>
    <row r="84" spans="1:11">
      <c r="A84" s="3" t="s">
        <v>231</v>
      </c>
      <c r="B84" s="2"/>
      <c r="C84" s="2"/>
      <c r="D84" s="2"/>
      <c r="E84" s="2"/>
    </row>
    <row r="85" spans="1:11">
      <c r="A85" s="30" t="s">
        <v>226</v>
      </c>
      <c r="C85">
        <f>C79+0.2*C79</f>
        <v>360000</v>
      </c>
    </row>
    <row r="86" spans="1:11">
      <c r="A86" s="30" t="s">
        <v>232</v>
      </c>
      <c r="E86">
        <f>60000+60000*0.25+0.4*C85</f>
        <v>219000</v>
      </c>
      <c r="G86" t="s">
        <v>235</v>
      </c>
      <c r="I86">
        <f>C85-E86-E87-E88</f>
        <v>27750</v>
      </c>
    </row>
    <row r="87" spans="1:11">
      <c r="A87" s="30" t="s">
        <v>233</v>
      </c>
      <c r="E87">
        <f>15000+15000*0.25+0.1*C85</f>
        <v>54750</v>
      </c>
    </row>
    <row r="88" spans="1:11">
      <c r="A88" s="30" t="s">
        <v>234</v>
      </c>
      <c r="E88">
        <f>18000+18000*0.25+0.1*C85</f>
        <v>58500</v>
      </c>
    </row>
    <row r="90" spans="1:11">
      <c r="A90" s="3" t="s">
        <v>236</v>
      </c>
      <c r="B90" s="2"/>
      <c r="C90" s="2"/>
      <c r="D90" s="2"/>
      <c r="E90" s="2"/>
    </row>
    <row r="92" spans="1:11">
      <c r="A92" t="s">
        <v>239</v>
      </c>
      <c r="D92">
        <f>(30000-6000)/10</f>
        <v>2400</v>
      </c>
      <c r="G92" s="32" t="s">
        <v>237</v>
      </c>
      <c r="K92" s="32" t="s">
        <v>238</v>
      </c>
    </row>
    <row r="93" spans="1:11" ht="20">
      <c r="A93" t="s">
        <v>244</v>
      </c>
      <c r="D93">
        <f>2400/1200</f>
        <v>2</v>
      </c>
      <c r="G93" s="31"/>
    </row>
    <row r="94" spans="1:11" ht="17">
      <c r="A94" t="s">
        <v>245</v>
      </c>
      <c r="D94">
        <f>1000*D93</f>
        <v>2000</v>
      </c>
      <c r="E94" s="8" t="s">
        <v>242</v>
      </c>
    </row>
    <row r="95" spans="1:11" ht="17">
      <c r="E95" s="8" t="s">
        <v>243</v>
      </c>
    </row>
    <row r="96" spans="1:11" ht="17">
      <c r="E96" s="8" t="s">
        <v>240</v>
      </c>
    </row>
    <row r="97" spans="1:10" ht="17">
      <c r="E97" s="8" t="s">
        <v>241</v>
      </c>
    </row>
    <row r="99" spans="1:10">
      <c r="A99" s="3" t="s">
        <v>246</v>
      </c>
      <c r="B99" s="2"/>
      <c r="C99" s="2"/>
      <c r="D99" s="2"/>
      <c r="E99" s="2"/>
      <c r="I99" t="s">
        <v>257</v>
      </c>
      <c r="J99" t="s">
        <v>259</v>
      </c>
    </row>
    <row r="100" spans="1:10">
      <c r="A100" t="s">
        <v>247</v>
      </c>
      <c r="D100" s="5">
        <v>4500</v>
      </c>
      <c r="G100" t="s">
        <v>249</v>
      </c>
      <c r="I100">
        <f>D100*D101-D102-D104</f>
        <v>72500</v>
      </c>
      <c r="J100">
        <f>(D100+D107)*D108-D102-D104-D109</f>
        <v>62500</v>
      </c>
    </row>
    <row r="101" spans="1:10">
      <c r="A101" t="s">
        <v>248</v>
      </c>
      <c r="D101">
        <v>35</v>
      </c>
      <c r="G101" t="s">
        <v>256</v>
      </c>
      <c r="I101">
        <f>D100*D101-D102-D105*D100</f>
        <v>72500</v>
      </c>
      <c r="J101">
        <f>I101-10000</f>
        <v>62500</v>
      </c>
    </row>
    <row r="102" spans="1:10">
      <c r="A102" t="s">
        <v>255</v>
      </c>
      <c r="D102" s="5">
        <v>40000</v>
      </c>
    </row>
    <row r="104" spans="1:10">
      <c r="A104" t="s">
        <v>249</v>
      </c>
      <c r="D104" s="5">
        <v>45000</v>
      </c>
      <c r="E104" t="s">
        <v>250</v>
      </c>
    </row>
    <row r="105" spans="1:10">
      <c r="A105" t="s">
        <v>251</v>
      </c>
      <c r="D105">
        <v>10</v>
      </c>
      <c r="E105" t="s">
        <v>252</v>
      </c>
    </row>
    <row r="107" spans="1:10">
      <c r="A107" t="s">
        <v>253</v>
      </c>
      <c r="D107">
        <v>2000</v>
      </c>
    </row>
    <row r="108" spans="1:10">
      <c r="A108" t="s">
        <v>254</v>
      </c>
      <c r="D108">
        <v>25</v>
      </c>
    </row>
    <row r="109" spans="1:10">
      <c r="A109" t="s">
        <v>258</v>
      </c>
      <c r="D109" s="5">
        <v>15000</v>
      </c>
      <c r="E109" t="s">
        <v>250</v>
      </c>
    </row>
    <row r="111" spans="1:10">
      <c r="A111" t="s">
        <v>260</v>
      </c>
      <c r="D111">
        <v>10000</v>
      </c>
    </row>
    <row r="114" spans="1:9">
      <c r="A114" s="3" t="s">
        <v>445</v>
      </c>
      <c r="B114" s="2"/>
      <c r="C114" s="2"/>
      <c r="D114" s="2"/>
      <c r="E114" s="2"/>
    </row>
    <row r="115" spans="1:9" ht="17">
      <c r="G115" s="8" t="s">
        <v>446</v>
      </c>
    </row>
    <row r="116" spans="1:9" ht="17">
      <c r="G116" s="8" t="s">
        <v>447</v>
      </c>
    </row>
    <row r="117" spans="1:9" ht="17">
      <c r="G117" s="8" t="s">
        <v>448</v>
      </c>
    </row>
    <row r="118" spans="1:9" ht="17">
      <c r="G118" s="8" t="s">
        <v>449</v>
      </c>
    </row>
    <row r="121" spans="1:9">
      <c r="A121" s="3" t="s">
        <v>261</v>
      </c>
      <c r="B121" s="2"/>
      <c r="C121" s="2"/>
      <c r="D121" s="2"/>
      <c r="E121" s="2"/>
    </row>
    <row r="122" spans="1:9">
      <c r="A122" t="s">
        <v>262</v>
      </c>
      <c r="D122" s="5">
        <v>10000</v>
      </c>
    </row>
    <row r="123" spans="1:9">
      <c r="A123" t="s">
        <v>263</v>
      </c>
      <c r="B123" t="s">
        <v>264</v>
      </c>
      <c r="G123" t="s">
        <v>269</v>
      </c>
      <c r="I123">
        <f>(D125+D126+D128)/D122</f>
        <v>16</v>
      </c>
    </row>
    <row r="124" spans="1:9">
      <c r="G124" t="s">
        <v>263</v>
      </c>
      <c r="I124" s="33">
        <f>I123+0.4*I123</f>
        <v>22.4</v>
      </c>
    </row>
    <row r="125" spans="1:9">
      <c r="A125" t="s">
        <v>265</v>
      </c>
      <c r="D125" s="5">
        <v>55000</v>
      </c>
    </row>
    <row r="126" spans="1:9">
      <c r="A126" t="s">
        <v>266</v>
      </c>
      <c r="D126" s="5">
        <v>60000</v>
      </c>
    </row>
    <row r="127" spans="1:9">
      <c r="A127" t="s">
        <v>267</v>
      </c>
      <c r="D127" s="5">
        <v>5000</v>
      </c>
      <c r="G127" t="s">
        <v>270</v>
      </c>
    </row>
    <row r="128" spans="1:9">
      <c r="A128" t="s">
        <v>268</v>
      </c>
      <c r="D128" s="5">
        <v>45000</v>
      </c>
      <c r="G128" t="s">
        <v>271</v>
      </c>
    </row>
    <row r="129" spans="1:11">
      <c r="G129" t="s">
        <v>272</v>
      </c>
    </row>
    <row r="132" spans="1:11">
      <c r="D132" s="5">
        <f>SUM(D125:D127)</f>
        <v>120000</v>
      </c>
    </row>
    <row r="134" spans="1:11">
      <c r="A134" s="3" t="s">
        <v>273</v>
      </c>
      <c r="B134" s="2"/>
      <c r="C134" s="2"/>
      <c r="D134" s="2"/>
      <c r="E134" s="2"/>
    </row>
    <row r="135" spans="1:11">
      <c r="A135" s="34" t="s">
        <v>136</v>
      </c>
      <c r="E135" s="34" t="s">
        <v>274</v>
      </c>
    </row>
    <row r="136" spans="1:11">
      <c r="A136" s="34" t="s">
        <v>275</v>
      </c>
      <c r="E136" s="35">
        <v>500000</v>
      </c>
      <c r="H136" t="s">
        <v>282</v>
      </c>
      <c r="J136" s="11"/>
      <c r="K136" s="11">
        <f>E138+E137</f>
        <v>420000</v>
      </c>
    </row>
    <row r="137" spans="1:11">
      <c r="A137" s="34" t="s">
        <v>276</v>
      </c>
      <c r="E137" s="35">
        <v>120000</v>
      </c>
      <c r="H137" t="s">
        <v>281</v>
      </c>
      <c r="J137" s="11"/>
      <c r="K137" s="11">
        <f>E136-K136</f>
        <v>80000</v>
      </c>
    </row>
    <row r="138" spans="1:11">
      <c r="A138" s="34" t="s">
        <v>277</v>
      </c>
      <c r="E138" s="35">
        <v>300000</v>
      </c>
      <c r="J138" s="11"/>
    </row>
    <row r="139" spans="1:11">
      <c r="A139" s="34" t="s">
        <v>278</v>
      </c>
      <c r="E139" s="35">
        <v>75000</v>
      </c>
    </row>
    <row r="140" spans="1:11">
      <c r="A140" s="34" t="s">
        <v>279</v>
      </c>
      <c r="E140" s="35">
        <v>50000</v>
      </c>
    </row>
    <row r="141" spans="1:11">
      <c r="A141" s="34"/>
      <c r="E141" s="34"/>
    </row>
    <row r="142" spans="1:11">
      <c r="A142" s="34" t="s">
        <v>280</v>
      </c>
      <c r="E142" s="35">
        <v>-45000</v>
      </c>
    </row>
    <row r="145" spans="1:11">
      <c r="A145" s="3" t="s">
        <v>283</v>
      </c>
      <c r="B145" s="2"/>
      <c r="C145" s="2"/>
      <c r="D145" s="2"/>
      <c r="E145" s="2"/>
    </row>
    <row r="147" spans="1:11">
      <c r="F147" s="29" t="s">
        <v>284</v>
      </c>
      <c r="K147" s="11"/>
    </row>
    <row r="148" spans="1:11">
      <c r="F148" t="s">
        <v>285</v>
      </c>
    </row>
    <row r="149" spans="1:11">
      <c r="F149" t="s">
        <v>286</v>
      </c>
    </row>
    <row r="150" spans="1:11">
      <c r="F15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HW2</vt:lpstr>
      <vt:lpstr>Course self assessment</vt:lpstr>
      <vt:lpstr>self assessment-extra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2019-06-26T12:53:11Z</dcterms:created>
  <dcterms:modified xsi:type="dcterms:W3CDTF">2019-06-30T20:54:26Z</dcterms:modified>
</cp:coreProperties>
</file>