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disharifi/Desktop/"/>
    </mc:Choice>
  </mc:AlternateContent>
  <xr:revisionPtr revIDLastSave="0" documentId="13_ncr:1_{9463A072-1012-7F4A-BD74-C319351C9D46}" xr6:coauthVersionLast="43" xr6:coauthVersionMax="43" xr10:uidLastSave="{00000000-0000-0000-0000-000000000000}"/>
  <bookViews>
    <workbookView xWindow="26680" yWindow="-20920" windowWidth="25440" windowHeight="17960" activeTab="3" xr2:uid="{3CE4982F-C5A4-4A46-AABC-F323B09620DF}"/>
  </bookViews>
  <sheets>
    <sheet name="Sheet1" sheetId="4" r:id="rId1"/>
    <sheet name="course examples" sheetId="1" r:id="rId2"/>
    <sheet name="Self assessment" sheetId="2" r:id="rId3"/>
    <sheet name="HW"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43" i="3" l="1"/>
  <c r="K38" i="3"/>
  <c r="I14" i="3"/>
  <c r="I13" i="3"/>
  <c r="J8" i="3"/>
  <c r="C69" i="1"/>
  <c r="D69" i="1"/>
  <c r="B69" i="1"/>
  <c r="I4" i="1"/>
  <c r="K15" i="2"/>
  <c r="K2" i="2"/>
  <c r="Q70" i="3"/>
  <c r="G74" i="3"/>
  <c r="K32" i="3"/>
  <c r="K33" i="3" s="1"/>
  <c r="N32" i="3"/>
  <c r="M23" i="3"/>
  <c r="M22" i="3"/>
  <c r="Q76" i="3"/>
  <c r="Q75" i="3"/>
  <c r="Q74" i="3"/>
  <c r="Q73" i="3"/>
  <c r="Q60" i="3"/>
  <c r="G72" i="3"/>
  <c r="K42" i="3"/>
  <c r="K31" i="3"/>
  <c r="N8" i="3"/>
  <c r="K6" i="3"/>
  <c r="K5" i="3"/>
  <c r="J6" i="3"/>
  <c r="G73" i="3"/>
  <c r="D69" i="3"/>
  <c r="M21" i="3"/>
  <c r="N6" i="3"/>
  <c r="O75" i="3"/>
  <c r="Q56" i="3"/>
  <c r="O56" i="3"/>
  <c r="O60" i="3" s="1"/>
  <c r="O69" i="3"/>
  <c r="G75" i="3"/>
  <c r="D70" i="3"/>
  <c r="D67" i="3"/>
  <c r="H60" i="3"/>
  <c r="K37" i="3"/>
  <c r="L26" i="3"/>
  <c r="I15" i="3"/>
  <c r="O6" i="3"/>
  <c r="J7" i="3"/>
  <c r="I6" i="3"/>
  <c r="O5" i="3"/>
  <c r="K3" i="2"/>
  <c r="J69" i="1"/>
  <c r="E58" i="1"/>
  <c r="G68" i="1"/>
  <c r="J68" i="1"/>
  <c r="E59" i="1"/>
  <c r="B59" i="1"/>
  <c r="C42" i="1"/>
  <c r="I5" i="1"/>
  <c r="I7" i="1" s="1"/>
  <c r="K3" i="1"/>
  <c r="O61" i="3" l="1"/>
  <c r="O67" i="3" s="1"/>
  <c r="I8" i="1"/>
  <c r="I6" i="1"/>
  <c r="E109" i="3"/>
  <c r="E108" i="3"/>
  <c r="E107" i="3"/>
  <c r="E110" i="3"/>
  <c r="E106" i="3"/>
  <c r="E105" i="3"/>
  <c r="E103" i="3"/>
  <c r="E104" i="3"/>
  <c r="E102" i="3"/>
  <c r="E99" i="3"/>
  <c r="E100" i="3"/>
  <c r="M101" i="3"/>
  <c r="M100" i="3"/>
  <c r="F100" i="3"/>
  <c r="G100" i="3"/>
  <c r="H100" i="3"/>
  <c r="I100" i="3"/>
  <c r="I99" i="3"/>
  <c r="H99" i="3"/>
  <c r="G99" i="3"/>
  <c r="F99" i="3"/>
  <c r="I93" i="3"/>
  <c r="I98" i="3" s="1"/>
  <c r="H93" i="3"/>
  <c r="H98" i="3" s="1"/>
  <c r="G93" i="3"/>
  <c r="G98" i="3" s="1"/>
  <c r="F93" i="3"/>
  <c r="F98" i="3" s="1"/>
  <c r="E93" i="3"/>
  <c r="E98" i="3" s="1"/>
  <c r="Q61" i="3"/>
  <c r="Q67" i="3" s="1"/>
  <c r="Q69" i="3"/>
  <c r="L30" i="3"/>
  <c r="L31" i="3" s="1"/>
  <c r="K41" i="3"/>
  <c r="K40" i="3"/>
  <c r="J72" i="1"/>
  <c r="J5" i="3"/>
  <c r="O70" i="3" l="1"/>
  <c r="O73" i="3"/>
  <c r="O74" i="3" s="1"/>
  <c r="J69" i="3"/>
  <c r="I69" i="3"/>
  <c r="H69" i="3"/>
  <c r="G69" i="3"/>
  <c r="F69" i="3"/>
  <c r="E69" i="3"/>
  <c r="F61" i="3"/>
  <c r="F67" i="3" s="1"/>
  <c r="G61" i="3"/>
  <c r="G67" i="3" s="1"/>
  <c r="E61" i="3"/>
  <c r="E67" i="3" s="1"/>
  <c r="D61" i="3"/>
  <c r="J60" i="3"/>
  <c r="J61" i="3" s="1"/>
  <c r="J67" i="3" s="1"/>
  <c r="I60" i="3"/>
  <c r="I61" i="3" s="1"/>
  <c r="I67" i="3" s="1"/>
  <c r="D58" i="3"/>
  <c r="D59" i="3" s="1"/>
  <c r="E58" i="3"/>
  <c r="G57" i="3"/>
  <c r="C59" i="1"/>
  <c r="C58" i="1"/>
  <c r="D59" i="1"/>
  <c r="B72" i="1"/>
  <c r="J67" i="1"/>
  <c r="D25" i="3"/>
  <c r="K11" i="2"/>
  <c r="N7" i="3"/>
  <c r="O14" i="3"/>
  <c r="O15" i="3" s="1"/>
  <c r="N5" i="3"/>
  <c r="M5" i="3"/>
  <c r="M6" i="3" s="1"/>
  <c r="M7" i="3"/>
  <c r="L7" i="3"/>
  <c r="K7" i="3"/>
  <c r="L5" i="3"/>
  <c r="L6" i="3" s="1"/>
  <c r="I8" i="3"/>
  <c r="I72" i="1"/>
  <c r="H72" i="1"/>
  <c r="G72" i="1"/>
  <c r="F72" i="1"/>
  <c r="E72" i="1"/>
  <c r="D72" i="1"/>
  <c r="C72" i="1"/>
  <c r="C68" i="1"/>
  <c r="D68" i="1"/>
  <c r="E68" i="1"/>
  <c r="F68" i="1"/>
  <c r="B68" i="1"/>
  <c r="I67" i="1"/>
  <c r="I68" i="1" s="1"/>
  <c r="H67" i="1"/>
  <c r="H68" i="1" s="1"/>
  <c r="G67" i="1"/>
  <c r="H55" i="1"/>
  <c r="I55" i="1"/>
  <c r="J55" i="1"/>
  <c r="G55" i="1"/>
  <c r="F58" i="1"/>
  <c r="F59" i="1"/>
  <c r="G58" i="1" s="1"/>
  <c r="G59" i="1"/>
  <c r="H59" i="1"/>
  <c r="I58" i="1" s="1"/>
  <c r="I59" i="1"/>
  <c r="J58" i="1" s="1"/>
  <c r="J59" i="1"/>
  <c r="J60" i="1" s="1"/>
  <c r="D58" i="1"/>
  <c r="B54" i="1"/>
  <c r="C54" i="1" s="1"/>
  <c r="D54" i="1" s="1"/>
  <c r="E54" i="1" s="1"/>
  <c r="F54" i="1" s="1"/>
  <c r="G54" i="1" s="1"/>
  <c r="H54" i="1" s="1"/>
  <c r="I54" i="1" s="1"/>
  <c r="K4" i="1"/>
  <c r="K5" i="1" s="1"/>
  <c r="K8" i="1" s="1"/>
  <c r="I3" i="1"/>
  <c r="O76" i="3" l="1"/>
  <c r="I60" i="1"/>
  <c r="G70" i="3"/>
  <c r="I70" i="3"/>
  <c r="F70" i="3"/>
  <c r="E70" i="3"/>
  <c r="J70" i="3"/>
  <c r="E59" i="3"/>
  <c r="F59" i="3" s="1"/>
  <c r="G59" i="3" s="1"/>
  <c r="H57" i="3" s="1"/>
  <c r="H61" i="3" s="1"/>
  <c r="H67" i="3" s="1"/>
  <c r="H70" i="3" s="1"/>
  <c r="L32" i="3"/>
  <c r="L33" i="3" s="1"/>
  <c r="K8" i="3"/>
  <c r="L8" i="3"/>
  <c r="M8" i="3"/>
  <c r="G60" i="1"/>
  <c r="G69" i="1" s="1"/>
  <c r="G70" i="1" s="1"/>
  <c r="G73" i="1" s="1"/>
  <c r="J70" i="1"/>
  <c r="C75" i="1" s="1"/>
  <c r="C76" i="1" s="1"/>
  <c r="F60" i="1"/>
  <c r="F69" i="1" s="1"/>
  <c r="F70" i="1" s="1"/>
  <c r="F73" i="1" s="1"/>
  <c r="I69" i="1"/>
  <c r="I70" i="1" s="1"/>
  <c r="I73" i="1" s="1"/>
  <c r="D60" i="1"/>
  <c r="D70" i="1" s="1"/>
  <c r="D73" i="1" s="1"/>
  <c r="C60" i="1"/>
  <c r="H58" i="1"/>
  <c r="H60" i="1" s="1"/>
  <c r="H69" i="1" s="1"/>
  <c r="H70" i="1" s="1"/>
  <c r="H73" i="1" s="1"/>
  <c r="B60" i="1"/>
  <c r="B70" i="1" s="1"/>
  <c r="B73" i="1" s="1"/>
  <c r="E60" i="1"/>
  <c r="E69" i="1" s="1"/>
  <c r="E70" i="1" s="1"/>
  <c r="E73" i="1" s="1"/>
  <c r="M5" i="1"/>
  <c r="M8" i="1"/>
  <c r="O8" i="1" s="1"/>
  <c r="M3" i="1"/>
  <c r="O3" i="1" s="1"/>
  <c r="M4" i="1"/>
  <c r="K6" i="1"/>
  <c r="K9" i="1"/>
  <c r="K7" i="1"/>
  <c r="I9" i="1"/>
  <c r="C70" i="1" l="1"/>
  <c r="C73" i="1" s="1"/>
  <c r="C77" i="1" s="1"/>
  <c r="C78" i="1" s="1"/>
  <c r="J73" i="1"/>
  <c r="M9" i="1"/>
  <c r="O9" i="1" s="1"/>
  <c r="M6" i="1"/>
  <c r="O6" i="1" s="1"/>
  <c r="M7" i="1"/>
  <c r="O7" i="1" s="1"/>
</calcChain>
</file>

<file path=xl/sharedStrings.xml><?xml version="1.0" encoding="utf-8"?>
<sst xmlns="http://schemas.openxmlformats.org/spreadsheetml/2006/main" count="296" uniqueCount="202">
  <si>
    <t>Private Health</t>
  </si>
  <si>
    <t>Happy Healthcare</t>
  </si>
  <si>
    <t>Community Health</t>
  </si>
  <si>
    <t>($MM)</t>
  </si>
  <si>
    <t>Balance Sheet</t>
  </si>
  <si>
    <t>Assets</t>
  </si>
  <si>
    <t>Long-Term Debt</t>
  </si>
  <si>
    <t>Net Worth</t>
  </si>
  <si>
    <t>Income Statement</t>
  </si>
  <si>
    <t>Revenues</t>
  </si>
  <si>
    <t>EBITDA</t>
  </si>
  <si>
    <t>Net Income</t>
  </si>
  <si>
    <t>Market Data</t>
  </si>
  <si>
    <t>Earnings per Share ($/share)</t>
  </si>
  <si>
    <t>Price-Earnings Ratio (times)</t>
  </si>
  <si>
    <t>n/a</t>
  </si>
  <si>
    <t>Shares Outstanding (m)</t>
  </si>
  <si>
    <t>Number of Members</t>
  </si>
  <si>
    <t>Average</t>
  </si>
  <si>
    <t>Private Health Implied Value ($M)</t>
  </si>
  <si>
    <t>Price-Earnings Ratio</t>
  </si>
  <si>
    <t>Market Value/EBITDA</t>
  </si>
  <si>
    <t>Market Value/Sales</t>
  </si>
  <si>
    <t>Market Value/Book Value of Equity</t>
  </si>
  <si>
    <t>Market Value/Member</t>
  </si>
  <si>
    <t>Happy healthcare</t>
  </si>
  <si>
    <t>community health</t>
  </si>
  <si>
    <t>Market value</t>
  </si>
  <si>
    <t>Enterprise value</t>
  </si>
  <si>
    <t>Enterprise value/Sales</t>
  </si>
  <si>
    <t>Enterprise value/EBITDA</t>
  </si>
  <si>
    <t>average</t>
  </si>
  <si>
    <t>Implied for Private Health</t>
  </si>
  <si>
    <t>Year 1</t>
  </si>
  <si>
    <t>Year 2</t>
  </si>
  <si>
    <t>Year 3</t>
  </si>
  <si>
    <t>Year 4</t>
  </si>
  <si>
    <t>Year 5</t>
  </si>
  <si>
    <t>Year 6</t>
  </si>
  <si>
    <t>Year 7</t>
  </si>
  <si>
    <t>Year 8</t>
  </si>
  <si>
    <t>Year 9</t>
  </si>
  <si>
    <t>Costs</t>
  </si>
  <si>
    <t>EBIT</t>
  </si>
  <si>
    <t>WACC Calculation</t>
  </si>
  <si>
    <t>Tax Rate</t>
  </si>
  <si>
    <t>Rm – Rf</t>
  </si>
  <si>
    <t>EN</t>
  </si>
  <si>
    <t>Bu</t>
  </si>
  <si>
    <t>10 Year Treasury Bond</t>
  </si>
  <si>
    <t>WACC</t>
  </si>
  <si>
    <t>Cash Flows</t>
  </si>
  <si>
    <t>Terminal Growth Rate</t>
  </si>
  <si>
    <t>Net Present Value and Sensitivity Analysis</t>
  </si>
  <si>
    <t>PV (Cash Flows)</t>
  </si>
  <si>
    <t>PV (Terminal Value)</t>
  </si>
  <si>
    <t>Net Present Value</t>
  </si>
  <si>
    <t>Tax Calculation</t>
  </si>
  <si>
    <t>NOLs Used</t>
  </si>
  <si>
    <t>NOLs Added</t>
  </si>
  <si>
    <t>Tax</t>
  </si>
  <si>
    <t>Net Working Capital (10% sales)</t>
  </si>
  <si>
    <t>Beg NWC</t>
  </si>
  <si>
    <t>End NWC</t>
  </si>
  <si>
    <t>Ch. NWC</t>
  </si>
  <si>
    <t>Total NOLs</t>
  </si>
  <si>
    <t>EBIAT</t>
  </si>
  <si>
    <t>ch. NWC</t>
  </si>
  <si>
    <t>Free cash flow</t>
  </si>
  <si>
    <t>Discount Factor</t>
  </si>
  <si>
    <t>PV (Cash Flow)</t>
  </si>
  <si>
    <t>Terminal Value</t>
  </si>
  <si>
    <t>= CF(1+g)/(r-g)</t>
  </si>
  <si>
    <t>Terminal</t>
  </si>
  <si>
    <t>Growth</t>
  </si>
  <si>
    <t>Rate</t>
  </si>
  <si>
    <t>valuation date</t>
  </si>
  <si>
    <t>end of the year</t>
  </si>
  <si>
    <t>Projected earning</t>
  </si>
  <si>
    <t>price-to-earnings ratio</t>
  </si>
  <si>
    <t>Rate of return</t>
  </si>
  <si>
    <t>ownership</t>
  </si>
  <si>
    <t>?</t>
  </si>
  <si>
    <t xml:space="preserve">valuation = </t>
  </si>
  <si>
    <t>ownership=</t>
  </si>
  <si>
    <t>investment</t>
  </si>
  <si>
    <t>Q2</t>
  </si>
  <si>
    <t>number of new shares</t>
  </si>
  <si>
    <t>total shares</t>
  </si>
  <si>
    <t>Q3</t>
  </si>
  <si>
    <t>price per new share</t>
  </si>
  <si>
    <t>grows rate</t>
  </si>
  <si>
    <t>discount factor</t>
  </si>
  <si>
    <t>cost of capital</t>
  </si>
  <si>
    <t>CF growth factor</t>
  </si>
  <si>
    <t>CF before cost of capital</t>
  </si>
  <si>
    <t>Discount factor (Cost of capital)</t>
  </si>
  <si>
    <t xml:space="preserve">Present Value </t>
  </si>
  <si>
    <t>Terminal value</t>
  </si>
  <si>
    <t>total NPV</t>
  </si>
  <si>
    <t>cost of capital 2024</t>
  </si>
  <si>
    <t>grows rate 2024</t>
  </si>
  <si>
    <t>https://www.investopedia.com/articles/fundamental-analysis/11/present-value-free-cash-flow.asp</t>
  </si>
  <si>
    <t>https://www.fool.com/knowledge-center/how-to-calculate-the-present-value-of-free-cash-fl.aspx</t>
  </si>
  <si>
    <t>Question 2</t>
  </si>
  <si>
    <t>ROA in 2022</t>
  </si>
  <si>
    <t>total debt</t>
  </si>
  <si>
    <t>total capital assets</t>
  </si>
  <si>
    <t>earning ratio</t>
  </si>
  <si>
    <t>rate of return</t>
  </si>
  <si>
    <t>tax</t>
  </si>
  <si>
    <t>ownershipt</t>
  </si>
  <si>
    <t>earning = net income</t>
  </si>
  <si>
    <t>Question 3</t>
  </si>
  <si>
    <t>Question 4</t>
  </si>
  <si>
    <t>Return on investment</t>
  </si>
  <si>
    <t>fair market value</t>
  </si>
  <si>
    <t>raise extra in 2021</t>
  </si>
  <si>
    <t>addition to be sold 2021</t>
  </si>
  <si>
    <t>to be sold in  2022</t>
  </si>
  <si>
    <t>raise extra in 2022</t>
  </si>
  <si>
    <t>percent to own to protect</t>
  </si>
  <si>
    <t>NPV @ 60% ROI</t>
  </si>
  <si>
    <t>retention ratio round 2</t>
  </si>
  <si>
    <t>retention ratio round 3</t>
  </si>
  <si>
    <t>ownership round 2</t>
  </si>
  <si>
    <t>ownership round 3</t>
  </si>
  <si>
    <t>Free cash flow 2018</t>
  </si>
  <si>
    <t>Exit Multiple Method</t>
  </si>
  <si>
    <t>Perpetuity Method</t>
  </si>
  <si>
    <t>https://www.investopedia.com/terms/t/terminalvalue.asp</t>
  </si>
  <si>
    <t>Question 5</t>
  </si>
  <si>
    <t> 2020</t>
  </si>
  <si>
    <t>    2021</t>
  </si>
  <si>
    <t>    2022</t>
  </si>
  <si>
    <t>    2023</t>
  </si>
  <si>
    <t>    2024</t>
  </si>
  <si>
    <t>Capital Expenditures</t>
  </si>
  <si>
    <t>Changes in Working Capital</t>
  </si>
  <si>
    <t>Depreciation</t>
  </si>
  <si>
    <t>total number of year forcast</t>
  </si>
  <si>
    <t>annual growth</t>
  </si>
  <si>
    <t>capex = depreciation</t>
  </si>
  <si>
    <t>working capital same</t>
  </si>
  <si>
    <t>tax rate</t>
  </si>
  <si>
    <t xml:space="preserve">CFt  = EBITt * (1-T) +Depr.t - CAPEXt - DNWCt </t>
  </si>
  <si>
    <t>Free CF</t>
  </si>
  <si>
    <t>The discount rate is the interest rate used to determine the present value of future cash flows in standard discounted cash flow analysis. Many companies calculate their weighted average cost of capital (WACC) and use it as their discount rate when budgeting for a new project.</t>
  </si>
  <si>
    <t>PV (CF)</t>
  </si>
  <si>
    <t>PV (TV)</t>
  </si>
  <si>
    <t>NPV</t>
  </si>
  <si>
    <t>NPV Cash Flow</t>
  </si>
  <si>
    <t>if CF by end of 2026  == 3000)</t>
  </si>
  <si>
    <t>NPV (TV)</t>
  </si>
  <si>
    <t xml:space="preserve">“Net present value is the present value of the cash flows at the required rate of return of your project compared to your initial investment,” </t>
  </si>
  <si>
    <t>Fair market value of the company = NPV of the company</t>
  </si>
  <si>
    <t>EAT</t>
  </si>
  <si>
    <t>https://corporatefinanceinstitute.com/resources/knowledge/modeling/dcf-terminal-value-formula/</t>
  </si>
  <si>
    <t>A value is typically determined as a multiple of EBIT or EBITDA</t>
  </si>
  <si>
    <t>https://medium.com/@lmalmanza/understanding-startup-valuation-methods-957d74881371</t>
  </si>
  <si>
    <t>fun</t>
  </si>
  <si>
    <t>Groth rate</t>
  </si>
  <si>
    <t>from 2023</t>
  </si>
  <si>
    <t>capx = depreciation</t>
  </si>
  <si>
    <t>changes in WC = 0</t>
  </si>
  <si>
    <t>million</t>
  </si>
  <si>
    <t xml:space="preserve">initial infusion </t>
  </si>
  <si>
    <t>Free Cash Flow</t>
  </si>
  <si>
    <t>In the videoconference call we discussed that approach to calculating the terminal value when using the NPV method to determine a firm's fair market value (or valuation). There continues to be confusion about free cash flow and EBIT since both can be used as a "starting" point in developing the NPV. Just some general comments.</t>
  </si>
  <si>
    <t>Free cash flow is the net cash inflow to the firm minutes the cash outflow. Cash inflow can come from revenues, borrowing, selling stock, etc among other sources. Cash outflow comes from paying vendors, paying employees, paying dividends, buying equipment, paying interest and principle on debt etc. among other reasons for spending cash . The amount of cash received in excess of the amount of cash distributed is called free cash flow. A principle in finance is that any business is only worth the amount of its future free cash flows discounted back to the present value. This makes sense right? A business is worth the amount of "free cash" it generates over its lifetime. The free cash of course is subject to the time value of money so it must be discounted at some rate -- usually the firm's cost of capital.</t>
  </si>
  <si>
    <t>That said the terminal value of a firm is estimated using perpetuity formula. The idea is that the firm is continuing with no specific end in site, so the assumption is that the free cash flows will continue into perpetuity. This perpetuity can be approximated by the formula = (FCF * (1 +g))/r - g.; where FCF =free cash flow, g = growth rate, and r= discount factor.</t>
  </si>
  <si>
    <t>There is only one way to determine Terminal Value using the NPV method and that is to take Free Cash Flow, multiply by 1 + g, then divide the result by r - g.</t>
  </si>
  <si>
    <t>There are multiple ways to determine Free Cash Flow, depending upon the "starting point. In this course we are using EBIT as the starting point for valuation problems. If students are told the Free Cash Flow in the problem statement then no calculation of Free Cash Flow is required. In other problems students may be required to calculate the Free Cash Flow. In those cases the formula will be FCF = (EBIT*(1-t) - Capex + depreciation - change in working capital. To simplify the formula for the students in the terminal value calculation we assume (since the free cash flow is being projected in perpetuity) that capex =-depreciation (zeroing each other out) and the the level of working capital remains constant (change in working capital = 0). These assumptions are for the terminal value calculation only. Applying these assumptions in the free cash flow formula (for the terminal value calculation) becomes = EBIT*(1-t) - 0 - 0 = EBIT *(1-t). Now to calculate the terminal value use TV = FCF*(1+g) OR TV = EBIT*(1-t)*(1+g) -- these formulas are mathematically the same using the assumptions.</t>
  </si>
  <si>
    <t>Let's say that in 2023 we have the following: EBIT = 1000, t= 21%, capex = 100, depreciation = 90, and change in working capital = 10. Using the formula for FCF we get = (1000(.79)) - 100 + 90 - 10 or FCF in 2023 = 770. Lets say that we want to calculate the terminal value from the end of 2023 to perpetuity and are told that EBIT will grow at 2% and that the cost of capital (r) =5%. We are also given the simplifying assumptions that capex will equal depreciation and that the change in working capital will be zero. Using the EBIT from 2023 as a starting point we calculate the FCF for the terminal value calculation as (1000*.79) - 0 - 0 = 790. To determine the TV we use the formula (790*(1+.02))/(.05 -.02) = 26,860. NOTE that in this problem the FCF for terminal value purposes is NOT the FCF for 2023: 790 vs 770. The difference is the simplifying assumptions that are applied to the FCF calculation for terminal value purposes. </t>
  </si>
  <si>
    <t>So in a problem statement if you are told that the free cash flow in perpetuity is 790, then just plug 790 into the TV calculation rather than EBIT*(1-t). If you are not told what the FCF is but instead are given EBIT, then the FCF has to be calculated using the approach described above and in the lectures/videoconferences. </t>
  </si>
  <si>
    <t>To determine the fair market value of the firm using the NPV method you need to add the discounted terminal value to the NPV of the intermediate free cash flows. So in a typical problem you will be given several years of data then told to told to determine the terminal value as of the end of the data stream that is provided. FCF will generally have to be calculated for each of the years (unless the FCF is given to you in the problem statement) then discounted back to the present. tTe terminal value then has to be calculated, then disunited back to the present. Then the two numbers are just then added together. </t>
  </si>
  <si>
    <t>Hope that this helps.</t>
  </si>
  <si>
    <t>pre-money valuation</t>
  </si>
  <si>
    <t>post-money valuation</t>
  </si>
  <si>
    <t>Company</t>
  </si>
  <si>
    <t>Price</t>
  </si>
  <si>
    <t>Enterprise Value (EV)</t>
  </si>
  <si>
    <t>millions</t>
  </si>
  <si>
    <t>Revenue (TTM)</t>
  </si>
  <si>
    <t>EPS (TTM)</t>
  </si>
  <si>
    <t>Free Cash Flow (FCF) per share (2012)</t>
  </si>
  <si>
    <t>EV ÷ Rev.</t>
  </si>
  <si>
    <t>Price ÷ Earnings</t>
  </si>
  <si>
    <t>Price ÷ FCF</t>
  </si>
  <si>
    <t>Gross Margin (TTM)</t>
  </si>
  <si>
    <t>Operating Margin (TTM)</t>
  </si>
  <si>
    <t>Eastman Chemical Company (NYSE:EMN)</t>
  </si>
  <si>
    <t>Dow Chemical (NYSE:DOW)</t>
  </si>
  <si>
    <t>DuPont (NYSE: DD)</t>
  </si>
  <si>
    <t>Air Products &amp; Chemicals (NYSE:APD)</t>
  </si>
  <si>
    <t>Huntsman Chemical (NYSE:HUN)</t>
  </si>
  <si>
    <t>Average of Selected Multiples</t>
  </si>
  <si>
    <t xml:space="preserve"> just wanted to add one last note to this conversation which is to say on the exam, you are not asked to calculate any of the values in the chart, they are given to you. The exam question actually says, "Assume that the primary basis for establishing a valuation is the ________" which is the metric you are to use from the data provided. Comparables is literally as easy as creating an average price per some acceptable unit (a ratio) and then multiplying that ratio times known units of something of interest to get back to price (because you didn't have a price, so you're deriving it from like things and like units). Done. The rest of this discussion on the balance sheet / income statement / financial snapshot is more Module 3, but great people understand it!</t>
  </si>
  <si>
    <t>You will be given some data like what is in yellow highlighting under Happy Health and Community Health. These are already selected as comparables for you, nothing to do as far as selection other than average the two ratios. The ratios are price in the numerator divided by some sort of unit in the denominator, right? Well for Private Health (or on the test the company you're trying to infer a price), you'll be provided those units. For this problem the denominators (or units as I called them) were Earnings, EBITDA, Sales, Book Value, Members. Then you just take those units, multiply by your averaged ratio of the comparable companies, you have a price. Done unless it asks you about a liquidity discount.</t>
  </si>
  <si>
    <t xml:space="preserve">Rm-Rf stands for Market Return Minus Risk-Free Return </t>
  </si>
  <si>
    <t xml:space="preserve">NPV (terminal value) = </t>
  </si>
  <si>
    <t>weighted average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</si>
</sst>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
    <numFmt numFmtId="165" formatCode="0.000"/>
    <numFmt numFmtId="166" formatCode="&quot;$&quot;#,##0.00000_);[Red]\(&quot;$&quot;#,##0.00000\)"/>
    <numFmt numFmtId="167" formatCode="#,##0.000000"/>
    <numFmt numFmtId="168" formatCode="#,##0.000_);[Red]\(#,##0.000\)"/>
  </numFmts>
  <fonts count="19" x14ac:knownFonts="1">
    <font>
      <sz val="12"/>
      <color theme="1"/>
      <name val="Calibri"/>
      <family val="2"/>
      <scheme val="minor"/>
    </font>
    <font>
      <sz val="12"/>
      <color rgb="FFFF0000"/>
      <name val="Calibri"/>
      <family val="2"/>
      <scheme val="minor"/>
    </font>
    <font>
      <sz val="12"/>
      <color theme="0"/>
      <name val="Calibri"/>
      <family val="2"/>
      <scheme val="minor"/>
    </font>
    <font>
      <sz val="18"/>
      <name val="Arial"/>
      <family val="2"/>
    </font>
    <font>
      <sz val="18"/>
      <color rgb="FF000000"/>
      <name val="Times New Roman"/>
      <family val="1"/>
    </font>
    <font>
      <sz val="12"/>
      <color rgb="FF000000"/>
      <name val="Times New Roman"/>
      <family val="1"/>
    </font>
    <font>
      <b/>
      <sz val="12"/>
      <color rgb="FF000000"/>
      <name val="Arial"/>
      <family val="2"/>
    </font>
    <font>
      <sz val="15"/>
      <color rgb="FF000000"/>
      <name val="Times New Roman"/>
      <family val="1"/>
    </font>
    <font>
      <sz val="11"/>
      <color rgb="FF000000"/>
      <name val="Times New Roman"/>
      <family val="1"/>
    </font>
    <font>
      <u/>
      <sz val="11"/>
      <color rgb="FF000000"/>
      <name val="Times New Roman"/>
      <family val="1"/>
    </font>
    <font>
      <u/>
      <sz val="12"/>
      <color theme="10"/>
      <name val="Calibri"/>
      <family val="2"/>
      <scheme val="minor"/>
    </font>
    <font>
      <sz val="13.5"/>
      <color rgb="FFC00000"/>
      <name val="Arial"/>
      <family val="2"/>
    </font>
    <font>
      <sz val="11"/>
      <color rgb="FF2D3B45"/>
      <name val="Helvetica Neue"/>
      <family val="2"/>
    </font>
    <font>
      <sz val="11"/>
      <color rgb="FF333333"/>
      <name val="Helvetica"/>
      <family val="2"/>
    </font>
    <font>
      <sz val="11"/>
      <color theme="1"/>
      <name val="Calibri"/>
      <family val="2"/>
      <scheme val="minor"/>
    </font>
    <font>
      <b/>
      <sz val="11"/>
      <color rgb="FF444444"/>
      <name val="Arial"/>
      <family val="2"/>
    </font>
    <font>
      <sz val="11"/>
      <color rgb="FF444444"/>
      <name val="Arial"/>
      <family val="2"/>
    </font>
    <font>
      <sz val="18"/>
      <color rgb="FF111111"/>
      <name val="Arial"/>
      <family val="2"/>
    </font>
    <font>
      <b/>
      <sz val="18"/>
      <color rgb="FF111111"/>
      <name val="Arial"/>
      <family val="2"/>
    </font>
  </fonts>
  <fills count="6">
    <fill>
      <patternFill patternType="none"/>
    </fill>
    <fill>
      <patternFill patternType="gray125"/>
    </fill>
    <fill>
      <patternFill patternType="solid">
        <fgColor rgb="FFE7F6EF"/>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5" tint="0.79998168889431442"/>
        <bgColor indexed="64"/>
      </patternFill>
    </fill>
  </fills>
  <borders count="13">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style="medium">
        <color rgb="FFFFFFFF"/>
      </top>
      <bottom style="medium">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97">
    <xf numFmtId="0" fontId="0" fillId="0" borderId="0" xfId="0"/>
    <xf numFmtId="0" fontId="4" fillId="2" borderId="1" xfId="0" applyFont="1" applyFill="1" applyBorder="1" applyAlignment="1">
      <alignment horizontal="left" vertical="top" wrapText="1" readingOrder="1"/>
    </xf>
    <xf numFmtId="0" fontId="5" fillId="2" borderId="1" xfId="0" applyFont="1" applyFill="1" applyBorder="1" applyAlignment="1">
      <alignment horizontal="center" vertical="top" wrapText="1" readingOrder="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6" fillId="2" borderId="1" xfId="0" applyFont="1" applyFill="1" applyBorder="1" applyAlignment="1">
      <alignment horizontal="center" vertical="top" wrapText="1" readingOrder="1"/>
    </xf>
    <xf numFmtId="0" fontId="5" fillId="2" borderId="1" xfId="0" applyFont="1" applyFill="1" applyBorder="1" applyAlignment="1">
      <alignment horizontal="left" vertical="top" wrapText="1" readingOrder="1"/>
    </xf>
    <xf numFmtId="3" fontId="0" fillId="0" borderId="0" xfId="0" applyNumberFormat="1"/>
    <xf numFmtId="3" fontId="5" fillId="2" borderId="1" xfId="0" applyNumberFormat="1" applyFont="1" applyFill="1" applyBorder="1" applyAlignment="1">
      <alignment horizontal="center" vertical="top" wrapText="1" readingOrder="1"/>
    </xf>
    <xf numFmtId="0" fontId="7" fillId="2" borderId="1" xfId="0" applyFont="1" applyFill="1" applyBorder="1" applyAlignment="1">
      <alignment horizontal="left" vertical="top" wrapText="1" readingOrder="1"/>
    </xf>
    <xf numFmtId="0" fontId="8" fillId="2" borderId="1" xfId="0" applyFont="1" applyFill="1" applyBorder="1" applyAlignment="1">
      <alignment horizontal="center" wrapText="1" readingOrder="1"/>
    </xf>
    <xf numFmtId="0" fontId="8" fillId="2" borderId="1" xfId="0" applyFont="1" applyFill="1" applyBorder="1" applyAlignment="1">
      <alignment horizontal="left" vertical="top" wrapText="1" readingOrder="1"/>
    </xf>
    <xf numFmtId="0" fontId="8" fillId="2" borderId="1" xfId="0" applyFont="1" applyFill="1" applyBorder="1" applyAlignment="1">
      <alignment horizontal="center" vertical="top" wrapText="1" readingOrder="1"/>
    </xf>
    <xf numFmtId="0" fontId="1" fillId="0" borderId="0" xfId="0" applyFont="1"/>
    <xf numFmtId="0" fontId="0" fillId="3" borderId="0" xfId="0" applyFill="1"/>
    <xf numFmtId="0" fontId="3" fillId="2" borderId="1" xfId="0" applyFont="1" applyFill="1" applyBorder="1" applyAlignment="1">
      <alignment wrapText="1"/>
    </xf>
    <xf numFmtId="0" fontId="5" fillId="2" borderId="1" xfId="0" applyFont="1" applyFill="1" applyBorder="1" applyAlignment="1">
      <alignment horizontal="left" wrapText="1" readingOrder="1"/>
    </xf>
    <xf numFmtId="9" fontId="0" fillId="0" borderId="0" xfId="0" applyNumberFormat="1"/>
    <xf numFmtId="9" fontId="5" fillId="2" borderId="1" xfId="0" applyNumberFormat="1" applyFont="1" applyFill="1" applyBorder="1" applyAlignment="1">
      <alignment horizontal="right" vertical="top" wrapText="1" readingOrder="1"/>
    </xf>
    <xf numFmtId="10" fontId="0" fillId="0" borderId="0" xfId="0" applyNumberFormat="1"/>
    <xf numFmtId="10" fontId="5" fillId="2" borderId="1" xfId="0" applyNumberFormat="1" applyFont="1" applyFill="1" applyBorder="1" applyAlignment="1">
      <alignment horizontal="right" vertical="top" wrapText="1" readingOrder="1"/>
    </xf>
    <xf numFmtId="0" fontId="5" fillId="2" borderId="1" xfId="0" applyFont="1" applyFill="1" applyBorder="1" applyAlignment="1">
      <alignment horizontal="right" vertical="top" wrapText="1" readingOrder="1"/>
    </xf>
    <xf numFmtId="0" fontId="9" fillId="2" borderId="1" xfId="0" applyFont="1" applyFill="1" applyBorder="1" applyAlignment="1">
      <alignment horizontal="left" vertical="top" wrapText="1" readingOrder="1"/>
    </xf>
    <xf numFmtId="0" fontId="3" fillId="2" borderId="1" xfId="0" applyFont="1" applyFill="1" applyBorder="1" applyAlignment="1">
      <alignment horizontal="right" vertical="top" wrapText="1"/>
    </xf>
    <xf numFmtId="164" fontId="8" fillId="2" borderId="1" xfId="0" applyNumberFormat="1" applyFont="1" applyFill="1" applyBorder="1" applyAlignment="1">
      <alignment horizontal="right" vertical="top" wrapText="1" readingOrder="1"/>
    </xf>
    <xf numFmtId="164" fontId="3" fillId="2" borderId="1" xfId="0" applyNumberFormat="1" applyFont="1" applyFill="1" applyBorder="1" applyAlignment="1">
      <alignment wrapText="1"/>
    </xf>
    <xf numFmtId="164" fontId="3" fillId="2" borderId="1" xfId="0" applyNumberFormat="1" applyFont="1" applyFill="1" applyBorder="1" applyAlignment="1">
      <alignment horizontal="right" vertical="top" wrapText="1"/>
    </xf>
    <xf numFmtId="6" fontId="8" fillId="2" borderId="1" xfId="0" applyNumberFormat="1" applyFont="1" applyFill="1" applyBorder="1" applyAlignment="1">
      <alignment horizontal="right" vertical="top" wrapText="1" readingOrder="1"/>
    </xf>
    <xf numFmtId="6" fontId="0" fillId="0" borderId="0" xfId="0" applyNumberFormat="1"/>
    <xf numFmtId="164" fontId="0" fillId="0" borderId="0" xfId="0" applyNumberFormat="1"/>
    <xf numFmtId="8" fontId="0" fillId="0" borderId="0" xfId="0" applyNumberFormat="1"/>
    <xf numFmtId="165" fontId="5" fillId="2" borderId="1" xfId="0" applyNumberFormat="1" applyFont="1" applyFill="1" applyBorder="1" applyAlignment="1">
      <alignment horizontal="right" vertical="top" wrapText="1" readingOrder="1"/>
    </xf>
    <xf numFmtId="0" fontId="4" fillId="2" borderId="1" xfId="0" applyFont="1" applyFill="1" applyBorder="1" applyAlignment="1">
      <alignment horizontal="center" vertical="top" wrapText="1" readingOrder="1"/>
    </xf>
    <xf numFmtId="9" fontId="5" fillId="2" borderId="1" xfId="0" applyNumberFormat="1" applyFont="1" applyFill="1" applyBorder="1" applyAlignment="1">
      <alignment horizontal="center" vertical="top" wrapText="1" readingOrder="1"/>
    </xf>
    <xf numFmtId="0" fontId="2" fillId="3" borderId="0" xfId="0" applyFont="1" applyFill="1"/>
    <xf numFmtId="0" fontId="10" fillId="0" borderId="0" xfId="1"/>
    <xf numFmtId="0" fontId="2" fillId="4" borderId="0" xfId="0" applyFont="1" applyFill="1"/>
    <xf numFmtId="40" fontId="0" fillId="0" borderId="0" xfId="0" applyNumberFormat="1"/>
    <xf numFmtId="0" fontId="11" fillId="0" borderId="0" xfId="0" applyFont="1"/>
    <xf numFmtId="0" fontId="12" fillId="0" borderId="0" xfId="0" applyFont="1"/>
    <xf numFmtId="0" fontId="0" fillId="0" borderId="0" xfId="0" applyAlignment="1">
      <alignment horizontal="left"/>
    </xf>
    <xf numFmtId="0" fontId="12" fillId="0" borderId="0" xfId="0" applyFont="1" applyAlignment="1">
      <alignment horizontal="right"/>
    </xf>
    <xf numFmtId="6" fontId="12" fillId="0" borderId="0" xfId="0" applyNumberFormat="1" applyFont="1" applyAlignment="1">
      <alignment horizontal="right"/>
    </xf>
    <xf numFmtId="0" fontId="0" fillId="0" borderId="5" xfId="0" applyBorder="1"/>
    <xf numFmtId="0" fontId="12" fillId="0" borderId="6" xfId="0" applyFont="1" applyBorder="1" applyAlignment="1">
      <alignment horizontal="right"/>
    </xf>
    <xf numFmtId="0" fontId="12" fillId="0" borderId="7" xfId="0" applyFont="1" applyBorder="1" applyAlignment="1">
      <alignment horizontal="right"/>
    </xf>
    <xf numFmtId="0" fontId="0" fillId="0" borderId="8" xfId="0" applyBorder="1"/>
    <xf numFmtId="8" fontId="12" fillId="0" borderId="0" xfId="0" applyNumberFormat="1" applyFont="1" applyBorder="1" applyAlignment="1">
      <alignment horizontal="right"/>
    </xf>
    <xf numFmtId="8" fontId="12" fillId="0" borderId="9" xfId="0" applyNumberFormat="1" applyFont="1" applyBorder="1" applyAlignment="1">
      <alignment horizontal="right"/>
    </xf>
    <xf numFmtId="8" fontId="0" fillId="0" borderId="0" xfId="0" applyNumberFormat="1" applyBorder="1"/>
    <xf numFmtId="8" fontId="0" fillId="0" borderId="9" xfId="0" applyNumberFormat="1" applyBorder="1"/>
    <xf numFmtId="0" fontId="0" fillId="0" borderId="0" xfId="0" applyBorder="1"/>
    <xf numFmtId="0" fontId="0" fillId="0" borderId="9" xfId="0" applyBorder="1"/>
    <xf numFmtId="0" fontId="0" fillId="0" borderId="10" xfId="0" applyBorder="1"/>
    <xf numFmtId="0" fontId="0" fillId="0" borderId="11" xfId="0" applyBorder="1"/>
    <xf numFmtId="8" fontId="0" fillId="0" borderId="11" xfId="0" applyNumberFormat="1" applyBorder="1"/>
    <xf numFmtId="0" fontId="0" fillId="0" borderId="12" xfId="0" applyBorder="1"/>
    <xf numFmtId="10" fontId="0" fillId="5" borderId="0" xfId="0" applyNumberFormat="1" applyFill="1"/>
    <xf numFmtId="0" fontId="0" fillId="0" borderId="6" xfId="0" applyBorder="1"/>
    <xf numFmtId="0" fontId="0" fillId="0" borderId="8" xfId="0" applyFill="1" applyBorder="1"/>
    <xf numFmtId="8" fontId="1" fillId="0" borderId="0" xfId="0" applyNumberFormat="1" applyFont="1"/>
    <xf numFmtId="0" fontId="1" fillId="0" borderId="7" xfId="0" applyFont="1" applyBorder="1"/>
    <xf numFmtId="8" fontId="1" fillId="0" borderId="9" xfId="0" applyNumberFormat="1" applyFont="1" applyBorder="1"/>
    <xf numFmtId="0" fontId="1" fillId="0" borderId="9" xfId="0" applyFont="1" applyBorder="1"/>
    <xf numFmtId="8" fontId="1" fillId="0" borderId="12" xfId="0" applyNumberFormat="1" applyFont="1" applyBorder="1"/>
    <xf numFmtId="0" fontId="13" fillId="0" borderId="0" xfId="0" applyFont="1"/>
    <xf numFmtId="0" fontId="14" fillId="0" borderId="0" xfId="0" applyFont="1"/>
    <xf numFmtId="6" fontId="13" fillId="0" borderId="0" xfId="0" applyNumberFormat="1" applyFont="1"/>
    <xf numFmtId="0" fontId="15" fillId="0" borderId="0" xfId="0" applyFont="1"/>
    <xf numFmtId="0" fontId="16" fillId="0" borderId="0" xfId="0" applyFont="1"/>
    <xf numFmtId="168" fontId="0" fillId="0" borderId="0" xfId="0" applyNumberFormat="1"/>
    <xf numFmtId="6" fontId="13" fillId="0" borderId="0" xfId="0" applyNumberFormat="1" applyFont="1" applyBorder="1"/>
    <xf numFmtId="6" fontId="0" fillId="0" borderId="0" xfId="0" applyNumberFormat="1" applyBorder="1"/>
    <xf numFmtId="166" fontId="0" fillId="0" borderId="0" xfId="0" applyNumberFormat="1" applyBorder="1"/>
    <xf numFmtId="167" fontId="0" fillId="0" borderId="0" xfId="0" applyNumberFormat="1" applyBorder="1"/>
    <xf numFmtId="40" fontId="0" fillId="0" borderId="0" xfId="0" applyNumberFormat="1" applyBorder="1"/>
    <xf numFmtId="0" fontId="13" fillId="0" borderId="6" xfId="0" applyFont="1" applyBorder="1"/>
    <xf numFmtId="0" fontId="13" fillId="0" borderId="7" xfId="0" applyFont="1" applyBorder="1"/>
    <xf numFmtId="0" fontId="13" fillId="0" borderId="8" xfId="0" applyFont="1" applyBorder="1"/>
    <xf numFmtId="6" fontId="13" fillId="0" borderId="9" xfId="0" applyNumberFormat="1" applyFont="1" applyBorder="1"/>
    <xf numFmtId="6" fontId="0" fillId="0" borderId="9" xfId="0" applyNumberFormat="1" applyBorder="1"/>
    <xf numFmtId="166" fontId="0" fillId="0" borderId="9" xfId="0" applyNumberFormat="1" applyBorder="1"/>
    <xf numFmtId="0" fontId="8" fillId="2" borderId="2" xfId="0" applyFont="1" applyFill="1" applyBorder="1" applyAlignment="1">
      <alignment horizontal="left" vertical="top" wrapText="1" readingOrder="1"/>
    </xf>
    <xf numFmtId="0" fontId="8" fillId="2" borderId="4" xfId="0" applyFont="1" applyFill="1" applyBorder="1" applyAlignment="1">
      <alignment horizontal="left" vertical="top" wrapText="1" readingOrder="1"/>
    </xf>
    <xf numFmtId="0" fontId="8" fillId="2" borderId="3" xfId="0" applyFont="1" applyFill="1" applyBorder="1" applyAlignment="1">
      <alignment horizontal="left" vertical="top" wrapText="1" readingOrder="1"/>
    </xf>
    <xf numFmtId="0" fontId="17" fillId="0" borderId="0" xfId="0" applyFont="1"/>
    <xf numFmtId="8" fontId="17" fillId="0" borderId="0" xfId="0" applyNumberFormat="1" applyFont="1"/>
    <xf numFmtId="10" fontId="17" fillId="0" borderId="0" xfId="0" applyNumberFormat="1" applyFont="1"/>
    <xf numFmtId="0" fontId="18" fillId="0" borderId="0" xfId="0" applyFont="1"/>
    <xf numFmtId="0" fontId="18" fillId="0" borderId="0" xfId="0" applyFont="1" applyAlignment="1">
      <alignment wrapText="1"/>
    </xf>
    <xf numFmtId="0" fontId="0" fillId="0" borderId="0" xfId="0" applyAlignment="1">
      <alignment wrapText="1"/>
    </xf>
    <xf numFmtId="0" fontId="18" fillId="0" borderId="0" xfId="0" applyFont="1" applyAlignment="1">
      <alignment wrapText="1"/>
    </xf>
    <xf numFmtId="0" fontId="17" fillId="0" borderId="0" xfId="0" applyFont="1" applyAlignment="1">
      <alignment horizontal="center"/>
    </xf>
    <xf numFmtId="0" fontId="0" fillId="0" borderId="7" xfId="0" applyFont="1" applyBorder="1"/>
    <xf numFmtId="8" fontId="0" fillId="0" borderId="9" xfId="0" applyNumberFormat="1" applyFont="1" applyBorder="1"/>
    <xf numFmtId="0" fontId="0" fillId="0" borderId="9" xfId="0" applyFont="1" applyBorder="1"/>
    <xf numFmtId="8" fontId="0" fillId="0" borderId="12"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723900</xdr:colOff>
      <xdr:row>6</xdr:row>
      <xdr:rowOff>50800</xdr:rowOff>
    </xdr:from>
    <xdr:to>
      <xdr:col>22</xdr:col>
      <xdr:colOff>292100</xdr:colOff>
      <xdr:row>21</xdr:row>
      <xdr:rowOff>152400</xdr:rowOff>
    </xdr:to>
    <xdr:pic>
      <xdr:nvPicPr>
        <xdr:cNvPr id="2" name="Picture 1">
          <a:extLst>
            <a:ext uri="{FF2B5EF4-FFF2-40B4-BE49-F238E27FC236}">
              <a16:creationId xmlns:a16="http://schemas.microsoft.com/office/drawing/2014/main" id="{CF1857E3-DC5F-204E-B1DA-FCDDEBE6DD1E}"/>
            </a:ext>
          </a:extLst>
        </xdr:cNvPr>
        <xdr:cNvPicPr>
          <a:picLocks noChangeAspect="1"/>
        </xdr:cNvPicPr>
      </xdr:nvPicPr>
      <xdr:blipFill>
        <a:blip xmlns:r="http://schemas.openxmlformats.org/officeDocument/2006/relationships" r:embed="rId1"/>
        <a:stretch>
          <a:fillRect/>
        </a:stretch>
      </xdr:blipFill>
      <xdr:spPr>
        <a:xfrm>
          <a:off x="13957300" y="660400"/>
          <a:ext cx="4521200" cy="3175000"/>
        </a:xfrm>
        <a:prstGeom prst="rect">
          <a:avLst/>
        </a:prstGeom>
      </xdr:spPr>
    </xdr:pic>
    <xdr:clientData/>
  </xdr:twoCellAnchor>
  <xdr:twoCellAnchor editAs="oneCell">
    <xdr:from>
      <xdr:col>13</xdr:col>
      <xdr:colOff>469900</xdr:colOff>
      <xdr:row>16</xdr:row>
      <xdr:rowOff>177800</xdr:rowOff>
    </xdr:from>
    <xdr:to>
      <xdr:col>16</xdr:col>
      <xdr:colOff>393700</xdr:colOff>
      <xdr:row>29</xdr:row>
      <xdr:rowOff>150026</xdr:rowOff>
    </xdr:to>
    <xdr:pic>
      <xdr:nvPicPr>
        <xdr:cNvPr id="3" name="Picture 2">
          <a:extLst>
            <a:ext uri="{FF2B5EF4-FFF2-40B4-BE49-F238E27FC236}">
              <a16:creationId xmlns:a16="http://schemas.microsoft.com/office/drawing/2014/main" id="{56C10D53-190F-1641-B344-F85D329F59E8}"/>
            </a:ext>
          </a:extLst>
        </xdr:cNvPr>
        <xdr:cNvPicPr>
          <a:picLocks noChangeAspect="1"/>
        </xdr:cNvPicPr>
      </xdr:nvPicPr>
      <xdr:blipFill>
        <a:blip xmlns:r="http://schemas.openxmlformats.org/officeDocument/2006/relationships" r:embed="rId2"/>
        <a:stretch>
          <a:fillRect/>
        </a:stretch>
      </xdr:blipFill>
      <xdr:spPr>
        <a:xfrm>
          <a:off x="11226800" y="2819400"/>
          <a:ext cx="2590800" cy="2639226"/>
        </a:xfrm>
        <a:prstGeom prst="rect">
          <a:avLst/>
        </a:prstGeom>
      </xdr:spPr>
    </xdr:pic>
    <xdr:clientData/>
  </xdr:twoCellAnchor>
  <xdr:twoCellAnchor editAs="oneCell">
    <xdr:from>
      <xdr:col>13</xdr:col>
      <xdr:colOff>774700</xdr:colOff>
      <xdr:row>86</xdr:row>
      <xdr:rowOff>139700</xdr:rowOff>
    </xdr:from>
    <xdr:to>
      <xdr:col>19</xdr:col>
      <xdr:colOff>76200</xdr:colOff>
      <xdr:row>108</xdr:row>
      <xdr:rowOff>25400</xdr:rowOff>
    </xdr:to>
    <xdr:pic>
      <xdr:nvPicPr>
        <xdr:cNvPr id="4" name="Picture 3">
          <a:extLst>
            <a:ext uri="{FF2B5EF4-FFF2-40B4-BE49-F238E27FC236}">
              <a16:creationId xmlns:a16="http://schemas.microsoft.com/office/drawing/2014/main" id="{1212CB08-9BEC-B140-A181-37B268A8E1A9}"/>
            </a:ext>
          </a:extLst>
        </xdr:cNvPr>
        <xdr:cNvPicPr>
          <a:picLocks noChangeAspect="1"/>
        </xdr:cNvPicPr>
      </xdr:nvPicPr>
      <xdr:blipFill>
        <a:blip xmlns:r="http://schemas.openxmlformats.org/officeDocument/2006/relationships" r:embed="rId3"/>
        <a:stretch>
          <a:fillRect/>
        </a:stretch>
      </xdr:blipFill>
      <xdr:spPr>
        <a:xfrm>
          <a:off x="11531600" y="17703800"/>
          <a:ext cx="4445000" cy="436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vestopedia.com/markets/stocks/hun/" TargetMode="External"/><Relationship Id="rId2" Type="http://schemas.openxmlformats.org/officeDocument/2006/relationships/hyperlink" Target="https://www.investopedia.com/markets/stocks/apd/" TargetMode="External"/><Relationship Id="rId1" Type="http://schemas.openxmlformats.org/officeDocument/2006/relationships/hyperlink" Target="https://www.investopedia.com/markets/stocks/emn/"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investopedia.com/terms/t/terminalvalue.asp" TargetMode="External"/><Relationship Id="rId7" Type="http://schemas.openxmlformats.org/officeDocument/2006/relationships/hyperlink" Target="https://medium.com/@lmalmanza/understanding-startup-valuation-methods-957d74881371" TargetMode="External"/><Relationship Id="rId2" Type="http://schemas.openxmlformats.org/officeDocument/2006/relationships/hyperlink" Target="https://www.fool.com/knowledge-center/how-to-calculate-the-present-value-of-free-cash-fl.aspx" TargetMode="External"/><Relationship Id="rId1" Type="http://schemas.openxmlformats.org/officeDocument/2006/relationships/hyperlink" Target="https://www.investopedia.com/articles/fundamental-analysis/11/present-value-free-cash-flow.asp" TargetMode="External"/><Relationship Id="rId6" Type="http://schemas.openxmlformats.org/officeDocument/2006/relationships/hyperlink" Target="https://www.educba.com/ebit-vs-ebitda/" TargetMode="External"/><Relationship Id="rId5" Type="http://schemas.openxmlformats.org/officeDocument/2006/relationships/hyperlink" Target="https://corporatefinanceinstitute.com/resources/knowledge/modeling/dcf-terminal-value-formula/" TargetMode="External"/><Relationship Id="rId4" Type="http://schemas.openxmlformats.org/officeDocument/2006/relationships/hyperlink" Target="https://www.investopedia.com/terms/t/terminalvalue.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FC26-F826-B348-BA71-EAFAB0D85806}">
  <dimension ref="A1:K9"/>
  <sheetViews>
    <sheetView topLeftCell="B1" workbookViewId="0">
      <selection activeCell="E17" sqref="E17"/>
    </sheetView>
  </sheetViews>
  <sheetFormatPr baseColWidth="10" defaultRowHeight="16" x14ac:dyDescent="0.2"/>
  <cols>
    <col min="1" max="1" width="42" bestFit="1" customWidth="1"/>
    <col min="2" max="2" width="13.33203125" bestFit="1" customWidth="1"/>
    <col min="3" max="3" width="23.6640625" customWidth="1"/>
    <col min="4" max="4" width="23.33203125" bestFit="1" customWidth="1"/>
    <col min="5" max="5" width="16.6640625" bestFit="1" customWidth="1"/>
    <col min="6" max="6" width="20.83203125" customWidth="1"/>
    <col min="7" max="7" width="15.1640625" bestFit="1" customWidth="1"/>
    <col min="8" max="8" width="12.5" customWidth="1"/>
    <col min="10" max="10" width="15" customWidth="1"/>
    <col min="11" max="11" width="16.6640625" customWidth="1"/>
  </cols>
  <sheetData>
    <row r="1" spans="1:11" s="90" customFormat="1" ht="52" customHeight="1" x14ac:dyDescent="0.25">
      <c r="A1" s="88" t="s">
        <v>179</v>
      </c>
      <c r="B1" s="88" t="s">
        <v>180</v>
      </c>
      <c r="C1" s="89" t="s">
        <v>181</v>
      </c>
      <c r="D1" s="89" t="s">
        <v>183</v>
      </c>
      <c r="E1" s="88" t="s">
        <v>184</v>
      </c>
      <c r="F1" s="91" t="s">
        <v>185</v>
      </c>
      <c r="G1" s="91" t="s">
        <v>186</v>
      </c>
      <c r="H1" s="91" t="s">
        <v>187</v>
      </c>
      <c r="I1" s="91" t="s">
        <v>188</v>
      </c>
      <c r="J1" s="91" t="s">
        <v>189</v>
      </c>
      <c r="K1" s="91" t="s">
        <v>190</v>
      </c>
    </row>
    <row r="2" spans="1:11" ht="16" customHeight="1" x14ac:dyDescent="0.2">
      <c r="A2" s="88"/>
      <c r="B2" s="88"/>
      <c r="E2" s="88"/>
      <c r="F2" s="91"/>
      <c r="G2" s="91"/>
      <c r="H2" s="91"/>
      <c r="I2" s="91"/>
      <c r="J2" s="91"/>
      <c r="K2" s="91"/>
    </row>
    <row r="3" spans="1:11" ht="23" x14ac:dyDescent="0.25">
      <c r="A3" s="88"/>
      <c r="B3" s="88"/>
      <c r="C3" s="92" t="s">
        <v>182</v>
      </c>
      <c r="D3" s="92" t="s">
        <v>182</v>
      </c>
      <c r="E3" s="88"/>
      <c r="F3" s="91"/>
      <c r="G3" s="91"/>
      <c r="H3" s="91"/>
      <c r="I3" s="91"/>
      <c r="J3" s="91"/>
      <c r="K3" s="91"/>
    </row>
    <row r="4" spans="1:11" ht="23" x14ac:dyDescent="0.25">
      <c r="A4" s="35" t="s">
        <v>191</v>
      </c>
      <c r="B4" s="86">
        <v>80.92</v>
      </c>
      <c r="C4" s="86">
        <v>17310</v>
      </c>
      <c r="D4" s="86">
        <v>8588</v>
      </c>
      <c r="E4" s="86">
        <v>3.38</v>
      </c>
      <c r="F4" s="86">
        <v>4.41</v>
      </c>
      <c r="G4" s="85">
        <v>2</v>
      </c>
      <c r="H4" s="85">
        <v>23.9</v>
      </c>
      <c r="I4" s="85">
        <v>18.3</v>
      </c>
      <c r="J4" s="87">
        <v>0.22700000000000001</v>
      </c>
      <c r="K4" s="87">
        <v>8.6999999999999994E-2</v>
      </c>
    </row>
    <row r="5" spans="1:11" ht="23" x14ac:dyDescent="0.25">
      <c r="A5" s="85" t="s">
        <v>192</v>
      </c>
      <c r="B5" s="86">
        <v>36.06</v>
      </c>
      <c r="C5" s="86">
        <v>57850</v>
      </c>
      <c r="D5" s="86">
        <v>56514</v>
      </c>
      <c r="E5" s="86">
        <v>2.17</v>
      </c>
      <c r="F5" s="86">
        <v>1.24</v>
      </c>
      <c r="G5" s="85">
        <v>1</v>
      </c>
      <c r="H5" s="85">
        <v>16.600000000000001</v>
      </c>
      <c r="I5" s="85">
        <v>29.1</v>
      </c>
      <c r="J5" s="87">
        <v>0.16600000000000001</v>
      </c>
      <c r="K5" s="87">
        <v>7.9000000000000001E-2</v>
      </c>
    </row>
    <row r="6" spans="1:11" ht="23" x14ac:dyDescent="0.25">
      <c r="A6" s="85" t="s">
        <v>193</v>
      </c>
      <c r="B6" s="86">
        <v>59.2</v>
      </c>
      <c r="C6" s="86">
        <v>62750</v>
      </c>
      <c r="D6" s="86">
        <v>35411</v>
      </c>
      <c r="E6" s="86">
        <v>4.8099999999999996</v>
      </c>
      <c r="F6" s="86">
        <v>3.24</v>
      </c>
      <c r="G6" s="85">
        <v>1.8</v>
      </c>
      <c r="H6" s="85">
        <v>12.3</v>
      </c>
      <c r="I6" s="85">
        <v>18.3</v>
      </c>
      <c r="J6" s="87">
        <v>0.26400000000000001</v>
      </c>
      <c r="K6" s="87">
        <v>8.4000000000000005E-2</v>
      </c>
    </row>
    <row r="7" spans="1:11" ht="23" x14ac:dyDescent="0.25">
      <c r="A7" s="35" t="s">
        <v>194</v>
      </c>
      <c r="B7" s="86">
        <v>106.87</v>
      </c>
      <c r="C7" s="86">
        <v>28130</v>
      </c>
      <c r="D7" s="86">
        <v>10200</v>
      </c>
      <c r="E7" s="86">
        <v>4.68</v>
      </c>
      <c r="F7" s="86">
        <v>1.1399999999999999</v>
      </c>
      <c r="G7" s="85">
        <v>2.8</v>
      </c>
      <c r="H7" s="85">
        <v>22.8</v>
      </c>
      <c r="I7" s="85">
        <v>93.7</v>
      </c>
      <c r="J7" s="87">
        <v>0.26400000000000001</v>
      </c>
      <c r="K7" s="87">
        <v>0.13</v>
      </c>
    </row>
    <row r="8" spans="1:11" ht="23" x14ac:dyDescent="0.25">
      <c r="A8" s="35" t="s">
        <v>195</v>
      </c>
      <c r="B8" s="86">
        <v>18.059999999999999</v>
      </c>
      <c r="C8" s="86">
        <v>8290</v>
      </c>
      <c r="D8" s="86">
        <v>10892</v>
      </c>
      <c r="E8" s="86">
        <v>0.41</v>
      </c>
      <c r="F8" s="86">
        <v>1.5</v>
      </c>
      <c r="G8" s="85">
        <v>0.8</v>
      </c>
      <c r="H8" s="85">
        <v>44</v>
      </c>
      <c r="I8" s="85">
        <v>12</v>
      </c>
      <c r="J8" s="87">
        <v>0.161</v>
      </c>
      <c r="K8" s="87">
        <v>1.7000000000000001E-2</v>
      </c>
    </row>
    <row r="9" spans="1:11" ht="23" x14ac:dyDescent="0.25">
      <c r="A9" s="85" t="s">
        <v>196</v>
      </c>
      <c r="B9" s="85"/>
      <c r="C9" s="86">
        <v>34866</v>
      </c>
      <c r="D9" s="86">
        <v>24321</v>
      </c>
      <c r="E9" s="85"/>
      <c r="F9" s="85"/>
      <c r="G9" s="85">
        <v>1.7</v>
      </c>
      <c r="H9" s="85">
        <v>24</v>
      </c>
      <c r="I9" s="85">
        <v>34.299999999999997</v>
      </c>
      <c r="J9" s="87">
        <v>0.216</v>
      </c>
      <c r="K9" s="87">
        <v>7.9000000000000001E-2</v>
      </c>
    </row>
  </sheetData>
  <mergeCells count="9">
    <mergeCell ref="I1:I3"/>
    <mergeCell ref="J1:J3"/>
    <mergeCell ref="K1:K3"/>
    <mergeCell ref="A1:A3"/>
    <mergeCell ref="B1:B3"/>
    <mergeCell ref="E1:E3"/>
    <mergeCell ref="F1:F3"/>
    <mergeCell ref="G1:G3"/>
    <mergeCell ref="H1:H3"/>
  </mergeCells>
  <hyperlinks>
    <hyperlink ref="A4" r:id="rId1" display="https://www.investopedia.com/markets/stocks/emn/" xr:uid="{59D2D400-9450-0A4C-9E33-A01D83F7FA96}"/>
    <hyperlink ref="A7" r:id="rId2" display="https://www.investopedia.com/markets/stocks/apd/" xr:uid="{ED4F7E40-9886-A349-A79B-858EF71F0E76}"/>
    <hyperlink ref="A8" r:id="rId3" display="https://www.investopedia.com/markets/stocks/hun/" xr:uid="{E7B3FE31-4C0D-F94F-83F0-5DA00EC5C6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DB864-3C23-E343-9FB8-53E20023FEEB}">
  <dimension ref="A1:P78"/>
  <sheetViews>
    <sheetView topLeftCell="A50" workbookViewId="0">
      <selection activeCell="D77" sqref="D77"/>
    </sheetView>
  </sheetViews>
  <sheetFormatPr baseColWidth="10" defaultRowHeight="16" x14ac:dyDescent="0.2"/>
  <cols>
    <col min="1" max="1" width="24.33203125" customWidth="1"/>
    <col min="2" max="2" width="16" customWidth="1"/>
    <col min="3" max="3" width="17" customWidth="1"/>
    <col min="4" max="4" width="14.33203125" customWidth="1"/>
    <col min="8" max="8" width="10.33203125" customWidth="1"/>
    <col min="9" max="9" width="9.1640625" customWidth="1"/>
    <col min="11" max="11" width="11.83203125" customWidth="1"/>
    <col min="15" max="15" width="11.1640625" bestFit="1" customWidth="1"/>
  </cols>
  <sheetData>
    <row r="1" spans="1:15" ht="17" thickBot="1" x14ac:dyDescent="0.25"/>
    <row r="2" spans="1:15" ht="17" customHeight="1" thickBot="1" x14ac:dyDescent="0.25">
      <c r="A2" s="1"/>
      <c r="B2" s="2" t="s">
        <v>0</v>
      </c>
      <c r="C2" s="2" t="s">
        <v>1</v>
      </c>
      <c r="D2" s="2" t="s">
        <v>2</v>
      </c>
      <c r="I2" t="s">
        <v>25</v>
      </c>
      <c r="K2" t="s">
        <v>26</v>
      </c>
      <c r="M2" t="s">
        <v>31</v>
      </c>
      <c r="O2" t="s">
        <v>32</v>
      </c>
    </row>
    <row r="3" spans="1:15" ht="17" customHeight="1" thickBot="1" x14ac:dyDescent="0.25">
      <c r="A3" s="3"/>
      <c r="B3" s="4"/>
      <c r="C3" s="5" t="s">
        <v>3</v>
      </c>
      <c r="D3" s="4"/>
      <c r="F3" t="s">
        <v>20</v>
      </c>
      <c r="I3">
        <f>C14</f>
        <v>21</v>
      </c>
      <c r="K3">
        <f>D14</f>
        <v>14.5</v>
      </c>
      <c r="M3">
        <f>(I3+K3)/2</f>
        <v>17.75</v>
      </c>
      <c r="O3">
        <f>M3*B11</f>
        <v>532.5</v>
      </c>
    </row>
    <row r="4" spans="1:15" ht="17" customHeight="1" thickBot="1" x14ac:dyDescent="0.25">
      <c r="A4" s="6" t="s">
        <v>4</v>
      </c>
      <c r="B4" s="4"/>
      <c r="C4" s="4"/>
      <c r="D4" s="4"/>
      <c r="F4" t="s">
        <v>27</v>
      </c>
      <c r="I4">
        <f>C13*C14*C15</f>
        <v>422.1</v>
      </c>
      <c r="K4">
        <f>D13*D14*D15</f>
        <v>1086.05</v>
      </c>
      <c r="M4">
        <f t="shared" ref="M4:M9" si="0">(I4+K4)/2</f>
        <v>754.07500000000005</v>
      </c>
    </row>
    <row r="5" spans="1:15" ht="17" customHeight="1" thickBot="1" x14ac:dyDescent="0.25">
      <c r="A5" s="6" t="s">
        <v>5</v>
      </c>
      <c r="B5" s="2">
        <v>160</v>
      </c>
      <c r="C5" s="2">
        <v>300</v>
      </c>
      <c r="D5" s="2">
        <v>380</v>
      </c>
      <c r="F5" t="s">
        <v>28</v>
      </c>
      <c r="I5">
        <f>I4+C6</f>
        <v>522.1</v>
      </c>
      <c r="K5">
        <f>K4+D6</f>
        <v>1086.05</v>
      </c>
      <c r="M5">
        <f t="shared" si="0"/>
        <v>804.07500000000005</v>
      </c>
    </row>
    <row r="6" spans="1:15" ht="17" customHeight="1" thickBot="1" x14ac:dyDescent="0.25">
      <c r="A6" s="6" t="s">
        <v>6</v>
      </c>
      <c r="B6" s="2">
        <v>5</v>
      </c>
      <c r="C6" s="2">
        <v>100</v>
      </c>
      <c r="D6" s="2">
        <v>0</v>
      </c>
      <c r="F6" t="s">
        <v>29</v>
      </c>
      <c r="I6">
        <f>I5/C9</f>
        <v>1.2430952380952383</v>
      </c>
      <c r="K6">
        <f>K5/D9</f>
        <v>1.277705882352941</v>
      </c>
      <c r="M6">
        <f t="shared" si="0"/>
        <v>1.2604005602240895</v>
      </c>
      <c r="O6">
        <f>M6*B9</f>
        <v>441.14019607843136</v>
      </c>
    </row>
    <row r="7" spans="1:15" ht="17" customHeight="1" thickBot="1" x14ac:dyDescent="0.25">
      <c r="A7" s="6" t="s">
        <v>7</v>
      </c>
      <c r="B7" s="2">
        <v>80</v>
      </c>
      <c r="C7" s="2">
        <v>120</v>
      </c>
      <c r="D7" s="2">
        <v>175</v>
      </c>
      <c r="F7" t="s">
        <v>30</v>
      </c>
      <c r="I7">
        <f>I5/C10</f>
        <v>9.492727272727274</v>
      </c>
      <c r="K7">
        <f>K5/D10</f>
        <v>8.3542307692307691</v>
      </c>
      <c r="M7">
        <f t="shared" si="0"/>
        <v>8.9234790209790216</v>
      </c>
      <c r="O7">
        <f>M7*B10</f>
        <v>401.55655594405596</v>
      </c>
    </row>
    <row r="8" spans="1:15" ht="17" customHeight="1" thickBot="1" x14ac:dyDescent="0.25">
      <c r="A8" s="6" t="s">
        <v>8</v>
      </c>
      <c r="B8" s="4"/>
      <c r="C8" s="4"/>
      <c r="D8" s="4"/>
      <c r="F8" s="13" t="s">
        <v>23</v>
      </c>
      <c r="G8" s="13"/>
      <c r="H8" s="13"/>
      <c r="I8">
        <f>I5/C7</f>
        <v>4.3508333333333331</v>
      </c>
      <c r="K8">
        <f>K5/D7</f>
        <v>6.2059999999999995</v>
      </c>
      <c r="M8">
        <f>(I8+K8)/2</f>
        <v>5.2784166666666668</v>
      </c>
      <c r="O8">
        <f>M8*B7</f>
        <v>422.27333333333331</v>
      </c>
    </row>
    <row r="9" spans="1:15" ht="17" customHeight="1" thickBot="1" x14ac:dyDescent="0.25">
      <c r="A9" s="6" t="s">
        <v>9</v>
      </c>
      <c r="B9" s="2">
        <v>350</v>
      </c>
      <c r="C9" s="2">
        <v>420</v>
      </c>
      <c r="D9" s="2">
        <v>850</v>
      </c>
      <c r="F9" t="s">
        <v>24</v>
      </c>
      <c r="I9">
        <f>I5*(1000000)/C16</f>
        <v>870.16666666666663</v>
      </c>
      <c r="K9">
        <f>K5*1000000/D16</f>
        <v>987.31818181818187</v>
      </c>
      <c r="M9">
        <f t="shared" si="0"/>
        <v>928.74242424242425</v>
      </c>
      <c r="O9" s="7">
        <f>M9*B16</f>
        <v>464371212.12121212</v>
      </c>
    </row>
    <row r="10" spans="1:15" ht="17" customHeight="1" thickBot="1" x14ac:dyDescent="0.25">
      <c r="A10" s="6" t="s">
        <v>10</v>
      </c>
      <c r="B10" s="2">
        <v>45</v>
      </c>
      <c r="C10" s="2">
        <v>55</v>
      </c>
      <c r="D10" s="2">
        <v>130</v>
      </c>
    </row>
    <row r="11" spans="1:15" ht="17" customHeight="1" thickBot="1" x14ac:dyDescent="0.25">
      <c r="A11" s="6" t="s">
        <v>11</v>
      </c>
      <c r="B11" s="2">
        <v>30</v>
      </c>
      <c r="C11" s="2">
        <v>20</v>
      </c>
      <c r="D11" s="2">
        <v>75</v>
      </c>
    </row>
    <row r="12" spans="1:15" ht="17" customHeight="1" thickBot="1" x14ac:dyDescent="0.25">
      <c r="A12" s="6" t="s">
        <v>12</v>
      </c>
      <c r="B12" s="4"/>
      <c r="C12" s="4"/>
      <c r="D12" s="4"/>
    </row>
    <row r="13" spans="1:15" ht="17" customHeight="1" thickBot="1" x14ac:dyDescent="0.25">
      <c r="A13" s="6" t="s">
        <v>13</v>
      </c>
      <c r="B13" s="2">
        <v>3</v>
      </c>
      <c r="C13" s="2">
        <v>0.67</v>
      </c>
      <c r="D13" s="2">
        <v>2.14</v>
      </c>
    </row>
    <row r="14" spans="1:15" ht="17" customHeight="1" thickBot="1" x14ac:dyDescent="0.25">
      <c r="A14" s="6" t="s">
        <v>14</v>
      </c>
      <c r="B14" s="2" t="s">
        <v>15</v>
      </c>
      <c r="C14" s="2">
        <v>21</v>
      </c>
      <c r="D14" s="2">
        <v>14.5</v>
      </c>
      <c r="H14" t="s">
        <v>197</v>
      </c>
    </row>
    <row r="15" spans="1:15" ht="17" customHeight="1" thickBot="1" x14ac:dyDescent="0.25">
      <c r="A15" s="6" t="s">
        <v>16</v>
      </c>
      <c r="B15" s="2">
        <v>10</v>
      </c>
      <c r="C15" s="2">
        <v>30</v>
      </c>
      <c r="D15" s="2">
        <v>35</v>
      </c>
    </row>
    <row r="16" spans="1:15" ht="17" customHeight="1" thickBot="1" x14ac:dyDescent="0.25">
      <c r="A16" s="6" t="s">
        <v>17</v>
      </c>
      <c r="B16" s="8">
        <v>500000</v>
      </c>
      <c r="C16" s="8">
        <v>600000</v>
      </c>
      <c r="D16" s="8">
        <v>1100000</v>
      </c>
      <c r="H16" t="s">
        <v>198</v>
      </c>
    </row>
    <row r="17" spans="1:10" ht="17" customHeight="1" thickBot="1" x14ac:dyDescent="0.25">
      <c r="A17" s="6"/>
      <c r="B17" s="2"/>
      <c r="C17" s="2"/>
      <c r="D17" s="2"/>
    </row>
    <row r="19" spans="1:10" ht="29" customHeight="1" thickBot="1" x14ac:dyDescent="0.25"/>
    <row r="20" spans="1:10" ht="29" customHeight="1" thickBot="1" x14ac:dyDescent="0.25">
      <c r="A20" s="9"/>
      <c r="B20" s="10" t="s">
        <v>1</v>
      </c>
      <c r="C20" s="10" t="s">
        <v>2</v>
      </c>
      <c r="D20" s="10" t="s">
        <v>18</v>
      </c>
      <c r="E20" s="10" t="s">
        <v>19</v>
      </c>
    </row>
    <row r="21" spans="1:10" ht="19" customHeight="1" thickBot="1" x14ac:dyDescent="0.25">
      <c r="A21" s="11" t="s">
        <v>20</v>
      </c>
      <c r="B21" s="12">
        <v>21</v>
      </c>
      <c r="C21" s="12">
        <v>14.5</v>
      </c>
      <c r="D21" s="12">
        <v>17.8</v>
      </c>
      <c r="E21" s="12">
        <v>533</v>
      </c>
    </row>
    <row r="22" spans="1:10" ht="19" customHeight="1" thickBot="1" x14ac:dyDescent="0.25">
      <c r="A22" s="11" t="s">
        <v>21</v>
      </c>
      <c r="B22" s="12">
        <v>9.49</v>
      </c>
      <c r="C22" s="12">
        <v>8.35</v>
      </c>
      <c r="D22" s="12">
        <v>8.92</v>
      </c>
      <c r="E22" s="12">
        <v>397</v>
      </c>
    </row>
    <row r="23" spans="1:10" ht="19" customHeight="1" thickBot="1" x14ac:dyDescent="0.25">
      <c r="A23" s="11" t="s">
        <v>22</v>
      </c>
      <c r="B23" s="12">
        <v>1.24</v>
      </c>
      <c r="C23" s="12">
        <v>1.28</v>
      </c>
      <c r="D23" s="12">
        <v>1.26</v>
      </c>
      <c r="E23" s="12">
        <v>436</v>
      </c>
    </row>
    <row r="24" spans="1:10" ht="33" customHeight="1" thickBot="1" x14ac:dyDescent="0.25">
      <c r="A24" s="11" t="s">
        <v>23</v>
      </c>
      <c r="B24" s="12">
        <v>3.52</v>
      </c>
      <c r="C24" s="12">
        <v>6.21</v>
      </c>
      <c r="D24" s="12">
        <v>4.8600000000000003</v>
      </c>
      <c r="E24" s="12">
        <v>389</v>
      </c>
    </row>
    <row r="25" spans="1:10" ht="19" customHeight="1" thickBot="1" x14ac:dyDescent="0.25">
      <c r="A25" s="11" t="s">
        <v>24</v>
      </c>
      <c r="B25" s="12">
        <v>870</v>
      </c>
      <c r="C25" s="12">
        <v>987</v>
      </c>
      <c r="D25" s="12">
        <v>929</v>
      </c>
      <c r="E25" s="12">
        <v>459</v>
      </c>
    </row>
    <row r="28" spans="1:10" x14ac:dyDescent="0.2">
      <c r="A28" s="14"/>
      <c r="B28" s="14"/>
      <c r="C28" s="14"/>
      <c r="D28" s="14"/>
      <c r="E28" s="14"/>
      <c r="F28" s="14"/>
      <c r="G28" s="14"/>
      <c r="H28" s="14"/>
      <c r="I28" s="14"/>
    </row>
    <row r="29" spans="1:10" ht="17" thickBot="1" x14ac:dyDescent="0.25"/>
    <row r="30" spans="1:10" ht="16" customHeight="1" thickBot="1" x14ac:dyDescent="0.25">
      <c r="A30" s="1"/>
      <c r="B30" s="21" t="s">
        <v>33</v>
      </c>
      <c r="C30" s="21" t="s">
        <v>34</v>
      </c>
      <c r="D30" s="21" t="s">
        <v>35</v>
      </c>
      <c r="E30" s="21" t="s">
        <v>36</v>
      </c>
      <c r="F30" s="21" t="s">
        <v>37</v>
      </c>
      <c r="G30" s="21" t="s">
        <v>38</v>
      </c>
      <c r="H30" s="21" t="s">
        <v>39</v>
      </c>
      <c r="I30" s="21" t="s">
        <v>40</v>
      </c>
      <c r="J30" s="21" t="s">
        <v>41</v>
      </c>
    </row>
    <row r="31" spans="1:10" ht="16" customHeight="1" thickBot="1" x14ac:dyDescent="0.25">
      <c r="A31" s="6" t="s">
        <v>9</v>
      </c>
      <c r="B31" s="27">
        <v>100</v>
      </c>
      <c r="C31" s="27">
        <v>140</v>
      </c>
      <c r="D31" s="27">
        <v>210</v>
      </c>
      <c r="E31" s="27">
        <v>250</v>
      </c>
      <c r="F31" s="27">
        <v>290</v>
      </c>
      <c r="G31" s="27">
        <v>380</v>
      </c>
      <c r="H31" s="27">
        <v>500</v>
      </c>
      <c r="I31" s="27">
        <v>650</v>
      </c>
      <c r="J31" s="27">
        <v>900</v>
      </c>
    </row>
    <row r="32" spans="1:10" ht="16" customHeight="1" thickBot="1" x14ac:dyDescent="0.25">
      <c r="A32" s="6" t="s">
        <v>42</v>
      </c>
      <c r="B32" s="27">
        <v>230</v>
      </c>
      <c r="C32" s="27">
        <v>240</v>
      </c>
      <c r="D32" s="27">
        <v>260</v>
      </c>
      <c r="E32" s="27">
        <v>275</v>
      </c>
      <c r="F32" s="27">
        <v>290</v>
      </c>
      <c r="G32" s="27">
        <v>310</v>
      </c>
      <c r="H32" s="27">
        <v>350</v>
      </c>
      <c r="I32" s="27">
        <v>400</v>
      </c>
      <c r="J32" s="27">
        <v>470</v>
      </c>
    </row>
    <row r="33" spans="1:12" ht="16" customHeight="1" thickBot="1" x14ac:dyDescent="0.25">
      <c r="A33" s="6" t="s">
        <v>43</v>
      </c>
      <c r="B33" s="27">
        <v>-130</v>
      </c>
      <c r="C33" s="27">
        <v>-100</v>
      </c>
      <c r="D33" s="27">
        <v>-50</v>
      </c>
      <c r="E33" s="27">
        <v>-25</v>
      </c>
      <c r="F33" s="27">
        <v>0</v>
      </c>
      <c r="G33" s="27">
        <v>70</v>
      </c>
      <c r="H33" s="27">
        <v>150</v>
      </c>
      <c r="I33" s="27">
        <v>250</v>
      </c>
      <c r="J33" s="27">
        <v>430</v>
      </c>
    </row>
    <row r="34" spans="1:12" ht="16" customHeight="1" thickBot="1" x14ac:dyDescent="0.25">
      <c r="A34" s="6"/>
      <c r="B34" s="2"/>
      <c r="C34" s="2"/>
      <c r="D34" s="2"/>
      <c r="E34" s="2"/>
      <c r="F34" s="2"/>
      <c r="G34" s="2"/>
      <c r="H34" s="2"/>
      <c r="I34" s="2"/>
      <c r="J34" s="2"/>
    </row>
    <row r="35" spans="1:12" ht="16" customHeight="1" thickBot="1" x14ac:dyDescent="0.3">
      <c r="A35" s="15"/>
      <c r="B35" s="15"/>
      <c r="C35" s="15"/>
      <c r="D35" s="15"/>
      <c r="E35" s="15"/>
      <c r="F35" s="15"/>
      <c r="G35" s="15"/>
      <c r="H35" s="15"/>
      <c r="I35" s="15"/>
      <c r="J35" s="15"/>
    </row>
    <row r="36" spans="1:12" ht="16" customHeight="1" thickBot="1" x14ac:dyDescent="0.3">
      <c r="A36" s="16" t="s">
        <v>44</v>
      </c>
      <c r="B36" s="15"/>
      <c r="C36" s="15"/>
      <c r="D36" s="15"/>
      <c r="E36" s="15"/>
      <c r="F36" s="15"/>
      <c r="G36" s="15"/>
      <c r="H36" s="15"/>
      <c r="I36" s="15"/>
      <c r="J36" s="15"/>
    </row>
    <row r="37" spans="1:12" ht="16" customHeight="1" thickBot="1" x14ac:dyDescent="0.3">
      <c r="A37" s="6" t="s">
        <v>45</v>
      </c>
      <c r="B37" s="18">
        <v>0.4</v>
      </c>
      <c r="C37" s="15"/>
      <c r="D37" s="15"/>
      <c r="E37" s="15"/>
      <c r="F37" s="15"/>
      <c r="G37" s="15"/>
      <c r="H37" s="15"/>
      <c r="I37" s="15"/>
      <c r="J37" s="15"/>
    </row>
    <row r="38" spans="1:12" ht="16" customHeight="1" thickBot="1" x14ac:dyDescent="0.3">
      <c r="A38" s="6" t="s">
        <v>46</v>
      </c>
      <c r="B38" s="20">
        <v>7.4999999999999997E-2</v>
      </c>
      <c r="C38" s="15"/>
      <c r="D38" s="21"/>
      <c r="E38" s="15"/>
      <c r="F38" s="15"/>
      <c r="G38" s="15"/>
      <c r="H38" s="15"/>
      <c r="I38" s="15"/>
      <c r="J38" s="15"/>
      <c r="L38" t="s">
        <v>199</v>
      </c>
    </row>
    <row r="39" spans="1:12" ht="16" customHeight="1" thickBot="1" x14ac:dyDescent="0.3">
      <c r="A39" s="6" t="s">
        <v>47</v>
      </c>
      <c r="B39" s="18">
        <v>1</v>
      </c>
      <c r="C39" s="15"/>
      <c r="D39" s="15"/>
      <c r="E39" s="15"/>
      <c r="F39" s="15"/>
      <c r="G39" s="15"/>
      <c r="H39" s="15"/>
      <c r="I39" s="15"/>
      <c r="J39" s="15"/>
    </row>
    <row r="40" spans="1:12" ht="16" customHeight="1" thickBot="1" x14ac:dyDescent="0.3">
      <c r="A40" s="6" t="s">
        <v>48</v>
      </c>
      <c r="B40" s="21">
        <v>1.2</v>
      </c>
      <c r="C40" s="15"/>
      <c r="D40" s="15"/>
      <c r="E40" s="15"/>
      <c r="F40" s="15"/>
      <c r="G40" s="15"/>
      <c r="H40" s="15"/>
      <c r="I40" s="15"/>
      <c r="J40" s="15"/>
    </row>
    <row r="41" spans="1:12" ht="16" customHeight="1" thickBot="1" x14ac:dyDescent="0.3">
      <c r="A41" s="6" t="s">
        <v>49</v>
      </c>
      <c r="B41" s="20">
        <v>0.06</v>
      </c>
      <c r="C41" s="15"/>
      <c r="D41" s="15"/>
      <c r="E41" s="15"/>
      <c r="F41" s="15"/>
      <c r="G41" s="15"/>
      <c r="H41" s="15"/>
      <c r="I41" s="15"/>
      <c r="J41" s="15"/>
    </row>
    <row r="42" spans="1:12" ht="16" customHeight="1" thickBot="1" x14ac:dyDescent="0.3">
      <c r="A42" s="6" t="s">
        <v>50</v>
      </c>
      <c r="B42" s="20">
        <v>0.15</v>
      </c>
      <c r="C42" s="20">
        <f>B41+B40*B38</f>
        <v>0.15</v>
      </c>
      <c r="D42" s="15"/>
      <c r="E42" s="15"/>
      <c r="F42" s="15"/>
      <c r="G42" s="15"/>
      <c r="H42" s="15"/>
      <c r="I42" s="15"/>
      <c r="J42" s="15"/>
      <c r="L42" t="s">
        <v>201</v>
      </c>
    </row>
    <row r="43" spans="1:12" ht="16" customHeight="1" thickBot="1" x14ac:dyDescent="0.3">
      <c r="A43" s="3"/>
      <c r="B43" s="3"/>
      <c r="C43" s="15"/>
      <c r="D43" s="15"/>
      <c r="E43" s="15"/>
      <c r="F43" s="15"/>
      <c r="G43" s="15"/>
      <c r="H43" s="15"/>
      <c r="I43" s="15"/>
      <c r="J43" s="15"/>
    </row>
    <row r="44" spans="1:12" ht="16" customHeight="1" thickBot="1" x14ac:dyDescent="0.3">
      <c r="A44" s="6" t="s">
        <v>51</v>
      </c>
      <c r="B44" s="3"/>
      <c r="C44" s="15"/>
      <c r="D44" s="15"/>
      <c r="E44" s="15"/>
      <c r="F44" s="15"/>
      <c r="G44" s="15"/>
      <c r="H44" s="15"/>
      <c r="I44" s="15"/>
      <c r="J44" s="15"/>
    </row>
    <row r="45" spans="1:12" ht="16" customHeight="1" thickBot="1" x14ac:dyDescent="0.3">
      <c r="A45" s="3"/>
      <c r="B45" s="3"/>
      <c r="C45" s="15"/>
      <c r="D45" s="15"/>
      <c r="E45" s="15"/>
      <c r="F45" s="15"/>
      <c r="G45" s="15"/>
      <c r="H45" s="15"/>
      <c r="I45" s="15"/>
      <c r="J45" s="15"/>
    </row>
    <row r="46" spans="1:12" ht="16" customHeight="1" thickBot="1" x14ac:dyDescent="0.3">
      <c r="A46" s="6" t="s">
        <v>52</v>
      </c>
      <c r="B46" s="20">
        <v>0.03</v>
      </c>
      <c r="C46" s="15"/>
      <c r="D46" s="15"/>
      <c r="E46" s="15"/>
      <c r="F46" s="15"/>
      <c r="G46" s="15"/>
      <c r="H46" s="15"/>
      <c r="I46" s="15"/>
      <c r="J46" s="15"/>
    </row>
    <row r="48" spans="1:12" ht="17" thickBot="1" x14ac:dyDescent="0.25"/>
    <row r="49" spans="1:16" ht="31" thickBot="1" x14ac:dyDescent="0.25">
      <c r="A49" s="22" t="s">
        <v>53</v>
      </c>
      <c r="B49" s="3"/>
      <c r="C49" s="3"/>
      <c r="D49" s="3"/>
      <c r="E49" s="3"/>
      <c r="F49" s="3"/>
      <c r="G49" s="3"/>
      <c r="H49" s="3"/>
      <c r="I49" s="3"/>
      <c r="J49" s="3"/>
    </row>
    <row r="50" spans="1:16" ht="18" customHeight="1" thickBot="1" x14ac:dyDescent="0.25">
      <c r="A50" s="11" t="s">
        <v>57</v>
      </c>
      <c r="B50" s="3"/>
      <c r="C50" s="3"/>
      <c r="D50" s="3"/>
      <c r="E50" s="3"/>
      <c r="F50" s="3"/>
      <c r="G50" s="3"/>
      <c r="H50" s="3"/>
      <c r="I50" s="3"/>
      <c r="J50" s="3"/>
    </row>
    <row r="51" spans="1:16" ht="18" customHeight="1" thickBot="1" x14ac:dyDescent="0.25">
      <c r="A51" s="11" t="s">
        <v>43</v>
      </c>
      <c r="B51" s="27">
        <v>-130</v>
      </c>
      <c r="C51" s="27">
        <v>-100</v>
      </c>
      <c r="D51" s="27">
        <v>-50</v>
      </c>
      <c r="E51" s="27">
        <v>-25</v>
      </c>
      <c r="F51" s="27">
        <v>0</v>
      </c>
      <c r="G51" s="27">
        <v>70</v>
      </c>
      <c r="H51" s="27">
        <v>150</v>
      </c>
      <c r="I51" s="27">
        <v>250</v>
      </c>
      <c r="J51" s="27">
        <v>430</v>
      </c>
    </row>
    <row r="52" spans="1:16" ht="18" customHeight="1" thickBot="1" x14ac:dyDescent="0.25">
      <c r="A52" s="11" t="s">
        <v>58</v>
      </c>
      <c r="B52" s="27">
        <v>0</v>
      </c>
      <c r="C52" s="27">
        <v>0</v>
      </c>
      <c r="D52" s="27">
        <v>0</v>
      </c>
      <c r="E52" s="27">
        <v>0</v>
      </c>
      <c r="F52" s="27">
        <v>0</v>
      </c>
      <c r="G52" s="27">
        <v>70</v>
      </c>
      <c r="H52" s="27">
        <v>150</v>
      </c>
      <c r="I52" s="27">
        <v>185</v>
      </c>
      <c r="J52" s="27">
        <v>0</v>
      </c>
    </row>
    <row r="53" spans="1:16" ht="18" customHeight="1" thickBot="1" x14ac:dyDescent="0.25">
      <c r="A53" s="11" t="s">
        <v>59</v>
      </c>
      <c r="B53" s="27">
        <v>130</v>
      </c>
      <c r="C53" s="27">
        <v>100</v>
      </c>
      <c r="D53" s="27">
        <v>50</v>
      </c>
      <c r="E53" s="27">
        <v>25</v>
      </c>
      <c r="F53" s="27">
        <v>0</v>
      </c>
      <c r="G53" s="27">
        <v>0</v>
      </c>
      <c r="H53" s="27">
        <v>0</v>
      </c>
      <c r="I53" s="27">
        <v>0</v>
      </c>
      <c r="J53" s="27">
        <v>0</v>
      </c>
    </row>
    <row r="54" spans="1:16" ht="18" customHeight="1" thickBot="1" x14ac:dyDescent="0.25">
      <c r="A54" s="11" t="s">
        <v>65</v>
      </c>
      <c r="B54" s="27">
        <f>B31+ (-B51)</f>
        <v>230</v>
      </c>
      <c r="C54" s="27">
        <f>B54+C53</f>
        <v>330</v>
      </c>
      <c r="D54" s="27">
        <f>C54+D53</f>
        <v>380</v>
      </c>
      <c r="E54" s="27">
        <f>D54+E53</f>
        <v>405</v>
      </c>
      <c r="F54" s="27">
        <f>E54</f>
        <v>405</v>
      </c>
      <c r="G54" s="27">
        <f>F54-G52</f>
        <v>335</v>
      </c>
      <c r="H54" s="27">
        <f>G54-H52</f>
        <v>185</v>
      </c>
      <c r="I54" s="27">
        <f>H54-I52</f>
        <v>0</v>
      </c>
      <c r="J54" s="27">
        <v>0</v>
      </c>
    </row>
    <row r="55" spans="1:16" ht="18" customHeight="1" thickBot="1" x14ac:dyDescent="0.25">
      <c r="A55" s="11" t="s">
        <v>60</v>
      </c>
      <c r="B55" s="27">
        <v>0</v>
      </c>
      <c r="C55" s="27">
        <v>0</v>
      </c>
      <c r="D55" s="27">
        <v>0</v>
      </c>
      <c r="E55" s="27">
        <v>0</v>
      </c>
      <c r="F55" s="27">
        <v>0</v>
      </c>
      <c r="G55" s="27">
        <f>(G51-G52)*B37</f>
        <v>0</v>
      </c>
      <c r="H55" s="27">
        <f>(H51-H52)*B37</f>
        <v>0</v>
      </c>
      <c r="I55" s="27">
        <f>(I51-I52)*B37</f>
        <v>26</v>
      </c>
      <c r="J55" s="27">
        <f>(J51-J52)*B37</f>
        <v>172</v>
      </c>
    </row>
    <row r="56" spans="1:16" ht="18" customHeight="1" thickBot="1" x14ac:dyDescent="0.3">
      <c r="A56" s="3"/>
      <c r="B56" s="25"/>
      <c r="C56" s="26"/>
      <c r="D56" s="26"/>
      <c r="E56" s="26"/>
      <c r="F56" s="26"/>
      <c r="G56" s="26"/>
      <c r="H56" s="26"/>
      <c r="I56" s="26"/>
      <c r="J56" s="26"/>
    </row>
    <row r="57" spans="1:16" ht="18" customHeight="1" thickBot="1" x14ac:dyDescent="0.25">
      <c r="A57" s="82" t="s">
        <v>61</v>
      </c>
      <c r="B57" s="83"/>
      <c r="C57" s="84"/>
      <c r="D57" s="23"/>
      <c r="E57" s="23"/>
      <c r="F57" s="23"/>
      <c r="G57" s="23"/>
      <c r="H57" s="23"/>
      <c r="I57" s="23"/>
      <c r="J57" s="23"/>
    </row>
    <row r="58" spans="1:16" ht="18" customHeight="1" thickBot="1" x14ac:dyDescent="0.25">
      <c r="A58" s="11" t="s">
        <v>62</v>
      </c>
      <c r="B58" s="24">
        <v>0</v>
      </c>
      <c r="C58" s="24">
        <f>B59</f>
        <v>10</v>
      </c>
      <c r="D58" s="24">
        <f>C59</f>
        <v>14</v>
      </c>
      <c r="E58" s="24">
        <f>D59</f>
        <v>21</v>
      </c>
      <c r="F58" s="24">
        <f t="shared" ref="F58:J58" si="1">E59</f>
        <v>25</v>
      </c>
      <c r="G58" s="24">
        <f t="shared" si="1"/>
        <v>29</v>
      </c>
      <c r="H58" s="24">
        <f t="shared" si="1"/>
        <v>38</v>
      </c>
      <c r="I58" s="24">
        <f t="shared" si="1"/>
        <v>50</v>
      </c>
      <c r="J58" s="24">
        <f t="shared" si="1"/>
        <v>65</v>
      </c>
    </row>
    <row r="59" spans="1:16" ht="18" customHeight="1" thickBot="1" x14ac:dyDescent="0.25">
      <c r="A59" s="11" t="s">
        <v>63</v>
      </c>
      <c r="B59" s="24">
        <f>10%*B31</f>
        <v>10</v>
      </c>
      <c r="C59" s="24">
        <f t="shared" ref="B59:J59" si="2">10%*C31</f>
        <v>14</v>
      </c>
      <c r="D59" s="24">
        <f t="shared" si="2"/>
        <v>21</v>
      </c>
      <c r="E59" s="24">
        <f>10%*E31</f>
        <v>25</v>
      </c>
      <c r="F59" s="24">
        <f t="shared" si="2"/>
        <v>29</v>
      </c>
      <c r="G59" s="24">
        <f t="shared" si="2"/>
        <v>38</v>
      </c>
      <c r="H59" s="24">
        <f t="shared" si="2"/>
        <v>50</v>
      </c>
      <c r="I59" s="24">
        <f t="shared" si="2"/>
        <v>65</v>
      </c>
      <c r="J59" s="24">
        <f t="shared" si="2"/>
        <v>90</v>
      </c>
    </row>
    <row r="60" spans="1:16" ht="18" customHeight="1" thickBot="1" x14ac:dyDescent="0.25">
      <c r="A60" s="11" t="s">
        <v>64</v>
      </c>
      <c r="B60" s="24">
        <f>B59-B58</f>
        <v>10</v>
      </c>
      <c r="C60" s="24">
        <f t="shared" ref="C60:H60" si="3">C59-C58</f>
        <v>4</v>
      </c>
      <c r="D60" s="24">
        <f t="shared" si="3"/>
        <v>7</v>
      </c>
      <c r="E60" s="24">
        <f t="shared" si="3"/>
        <v>4</v>
      </c>
      <c r="F60" s="24">
        <f t="shared" si="3"/>
        <v>4</v>
      </c>
      <c r="G60" s="24">
        <f t="shared" si="3"/>
        <v>9</v>
      </c>
      <c r="H60" s="24">
        <f t="shared" si="3"/>
        <v>12</v>
      </c>
      <c r="I60" s="24">
        <f>I59-I58</f>
        <v>15</v>
      </c>
      <c r="J60" s="24">
        <f>J59-J58</f>
        <v>25</v>
      </c>
    </row>
    <row r="62" spans="1:16" ht="17" thickBot="1" x14ac:dyDescent="0.25"/>
    <row r="63" spans="1:16" ht="24" thickBot="1" x14ac:dyDescent="0.25">
      <c r="A63" s="1"/>
      <c r="B63" s="21" t="s">
        <v>33</v>
      </c>
      <c r="C63" s="21" t="s">
        <v>34</v>
      </c>
      <c r="D63" s="21" t="s">
        <v>35</v>
      </c>
      <c r="E63" s="21" t="s">
        <v>36</v>
      </c>
      <c r="F63" s="21" t="s">
        <v>37</v>
      </c>
      <c r="G63" s="21" t="s">
        <v>38</v>
      </c>
      <c r="H63" s="21" t="s">
        <v>39</v>
      </c>
      <c r="I63" s="21" t="s">
        <v>40</v>
      </c>
      <c r="J63" s="21" t="s">
        <v>41</v>
      </c>
    </row>
    <row r="64" spans="1:16" ht="24" thickBot="1" x14ac:dyDescent="0.25">
      <c r="A64" s="6" t="s">
        <v>9</v>
      </c>
      <c r="B64" s="27">
        <v>100</v>
      </c>
      <c r="C64" s="27">
        <v>140</v>
      </c>
      <c r="D64" s="27">
        <v>210</v>
      </c>
      <c r="E64" s="27">
        <v>250</v>
      </c>
      <c r="F64" s="27">
        <v>290</v>
      </c>
      <c r="G64" s="27">
        <v>380</v>
      </c>
      <c r="H64" s="27">
        <v>500</v>
      </c>
      <c r="I64" s="27">
        <v>650</v>
      </c>
      <c r="J64" s="27">
        <v>900</v>
      </c>
      <c r="L64" s="3"/>
      <c r="M64" s="1"/>
      <c r="N64" s="6" t="s">
        <v>50</v>
      </c>
      <c r="O64" s="1"/>
      <c r="P64" s="1"/>
    </row>
    <row r="65" spans="1:16" ht="24" thickBot="1" x14ac:dyDescent="0.25">
      <c r="A65" s="6" t="s">
        <v>42</v>
      </c>
      <c r="B65" s="27">
        <v>230</v>
      </c>
      <c r="C65" s="27">
        <v>240</v>
      </c>
      <c r="D65" s="27">
        <v>260</v>
      </c>
      <c r="E65" s="27">
        <v>275</v>
      </c>
      <c r="F65" s="27">
        <v>290</v>
      </c>
      <c r="G65" s="27">
        <v>310</v>
      </c>
      <c r="H65" s="27">
        <v>350</v>
      </c>
      <c r="I65" s="27">
        <v>400</v>
      </c>
      <c r="J65" s="27">
        <v>470</v>
      </c>
      <c r="L65" s="6"/>
      <c r="M65" s="32"/>
      <c r="N65" s="33">
        <v>0.13</v>
      </c>
      <c r="O65" s="33">
        <v>0.15</v>
      </c>
      <c r="P65" s="33">
        <v>0.17</v>
      </c>
    </row>
    <row r="66" spans="1:16" ht="18" thickBot="1" x14ac:dyDescent="0.25">
      <c r="A66" s="6" t="s">
        <v>43</v>
      </c>
      <c r="B66" s="27">
        <v>-130</v>
      </c>
      <c r="C66" s="27">
        <v>-100</v>
      </c>
      <c r="D66" s="27">
        <v>-50</v>
      </c>
      <c r="E66" s="27">
        <v>-25</v>
      </c>
      <c r="F66" s="27">
        <v>0</v>
      </c>
      <c r="G66" s="27">
        <v>70</v>
      </c>
      <c r="H66" s="27">
        <v>150</v>
      </c>
      <c r="I66" s="27">
        <v>250</v>
      </c>
      <c r="J66" s="27">
        <v>430</v>
      </c>
      <c r="L66" s="6" t="s">
        <v>73</v>
      </c>
      <c r="M66" s="33">
        <v>0.02</v>
      </c>
      <c r="N66" s="2">
        <v>699</v>
      </c>
      <c r="O66" s="2">
        <v>476</v>
      </c>
      <c r="P66" s="2">
        <v>323</v>
      </c>
    </row>
    <row r="67" spans="1:16" ht="18" thickBot="1" x14ac:dyDescent="0.25">
      <c r="A67" s="6" t="s">
        <v>60</v>
      </c>
      <c r="B67" s="27">
        <v>0</v>
      </c>
      <c r="C67" s="27">
        <v>0</v>
      </c>
      <c r="D67" s="27">
        <v>0</v>
      </c>
      <c r="E67" s="27">
        <v>0</v>
      </c>
      <c r="F67" s="27">
        <v>0</v>
      </c>
      <c r="G67" s="27">
        <f>(G51-G52)*B37</f>
        <v>0</v>
      </c>
      <c r="H67" s="27">
        <f>(H51-H52)*B37</f>
        <v>0</v>
      </c>
      <c r="I67" s="27">
        <f>(I51-I52)*B37</f>
        <v>26</v>
      </c>
      <c r="J67" s="27">
        <f>(J51-J52)*B37</f>
        <v>172</v>
      </c>
      <c r="L67" s="6" t="s">
        <v>74</v>
      </c>
      <c r="M67" s="33">
        <v>0.03</v>
      </c>
      <c r="N67" s="2">
        <v>778</v>
      </c>
      <c r="O67" s="2">
        <v>525</v>
      </c>
      <c r="P67" s="2">
        <v>355</v>
      </c>
    </row>
    <row r="68" spans="1:16" ht="18" thickBot="1" x14ac:dyDescent="0.25">
      <c r="A68" s="6" t="s">
        <v>66</v>
      </c>
      <c r="B68" s="27">
        <f>B66-B67</f>
        <v>-130</v>
      </c>
      <c r="C68" s="27">
        <f t="shared" ref="C68:I68" si="4">C66-C67</f>
        <v>-100</v>
      </c>
      <c r="D68" s="27">
        <f t="shared" si="4"/>
        <v>-50</v>
      </c>
      <c r="E68" s="27">
        <f t="shared" si="4"/>
        <v>-25</v>
      </c>
      <c r="F68" s="27">
        <f t="shared" si="4"/>
        <v>0</v>
      </c>
      <c r="G68" s="27">
        <f>G66-G67</f>
        <v>70</v>
      </c>
      <c r="H68" s="27">
        <f t="shared" si="4"/>
        <v>150</v>
      </c>
      <c r="I68" s="27">
        <f t="shared" si="4"/>
        <v>224</v>
      </c>
      <c r="J68" s="27">
        <f>J66-J67</f>
        <v>258</v>
      </c>
      <c r="L68" s="6" t="s">
        <v>75</v>
      </c>
      <c r="M68" s="33">
        <v>0.04</v>
      </c>
      <c r="N68" s="2">
        <v>876</v>
      </c>
      <c r="O68" s="2">
        <v>583</v>
      </c>
      <c r="P68" s="2">
        <v>391</v>
      </c>
    </row>
    <row r="69" spans="1:16" ht="18" thickBot="1" x14ac:dyDescent="0.25">
      <c r="A69" s="6" t="s">
        <v>67</v>
      </c>
      <c r="B69" s="27">
        <f>B60</f>
        <v>10</v>
      </c>
      <c r="C69" s="27">
        <f t="shared" ref="C69:D69" si="5">C60</f>
        <v>4</v>
      </c>
      <c r="D69" s="27">
        <f t="shared" si="5"/>
        <v>7</v>
      </c>
      <c r="E69" s="27">
        <f t="shared" ref="D69:I69" si="6">E60</f>
        <v>4</v>
      </c>
      <c r="F69" s="27">
        <f t="shared" si="6"/>
        <v>4</v>
      </c>
      <c r="G69" s="27">
        <f t="shared" si="6"/>
        <v>9</v>
      </c>
      <c r="H69" s="27">
        <f t="shared" si="6"/>
        <v>12</v>
      </c>
      <c r="I69" s="27">
        <f t="shared" si="6"/>
        <v>15</v>
      </c>
      <c r="J69" s="27">
        <f>J60</f>
        <v>25</v>
      </c>
    </row>
    <row r="70" spans="1:16" ht="18" thickBot="1" x14ac:dyDescent="0.25">
      <c r="A70" s="6" t="s">
        <v>68</v>
      </c>
      <c r="B70" s="27">
        <f>B68-B69</f>
        <v>-140</v>
      </c>
      <c r="C70" s="27">
        <f t="shared" ref="C70:J70" si="7">C68-C69</f>
        <v>-104</v>
      </c>
      <c r="D70" s="27">
        <f t="shared" si="7"/>
        <v>-57</v>
      </c>
      <c r="E70" s="27">
        <f t="shared" si="7"/>
        <v>-29</v>
      </c>
      <c r="F70" s="27">
        <f t="shared" si="7"/>
        <v>-4</v>
      </c>
      <c r="G70" s="27">
        <f t="shared" si="7"/>
        <v>61</v>
      </c>
      <c r="H70" s="27">
        <f t="shared" si="7"/>
        <v>138</v>
      </c>
      <c r="I70" s="27">
        <f t="shared" si="7"/>
        <v>209</v>
      </c>
      <c r="J70" s="27">
        <f t="shared" si="7"/>
        <v>233</v>
      </c>
    </row>
    <row r="71" spans="1:16" ht="17" thickBot="1" x14ac:dyDescent="0.25">
      <c r="A71" s="6"/>
    </row>
    <row r="72" spans="1:16" ht="18" thickBot="1" x14ac:dyDescent="0.25">
      <c r="A72" s="6" t="s">
        <v>69</v>
      </c>
      <c r="B72" s="31">
        <f>1/(1+B42)</f>
        <v>0.86956521739130443</v>
      </c>
      <c r="C72" s="31">
        <f>1/(1+B42)^2</f>
        <v>0.7561436672967865</v>
      </c>
      <c r="D72" s="31">
        <f>1/(1+B42)^3</f>
        <v>0.65751623243198831</v>
      </c>
      <c r="E72" s="31">
        <f>1/(1+B42)^4</f>
        <v>0.57175324559303342</v>
      </c>
      <c r="F72" s="31">
        <f>1/(1+B42)^5</f>
        <v>0.49717673529828987</v>
      </c>
      <c r="G72" s="31">
        <f>1/(1+B42)^6</f>
        <v>0.43232759591155645</v>
      </c>
      <c r="H72" s="31">
        <f>1/(1+B42)^7</f>
        <v>0.37593703992309269</v>
      </c>
      <c r="I72" s="31">
        <f>1/(1+B42)^8</f>
        <v>0.32690177384616753</v>
      </c>
      <c r="J72" s="31">
        <f>1/(1+B42)^9</f>
        <v>0.28426241204014574</v>
      </c>
    </row>
    <row r="73" spans="1:16" ht="18" thickBot="1" x14ac:dyDescent="0.25">
      <c r="A73" s="6" t="s">
        <v>70</v>
      </c>
      <c r="B73" s="27">
        <f>B70*B72</f>
        <v>-121.73913043478262</v>
      </c>
      <c r="C73" s="27">
        <f t="shared" ref="C73:I73" si="8">C70*C72</f>
        <v>-78.638941398865796</v>
      </c>
      <c r="D73" s="27">
        <f>D70*D72</f>
        <v>-37.478425248623331</v>
      </c>
      <c r="E73" s="27">
        <f>E70*E72</f>
        <v>-16.58084412219797</v>
      </c>
      <c r="F73" s="27">
        <f t="shared" si="8"/>
        <v>-1.9887069411931595</v>
      </c>
      <c r="G73" s="27">
        <f t="shared" si="8"/>
        <v>26.371983350604943</v>
      </c>
      <c r="H73" s="27">
        <f t="shared" si="8"/>
        <v>51.879311509386788</v>
      </c>
      <c r="I73" s="27">
        <f t="shared" si="8"/>
        <v>68.322470733849016</v>
      </c>
      <c r="J73" s="27">
        <f>J70*J72</f>
        <v>66.233142005353955</v>
      </c>
    </row>
    <row r="74" spans="1:16" ht="17" thickBot="1" x14ac:dyDescent="0.25">
      <c r="A74" s="6"/>
    </row>
    <row r="75" spans="1:16" ht="18" thickBot="1" x14ac:dyDescent="0.25">
      <c r="A75" s="6" t="s">
        <v>71</v>
      </c>
      <c r="B75" s="6" t="s">
        <v>72</v>
      </c>
      <c r="C75" s="27">
        <f>J70*(1+B46)/(B42-B46)</f>
        <v>1999.9166666666667</v>
      </c>
    </row>
    <row r="76" spans="1:16" ht="18" thickBot="1" x14ac:dyDescent="0.25">
      <c r="A76" s="6" t="s">
        <v>55</v>
      </c>
      <c r="B76" s="6"/>
      <c r="C76" s="27">
        <f xml:space="preserve"> J72*C75</f>
        <v>568.50113554595487</v>
      </c>
    </row>
    <row r="77" spans="1:16" ht="18" thickBot="1" x14ac:dyDescent="0.25">
      <c r="A77" s="6" t="s">
        <v>54</v>
      </c>
      <c r="B77" s="6"/>
      <c r="C77" s="27">
        <f>SUM(B73:J73)</f>
        <v>-43.619140546468188</v>
      </c>
    </row>
    <row r="78" spans="1:16" ht="18" thickBot="1" x14ac:dyDescent="0.25">
      <c r="A78" s="6" t="s">
        <v>56</v>
      </c>
      <c r="B78" s="6"/>
      <c r="C78" s="27">
        <f>C76+C77</f>
        <v>524.88199499948666</v>
      </c>
    </row>
  </sheetData>
  <mergeCells count="1">
    <mergeCell ref="A57:C57"/>
  </mergeCells>
  <pageMargins left="0.7" right="0.7" top="0.75" bottom="0.75" header="0.3" footer="0.3"/>
  <ignoredErrors>
    <ignoredError sqref="B6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08823-8C5F-3544-B174-7FBC222265C7}">
  <dimension ref="A1:K15"/>
  <sheetViews>
    <sheetView workbookViewId="0">
      <selection activeCell="K11" sqref="K11"/>
    </sheetView>
  </sheetViews>
  <sheetFormatPr baseColWidth="10" defaultRowHeight="16" x14ac:dyDescent="0.2"/>
  <sheetData>
    <row r="1" spans="1:11" x14ac:dyDescent="0.2">
      <c r="A1" t="s">
        <v>76</v>
      </c>
      <c r="D1">
        <v>5</v>
      </c>
      <c r="E1" t="s">
        <v>77</v>
      </c>
    </row>
    <row r="2" spans="1:11" x14ac:dyDescent="0.2">
      <c r="A2" t="s">
        <v>78</v>
      </c>
      <c r="D2" s="28">
        <v>20</v>
      </c>
      <c r="H2" t="s">
        <v>83</v>
      </c>
      <c r="K2" s="30">
        <f>(D2*D3)/(1+D5)^D1</f>
        <v>47.407407407407405</v>
      </c>
    </row>
    <row r="3" spans="1:11" x14ac:dyDescent="0.2">
      <c r="A3" t="s">
        <v>79</v>
      </c>
      <c r="D3">
        <v>18</v>
      </c>
      <c r="H3" t="s">
        <v>84</v>
      </c>
      <c r="K3">
        <f>D6/K2</f>
        <v>0.10546875</v>
      </c>
    </row>
    <row r="5" spans="1:11" x14ac:dyDescent="0.2">
      <c r="A5" t="s">
        <v>80</v>
      </c>
      <c r="D5" s="17">
        <v>0.5</v>
      </c>
    </row>
    <row r="6" spans="1:11" x14ac:dyDescent="0.2">
      <c r="A6" t="s">
        <v>85</v>
      </c>
      <c r="D6" s="28">
        <v>5</v>
      </c>
    </row>
    <row r="7" spans="1:11" x14ac:dyDescent="0.2">
      <c r="A7" t="s">
        <v>81</v>
      </c>
      <c r="D7" t="s">
        <v>82</v>
      </c>
      <c r="I7" s="17"/>
    </row>
    <row r="9" spans="1:11" x14ac:dyDescent="0.2">
      <c r="A9" s="34" t="s">
        <v>86</v>
      </c>
      <c r="B9" s="14"/>
      <c r="C9" s="14"/>
      <c r="D9" s="14"/>
      <c r="E9" s="14"/>
      <c r="F9" s="14"/>
    </row>
    <row r="10" spans="1:11" x14ac:dyDescent="0.2">
      <c r="A10" t="s">
        <v>88</v>
      </c>
      <c r="D10" s="7">
        <v>500000</v>
      </c>
    </row>
    <row r="11" spans="1:11" x14ac:dyDescent="0.2">
      <c r="H11" t="s">
        <v>87</v>
      </c>
      <c r="K11">
        <f>D10/(1-K3)-D10</f>
        <v>58951.965065502212</v>
      </c>
    </row>
    <row r="13" spans="1:11" x14ac:dyDescent="0.2">
      <c r="A13" s="34" t="s">
        <v>89</v>
      </c>
      <c r="B13" s="14"/>
      <c r="C13" s="14"/>
      <c r="D13" s="14"/>
      <c r="E13" s="14"/>
      <c r="F13" s="14"/>
    </row>
    <row r="15" spans="1:11" x14ac:dyDescent="0.2">
      <c r="H15" t="s">
        <v>90</v>
      </c>
      <c r="K15" s="30">
        <f>D6*1000000/K11</f>
        <v>84.814814814814767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189F0-FAF4-9547-B96A-4D396A2CD62F}">
  <dimension ref="A1:S110"/>
  <sheetViews>
    <sheetView tabSelected="1" topLeftCell="A40" workbookViewId="0">
      <selection activeCell="K44" sqref="K44"/>
    </sheetView>
  </sheetViews>
  <sheetFormatPr baseColWidth="10" defaultRowHeight="16" x14ac:dyDescent="0.2"/>
  <cols>
    <col min="5" max="5" width="19" customWidth="1"/>
    <col min="9" max="9" width="11.1640625" bestFit="1" customWidth="1"/>
    <col min="15" max="15" width="13.33203125" bestFit="1" customWidth="1"/>
  </cols>
  <sheetData>
    <row r="1" spans="1:17" ht="18" x14ac:dyDescent="0.2">
      <c r="G1" s="38" t="s">
        <v>129</v>
      </c>
      <c r="I1" s="35" t="s">
        <v>130</v>
      </c>
    </row>
    <row r="2" spans="1:17" x14ac:dyDescent="0.2">
      <c r="G2" t="s">
        <v>154</v>
      </c>
      <c r="I2" s="35"/>
    </row>
    <row r="3" spans="1:17" x14ac:dyDescent="0.2">
      <c r="G3" t="s">
        <v>155</v>
      </c>
      <c r="I3" s="35"/>
    </row>
    <row r="4" spans="1:17" x14ac:dyDescent="0.2">
      <c r="A4" t="s">
        <v>127</v>
      </c>
      <c r="D4" s="29">
        <v>2150</v>
      </c>
      <c r="I4">
        <v>2018</v>
      </c>
      <c r="J4">
        <v>2019</v>
      </c>
      <c r="K4">
        <v>2020</v>
      </c>
      <c r="L4">
        <v>2021</v>
      </c>
      <c r="M4">
        <v>2022</v>
      </c>
      <c r="N4">
        <v>2023</v>
      </c>
      <c r="O4">
        <v>2024</v>
      </c>
    </row>
    <row r="5" spans="1:17" x14ac:dyDescent="0.2">
      <c r="A5" t="s">
        <v>91</v>
      </c>
      <c r="D5" s="17">
        <v>0.03</v>
      </c>
      <c r="G5" t="s">
        <v>94</v>
      </c>
      <c r="I5">
        <v>1</v>
      </c>
      <c r="J5" s="17">
        <f>(1+D5)</f>
        <v>1.03</v>
      </c>
      <c r="K5">
        <f>(1+D5)^2</f>
        <v>1.0609</v>
      </c>
      <c r="L5">
        <f>(1+D5)^3</f>
        <v>1.092727</v>
      </c>
      <c r="M5">
        <f>(1+D5)^4</f>
        <v>1.1255088099999999</v>
      </c>
      <c r="N5">
        <f>(1+D5)^5</f>
        <v>1.1592740742999998</v>
      </c>
      <c r="O5" s="57">
        <f xml:space="preserve"> (1+D6)</f>
        <v>1.0049999999999999</v>
      </c>
      <c r="Q5" s="35" t="s">
        <v>102</v>
      </c>
    </row>
    <row r="6" spans="1:17" x14ac:dyDescent="0.2">
      <c r="A6" t="s">
        <v>101</v>
      </c>
      <c r="D6" s="19">
        <v>5.0000000000000001E-3</v>
      </c>
      <c r="G6" t="s">
        <v>95</v>
      </c>
      <c r="I6" s="28">
        <f>I5*D4</f>
        <v>2150</v>
      </c>
      <c r="J6" s="28">
        <f>J5*D4</f>
        <v>2214.5</v>
      </c>
      <c r="K6" s="28">
        <f>K5*D4</f>
        <v>2280.9349999999999</v>
      </c>
      <c r="L6" s="28">
        <f>L5*D4</f>
        <v>2349.3630499999999</v>
      </c>
      <c r="M6" s="28">
        <f>M5*D4</f>
        <v>2419.8439414999998</v>
      </c>
      <c r="N6" s="28">
        <f>N5*D4</f>
        <v>2492.4392597449996</v>
      </c>
      <c r="O6" s="28">
        <f>O5*N6</f>
        <v>2504.9014560437245</v>
      </c>
      <c r="Q6" s="35" t="s">
        <v>103</v>
      </c>
    </row>
    <row r="7" spans="1:17" x14ac:dyDescent="0.2">
      <c r="A7" t="s">
        <v>93</v>
      </c>
      <c r="D7" s="19">
        <v>6.1199999999999997E-2</v>
      </c>
      <c r="G7" t="s">
        <v>96</v>
      </c>
      <c r="I7">
        <v>1</v>
      </c>
      <c r="J7">
        <f>1/(1+D7)</f>
        <v>0.94232943837165484</v>
      </c>
      <c r="K7">
        <f>1/(1+D7)^2</f>
        <v>0.88798477042183832</v>
      </c>
      <c r="L7">
        <f>1/(1+D7)^3</f>
        <v>0.83677418999419373</v>
      </c>
      <c r="M7">
        <f>1/(1+D7)^4</f>
        <v>0.78851695250112486</v>
      </c>
      <c r="N7">
        <f>1/(1+D7)^5</f>
        <v>0.74304273699691381</v>
      </c>
    </row>
    <row r="8" spans="1:17" x14ac:dyDescent="0.2">
      <c r="A8" t="s">
        <v>100</v>
      </c>
      <c r="D8" s="19">
        <v>4.2500000000000003E-2</v>
      </c>
      <c r="G8" t="s">
        <v>97</v>
      </c>
      <c r="I8" s="28">
        <f>I6*I7</f>
        <v>2150</v>
      </c>
      <c r="J8" s="30">
        <f>J6*J7</f>
        <v>2086.7885412740297</v>
      </c>
      <c r="K8" s="28">
        <f t="shared" ref="K8:M8" si="0">K6*K7</f>
        <v>2025.4355423221357</v>
      </c>
      <c r="L8" s="28">
        <f t="shared" si="0"/>
        <v>1965.8863631660383</v>
      </c>
      <c r="M8" s="28">
        <f t="shared" si="0"/>
        <v>1908.08797027989</v>
      </c>
      <c r="N8" s="30">
        <f>N6*N7</f>
        <v>1851.9888893594864</v>
      </c>
    </row>
    <row r="9" spans="1:17" x14ac:dyDescent="0.2">
      <c r="I9" s="28"/>
      <c r="J9" s="28"/>
      <c r="K9" s="28"/>
    </row>
    <row r="10" spans="1:17" x14ac:dyDescent="0.2">
      <c r="I10" s="28"/>
      <c r="J10" s="28"/>
      <c r="K10" s="28"/>
    </row>
    <row r="11" spans="1:17" x14ac:dyDescent="0.2">
      <c r="I11" s="28"/>
      <c r="J11" s="28"/>
      <c r="K11" s="28"/>
    </row>
    <row r="13" spans="1:17" x14ac:dyDescent="0.2">
      <c r="G13" t="s">
        <v>98</v>
      </c>
      <c r="I13" s="30">
        <f>N6*(1+D6)/(D8-D6)</f>
        <v>66797.372161165971</v>
      </c>
    </row>
    <row r="14" spans="1:17" x14ac:dyDescent="0.2">
      <c r="G14" t="s">
        <v>153</v>
      </c>
      <c r="I14" s="30">
        <f>I13*N7</f>
        <v>49633.30223483422</v>
      </c>
      <c r="O14" s="30">
        <f>O13*T7</f>
        <v>0</v>
      </c>
    </row>
    <row r="15" spans="1:17" x14ac:dyDescent="0.2">
      <c r="G15" t="s">
        <v>99</v>
      </c>
      <c r="I15" s="30">
        <f>SUM(J8:N8)+I14</f>
        <v>59471.489541235802</v>
      </c>
      <c r="O15" s="30">
        <f>SUM(P8:T8)+O14</f>
        <v>0</v>
      </c>
    </row>
    <row r="18" spans="1:14" ht="18" x14ac:dyDescent="0.2">
      <c r="A18" s="36" t="s">
        <v>104</v>
      </c>
      <c r="B18" s="36"/>
      <c r="C18" s="36"/>
      <c r="D18" s="36"/>
      <c r="E18" s="36"/>
      <c r="F18" s="36"/>
      <c r="G18" s="38" t="s">
        <v>128</v>
      </c>
      <c r="I18" s="35" t="s">
        <v>130</v>
      </c>
    </row>
    <row r="19" spans="1:14" x14ac:dyDescent="0.2">
      <c r="A19" t="s">
        <v>105</v>
      </c>
      <c r="C19">
        <v>8.1199999999999992</v>
      </c>
      <c r="G19" s="35" t="s">
        <v>157</v>
      </c>
      <c r="H19" s="35" t="s">
        <v>158</v>
      </c>
    </row>
    <row r="20" spans="1:14" x14ac:dyDescent="0.2">
      <c r="A20" t="s">
        <v>106</v>
      </c>
      <c r="C20" s="28">
        <v>12</v>
      </c>
      <c r="I20" t="s">
        <v>112</v>
      </c>
    </row>
    <row r="21" spans="1:14" x14ac:dyDescent="0.2">
      <c r="A21" t="s">
        <v>107</v>
      </c>
      <c r="C21" s="28">
        <v>14</v>
      </c>
      <c r="I21" t="s">
        <v>98</v>
      </c>
      <c r="K21" s="30"/>
      <c r="M21" s="30">
        <f>C22*K26</f>
        <v>83.25</v>
      </c>
    </row>
    <row r="22" spans="1:14" x14ac:dyDescent="0.2">
      <c r="A22" t="s">
        <v>108</v>
      </c>
      <c r="C22">
        <v>9</v>
      </c>
      <c r="I22" t="s">
        <v>200</v>
      </c>
      <c r="M22" s="30">
        <f>K26*C22/(1+C23)^3</f>
        <v>20.324707031249996</v>
      </c>
    </row>
    <row r="23" spans="1:14" x14ac:dyDescent="0.2">
      <c r="A23" t="s">
        <v>109</v>
      </c>
      <c r="C23" s="17">
        <v>0.6</v>
      </c>
      <c r="I23" t="s">
        <v>81</v>
      </c>
      <c r="M23">
        <f>C26/M22</f>
        <v>0.19680480480480483</v>
      </c>
    </row>
    <row r="24" spans="1:14" x14ac:dyDescent="0.2">
      <c r="A24" t="s">
        <v>110</v>
      </c>
      <c r="C24" s="17">
        <v>0.21</v>
      </c>
    </row>
    <row r="25" spans="1:14" x14ac:dyDescent="0.2">
      <c r="A25" t="s">
        <v>88</v>
      </c>
      <c r="C25" s="37">
        <v>1.75</v>
      </c>
      <c r="D25">
        <f>C25*1000000</f>
        <v>1750000</v>
      </c>
      <c r="I25">
        <v>2020</v>
      </c>
      <c r="J25">
        <v>2021</v>
      </c>
      <c r="K25">
        <v>2022</v>
      </c>
    </row>
    <row r="26" spans="1:14" x14ac:dyDescent="0.2">
      <c r="A26" t="s">
        <v>85</v>
      </c>
      <c r="C26" s="28">
        <v>4</v>
      </c>
      <c r="H26" t="s">
        <v>156</v>
      </c>
      <c r="I26" s="30">
        <v>3.5</v>
      </c>
      <c r="J26" s="30">
        <v>4.75</v>
      </c>
      <c r="K26" s="30">
        <v>9.25</v>
      </c>
      <c r="L26" s="60">
        <f>K26*(1+C24)</f>
        <v>11.192499999999999</v>
      </c>
    </row>
    <row r="27" spans="1:14" x14ac:dyDescent="0.2">
      <c r="A27" t="s">
        <v>111</v>
      </c>
      <c r="C27" t="s">
        <v>82</v>
      </c>
      <c r="I27" s="30"/>
      <c r="J27" s="30"/>
      <c r="K27" s="30"/>
    </row>
    <row r="30" spans="1:14" x14ac:dyDescent="0.2">
      <c r="A30" s="36" t="s">
        <v>113</v>
      </c>
      <c r="B30" s="36"/>
      <c r="C30" s="36"/>
      <c r="D30" s="36"/>
      <c r="E30" s="36"/>
      <c r="F30" s="36"/>
      <c r="I30" s="13" t="s">
        <v>122</v>
      </c>
      <c r="J30" s="13"/>
      <c r="K30" s="13"/>
      <c r="L30" s="60">
        <f>C31/(1+C23)^3</f>
        <v>5.7373046874999982</v>
      </c>
      <c r="M30" s="35" t="s">
        <v>159</v>
      </c>
    </row>
    <row r="31" spans="1:14" x14ac:dyDescent="0.2">
      <c r="A31" t="s">
        <v>27</v>
      </c>
      <c r="C31" s="30">
        <v>23.5</v>
      </c>
      <c r="I31" t="s">
        <v>81</v>
      </c>
      <c r="K31">
        <f>C26/C31</f>
        <v>0.1702127659574468</v>
      </c>
      <c r="L31" s="13">
        <f>C26/L30</f>
        <v>0.69719148936170239</v>
      </c>
    </row>
    <row r="32" spans="1:14" x14ac:dyDescent="0.2">
      <c r="I32" t="s">
        <v>87</v>
      </c>
      <c r="K32">
        <f>D25/(1-K31) -D25</f>
        <v>358974.358974359</v>
      </c>
      <c r="L32" s="13">
        <f>D25/(1-L31)-D25</f>
        <v>4029229.9044407019</v>
      </c>
      <c r="N32">
        <f>D25*K31/(1-K31)</f>
        <v>358974.358974359</v>
      </c>
    </row>
    <row r="33" spans="1:15" x14ac:dyDescent="0.2">
      <c r="I33" t="s">
        <v>90</v>
      </c>
      <c r="K33" s="30">
        <f>C26*1000000/K32</f>
        <v>11.142857142857142</v>
      </c>
      <c r="L33" s="60">
        <f>C26*1000000/L32</f>
        <v>0.99274553571428448</v>
      </c>
    </row>
    <row r="35" spans="1:15" x14ac:dyDescent="0.2">
      <c r="A35" s="36" t="s">
        <v>114</v>
      </c>
      <c r="B35" s="36"/>
      <c r="C35" s="36"/>
      <c r="D35" s="36"/>
      <c r="E35" s="36"/>
      <c r="F35" s="36"/>
    </row>
    <row r="36" spans="1:15" x14ac:dyDescent="0.2">
      <c r="A36" t="s">
        <v>115</v>
      </c>
      <c r="C36" s="17">
        <v>0.6</v>
      </c>
    </row>
    <row r="37" spans="1:15" x14ac:dyDescent="0.2">
      <c r="A37" t="s">
        <v>116</v>
      </c>
      <c r="C37" s="28">
        <v>31</v>
      </c>
      <c r="I37" s="13" t="s">
        <v>122</v>
      </c>
      <c r="J37" s="13"/>
      <c r="K37" s="60">
        <f>C37/(1+C36)^3</f>
        <v>7.5683593749999982</v>
      </c>
    </row>
    <row r="38" spans="1:15" x14ac:dyDescent="0.2">
      <c r="A38" t="s">
        <v>118</v>
      </c>
      <c r="C38" s="17">
        <v>0.1</v>
      </c>
      <c r="I38" t="s">
        <v>81</v>
      </c>
      <c r="K38">
        <f>C26/C37</f>
        <v>0.12903225806451613</v>
      </c>
    </row>
    <row r="39" spans="1:15" x14ac:dyDescent="0.2">
      <c r="A39" t="s">
        <v>117</v>
      </c>
      <c r="C39" s="30">
        <v>3.25</v>
      </c>
    </row>
    <row r="40" spans="1:15" x14ac:dyDescent="0.2">
      <c r="A40" t="s">
        <v>119</v>
      </c>
      <c r="C40" s="17">
        <v>0.05</v>
      </c>
      <c r="I40" t="s">
        <v>123</v>
      </c>
      <c r="K40">
        <f>1/(1+C38)</f>
        <v>0.90909090909090906</v>
      </c>
    </row>
    <row r="41" spans="1:15" x14ac:dyDescent="0.2">
      <c r="A41" t="s">
        <v>120</v>
      </c>
      <c r="C41" s="28">
        <v>3</v>
      </c>
      <c r="I41" t="s">
        <v>124</v>
      </c>
      <c r="K41">
        <f>1/(1+C40)</f>
        <v>0.95238095238095233</v>
      </c>
    </row>
    <row r="42" spans="1:15" x14ac:dyDescent="0.2">
      <c r="A42" t="s">
        <v>121</v>
      </c>
      <c r="C42" t="s">
        <v>82</v>
      </c>
      <c r="I42" t="s">
        <v>125</v>
      </c>
      <c r="K42">
        <f>K38/K40</f>
        <v>0.14193548387096774</v>
      </c>
    </row>
    <row r="43" spans="1:15" x14ac:dyDescent="0.2">
      <c r="I43" t="s">
        <v>126</v>
      </c>
      <c r="K43">
        <f>K42/K41</f>
        <v>0.14903225806451614</v>
      </c>
    </row>
    <row r="45" spans="1:15" x14ac:dyDescent="0.2">
      <c r="A45" s="36" t="s">
        <v>131</v>
      </c>
      <c r="B45" s="36"/>
      <c r="C45" s="36"/>
      <c r="D45" s="36"/>
      <c r="E45" s="36"/>
      <c r="F45" s="36"/>
    </row>
    <row r="46" spans="1:15" x14ac:dyDescent="0.2">
      <c r="A46" t="s">
        <v>140</v>
      </c>
      <c r="D46">
        <v>7</v>
      </c>
      <c r="H46" t="s">
        <v>145</v>
      </c>
    </row>
    <row r="47" spans="1:15" x14ac:dyDescent="0.2">
      <c r="A47" t="s">
        <v>141</v>
      </c>
      <c r="D47" s="19">
        <v>1.4999999999999999E-2</v>
      </c>
      <c r="H47" t="s">
        <v>147</v>
      </c>
    </row>
    <row r="48" spans="1:15" x14ac:dyDescent="0.2">
      <c r="A48" s="40">
        <v>2026</v>
      </c>
      <c r="C48" t="s">
        <v>142</v>
      </c>
      <c r="G48" s="39"/>
      <c r="I48" s="41" t="s">
        <v>132</v>
      </c>
      <c r="J48" s="41" t="s">
        <v>133</v>
      </c>
      <c r="K48" s="41" t="s">
        <v>134</v>
      </c>
      <c r="L48" s="41" t="s">
        <v>135</v>
      </c>
      <c r="M48" s="41" t="s">
        <v>136</v>
      </c>
      <c r="N48" s="41">
        <v>2025</v>
      </c>
      <c r="O48" s="41">
        <v>2026</v>
      </c>
    </row>
    <row r="49" spans="1:19" x14ac:dyDescent="0.2">
      <c r="A49" s="40">
        <v>2026</v>
      </c>
      <c r="C49" t="s">
        <v>143</v>
      </c>
      <c r="G49" s="39" t="s">
        <v>43</v>
      </c>
      <c r="I49" s="42">
        <v>-1000</v>
      </c>
      <c r="J49" s="42">
        <v>-900</v>
      </c>
      <c r="K49" s="42">
        <v>200</v>
      </c>
      <c r="L49" s="42">
        <v>1200</v>
      </c>
      <c r="M49" s="42">
        <v>2500</v>
      </c>
      <c r="N49" s="42">
        <v>3000</v>
      </c>
      <c r="O49" s="42">
        <v>3050</v>
      </c>
    </row>
    <row r="50" spans="1:19" x14ac:dyDescent="0.2">
      <c r="A50" t="s">
        <v>144</v>
      </c>
      <c r="D50" s="17">
        <v>0.21</v>
      </c>
      <c r="G50" s="39" t="s">
        <v>137</v>
      </c>
      <c r="I50" s="42">
        <v>550</v>
      </c>
      <c r="J50" s="42">
        <v>350</v>
      </c>
      <c r="K50" s="42">
        <v>200</v>
      </c>
      <c r="L50" s="42">
        <v>175</v>
      </c>
      <c r="M50" s="42">
        <v>175</v>
      </c>
      <c r="N50" s="42">
        <v>160</v>
      </c>
      <c r="O50" s="42">
        <v>150</v>
      </c>
    </row>
    <row r="51" spans="1:19" x14ac:dyDescent="0.2">
      <c r="A51" t="s">
        <v>93</v>
      </c>
      <c r="D51" s="19">
        <v>7.7499999999999999E-2</v>
      </c>
      <c r="G51" s="39" t="s">
        <v>138</v>
      </c>
      <c r="I51" s="42">
        <v>400</v>
      </c>
      <c r="J51" s="42">
        <v>300</v>
      </c>
      <c r="K51" s="42">
        <v>200</v>
      </c>
      <c r="L51" s="42">
        <v>100</v>
      </c>
      <c r="M51" s="42">
        <v>100</v>
      </c>
      <c r="N51" s="42">
        <v>-100</v>
      </c>
      <c r="O51" s="42">
        <v>-100</v>
      </c>
    </row>
    <row r="52" spans="1:19" x14ac:dyDescent="0.2">
      <c r="G52" s="39" t="s">
        <v>139</v>
      </c>
      <c r="I52" s="42">
        <v>40</v>
      </c>
      <c r="J52" s="42">
        <v>80</v>
      </c>
      <c r="K52" s="42">
        <v>125</v>
      </c>
      <c r="L52" s="42">
        <v>150</v>
      </c>
      <c r="M52" s="42">
        <v>150</v>
      </c>
      <c r="N52" s="42">
        <v>150</v>
      </c>
      <c r="O52" s="42">
        <v>150</v>
      </c>
    </row>
    <row r="54" spans="1:19" ht="17" thickBot="1" x14ac:dyDescent="0.25"/>
    <row r="55" spans="1:19" x14ac:dyDescent="0.2">
      <c r="C55" s="43"/>
      <c r="D55" s="44" t="s">
        <v>132</v>
      </c>
      <c r="E55" s="44" t="s">
        <v>133</v>
      </c>
      <c r="F55" s="44" t="s">
        <v>134</v>
      </c>
      <c r="G55" s="44" t="s">
        <v>135</v>
      </c>
      <c r="H55" s="44" t="s">
        <v>136</v>
      </c>
      <c r="I55" s="44">
        <v>2025</v>
      </c>
      <c r="J55" s="45">
        <v>2026</v>
      </c>
      <c r="L55" s="43"/>
      <c r="M55" s="58"/>
      <c r="N55" s="58"/>
      <c r="O55" s="61">
        <v>2027</v>
      </c>
      <c r="Q55" s="93">
        <v>2026</v>
      </c>
      <c r="S55" s="68" t="s">
        <v>167</v>
      </c>
    </row>
    <row r="56" spans="1:19" x14ac:dyDescent="0.2">
      <c r="C56" s="46" t="s">
        <v>43</v>
      </c>
      <c r="D56" s="47">
        <v>-1000</v>
      </c>
      <c r="E56" s="47">
        <v>-900</v>
      </c>
      <c r="F56" s="47">
        <v>200</v>
      </c>
      <c r="G56" s="47">
        <v>1200</v>
      </c>
      <c r="H56" s="47">
        <v>2500</v>
      </c>
      <c r="I56" s="47">
        <v>3000</v>
      </c>
      <c r="J56" s="48">
        <v>3050</v>
      </c>
      <c r="L56" s="46" t="s">
        <v>43</v>
      </c>
      <c r="M56" s="51"/>
      <c r="N56" s="51"/>
      <c r="O56" s="62">
        <f>J56+J56*D47</f>
        <v>3095.75</v>
      </c>
      <c r="Q56" s="94">
        <f>J56</f>
        <v>3050</v>
      </c>
      <c r="S56" s="66"/>
    </row>
    <row r="57" spans="1:19" x14ac:dyDescent="0.2">
      <c r="C57" s="46" t="s">
        <v>58</v>
      </c>
      <c r="D57" s="47">
        <v>0</v>
      </c>
      <c r="E57" s="47">
        <v>0</v>
      </c>
      <c r="F57" s="49">
        <v>200</v>
      </c>
      <c r="G57" s="49">
        <f>G56</f>
        <v>1200</v>
      </c>
      <c r="H57" s="49">
        <f>G59</f>
        <v>500</v>
      </c>
      <c r="I57" s="49">
        <v>0</v>
      </c>
      <c r="J57" s="50">
        <v>0</v>
      </c>
      <c r="L57" s="46" t="s">
        <v>58</v>
      </c>
      <c r="M57" s="51"/>
      <c r="N57" s="51"/>
      <c r="O57" s="63">
        <v>0</v>
      </c>
      <c r="Q57" s="95">
        <v>0</v>
      </c>
      <c r="S57" s="69" t="s">
        <v>168</v>
      </c>
    </row>
    <row r="58" spans="1:19" x14ac:dyDescent="0.2">
      <c r="C58" s="46" t="s">
        <v>59</v>
      </c>
      <c r="D58" s="49">
        <f>-D56</f>
        <v>1000</v>
      </c>
      <c r="E58" s="49">
        <f>-E56</f>
        <v>900</v>
      </c>
      <c r="F58" s="49">
        <v>0</v>
      </c>
      <c r="G58" s="49">
        <v>0</v>
      </c>
      <c r="H58" s="49">
        <v>0</v>
      </c>
      <c r="I58" s="49">
        <v>0</v>
      </c>
      <c r="J58" s="50">
        <v>0</v>
      </c>
      <c r="L58" s="46" t="s">
        <v>59</v>
      </c>
      <c r="M58" s="51"/>
      <c r="N58" s="51"/>
      <c r="O58" s="63">
        <v>0</v>
      </c>
      <c r="Q58" s="95">
        <v>0</v>
      </c>
      <c r="S58" s="66"/>
    </row>
    <row r="59" spans="1:19" x14ac:dyDescent="0.2">
      <c r="C59" s="46" t="s">
        <v>65</v>
      </c>
      <c r="D59" s="49">
        <f>D58</f>
        <v>1000</v>
      </c>
      <c r="E59" s="49">
        <f>E58+D59</f>
        <v>1900</v>
      </c>
      <c r="F59" s="49">
        <f>E59-F57</f>
        <v>1700</v>
      </c>
      <c r="G59" s="49">
        <f>F59-G57</f>
        <v>500</v>
      </c>
      <c r="H59" s="49">
        <v>0</v>
      </c>
      <c r="I59" s="49">
        <v>0</v>
      </c>
      <c r="J59" s="50">
        <v>0</v>
      </c>
      <c r="L59" s="46" t="s">
        <v>65</v>
      </c>
      <c r="M59" s="51"/>
      <c r="N59" s="51"/>
      <c r="O59" s="63">
        <v>0</v>
      </c>
      <c r="Q59" s="95">
        <v>0</v>
      </c>
      <c r="S59" s="69" t="s">
        <v>169</v>
      </c>
    </row>
    <row r="60" spans="1:19" x14ac:dyDescent="0.2">
      <c r="C60" s="46" t="s">
        <v>60</v>
      </c>
      <c r="D60" s="47">
        <v>0</v>
      </c>
      <c r="E60" s="47">
        <v>0</v>
      </c>
      <c r="F60" s="47">
        <v>0</v>
      </c>
      <c r="G60" s="47">
        <v>0</v>
      </c>
      <c r="H60" s="49">
        <f>(H56-H57)*(D50)</f>
        <v>420</v>
      </c>
      <c r="I60" s="49">
        <f>I56*D50</f>
        <v>630</v>
      </c>
      <c r="J60" s="50">
        <f>J56*D50</f>
        <v>640.5</v>
      </c>
      <c r="L60" s="59" t="s">
        <v>110</v>
      </c>
      <c r="M60" s="51"/>
      <c r="N60" s="51"/>
      <c r="O60" s="62">
        <f>O56*D50</f>
        <v>650.10749999999996</v>
      </c>
      <c r="Q60" s="94">
        <f>Q56*D50</f>
        <v>640.5</v>
      </c>
      <c r="S60" s="66"/>
    </row>
    <row r="61" spans="1:19" x14ac:dyDescent="0.2">
      <c r="C61" s="46" t="s">
        <v>66</v>
      </c>
      <c r="D61" s="49">
        <f>D56-D60</f>
        <v>-1000</v>
      </c>
      <c r="E61" s="49">
        <f>E56-E60</f>
        <v>-900</v>
      </c>
      <c r="F61" s="49">
        <f t="shared" ref="F61:J61" si="1">F56-F60</f>
        <v>200</v>
      </c>
      <c r="G61" s="49">
        <f t="shared" si="1"/>
        <v>1200</v>
      </c>
      <c r="H61" s="49">
        <f t="shared" si="1"/>
        <v>2080</v>
      </c>
      <c r="I61" s="49">
        <f t="shared" si="1"/>
        <v>2370</v>
      </c>
      <c r="J61" s="50">
        <f t="shared" si="1"/>
        <v>2409.5</v>
      </c>
      <c r="L61" s="59" t="s">
        <v>66</v>
      </c>
      <c r="M61" s="51"/>
      <c r="N61" s="51"/>
      <c r="O61" s="62">
        <f>O56-O60</f>
        <v>2445.6424999999999</v>
      </c>
      <c r="Q61" s="94">
        <f>Q56-Q60</f>
        <v>2409.5</v>
      </c>
      <c r="S61" s="69" t="s">
        <v>170</v>
      </c>
    </row>
    <row r="62" spans="1:19" x14ac:dyDescent="0.2">
      <c r="C62" s="46"/>
      <c r="D62" s="51"/>
      <c r="E62" s="51"/>
      <c r="F62" s="51"/>
      <c r="G62" s="51"/>
      <c r="H62" s="51"/>
      <c r="I62" s="51"/>
      <c r="J62" s="52"/>
      <c r="L62" s="46"/>
      <c r="M62" s="51"/>
      <c r="N62" s="51"/>
      <c r="O62" s="63"/>
      <c r="Q62" s="95"/>
      <c r="S62" s="66"/>
    </row>
    <row r="63" spans="1:19" x14ac:dyDescent="0.2">
      <c r="C63" s="46" t="s">
        <v>137</v>
      </c>
      <c r="D63" s="49">
        <v>550</v>
      </c>
      <c r="E63" s="49">
        <v>350</v>
      </c>
      <c r="F63" s="49">
        <v>200</v>
      </c>
      <c r="G63" s="49">
        <v>175</v>
      </c>
      <c r="H63" s="49">
        <v>175</v>
      </c>
      <c r="I63" s="49">
        <v>160</v>
      </c>
      <c r="J63" s="50">
        <v>150</v>
      </c>
      <c r="L63" s="46" t="s">
        <v>137</v>
      </c>
      <c r="M63" s="51"/>
      <c r="N63" s="51"/>
      <c r="O63" s="63">
        <v>0</v>
      </c>
      <c r="Q63" s="95">
        <v>0</v>
      </c>
      <c r="S63" s="69" t="s">
        <v>171</v>
      </c>
    </row>
    <row r="64" spans="1:19" x14ac:dyDescent="0.2">
      <c r="C64" s="46" t="s">
        <v>138</v>
      </c>
      <c r="D64" s="49">
        <v>400</v>
      </c>
      <c r="E64" s="49">
        <v>300</v>
      </c>
      <c r="F64" s="49">
        <v>200</v>
      </c>
      <c r="G64" s="49">
        <v>100</v>
      </c>
      <c r="H64" s="49">
        <v>100</v>
      </c>
      <c r="I64" s="49">
        <v>-100</v>
      </c>
      <c r="J64" s="50">
        <v>-100</v>
      </c>
      <c r="L64" s="46" t="s">
        <v>138</v>
      </c>
      <c r="M64" s="51"/>
      <c r="N64" s="51"/>
      <c r="O64" s="63">
        <v>0</v>
      </c>
      <c r="Q64" s="95">
        <v>0</v>
      </c>
      <c r="S64" s="66"/>
    </row>
    <row r="65" spans="1:19" x14ac:dyDescent="0.2">
      <c r="C65" s="46" t="s">
        <v>139</v>
      </c>
      <c r="D65" s="49">
        <v>40</v>
      </c>
      <c r="E65" s="49">
        <v>80</v>
      </c>
      <c r="F65" s="49">
        <v>125</v>
      </c>
      <c r="G65" s="49">
        <v>150</v>
      </c>
      <c r="H65" s="49">
        <v>150</v>
      </c>
      <c r="I65" s="49">
        <v>150</v>
      </c>
      <c r="J65" s="50">
        <v>150</v>
      </c>
      <c r="L65" s="46" t="s">
        <v>139</v>
      </c>
      <c r="M65" s="51"/>
      <c r="N65" s="51"/>
      <c r="O65" s="63">
        <v>0</v>
      </c>
      <c r="Q65" s="95">
        <v>0</v>
      </c>
      <c r="S65" s="69" t="s">
        <v>172</v>
      </c>
    </row>
    <row r="66" spans="1:19" x14ac:dyDescent="0.2">
      <c r="C66" s="46"/>
      <c r="D66" s="51"/>
      <c r="E66" s="51"/>
      <c r="F66" s="51"/>
      <c r="G66" s="51"/>
      <c r="H66" s="51"/>
      <c r="I66" s="51"/>
      <c r="J66" s="52"/>
      <c r="L66" s="46"/>
      <c r="M66" s="51"/>
      <c r="N66" s="51"/>
      <c r="O66" s="63"/>
      <c r="Q66" s="95"/>
      <c r="S66" s="66"/>
    </row>
    <row r="67" spans="1:19" x14ac:dyDescent="0.2">
      <c r="C67" s="46" t="s">
        <v>146</v>
      </c>
      <c r="D67" s="49">
        <f>D61+D65-D63-D64</f>
        <v>-1910</v>
      </c>
      <c r="E67" s="49">
        <f t="shared" ref="E67:I67" si="2">E61+E65-E63-E64</f>
        <v>-1470</v>
      </c>
      <c r="F67" s="49">
        <f t="shared" si="2"/>
        <v>-75</v>
      </c>
      <c r="G67" s="49">
        <f t="shared" si="2"/>
        <v>1075</v>
      </c>
      <c r="H67" s="49">
        <f t="shared" si="2"/>
        <v>1955</v>
      </c>
      <c r="I67" s="49">
        <f t="shared" si="2"/>
        <v>2460</v>
      </c>
      <c r="J67" s="50">
        <f>J61+J65-J63-J64</f>
        <v>2509.5</v>
      </c>
      <c r="L67" s="46" t="s">
        <v>146</v>
      </c>
      <c r="M67" s="51"/>
      <c r="N67" s="51"/>
      <c r="O67" s="62">
        <f>O61-O63-O64+O65</f>
        <v>2445.6424999999999</v>
      </c>
      <c r="Q67" s="94">
        <f>Q61-Q63-Q64+Q65</f>
        <v>2409.5</v>
      </c>
      <c r="S67" s="69" t="s">
        <v>173</v>
      </c>
    </row>
    <row r="68" spans="1:19" x14ac:dyDescent="0.2">
      <c r="C68" s="46"/>
      <c r="D68" s="51"/>
      <c r="E68" s="51"/>
      <c r="F68" s="51"/>
      <c r="G68" s="51"/>
      <c r="H68" s="51"/>
      <c r="I68" s="51"/>
      <c r="J68" s="52"/>
      <c r="L68" s="46"/>
      <c r="M68" s="51"/>
      <c r="N68" s="51"/>
      <c r="O68" s="63"/>
      <c r="Q68" s="95"/>
      <c r="S68" s="66"/>
    </row>
    <row r="69" spans="1:19" x14ac:dyDescent="0.2">
      <c r="C69" s="46" t="s">
        <v>92</v>
      </c>
      <c r="D69" s="51">
        <f>1/(1+D51)^1</f>
        <v>0.92807424593967525</v>
      </c>
      <c r="E69" s="51">
        <f>1/(1+D51)^2</f>
        <v>0.86132180597649688</v>
      </c>
      <c r="F69" s="51">
        <f>1/(1+D51)^3</f>
        <v>0.79937058559303653</v>
      </c>
      <c r="G69" s="51">
        <f>1/(1+D51)^4</f>
        <v>0.74187525345061411</v>
      </c>
      <c r="H69" s="51">
        <f>1/(1+D51)^5</f>
        <v>0.68851531642748409</v>
      </c>
      <c r="I69" s="51">
        <f>1/(1+D51)^6</f>
        <v>0.6389933331113542</v>
      </c>
      <c r="J69" s="52">
        <f>1/(1+D51)^7</f>
        <v>0.59303325578779975</v>
      </c>
      <c r="L69" s="46" t="s">
        <v>92</v>
      </c>
      <c r="M69" s="51"/>
      <c r="N69" s="51"/>
      <c r="O69" s="63">
        <f>1/(1+D51)^8</f>
        <v>0.55037889168241283</v>
      </c>
      <c r="Q69" s="95">
        <f>1/(1+D51)^7</f>
        <v>0.59303325578779975</v>
      </c>
      <c r="S69" s="69" t="s">
        <v>174</v>
      </c>
    </row>
    <row r="70" spans="1:19" x14ac:dyDescent="0.2">
      <c r="C70" s="46" t="s">
        <v>148</v>
      </c>
      <c r="D70" s="49">
        <f>D67*D69</f>
        <v>-1772.6218097447797</v>
      </c>
      <c r="E70" s="49">
        <f t="shared" ref="E70:J70" si="3">E67*E69</f>
        <v>-1266.1430547854504</v>
      </c>
      <c r="F70" s="49">
        <f t="shared" si="3"/>
        <v>-59.952793919477742</v>
      </c>
      <c r="G70" s="49">
        <f t="shared" si="3"/>
        <v>797.51589745941021</v>
      </c>
      <c r="H70" s="49">
        <f t="shared" si="3"/>
        <v>1346.0474436157315</v>
      </c>
      <c r="I70" s="49">
        <f t="shared" si="3"/>
        <v>1571.9235994539313</v>
      </c>
      <c r="J70" s="50">
        <f t="shared" si="3"/>
        <v>1488.2169553994834</v>
      </c>
      <c r="L70" s="46" t="s">
        <v>148</v>
      </c>
      <c r="M70" s="51"/>
      <c r="N70" s="51"/>
      <c r="O70" s="62">
        <f>O67*O69</f>
        <v>1346.0300086014054</v>
      </c>
      <c r="Q70" s="94">
        <f>Q67*Q69</f>
        <v>1428.9136298207036</v>
      </c>
      <c r="S70" s="66"/>
    </row>
    <row r="71" spans="1:19" x14ac:dyDescent="0.2">
      <c r="C71" s="46"/>
      <c r="D71" s="51"/>
      <c r="E71" s="51"/>
      <c r="F71" s="51"/>
      <c r="G71" s="51"/>
      <c r="H71" s="51"/>
      <c r="I71" s="51"/>
      <c r="J71" s="52"/>
      <c r="L71" s="46"/>
      <c r="M71" s="51"/>
      <c r="N71" s="51"/>
      <c r="O71" s="63"/>
      <c r="Q71" s="95"/>
      <c r="S71" s="69" t="s">
        <v>175</v>
      </c>
    </row>
    <row r="72" spans="1:19" x14ac:dyDescent="0.2">
      <c r="C72" s="46" t="s">
        <v>71</v>
      </c>
      <c r="D72" s="51"/>
      <c r="E72" s="51" t="s">
        <v>72</v>
      </c>
      <c r="F72" s="51"/>
      <c r="G72" s="49">
        <f>J67*(1+D47)/(D51-D47)</f>
        <v>40754.28</v>
      </c>
      <c r="H72" s="51"/>
      <c r="I72" s="51"/>
      <c r="J72" s="52"/>
      <c r="L72" s="46" t="s">
        <v>152</v>
      </c>
      <c r="M72" s="51"/>
      <c r="N72" s="51"/>
      <c r="O72" s="63"/>
      <c r="Q72" s="95"/>
      <c r="S72" s="66"/>
    </row>
    <row r="73" spans="1:19" x14ac:dyDescent="0.2">
      <c r="C73" s="46" t="s">
        <v>149</v>
      </c>
      <c r="D73" s="51"/>
      <c r="E73" s="51"/>
      <c r="F73" s="51"/>
      <c r="G73" s="49">
        <f>G72*J69</f>
        <v>24168.643355687611</v>
      </c>
      <c r="H73" s="51"/>
      <c r="I73" s="51"/>
      <c r="J73" s="52"/>
      <c r="L73" s="46" t="s">
        <v>98</v>
      </c>
      <c r="M73" s="51" t="s">
        <v>72</v>
      </c>
      <c r="N73" s="51"/>
      <c r="O73" s="62">
        <f>O67*(1+D47)/(D51-D47)</f>
        <v>39717.234199999992</v>
      </c>
      <c r="Q73" s="94">
        <f>Q67*(1+D47)/(D51-D47)</f>
        <v>39130.28</v>
      </c>
      <c r="S73" s="69" t="s">
        <v>176</v>
      </c>
    </row>
    <row r="74" spans="1:19" x14ac:dyDescent="0.2">
      <c r="C74" s="46" t="s">
        <v>151</v>
      </c>
      <c r="D74" s="51"/>
      <c r="E74" s="51"/>
      <c r="F74" s="51"/>
      <c r="G74" s="49">
        <f>SUM(D70:J70)</f>
        <v>2104.9862374788481</v>
      </c>
      <c r="H74" s="51"/>
      <c r="I74" s="51"/>
      <c r="J74" s="52"/>
      <c r="L74" s="46" t="s">
        <v>149</v>
      </c>
      <c r="M74" s="51"/>
      <c r="N74" s="51"/>
      <c r="O74" s="62">
        <f>O73*O69</f>
        <v>21859.527339686818</v>
      </c>
      <c r="Q74" s="94">
        <f>Q73*Q69</f>
        <v>23205.557348288225</v>
      </c>
    </row>
    <row r="75" spans="1:19" ht="17" thickBot="1" x14ac:dyDescent="0.25">
      <c r="C75" s="53" t="s">
        <v>150</v>
      </c>
      <c r="D75" s="54"/>
      <c r="E75" s="54"/>
      <c r="F75" s="54"/>
      <c r="G75" s="55">
        <f>G73+G74</f>
        <v>26273.629593166457</v>
      </c>
      <c r="H75" s="54"/>
      <c r="I75" s="54"/>
      <c r="J75" s="56"/>
      <c r="L75" s="46" t="s">
        <v>151</v>
      </c>
      <c r="M75" s="51"/>
      <c r="N75" s="51"/>
      <c r="O75" s="62">
        <f>3000+O70</f>
        <v>4346.0300086014049</v>
      </c>
      <c r="Q75" s="94">
        <f>3000</f>
        <v>3000</v>
      </c>
    </row>
    <row r="76" spans="1:19" ht="17" thickBot="1" x14ac:dyDescent="0.25">
      <c r="J76" s="30"/>
      <c r="L76" s="53" t="s">
        <v>150</v>
      </c>
      <c r="M76" s="54"/>
      <c r="N76" s="54"/>
      <c r="O76" s="64">
        <f>O75+O74</f>
        <v>26205.557348288225</v>
      </c>
      <c r="Q76" s="96">
        <f>Q75+Q74</f>
        <v>26205.557348288225</v>
      </c>
    </row>
    <row r="77" spans="1:19" x14ac:dyDescent="0.2">
      <c r="Q77" s="30"/>
    </row>
    <row r="79" spans="1:19" x14ac:dyDescent="0.2">
      <c r="A79" s="36" t="s">
        <v>160</v>
      </c>
      <c r="B79" s="36"/>
      <c r="C79" s="36"/>
      <c r="D79" s="36"/>
      <c r="E79" s="36"/>
      <c r="F79" s="36"/>
    </row>
    <row r="80" spans="1:19" x14ac:dyDescent="0.2">
      <c r="A80" t="s">
        <v>161</v>
      </c>
      <c r="D80" s="17">
        <v>0.03</v>
      </c>
    </row>
    <row r="81" spans="1:14" x14ac:dyDescent="0.2">
      <c r="A81" t="s">
        <v>162</v>
      </c>
      <c r="C81" t="s">
        <v>163</v>
      </c>
      <c r="J81" s="65">
        <v>2018</v>
      </c>
      <c r="K81" s="65">
        <v>2019</v>
      </c>
      <c r="L81" s="65">
        <v>2020</v>
      </c>
      <c r="M81" s="65">
        <v>2021</v>
      </c>
      <c r="N81" s="65">
        <v>2022</v>
      </c>
    </row>
    <row r="82" spans="1:14" x14ac:dyDescent="0.2">
      <c r="A82" t="s">
        <v>162</v>
      </c>
      <c r="C82" t="s">
        <v>164</v>
      </c>
      <c r="H82" s="65" t="s">
        <v>43</v>
      </c>
      <c r="J82" s="67">
        <v>200</v>
      </c>
      <c r="K82" s="67">
        <v>1800</v>
      </c>
      <c r="L82" s="67">
        <v>2400</v>
      </c>
      <c r="M82" s="67">
        <v>3000</v>
      </c>
      <c r="N82" s="67">
        <v>4000</v>
      </c>
    </row>
    <row r="83" spans="1:14" x14ac:dyDescent="0.2">
      <c r="A83" t="s">
        <v>88</v>
      </c>
      <c r="D83" s="70">
        <v>1.2</v>
      </c>
      <c r="E83" t="s">
        <v>165</v>
      </c>
      <c r="H83" s="65" t="s">
        <v>137</v>
      </c>
      <c r="J83" s="67">
        <v>550</v>
      </c>
      <c r="K83" s="67">
        <v>350</v>
      </c>
      <c r="L83" s="67">
        <v>200</v>
      </c>
      <c r="M83" s="67">
        <v>150</v>
      </c>
      <c r="N83" s="67">
        <v>150</v>
      </c>
    </row>
    <row r="84" spans="1:14" x14ac:dyDescent="0.2">
      <c r="A84" t="s">
        <v>166</v>
      </c>
      <c r="D84" s="28">
        <v>100000</v>
      </c>
      <c r="H84" s="65" t="s">
        <v>138</v>
      </c>
      <c r="J84" s="67">
        <v>40</v>
      </c>
      <c r="K84" s="67">
        <v>45</v>
      </c>
      <c r="L84" s="67">
        <v>50</v>
      </c>
      <c r="M84" s="67">
        <v>10</v>
      </c>
      <c r="N84" s="67">
        <v>-30</v>
      </c>
    </row>
    <row r="85" spans="1:14" x14ac:dyDescent="0.2">
      <c r="A85" t="s">
        <v>144</v>
      </c>
      <c r="D85" s="17">
        <v>0.21</v>
      </c>
      <c r="H85" s="65" t="s">
        <v>139</v>
      </c>
      <c r="J85" s="67">
        <v>40</v>
      </c>
      <c r="K85" s="67">
        <v>80</v>
      </c>
      <c r="L85" s="67">
        <v>125</v>
      </c>
      <c r="M85" s="67">
        <v>150</v>
      </c>
      <c r="N85" s="67">
        <v>150</v>
      </c>
    </row>
    <row r="87" spans="1:14" x14ac:dyDescent="0.2">
      <c r="A87" t="s">
        <v>85</v>
      </c>
      <c r="D87" s="29">
        <v>500000</v>
      </c>
      <c r="E87">
        <v>500</v>
      </c>
    </row>
    <row r="88" spans="1:14" x14ac:dyDescent="0.2">
      <c r="A88" t="s">
        <v>109</v>
      </c>
      <c r="D88" s="17">
        <v>0.6</v>
      </c>
    </row>
    <row r="90" spans="1:14" ht="17" thickBot="1" x14ac:dyDescent="0.25"/>
    <row r="91" spans="1:14" x14ac:dyDescent="0.2">
      <c r="C91" s="43"/>
      <c r="D91" s="58"/>
      <c r="E91" s="76">
        <v>2018</v>
      </c>
      <c r="F91" s="76">
        <v>2019</v>
      </c>
      <c r="G91" s="76">
        <v>2020</v>
      </c>
      <c r="H91" s="76">
        <v>2021</v>
      </c>
      <c r="I91" s="77">
        <v>2022</v>
      </c>
    </row>
    <row r="92" spans="1:14" x14ac:dyDescent="0.2">
      <c r="C92" s="78" t="s">
        <v>43</v>
      </c>
      <c r="D92" s="51"/>
      <c r="E92" s="71">
        <v>200</v>
      </c>
      <c r="F92" s="71">
        <v>1800</v>
      </c>
      <c r="G92" s="71">
        <v>2400</v>
      </c>
      <c r="H92" s="71">
        <v>3000</v>
      </c>
      <c r="I92" s="79">
        <v>4000</v>
      </c>
    </row>
    <row r="93" spans="1:14" x14ac:dyDescent="0.2">
      <c r="C93" s="78" t="s">
        <v>156</v>
      </c>
      <c r="D93" s="51"/>
      <c r="E93" s="71">
        <f>E92-E92*D85</f>
        <v>158</v>
      </c>
      <c r="F93" s="71">
        <f>F92-F92*D85</f>
        <v>1422</v>
      </c>
      <c r="G93" s="71">
        <f>G92-G92*D85</f>
        <v>1896</v>
      </c>
      <c r="H93" s="71">
        <f>H92-H92*D85</f>
        <v>2370</v>
      </c>
      <c r="I93" s="79">
        <f>I92-I92*D85</f>
        <v>3160</v>
      </c>
    </row>
    <row r="94" spans="1:14" x14ac:dyDescent="0.2">
      <c r="C94" s="78" t="s">
        <v>137</v>
      </c>
      <c r="D94" s="51"/>
      <c r="E94" s="71">
        <v>550</v>
      </c>
      <c r="F94" s="71">
        <v>350</v>
      </c>
      <c r="G94" s="71">
        <v>200</v>
      </c>
      <c r="H94" s="71">
        <v>150</v>
      </c>
      <c r="I94" s="79">
        <v>150</v>
      </c>
    </row>
    <row r="95" spans="1:14" x14ac:dyDescent="0.2">
      <c r="C95" s="78" t="s">
        <v>138</v>
      </c>
      <c r="D95" s="51"/>
      <c r="E95" s="71">
        <v>40</v>
      </c>
      <c r="F95" s="71">
        <v>45</v>
      </c>
      <c r="G95" s="71">
        <v>50</v>
      </c>
      <c r="H95" s="71">
        <v>10</v>
      </c>
      <c r="I95" s="79">
        <v>-30</v>
      </c>
      <c r="M95">
        <v>-392</v>
      </c>
    </row>
    <row r="96" spans="1:14" x14ac:dyDescent="0.2">
      <c r="C96" s="78" t="s">
        <v>139</v>
      </c>
      <c r="D96" s="51"/>
      <c r="E96" s="71">
        <v>40</v>
      </c>
      <c r="F96" s="71">
        <v>80</v>
      </c>
      <c r="G96" s="71">
        <v>125</v>
      </c>
      <c r="H96" s="71">
        <v>150</v>
      </c>
      <c r="I96" s="79">
        <v>150</v>
      </c>
      <c r="M96">
        <v>691.87</v>
      </c>
    </row>
    <row r="97" spans="3:13" x14ac:dyDescent="0.2">
      <c r="C97" s="78"/>
      <c r="D97" s="51"/>
      <c r="E97" s="51"/>
      <c r="F97" s="51"/>
      <c r="G97" s="51"/>
      <c r="H97" s="51"/>
      <c r="I97" s="52"/>
      <c r="M97">
        <v>691.79700000000003</v>
      </c>
    </row>
    <row r="98" spans="3:13" x14ac:dyDescent="0.2">
      <c r="C98" s="78" t="s">
        <v>146</v>
      </c>
      <c r="D98" s="51"/>
      <c r="E98" s="72">
        <f>E93-E94-E95+E96</f>
        <v>-392</v>
      </c>
      <c r="F98" s="72">
        <f t="shared" ref="F98:I98" si="4">F93-F94-F95+F96</f>
        <v>1107</v>
      </c>
      <c r="G98" s="72">
        <f t="shared" si="4"/>
        <v>1771</v>
      </c>
      <c r="H98" s="72">
        <f t="shared" si="4"/>
        <v>2360</v>
      </c>
      <c r="I98" s="80">
        <f t="shared" si="4"/>
        <v>3190</v>
      </c>
      <c r="M98">
        <v>576.17200000000003</v>
      </c>
    </row>
    <row r="99" spans="3:13" x14ac:dyDescent="0.2">
      <c r="C99" s="46" t="s">
        <v>92</v>
      </c>
      <c r="D99" s="51"/>
      <c r="E99" s="73">
        <f>1/(1+D88)</f>
        <v>0.625</v>
      </c>
      <c r="F99" s="73">
        <f>1/(1+D88)^2</f>
        <v>0.39062499999999994</v>
      </c>
      <c r="G99" s="73">
        <f>1/(1+D88)^3</f>
        <v>0.24414062499999994</v>
      </c>
      <c r="H99" s="73">
        <f>1/(1+D88)^4</f>
        <v>0.15258789062499994</v>
      </c>
      <c r="I99" s="81">
        <f>1/(1+D88)^5</f>
        <v>9.5367431640624944E-2</v>
      </c>
      <c r="M99">
        <v>586.755</v>
      </c>
    </row>
    <row r="100" spans="3:13" x14ac:dyDescent="0.2">
      <c r="C100" s="46" t="s">
        <v>148</v>
      </c>
      <c r="D100" s="51"/>
      <c r="E100" s="51">
        <f>E98*E99</f>
        <v>-245</v>
      </c>
      <c r="F100" s="51">
        <f t="shared" ref="F100:G100" si="5">F98*F99</f>
        <v>432.42187499999994</v>
      </c>
      <c r="G100" s="51">
        <f t="shared" si="5"/>
        <v>432.37304687499989</v>
      </c>
      <c r="H100" s="51">
        <f>H98*H99</f>
        <v>360.10742187499989</v>
      </c>
      <c r="I100" s="52">
        <f>I98*I99</f>
        <v>304.22210693359358</v>
      </c>
      <c r="M100">
        <f>SUM(M95:M99)</f>
        <v>2154.5940000000001</v>
      </c>
    </row>
    <row r="101" spans="3:13" x14ac:dyDescent="0.2">
      <c r="C101" s="46"/>
      <c r="D101" s="51"/>
      <c r="E101" s="51"/>
      <c r="F101" s="51"/>
      <c r="G101" s="51"/>
      <c r="H101" s="51"/>
      <c r="I101" s="52"/>
      <c r="M101">
        <f>5764.39*(1+D80)/(D88-D80)</f>
        <v>10416.353859649125</v>
      </c>
    </row>
    <row r="102" spans="3:13" x14ac:dyDescent="0.2">
      <c r="C102" s="46" t="s">
        <v>71</v>
      </c>
      <c r="D102" s="51"/>
      <c r="E102" s="49">
        <f>I98*(1+D80)/(D88-D80)</f>
        <v>5764.3859649122815</v>
      </c>
      <c r="F102" s="51"/>
      <c r="G102" s="51"/>
      <c r="H102" s="51"/>
      <c r="I102" s="52"/>
    </row>
    <row r="103" spans="3:13" x14ac:dyDescent="0.2">
      <c r="C103" s="46" t="s">
        <v>149</v>
      </c>
      <c r="D103" s="51"/>
      <c r="E103" s="51">
        <f>E102*I99</f>
        <v>549.73468445894991</v>
      </c>
      <c r="F103" s="51"/>
      <c r="G103" s="51"/>
      <c r="H103" s="51"/>
      <c r="I103" s="52"/>
    </row>
    <row r="104" spans="3:13" x14ac:dyDescent="0.2">
      <c r="C104" s="46" t="s">
        <v>151</v>
      </c>
      <c r="D104" s="51"/>
      <c r="E104" s="51">
        <f>SUM(E100:I100)</f>
        <v>1284.1244506835933</v>
      </c>
      <c r="F104" s="51"/>
      <c r="G104" s="51"/>
      <c r="H104" s="51"/>
      <c r="I104" s="52"/>
    </row>
    <row r="105" spans="3:13" x14ac:dyDescent="0.2">
      <c r="C105" s="46" t="s">
        <v>150</v>
      </c>
      <c r="D105" s="51"/>
      <c r="E105" s="51">
        <f>E103+E104</f>
        <v>1833.8591351425432</v>
      </c>
      <c r="F105" s="51"/>
      <c r="G105" s="51"/>
      <c r="H105" s="51"/>
      <c r="I105" s="52"/>
    </row>
    <row r="106" spans="3:13" x14ac:dyDescent="0.2">
      <c r="C106" s="59" t="s">
        <v>81</v>
      </c>
      <c r="D106" s="51"/>
      <c r="E106" s="74">
        <f>E87/E105</f>
        <v>0.2726490767030128</v>
      </c>
      <c r="F106" s="51"/>
      <c r="G106" s="51"/>
      <c r="H106" s="51"/>
      <c r="I106" s="52"/>
    </row>
    <row r="107" spans="3:13" x14ac:dyDescent="0.2">
      <c r="C107" s="46" t="s">
        <v>87</v>
      </c>
      <c r="D107" s="51"/>
      <c r="E107" s="75">
        <f>D83*1000000/(1-E106)-(D83*1000000)</f>
        <v>449822.61184265208</v>
      </c>
      <c r="F107" s="51"/>
      <c r="G107" s="51"/>
      <c r="H107" s="51"/>
      <c r="I107" s="52"/>
    </row>
    <row r="108" spans="3:13" x14ac:dyDescent="0.2">
      <c r="C108" s="46" t="s">
        <v>90</v>
      </c>
      <c r="D108" s="51"/>
      <c r="E108" s="49">
        <f>D87/E107</f>
        <v>1.1115492792854531</v>
      </c>
      <c r="F108" s="51"/>
      <c r="G108" s="51"/>
      <c r="H108" s="51"/>
      <c r="I108" s="52"/>
    </row>
    <row r="109" spans="3:13" x14ac:dyDescent="0.2">
      <c r="C109" s="46" t="s">
        <v>177</v>
      </c>
      <c r="D109" s="51"/>
      <c r="E109" s="49">
        <f>D83*1000000*E108</f>
        <v>1333859.1351425438</v>
      </c>
      <c r="F109" s="51"/>
      <c r="G109" s="51"/>
      <c r="H109" s="51"/>
      <c r="I109" s="52"/>
    </row>
    <row r="110" spans="3:13" ht="17" thickBot="1" x14ac:dyDescent="0.25">
      <c r="C110" s="53" t="s">
        <v>178</v>
      </c>
      <c r="D110" s="54"/>
      <c r="E110" s="55">
        <f>E108*(E107+(D83*1000000))</f>
        <v>1833859.1351425438</v>
      </c>
      <c r="F110" s="54"/>
      <c r="G110" s="54"/>
      <c r="H110" s="54"/>
      <c r="I110" s="56"/>
    </row>
  </sheetData>
  <hyperlinks>
    <hyperlink ref="Q5" r:id="rId1" xr:uid="{2D94D14B-C8FC-294B-9263-5BD765780342}"/>
    <hyperlink ref="Q6" r:id="rId2" xr:uid="{5FD38003-1459-D347-8A28-BCE153F8E2A4}"/>
    <hyperlink ref="I1" r:id="rId3" xr:uid="{681A4C2C-B033-B745-8757-CBE1C27E8EEF}"/>
    <hyperlink ref="I18" r:id="rId4" xr:uid="{1CFE8362-179C-4043-81F8-8D8545CC1E2E}"/>
    <hyperlink ref="G19" r:id="rId5" xr:uid="{71B96232-D873-B442-8346-77C2D05D2CB0}"/>
    <hyperlink ref="H19" r:id="rId6" display="https://www.educba.com/ebit-vs-ebitda/" xr:uid="{045DCF6D-4169-1949-AF7F-58D01DF0B809}"/>
    <hyperlink ref="M30" r:id="rId7" xr:uid="{C2FA6B2C-DC1C-3D47-BBC1-96DEC7169691}"/>
  </hyperlinks>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course examples</vt:lpstr>
      <vt:lpstr>Self assessment</vt:lpstr>
      <vt:lpstr>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2019-07-09T12:16:04Z</dcterms:created>
  <dcterms:modified xsi:type="dcterms:W3CDTF">2019-07-31T11:45:17Z</dcterms:modified>
</cp:coreProperties>
</file>