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isharifi/Library/Containers/com.microsoft.Excel/Data/Desktop/"/>
    </mc:Choice>
  </mc:AlternateContent>
  <xr:revisionPtr revIDLastSave="0" documentId="13_ncr:1_{75105F79-93E6-9A44-9B61-F2E92C2EEC32}" xr6:coauthVersionLast="43" xr6:coauthVersionMax="43" xr10:uidLastSave="{00000000-0000-0000-0000-000000000000}"/>
  <bookViews>
    <workbookView xWindow="3300" yWindow="460" windowWidth="20160" windowHeight="14300" activeTab="1" xr2:uid="{0CFEF26E-82B5-AF4A-B7EF-12B53E759AA3}"/>
  </bookViews>
  <sheets>
    <sheet name="Sheet1" sheetId="1" r:id="rId1"/>
    <sheet name="Balance sheet" sheetId="2" r:id="rId2"/>
    <sheet name="income stat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2" l="1"/>
  <c r="L48" i="1" l="1"/>
  <c r="L46" i="1"/>
  <c r="L45" i="1"/>
  <c r="K50" i="1"/>
  <c r="K51" i="1"/>
  <c r="K52" i="1"/>
  <c r="L47" i="1"/>
  <c r="H45" i="1"/>
  <c r="M29" i="1"/>
  <c r="M28" i="1"/>
  <c r="M27" i="1"/>
  <c r="F26" i="1"/>
  <c r="N32" i="1"/>
  <c r="K28" i="1"/>
  <c r="D8" i="2"/>
  <c r="F6" i="1"/>
  <c r="F4" i="1"/>
  <c r="I20" i="2" l="1"/>
  <c r="I7" i="2"/>
  <c r="I9" i="2" s="1"/>
  <c r="I22" i="2" s="1"/>
  <c r="I27" i="2" s="1"/>
  <c r="D19" i="2"/>
  <c r="I25" i="2"/>
  <c r="D46" i="2"/>
  <c r="D37" i="2"/>
  <c r="D28" i="2"/>
  <c r="H48" i="1"/>
  <c r="H47" i="1"/>
  <c r="H46" i="1"/>
  <c r="F50" i="1" s="1"/>
  <c r="B62" i="1"/>
  <c r="B63" i="1" s="1"/>
  <c r="C64" i="1" s="1"/>
  <c r="F122" i="1"/>
  <c r="H115" i="1"/>
  <c r="H116" i="1" s="1"/>
  <c r="H118" i="1" s="1"/>
  <c r="H119" i="1" s="1"/>
  <c r="C122" i="1"/>
  <c r="G115" i="1" s="1"/>
  <c r="G116" i="1" s="1"/>
  <c r="G118" i="1" s="1"/>
  <c r="G119" i="1" s="1"/>
  <c r="C107" i="1"/>
  <c r="C108" i="1" s="1"/>
  <c r="C98" i="1"/>
  <c r="C97" i="1"/>
  <c r="C102" i="1"/>
  <c r="C104" i="1" s="1"/>
  <c r="C89" i="1"/>
  <c r="D89" i="1"/>
  <c r="E89" i="1"/>
  <c r="F89" i="1"/>
  <c r="B89" i="1"/>
  <c r="F88" i="1"/>
  <c r="E88" i="1"/>
  <c r="D88" i="1"/>
  <c r="C88" i="1"/>
  <c r="B88" i="1"/>
  <c r="F57" i="1"/>
  <c r="F56" i="1"/>
  <c r="F55" i="1"/>
  <c r="B68" i="1" s="1"/>
  <c r="B69" i="1" s="1"/>
  <c r="B70" i="1" s="1"/>
  <c r="F51" i="1"/>
  <c r="I34" i="1"/>
  <c r="I36" i="1" s="1"/>
  <c r="I37" i="1" s="1"/>
  <c r="I38" i="1" s="1"/>
  <c r="G33" i="1"/>
  <c r="C21" i="1"/>
  <c r="F15" i="1"/>
  <c r="D39" i="2" l="1"/>
  <c r="F41" i="2"/>
  <c r="F126" i="1"/>
  <c r="F127" i="1"/>
  <c r="F125" i="1"/>
  <c r="F124" i="1"/>
  <c r="F123" i="1"/>
  <c r="F52" i="1"/>
  <c r="F129" i="1" l="1"/>
</calcChain>
</file>

<file path=xl/sharedStrings.xml><?xml version="1.0" encoding="utf-8"?>
<sst xmlns="http://schemas.openxmlformats.org/spreadsheetml/2006/main" count="178" uniqueCount="160">
  <si>
    <t>price purchased</t>
  </si>
  <si>
    <t xml:space="preserve">frieght charges </t>
  </si>
  <si>
    <t>cost for building</t>
  </si>
  <si>
    <t xml:space="preserve">salvage </t>
  </si>
  <si>
    <t>year useful</t>
  </si>
  <si>
    <t>maintenance</t>
  </si>
  <si>
    <t>depreciation</t>
  </si>
  <si>
    <t>Q15</t>
  </si>
  <si>
    <t>Q22</t>
  </si>
  <si>
    <t>total units sold</t>
  </si>
  <si>
    <t>Beginning</t>
  </si>
  <si>
    <t>purchase1</t>
  </si>
  <si>
    <t>purchase2</t>
  </si>
  <si>
    <t>purchase3</t>
  </si>
  <si>
    <t>purchase4</t>
  </si>
  <si>
    <t>total cost</t>
  </si>
  <si>
    <t>Q23</t>
  </si>
  <si>
    <t>cumulative preferred stock</t>
  </si>
  <si>
    <t>par</t>
  </si>
  <si>
    <t>preferred stocks value</t>
  </si>
  <si>
    <t>2018 dividents</t>
  </si>
  <si>
    <t>2017 paid dividents</t>
  </si>
  <si>
    <t>Q24</t>
  </si>
  <si>
    <t>variable cost</t>
  </si>
  <si>
    <t xml:space="preserve">fixed cost </t>
  </si>
  <si>
    <t>total figures</t>
  </si>
  <si>
    <t>Unit cost</t>
  </si>
  <si>
    <t xml:space="preserve">total expected products </t>
  </si>
  <si>
    <t>variable cost per unit</t>
  </si>
  <si>
    <t xml:space="preserve">total variable cost </t>
  </si>
  <si>
    <t>unit cost</t>
  </si>
  <si>
    <t>Q25</t>
  </si>
  <si>
    <t>total manufactured</t>
  </si>
  <si>
    <t>total hardwood</t>
  </si>
  <si>
    <t>total cost of hardwood</t>
  </si>
  <si>
    <t>standard price</t>
  </si>
  <si>
    <t>hardwood per chopping block</t>
  </si>
  <si>
    <t>feet</t>
  </si>
  <si>
    <t>blocks</t>
  </si>
  <si>
    <t>MQV = SP (AQ - SQ)</t>
  </si>
  <si>
    <t>MPV = AQ (AP - SP)</t>
  </si>
  <si>
    <t>per foot</t>
  </si>
  <si>
    <t>AP</t>
  </si>
  <si>
    <t>SQ</t>
  </si>
  <si>
    <t>AQ</t>
  </si>
  <si>
    <t>SP</t>
  </si>
  <si>
    <t>MQV</t>
  </si>
  <si>
    <t>MPV</t>
  </si>
  <si>
    <t>units of product</t>
  </si>
  <si>
    <t>direct materials</t>
  </si>
  <si>
    <t>dirct labor</t>
  </si>
  <si>
    <t>total direct labor hours</t>
  </si>
  <si>
    <t>sales price</t>
  </si>
  <si>
    <t>machine rate</t>
  </si>
  <si>
    <t>inspection rate</t>
  </si>
  <si>
    <t>setup rate</t>
  </si>
  <si>
    <t>Q26, 27</t>
  </si>
  <si>
    <t>Q32</t>
  </si>
  <si>
    <t>year 0</t>
  </si>
  <si>
    <t>year 1</t>
  </si>
  <si>
    <t>year 2</t>
  </si>
  <si>
    <t>year 3</t>
  </si>
  <si>
    <t>year 4</t>
  </si>
  <si>
    <t>year 5</t>
  </si>
  <si>
    <t xml:space="preserve">cost of capital </t>
  </si>
  <si>
    <t>NPV</t>
  </si>
  <si>
    <t>IRR</t>
  </si>
  <si>
    <t>cost of debt</t>
  </si>
  <si>
    <t>cost of equity</t>
  </si>
  <si>
    <t>total debt</t>
  </si>
  <si>
    <t>B</t>
  </si>
  <si>
    <t>total equity</t>
  </si>
  <si>
    <t>total value</t>
  </si>
  <si>
    <t>total cost of capital</t>
  </si>
  <si>
    <t>US 10 year</t>
  </si>
  <si>
    <t>market risk prememium</t>
  </si>
  <si>
    <t>rating of deb</t>
  </si>
  <si>
    <t>Q37, 38</t>
  </si>
  <si>
    <t>MVA</t>
  </si>
  <si>
    <t>Q39</t>
  </si>
  <si>
    <t>Wall-E</t>
  </si>
  <si>
    <t xml:space="preserve">useful life </t>
  </si>
  <si>
    <t>new tech price</t>
  </si>
  <si>
    <t>useful llife</t>
  </si>
  <si>
    <t>EBITDA</t>
  </si>
  <si>
    <t>market value</t>
  </si>
  <si>
    <t>tax rate</t>
  </si>
  <si>
    <t>cost of capital</t>
  </si>
  <si>
    <t>value after depreciation</t>
  </si>
  <si>
    <t>tax</t>
  </si>
  <si>
    <t>value after tax</t>
  </si>
  <si>
    <t xml:space="preserve"> + depreciation</t>
  </si>
  <si>
    <t>year0</t>
  </si>
  <si>
    <t>year1</t>
  </si>
  <si>
    <t>year2</t>
  </si>
  <si>
    <t>year3</t>
  </si>
  <si>
    <t>year4</t>
  </si>
  <si>
    <t>year5</t>
  </si>
  <si>
    <t>gross margin per unit</t>
  </si>
  <si>
    <t>?</t>
  </si>
  <si>
    <t>labor rate</t>
  </si>
  <si>
    <t>gross margine per unit</t>
  </si>
  <si>
    <t>current asset</t>
  </si>
  <si>
    <t>fixed asset</t>
  </si>
  <si>
    <t>current liabilities</t>
  </si>
  <si>
    <t>owners equity</t>
  </si>
  <si>
    <t>long-term liabilities</t>
  </si>
  <si>
    <t>revenu</t>
  </si>
  <si>
    <t>expense</t>
  </si>
  <si>
    <t>EBIT</t>
  </si>
  <si>
    <t>RE</t>
  </si>
  <si>
    <t>account payable</t>
  </si>
  <si>
    <t>bond payable</t>
  </si>
  <si>
    <t>Salaries payable</t>
  </si>
  <si>
    <t>account receivable</t>
  </si>
  <si>
    <t>advertising</t>
  </si>
  <si>
    <t>cash</t>
  </si>
  <si>
    <t>concession</t>
  </si>
  <si>
    <t>taxes payable</t>
  </si>
  <si>
    <t>income tax</t>
  </si>
  <si>
    <t>supply</t>
  </si>
  <si>
    <t>rent</t>
  </si>
  <si>
    <t>Cogs</t>
  </si>
  <si>
    <t>prepaid expense</t>
  </si>
  <si>
    <t>deffereed revenu</t>
  </si>
  <si>
    <t>common stock</t>
  </si>
  <si>
    <t>notes payable</t>
  </si>
  <si>
    <t>utilities</t>
  </si>
  <si>
    <t>accumulated depreciation</t>
  </si>
  <si>
    <t>salaries</t>
  </si>
  <si>
    <t>land</t>
  </si>
  <si>
    <t>net franchise</t>
  </si>
  <si>
    <t>discount bond payable</t>
  </si>
  <si>
    <t>merchandize sale</t>
  </si>
  <si>
    <t>marketable securities</t>
  </si>
  <si>
    <t>interest exp</t>
  </si>
  <si>
    <t>-- sale return</t>
  </si>
  <si>
    <t>--treasury stock</t>
  </si>
  <si>
    <t>current portion bond payable</t>
  </si>
  <si>
    <t>current portion morg payable</t>
  </si>
  <si>
    <t>dividend declared</t>
  </si>
  <si>
    <t>mortgage payable</t>
  </si>
  <si>
    <t xml:space="preserve">Ending retain </t>
  </si>
  <si>
    <t>inventory</t>
  </si>
  <si>
    <t>interest rev</t>
  </si>
  <si>
    <t>Equipment</t>
  </si>
  <si>
    <t>marketing</t>
  </si>
  <si>
    <t xml:space="preserve">allowance of doubtful </t>
  </si>
  <si>
    <t>building</t>
  </si>
  <si>
    <t>net income</t>
  </si>
  <si>
    <t>total assets</t>
  </si>
  <si>
    <t>total liabilities</t>
  </si>
  <si>
    <t>it is expense and does not depreciated</t>
  </si>
  <si>
    <t>amount paid PP</t>
  </si>
  <si>
    <t>amount arrears</t>
  </si>
  <si>
    <t>NA</t>
  </si>
  <si>
    <t>CSP</t>
  </si>
  <si>
    <t>1000000-260000</t>
  </si>
  <si>
    <t>every year 120K for preferred stocks</t>
  </si>
  <si>
    <t>total preferred dividends to be paid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</si>
</sst>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.00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Body)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6" fontId="0" fillId="0" borderId="0" xfId="0" applyNumberFormat="1"/>
    <xf numFmtId="38" fontId="0" fillId="0" borderId="0" xfId="0" applyNumberForma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3" fillId="3" borderId="0" xfId="0" applyFont="1" applyFill="1"/>
    <xf numFmtId="8" fontId="0" fillId="0" borderId="0" xfId="0" applyNumberFormat="1"/>
    <xf numFmtId="0" fontId="0" fillId="4" borderId="0" xfId="0" applyFill="1"/>
    <xf numFmtId="0" fontId="3" fillId="4" borderId="0" xfId="0" applyFont="1" applyFill="1"/>
    <xf numFmtId="0" fontId="4" fillId="3" borderId="0" xfId="0" applyFont="1" applyFill="1"/>
    <xf numFmtId="10" fontId="0" fillId="0" borderId="0" xfId="0" applyNumberFormat="1"/>
    <xf numFmtId="165" fontId="0" fillId="0" borderId="0" xfId="0" applyNumberFormat="1"/>
    <xf numFmtId="6" fontId="0" fillId="0" borderId="0" xfId="0" quotePrefix="1" applyNumberFormat="1"/>
    <xf numFmtId="0" fontId="6" fillId="0" borderId="0" xfId="0" applyFont="1"/>
    <xf numFmtId="0" fontId="2" fillId="0" borderId="0" xfId="0" applyFont="1"/>
    <xf numFmtId="0" fontId="0" fillId="0" borderId="0" xfId="0" quotePrefix="1"/>
    <xf numFmtId="0" fontId="1" fillId="0" borderId="0" xfId="0" applyFont="1"/>
    <xf numFmtId="0" fontId="7" fillId="0" borderId="0" xfId="0" applyFont="1"/>
    <xf numFmtId="6" fontId="7" fillId="0" borderId="0" xfId="0" applyNumberFormat="1" applyFont="1"/>
    <xf numFmtId="0" fontId="8" fillId="0" borderId="0" xfId="0" applyFont="1"/>
    <xf numFmtId="6" fontId="8" fillId="0" borderId="0" xfId="0" applyNumberFormat="1" applyFont="1"/>
    <xf numFmtId="0" fontId="9" fillId="0" borderId="0" xfId="0" applyFont="1"/>
    <xf numFmtId="6" fontId="9" fillId="0" borderId="0" xfId="0" applyNumberFormat="1" applyFont="1"/>
    <xf numFmtId="6" fontId="10" fillId="0" borderId="0" xfId="0" applyNumberFormat="1" applyFont="1"/>
    <xf numFmtId="0" fontId="11" fillId="0" borderId="0" xfId="0" applyFont="1"/>
    <xf numFmtId="6" fontId="11" fillId="0" borderId="0" xfId="0" applyNumberFormat="1" applyFont="1"/>
    <xf numFmtId="3" fontId="11" fillId="0" borderId="0" xfId="0" applyNumberFormat="1" applyFont="1"/>
    <xf numFmtId="8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053F-07CD-5C49-9ED9-99F057A86DAE}">
  <dimension ref="A1:N129"/>
  <sheetViews>
    <sheetView topLeftCell="A29" workbookViewId="0">
      <selection activeCell="N31" sqref="N31"/>
    </sheetView>
  </sheetViews>
  <sheetFormatPr baseColWidth="10" defaultRowHeight="16"/>
  <cols>
    <col min="6" max="6" width="12.5" bestFit="1" customWidth="1"/>
    <col min="9" max="9" width="13.33203125" bestFit="1" customWidth="1"/>
  </cols>
  <sheetData>
    <row r="1" spans="1:6">
      <c r="A1" s="4" t="s">
        <v>7</v>
      </c>
      <c r="B1" s="3"/>
      <c r="C1" s="3"/>
      <c r="D1" s="3"/>
    </row>
    <row r="2" spans="1:6">
      <c r="A2" t="s">
        <v>0</v>
      </c>
      <c r="C2" s="1">
        <v>32000</v>
      </c>
    </row>
    <row r="3" spans="1:6">
      <c r="A3" t="s">
        <v>1</v>
      </c>
      <c r="C3" s="1">
        <v>700</v>
      </c>
    </row>
    <row r="4" spans="1:6">
      <c r="A4" t="s">
        <v>2</v>
      </c>
      <c r="C4" s="1">
        <v>2200</v>
      </c>
      <c r="E4" s="23" t="s">
        <v>6</v>
      </c>
      <c r="F4" s="24">
        <f>(C2+C3+C4+C8-C6)/C7</f>
        <v>5849</v>
      </c>
    </row>
    <row r="6" spans="1:6">
      <c r="A6" t="s">
        <v>3</v>
      </c>
      <c r="C6" s="1">
        <v>7000</v>
      </c>
      <c r="E6" s="25" t="s">
        <v>6</v>
      </c>
      <c r="F6" s="26">
        <f>(C2+C3+C4-C6)/C7</f>
        <v>5580</v>
      </c>
    </row>
    <row r="7" spans="1:6">
      <c r="A7" t="s">
        <v>4</v>
      </c>
      <c r="C7" s="2">
        <v>5</v>
      </c>
    </row>
    <row r="8" spans="1:6">
      <c r="A8" t="s">
        <v>5</v>
      </c>
      <c r="C8" s="1">
        <v>1345</v>
      </c>
      <c r="E8" s="25" t="s">
        <v>152</v>
      </c>
    </row>
    <row r="11" spans="1:6">
      <c r="A11" s="5" t="s">
        <v>8</v>
      </c>
      <c r="B11" s="5"/>
      <c r="C11" s="5"/>
      <c r="D11" s="5"/>
    </row>
    <row r="12" spans="1:6">
      <c r="A12" t="s">
        <v>9</v>
      </c>
      <c r="C12" s="6">
        <v>1750</v>
      </c>
    </row>
    <row r="14" spans="1:6">
      <c r="B14" t="s">
        <v>10</v>
      </c>
      <c r="C14">
        <v>500</v>
      </c>
      <c r="D14" s="1">
        <v>4</v>
      </c>
    </row>
    <row r="15" spans="1:6">
      <c r="B15" t="s">
        <v>11</v>
      </c>
      <c r="C15">
        <v>600</v>
      </c>
      <c r="D15" s="1">
        <v>6</v>
      </c>
      <c r="F15">
        <f>SUM(C14:C16)</f>
        <v>1600</v>
      </c>
    </row>
    <row r="16" spans="1:6">
      <c r="B16" t="s">
        <v>12</v>
      </c>
      <c r="C16">
        <v>500</v>
      </c>
      <c r="D16" s="1">
        <v>8</v>
      </c>
    </row>
    <row r="17" spans="1:14">
      <c r="B17" t="s">
        <v>13</v>
      </c>
      <c r="C17">
        <v>400</v>
      </c>
      <c r="D17" s="1">
        <v>10</v>
      </c>
    </row>
    <row r="18" spans="1:14">
      <c r="B18" t="s">
        <v>14</v>
      </c>
      <c r="C18">
        <v>250</v>
      </c>
      <c r="D18" s="1">
        <v>11</v>
      </c>
    </row>
    <row r="21" spans="1:14">
      <c r="B21" t="s">
        <v>15</v>
      </c>
      <c r="C21" s="1">
        <f>C14*D14+C15*D15+C16*D16+150*D17</f>
        <v>11100</v>
      </c>
    </row>
    <row r="23" spans="1:14">
      <c r="A23" s="9" t="s">
        <v>16</v>
      </c>
      <c r="B23" s="5"/>
      <c r="C23" s="5"/>
      <c r="D23" s="5"/>
    </row>
    <row r="24" spans="1:14">
      <c r="D24" s="7"/>
    </row>
    <row r="25" spans="1:14">
      <c r="A25" t="s">
        <v>17</v>
      </c>
      <c r="D25" s="7">
        <v>0.08</v>
      </c>
      <c r="F25" s="28" t="s">
        <v>159</v>
      </c>
      <c r="G25" s="28"/>
      <c r="H25" s="28"/>
      <c r="I25" s="28"/>
      <c r="K25" t="s">
        <v>153</v>
      </c>
      <c r="M25" t="s">
        <v>154</v>
      </c>
    </row>
    <row r="26" spans="1:14">
      <c r="A26" t="s">
        <v>18</v>
      </c>
      <c r="D26" s="1">
        <v>20</v>
      </c>
      <c r="F26" s="29">
        <f>D27*D25</f>
        <v>120000</v>
      </c>
      <c r="G26" s="28"/>
      <c r="H26" s="28"/>
      <c r="I26" s="28"/>
      <c r="J26">
        <v>2015</v>
      </c>
      <c r="K26" t="s">
        <v>155</v>
      </c>
      <c r="M26" s="1">
        <v>0</v>
      </c>
    </row>
    <row r="27" spans="1:14">
      <c r="A27" t="s">
        <v>19</v>
      </c>
      <c r="D27" s="1">
        <v>1500000</v>
      </c>
      <c r="F27" s="8"/>
      <c r="J27">
        <v>2016</v>
      </c>
      <c r="K27" s="1">
        <v>0</v>
      </c>
      <c r="M27" s="1">
        <f>F26</f>
        <v>120000</v>
      </c>
    </row>
    <row r="28" spans="1:14">
      <c r="J28">
        <v>2017</v>
      </c>
      <c r="K28" s="1">
        <f>D30</f>
        <v>100000</v>
      </c>
      <c r="M28" s="1">
        <f>M27-K28+F26</f>
        <v>140000</v>
      </c>
      <c r="N28" t="s">
        <v>158</v>
      </c>
    </row>
    <row r="29" spans="1:14">
      <c r="A29" t="s">
        <v>20</v>
      </c>
      <c r="D29" s="1">
        <v>1000000</v>
      </c>
      <c r="J29">
        <v>2018</v>
      </c>
      <c r="K29" s="1">
        <v>1000000</v>
      </c>
      <c r="M29" s="1">
        <f>K29-M28-F26</f>
        <v>740000</v>
      </c>
    </row>
    <row r="30" spans="1:14">
      <c r="A30" t="s">
        <v>21</v>
      </c>
      <c r="D30" s="1">
        <v>100000</v>
      </c>
    </row>
    <row r="32" spans="1:14">
      <c r="A32" s="12" t="s">
        <v>22</v>
      </c>
      <c r="B32" s="12"/>
      <c r="C32" s="12"/>
      <c r="D32" s="12"/>
      <c r="K32" t="s">
        <v>156</v>
      </c>
      <c r="L32" s="1" t="s">
        <v>157</v>
      </c>
      <c r="N32">
        <f>1000000-260000</f>
        <v>740000</v>
      </c>
    </row>
    <row r="33" spans="1:12">
      <c r="A33" t="s">
        <v>23</v>
      </c>
      <c r="D33" s="1">
        <v>480000</v>
      </c>
      <c r="G33" s="10">
        <f>(D33+D34)/D35</f>
        <v>20.6</v>
      </c>
    </row>
    <row r="34" spans="1:12">
      <c r="A34" t="s">
        <v>24</v>
      </c>
      <c r="D34" s="1">
        <v>550000</v>
      </c>
      <c r="G34" t="s">
        <v>28</v>
      </c>
      <c r="I34" s="10">
        <f>D33/D35</f>
        <v>9.6</v>
      </c>
    </row>
    <row r="35" spans="1:12">
      <c r="A35" t="s">
        <v>25</v>
      </c>
      <c r="D35" s="6">
        <v>50000</v>
      </c>
    </row>
    <row r="36" spans="1:12">
      <c r="A36" t="s">
        <v>26</v>
      </c>
      <c r="D36" s="10">
        <v>20.6</v>
      </c>
      <c r="G36" t="s">
        <v>29</v>
      </c>
      <c r="I36" s="10">
        <f>I34*D38</f>
        <v>518400</v>
      </c>
    </row>
    <row r="37" spans="1:12">
      <c r="G37" t="s">
        <v>15</v>
      </c>
      <c r="I37" s="10">
        <f>I36+D34</f>
        <v>1068400</v>
      </c>
    </row>
    <row r="38" spans="1:12">
      <c r="A38" t="s">
        <v>27</v>
      </c>
      <c r="D38" s="6">
        <v>54000</v>
      </c>
      <c r="G38" t="s">
        <v>30</v>
      </c>
      <c r="I38" s="10">
        <f>I37/D38</f>
        <v>19.785185185185185</v>
      </c>
    </row>
    <row r="40" spans="1:12">
      <c r="A40" s="9" t="s">
        <v>31</v>
      </c>
      <c r="B40" s="12"/>
      <c r="C40" s="12"/>
      <c r="D40" s="12"/>
    </row>
    <row r="42" spans="1:12">
      <c r="A42" t="s">
        <v>32</v>
      </c>
      <c r="D42" s="6">
        <v>4000</v>
      </c>
      <c r="E42" t="s">
        <v>38</v>
      </c>
      <c r="G42" t="s">
        <v>39</v>
      </c>
      <c r="J42" s="28"/>
      <c r="K42" s="28" t="s">
        <v>39</v>
      </c>
      <c r="L42" s="28"/>
    </row>
    <row r="43" spans="1:12">
      <c r="A43" t="s">
        <v>33</v>
      </c>
      <c r="D43" s="6">
        <v>11000</v>
      </c>
      <c r="E43" t="s">
        <v>37</v>
      </c>
      <c r="G43" t="s">
        <v>40</v>
      </c>
      <c r="J43" s="28"/>
      <c r="K43" s="28" t="s">
        <v>40</v>
      </c>
      <c r="L43" s="28"/>
    </row>
    <row r="44" spans="1:12">
      <c r="A44" t="s">
        <v>34</v>
      </c>
      <c r="D44" s="1">
        <v>18700</v>
      </c>
      <c r="J44" s="28"/>
      <c r="K44" s="28"/>
      <c r="L44" s="28"/>
    </row>
    <row r="45" spans="1:12">
      <c r="A45" t="s">
        <v>36</v>
      </c>
      <c r="D45">
        <v>2.5</v>
      </c>
      <c r="E45" t="s">
        <v>37</v>
      </c>
      <c r="G45" t="s">
        <v>43</v>
      </c>
      <c r="H45" s="6">
        <f>D43/D45</f>
        <v>4400</v>
      </c>
      <c r="J45" s="28"/>
      <c r="K45" s="28" t="s">
        <v>43</v>
      </c>
      <c r="L45" s="30">
        <f>D45*D42</f>
        <v>10000</v>
      </c>
    </row>
    <row r="46" spans="1:12">
      <c r="A46" t="s">
        <v>35</v>
      </c>
      <c r="D46" s="10">
        <v>1.8</v>
      </c>
      <c r="E46" t="s">
        <v>41</v>
      </c>
      <c r="G46" t="s">
        <v>44</v>
      </c>
      <c r="H46" s="6">
        <f>D42</f>
        <v>4000</v>
      </c>
      <c r="J46" s="28"/>
      <c r="K46" s="28" t="s">
        <v>44</v>
      </c>
      <c r="L46" s="30">
        <f>D43</f>
        <v>11000</v>
      </c>
    </row>
    <row r="47" spans="1:12">
      <c r="G47" t="s">
        <v>45</v>
      </c>
      <c r="H47">
        <f>1.8*2.5</f>
        <v>4.5</v>
      </c>
      <c r="J47" s="28"/>
      <c r="K47" s="28" t="s">
        <v>45</v>
      </c>
      <c r="L47" s="31">
        <f>D46</f>
        <v>1.8</v>
      </c>
    </row>
    <row r="48" spans="1:12">
      <c r="G48" t="s">
        <v>42</v>
      </c>
      <c r="H48" s="10">
        <f>D44/D43*D45</f>
        <v>4.25</v>
      </c>
      <c r="J48" s="28"/>
      <c r="K48" s="28" t="s">
        <v>42</v>
      </c>
      <c r="L48" s="31">
        <f>D44/D43</f>
        <v>1.7</v>
      </c>
    </row>
    <row r="49" spans="1:12">
      <c r="J49" s="28"/>
      <c r="K49" s="28"/>
      <c r="L49" s="28"/>
    </row>
    <row r="50" spans="1:12">
      <c r="E50" t="s">
        <v>46</v>
      </c>
      <c r="F50">
        <f>H47*(H46-H45)</f>
        <v>-1800</v>
      </c>
      <c r="J50" s="28" t="s">
        <v>46</v>
      </c>
      <c r="K50" s="31">
        <f>L46*(L48-L47)</f>
        <v>-1100.0000000000009</v>
      </c>
      <c r="L50" s="28"/>
    </row>
    <row r="51" spans="1:12">
      <c r="E51" t="s">
        <v>47</v>
      </c>
      <c r="F51" s="10">
        <f>H46*(H48-H47)</f>
        <v>-1000</v>
      </c>
      <c r="J51" s="28" t="s">
        <v>47</v>
      </c>
      <c r="K51" s="31">
        <f>L47*(L46-L45)</f>
        <v>1800</v>
      </c>
      <c r="L51" s="28"/>
    </row>
    <row r="52" spans="1:12">
      <c r="F52" s="10">
        <f>F50+F51</f>
        <v>-2800</v>
      </c>
      <c r="J52" s="28"/>
      <c r="K52" s="31">
        <f>K50+K51</f>
        <v>699.99999999999909</v>
      </c>
      <c r="L52" s="28"/>
    </row>
    <row r="53" spans="1:12">
      <c r="A53" s="13" t="s">
        <v>56</v>
      </c>
      <c r="B53" s="11"/>
      <c r="C53" s="11"/>
      <c r="D53" s="11"/>
    </row>
    <row r="55" spans="1:12">
      <c r="A55" t="s">
        <v>48</v>
      </c>
      <c r="D55" t="s">
        <v>53</v>
      </c>
      <c r="F55">
        <f>175000/(2300+2200+200)</f>
        <v>37.234042553191486</v>
      </c>
    </row>
    <row r="56" spans="1:12">
      <c r="A56" t="s">
        <v>49</v>
      </c>
      <c r="D56" t="s">
        <v>54</v>
      </c>
      <c r="F56">
        <f>19500/(40+35+15)</f>
        <v>216.66666666666666</v>
      </c>
    </row>
    <row r="57" spans="1:12">
      <c r="A57" t="s">
        <v>50</v>
      </c>
      <c r="D57" t="s">
        <v>55</v>
      </c>
      <c r="F57">
        <f>25000/(14+23+10)</f>
        <v>531.91489361702122</v>
      </c>
    </row>
    <row r="58" spans="1:12">
      <c r="A58" t="s">
        <v>51</v>
      </c>
    </row>
    <row r="59" spans="1:12">
      <c r="A59" t="s">
        <v>52</v>
      </c>
    </row>
    <row r="61" spans="1:12">
      <c r="A61" t="s">
        <v>98</v>
      </c>
      <c r="C61" t="s">
        <v>99</v>
      </c>
    </row>
    <row r="62" spans="1:12">
      <c r="A62" t="s">
        <v>100</v>
      </c>
      <c r="B62">
        <f>219500/(4200+1800+350)</f>
        <v>34.566929133858267</v>
      </c>
    </row>
    <row r="63" spans="1:12">
      <c r="B63">
        <f>(B62*4200/5200) +14+36</f>
        <v>77.919442761962443</v>
      </c>
    </row>
    <row r="64" spans="1:12">
      <c r="A64" t="s">
        <v>101</v>
      </c>
      <c r="C64" s="17">
        <f>B63-79.99</f>
        <v>-2.0705572380375514</v>
      </c>
    </row>
    <row r="68" spans="1:6">
      <c r="B68">
        <f>2200*F55+35*F56+23*F57</f>
        <v>101732.26950354609</v>
      </c>
    </row>
    <row r="69" spans="1:6">
      <c r="B69">
        <f>(B68/8000)</f>
        <v>12.716533687943262</v>
      </c>
    </row>
    <row r="70" spans="1:6">
      <c r="B70" s="17">
        <f>B69+3.75+6.5</f>
        <v>22.966533687943262</v>
      </c>
    </row>
    <row r="78" spans="1:6">
      <c r="A78" s="12" t="s">
        <v>57</v>
      </c>
      <c r="B78" s="12"/>
      <c r="C78" s="12"/>
      <c r="D78" s="12"/>
    </row>
    <row r="79" spans="1:6">
      <c r="B79">
        <v>1</v>
      </c>
      <c r="C79">
        <v>2</v>
      </c>
      <c r="D79">
        <v>3</v>
      </c>
      <c r="E79">
        <v>4</v>
      </c>
      <c r="F79">
        <v>5</v>
      </c>
    </row>
    <row r="80" spans="1:6">
      <c r="A80" t="s">
        <v>58</v>
      </c>
      <c r="B80" s="1">
        <v>-950</v>
      </c>
      <c r="C80" s="1">
        <v>-2100</v>
      </c>
      <c r="D80" s="1">
        <v>-500</v>
      </c>
      <c r="E80" s="1">
        <v>-1800</v>
      </c>
      <c r="F80" s="1">
        <v>-2000</v>
      </c>
    </row>
    <row r="81" spans="1:6">
      <c r="A81" t="s">
        <v>59</v>
      </c>
      <c r="B81" s="1">
        <v>875</v>
      </c>
      <c r="C81" s="1">
        <v>1600</v>
      </c>
      <c r="D81" s="1">
        <v>600</v>
      </c>
      <c r="E81" s="1">
        <v>1500</v>
      </c>
      <c r="F81" s="1">
        <v>800</v>
      </c>
    </row>
    <row r="82" spans="1:6">
      <c r="A82" t="s">
        <v>60</v>
      </c>
      <c r="B82" s="1">
        <v>550</v>
      </c>
      <c r="C82" s="1">
        <v>1050</v>
      </c>
      <c r="D82" s="1">
        <v>200</v>
      </c>
      <c r="E82" s="1">
        <v>1200</v>
      </c>
      <c r="F82" s="1">
        <v>700</v>
      </c>
    </row>
    <row r="83" spans="1:6">
      <c r="A83" t="s">
        <v>61</v>
      </c>
      <c r="B83" s="1">
        <v>130</v>
      </c>
      <c r="C83" s="1">
        <v>900</v>
      </c>
      <c r="D83" s="1">
        <v>50</v>
      </c>
      <c r="E83" s="1">
        <v>-1000</v>
      </c>
      <c r="F83" s="1">
        <v>600</v>
      </c>
    </row>
    <row r="84" spans="1:6">
      <c r="A84" t="s">
        <v>62</v>
      </c>
      <c r="B84" s="1">
        <v>100</v>
      </c>
      <c r="C84" s="1">
        <v>50</v>
      </c>
      <c r="D84" s="1">
        <v>50</v>
      </c>
      <c r="E84" s="1">
        <v>1000</v>
      </c>
      <c r="F84" s="1">
        <v>200</v>
      </c>
    </row>
    <row r="85" spans="1:6">
      <c r="A85" t="s">
        <v>63</v>
      </c>
      <c r="B85" s="1">
        <v>75</v>
      </c>
      <c r="C85" s="1">
        <v>25</v>
      </c>
      <c r="D85" s="1">
        <v>50</v>
      </c>
      <c r="E85" s="1">
        <v>500</v>
      </c>
      <c r="F85" s="1">
        <v>100</v>
      </c>
    </row>
    <row r="87" spans="1:6">
      <c r="A87" t="s">
        <v>64</v>
      </c>
      <c r="C87" s="7">
        <v>0.14000000000000001</v>
      </c>
    </row>
    <row r="88" spans="1:6">
      <c r="A88" t="s">
        <v>65</v>
      </c>
      <c r="B88" s="10">
        <f>NPV(C87,B81:B85)+B80</f>
        <v>426.65797497805397</v>
      </c>
      <c r="C88" s="10">
        <f>NPV(C87,C81:C85)+C80</f>
        <v>761.51227188295707</v>
      </c>
      <c r="D88" s="10">
        <f>NPV(C87,D81:D85)+D80</f>
        <v>269.53031806434478</v>
      </c>
      <c r="E88" s="10">
        <f>NPV(C87,E81:E85)+E80</f>
        <v>615.94360119664952</v>
      </c>
      <c r="F88" s="10">
        <f>NPV(C87,F81:F85)+F80</f>
        <v>-184.28251247464982</v>
      </c>
    </row>
    <row r="89" spans="1:6">
      <c r="A89" t="s">
        <v>66</v>
      </c>
      <c r="B89" s="7">
        <f>IRR(B80:B85, 0.012)</f>
        <v>0.44181004891460196</v>
      </c>
      <c r="C89" s="7">
        <f t="shared" ref="C89:F89" si="0">IRR(C80:C85, 0.012)</f>
        <v>0.36867983850780495</v>
      </c>
      <c r="D89" s="7">
        <f t="shared" si="0"/>
        <v>0.54534740285001959</v>
      </c>
      <c r="E89" s="7">
        <f t="shared" si="0"/>
        <v>0.33910732891423234</v>
      </c>
      <c r="F89" s="7">
        <f t="shared" si="0"/>
        <v>8.8214457136339464E-2</v>
      </c>
    </row>
    <row r="91" spans="1:6">
      <c r="A91" s="12" t="s">
        <v>77</v>
      </c>
      <c r="B91" s="12"/>
      <c r="C91" s="12"/>
      <c r="D91" s="12"/>
    </row>
    <row r="92" spans="1:6">
      <c r="A92" t="s">
        <v>74</v>
      </c>
      <c r="C92" s="14">
        <v>2.0899999999999998E-2</v>
      </c>
    </row>
    <row r="93" spans="1:6">
      <c r="A93" t="s">
        <v>75</v>
      </c>
      <c r="C93" s="14">
        <v>6.25E-2</v>
      </c>
    </row>
    <row r="94" spans="1:6">
      <c r="A94" t="s">
        <v>76</v>
      </c>
      <c r="C94" s="14">
        <v>1.23E-2</v>
      </c>
    </row>
    <row r="97" spans="1:4">
      <c r="A97" t="s">
        <v>67</v>
      </c>
      <c r="C97" s="14">
        <f>C92+C94</f>
        <v>3.32E-2</v>
      </c>
    </row>
    <row r="98" spans="1:4">
      <c r="A98" t="s">
        <v>68</v>
      </c>
      <c r="C98" s="15">
        <f>C92+C93*0.7</f>
        <v>6.4649999999999999E-2</v>
      </c>
    </row>
    <row r="100" spans="1:4">
      <c r="A100" t="s">
        <v>69</v>
      </c>
      <c r="C100" s="10">
        <v>56.96</v>
      </c>
      <c r="D100" t="s">
        <v>70</v>
      </c>
    </row>
    <row r="101" spans="1:4">
      <c r="A101" t="s">
        <v>71</v>
      </c>
      <c r="C101" s="10">
        <v>254.93</v>
      </c>
      <c r="D101" t="s">
        <v>70</v>
      </c>
    </row>
    <row r="102" spans="1:4">
      <c r="A102" t="s">
        <v>72</v>
      </c>
      <c r="C102" s="10">
        <f>C100+C101</f>
        <v>311.89</v>
      </c>
    </row>
    <row r="104" spans="1:4">
      <c r="A104" t="s">
        <v>73</v>
      </c>
      <c r="C104">
        <f>(C100/C102)*(1-0.21)*C97 + (C101/C102)*C98</f>
        <v>5.7633048125941846E-2</v>
      </c>
    </row>
    <row r="107" spans="1:4">
      <c r="A107" t="s">
        <v>78</v>
      </c>
      <c r="C107">
        <f>141.65-50.5</f>
        <v>91.15</v>
      </c>
    </row>
    <row r="108" spans="1:4">
      <c r="C108">
        <f>C107*1.8</f>
        <v>164.07000000000002</v>
      </c>
    </row>
    <row r="111" spans="1:4">
      <c r="A111" s="12" t="s">
        <v>79</v>
      </c>
      <c r="B111" s="12"/>
      <c r="C111" s="12"/>
      <c r="D111" s="12"/>
    </row>
    <row r="113" spans="1:8">
      <c r="A113" t="s">
        <v>80</v>
      </c>
      <c r="C113" s="1">
        <v>588000</v>
      </c>
    </row>
    <row r="114" spans="1:8">
      <c r="A114" t="s">
        <v>81</v>
      </c>
      <c r="C114">
        <v>6</v>
      </c>
    </row>
    <row r="115" spans="1:8">
      <c r="A115" t="s">
        <v>84</v>
      </c>
      <c r="C115" s="1">
        <v>265000</v>
      </c>
      <c r="E115" t="s">
        <v>88</v>
      </c>
      <c r="G115" s="1">
        <f>C121-C122</f>
        <v>215000</v>
      </c>
      <c r="H115" s="1">
        <f>C115-C116</f>
        <v>167000</v>
      </c>
    </row>
    <row r="116" spans="1:8">
      <c r="A116" t="s">
        <v>6</v>
      </c>
      <c r="C116" s="1">
        <v>98000</v>
      </c>
      <c r="E116" t="s">
        <v>89</v>
      </c>
      <c r="G116" s="1">
        <f>C124*G115</f>
        <v>45150</v>
      </c>
      <c r="H116" s="1">
        <f>C124*H115</f>
        <v>35070</v>
      </c>
    </row>
    <row r="117" spans="1:8">
      <c r="A117" t="s">
        <v>85</v>
      </c>
      <c r="C117" s="1">
        <v>340000</v>
      </c>
    </row>
    <row r="118" spans="1:8">
      <c r="E118" t="s">
        <v>90</v>
      </c>
      <c r="G118" s="1">
        <f>G115-G116</f>
        <v>169850</v>
      </c>
      <c r="H118" s="1">
        <f>H115-H116</f>
        <v>131930</v>
      </c>
    </row>
    <row r="119" spans="1:8">
      <c r="A119" t="s">
        <v>82</v>
      </c>
      <c r="C119" s="1">
        <v>750000</v>
      </c>
      <c r="E119" s="16" t="s">
        <v>91</v>
      </c>
      <c r="G119" s="1">
        <f xml:space="preserve"> G118+C122</f>
        <v>319850</v>
      </c>
      <c r="H119" s="1">
        <f>H118+C116</f>
        <v>229930</v>
      </c>
    </row>
    <row r="120" spans="1:8">
      <c r="A120" t="s">
        <v>83</v>
      </c>
      <c r="C120">
        <v>5</v>
      </c>
    </row>
    <row r="121" spans="1:8">
      <c r="A121" t="s">
        <v>84</v>
      </c>
      <c r="C121" s="1">
        <v>365000</v>
      </c>
    </row>
    <row r="122" spans="1:8">
      <c r="A122" t="s">
        <v>6</v>
      </c>
      <c r="C122" s="1">
        <f>C119/C120</f>
        <v>150000</v>
      </c>
      <c r="E122" t="s">
        <v>92</v>
      </c>
      <c r="F122" s="1">
        <f>-(C119-C117)</f>
        <v>-410000</v>
      </c>
    </row>
    <row r="123" spans="1:8">
      <c r="E123" t="s">
        <v>93</v>
      </c>
      <c r="F123" s="1">
        <f>G119-H119</f>
        <v>89920</v>
      </c>
    </row>
    <row r="124" spans="1:8">
      <c r="A124" t="s">
        <v>86</v>
      </c>
      <c r="C124" s="7">
        <v>0.21</v>
      </c>
      <c r="E124" t="s">
        <v>94</v>
      </c>
      <c r="F124" s="1">
        <f>G119-H119</f>
        <v>89920</v>
      </c>
    </row>
    <row r="125" spans="1:8">
      <c r="A125" t="s">
        <v>87</v>
      </c>
      <c r="C125" s="7">
        <v>0.14000000000000001</v>
      </c>
      <c r="E125" t="s">
        <v>95</v>
      </c>
      <c r="F125" s="1">
        <f>G119-H119</f>
        <v>89920</v>
      </c>
    </row>
    <row r="126" spans="1:8">
      <c r="E126" t="s">
        <v>96</v>
      </c>
      <c r="F126" s="1">
        <f>G119-H119</f>
        <v>89920</v>
      </c>
    </row>
    <row r="127" spans="1:8">
      <c r="E127" t="s">
        <v>97</v>
      </c>
      <c r="F127" s="1">
        <f>G119-H119</f>
        <v>89920</v>
      </c>
    </row>
    <row r="129" spans="5:6">
      <c r="E129" t="s">
        <v>65</v>
      </c>
      <c r="F129" s="10">
        <f>NPV(C125,F123:F127)+F122</f>
        <v>-101297.3592802473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5A5C-D4DA-874D-86E2-DB67015CE75C}">
  <dimension ref="A1:I47"/>
  <sheetViews>
    <sheetView tabSelected="1" workbookViewId="0">
      <selection activeCell="D9" sqref="D9"/>
    </sheetView>
  </sheetViews>
  <sheetFormatPr baseColWidth="10" defaultRowHeight="16"/>
  <sheetData>
    <row r="1" spans="1:9">
      <c r="A1" s="18" t="s">
        <v>102</v>
      </c>
      <c r="F1" s="18" t="s">
        <v>107</v>
      </c>
    </row>
    <row r="2" spans="1:9">
      <c r="A2" t="s">
        <v>114</v>
      </c>
      <c r="C2" s="1">
        <v>90950</v>
      </c>
      <c r="D2" s="1"/>
      <c r="F2" t="s">
        <v>117</v>
      </c>
      <c r="H2" s="1">
        <v>21050</v>
      </c>
    </row>
    <row r="3" spans="1:9">
      <c r="A3" t="s">
        <v>116</v>
      </c>
      <c r="C3" s="1">
        <v>383100</v>
      </c>
      <c r="F3" t="s">
        <v>131</v>
      </c>
      <c r="H3" s="1">
        <v>1520000</v>
      </c>
    </row>
    <row r="4" spans="1:9">
      <c r="A4" s="20" t="s">
        <v>134</v>
      </c>
      <c r="C4" s="1">
        <v>90640</v>
      </c>
      <c r="F4" t="s">
        <v>133</v>
      </c>
      <c r="H4" s="1">
        <v>56145</v>
      </c>
    </row>
    <row r="5" spans="1:9">
      <c r="A5" t="s">
        <v>143</v>
      </c>
      <c r="C5" s="1">
        <v>93245</v>
      </c>
      <c r="F5" s="19" t="s">
        <v>136</v>
      </c>
      <c r="H5" s="1">
        <v>-3200</v>
      </c>
    </row>
    <row r="6" spans="1:9">
      <c r="A6" t="s">
        <v>147</v>
      </c>
      <c r="C6" s="1">
        <v>-7320</v>
      </c>
      <c r="F6" t="s">
        <v>144</v>
      </c>
      <c r="H6" s="1">
        <v>1700</v>
      </c>
      <c r="I6" s="1"/>
    </row>
    <row r="7" spans="1:9">
      <c r="A7" s="28" t="s">
        <v>123</v>
      </c>
      <c r="B7" s="28"/>
      <c r="C7" s="29">
        <v>8950</v>
      </c>
      <c r="H7" s="1"/>
      <c r="I7" s="1">
        <f>SUM(H2:H6)</f>
        <v>1595695</v>
      </c>
    </row>
    <row r="8" spans="1:9">
      <c r="C8" s="1"/>
      <c r="D8" s="27">
        <f>SUM(C2:C6)</f>
        <v>650615</v>
      </c>
    </row>
    <row r="9" spans="1:9">
      <c r="F9" s="18" t="s">
        <v>122</v>
      </c>
      <c r="H9" s="1">
        <v>32000</v>
      </c>
      <c r="I9" s="1">
        <f>I7-H9</f>
        <v>1563695</v>
      </c>
    </row>
    <row r="11" spans="1:9">
      <c r="A11" s="18" t="s">
        <v>103</v>
      </c>
    </row>
    <row r="12" spans="1:9">
      <c r="F12" s="18" t="s">
        <v>108</v>
      </c>
    </row>
    <row r="13" spans="1:9">
      <c r="A13" s="20" t="s">
        <v>128</v>
      </c>
      <c r="C13" s="1">
        <v>-377100</v>
      </c>
      <c r="F13" t="s">
        <v>115</v>
      </c>
      <c r="H13" s="1">
        <v>54000</v>
      </c>
    </row>
    <row r="14" spans="1:9">
      <c r="A14" t="s">
        <v>130</v>
      </c>
      <c r="C14" s="1">
        <v>740000</v>
      </c>
      <c r="D14" s="1"/>
      <c r="F14" t="s">
        <v>120</v>
      </c>
      <c r="H14" s="1">
        <v>355</v>
      </c>
    </row>
    <row r="15" spans="1:9">
      <c r="A15" t="s">
        <v>145</v>
      </c>
      <c r="C15" s="1">
        <v>329300</v>
      </c>
      <c r="D15" s="1"/>
      <c r="F15" t="s">
        <v>121</v>
      </c>
      <c r="H15" s="1">
        <v>49300</v>
      </c>
    </row>
    <row r="16" spans="1:9">
      <c r="A16" t="s">
        <v>148</v>
      </c>
      <c r="C16" s="1">
        <v>1220000</v>
      </c>
      <c r="D16" s="1"/>
      <c r="F16" t="s">
        <v>127</v>
      </c>
      <c r="H16" s="1">
        <v>950</v>
      </c>
    </row>
    <row r="17" spans="1:9">
      <c r="D17" s="1">
        <f>SUM(C13:C16)</f>
        <v>1912200</v>
      </c>
      <c r="F17" t="s">
        <v>6</v>
      </c>
      <c r="H17" s="1">
        <v>54100</v>
      </c>
    </row>
    <row r="18" spans="1:9">
      <c r="D18" s="1"/>
      <c r="F18" t="s">
        <v>129</v>
      </c>
      <c r="H18" s="1">
        <v>86200</v>
      </c>
    </row>
    <row r="19" spans="1:9">
      <c r="A19" s="21" t="s">
        <v>150</v>
      </c>
      <c r="B19" s="21"/>
      <c r="C19" s="21"/>
      <c r="D19" s="22">
        <f>D8+D17</f>
        <v>2562815</v>
      </c>
      <c r="F19" t="s">
        <v>146</v>
      </c>
      <c r="H19" s="1">
        <v>117000</v>
      </c>
      <c r="I19" s="1"/>
    </row>
    <row r="20" spans="1:9">
      <c r="D20" s="1"/>
      <c r="I20" s="1">
        <f>SUM(H13:H19)</f>
        <v>361905</v>
      </c>
    </row>
    <row r="21" spans="1:9">
      <c r="A21" s="18" t="s">
        <v>104</v>
      </c>
      <c r="D21" s="1"/>
      <c r="I21" s="1"/>
    </row>
    <row r="22" spans="1:9">
      <c r="A22" t="s">
        <v>111</v>
      </c>
      <c r="C22" s="1">
        <v>45340</v>
      </c>
      <c r="D22" s="1"/>
      <c r="F22" s="18" t="s">
        <v>109</v>
      </c>
      <c r="I22" s="1">
        <f>I9-I20</f>
        <v>1201790</v>
      </c>
    </row>
    <row r="23" spans="1:9">
      <c r="A23" t="s">
        <v>113</v>
      </c>
      <c r="C23" s="1">
        <v>9415</v>
      </c>
      <c r="D23" s="1"/>
      <c r="F23" t="s">
        <v>119</v>
      </c>
      <c r="H23" s="1">
        <v>312500</v>
      </c>
    </row>
    <row r="24" spans="1:9">
      <c r="A24" t="s">
        <v>118</v>
      </c>
      <c r="C24" s="1">
        <v>172400</v>
      </c>
      <c r="F24" t="s">
        <v>135</v>
      </c>
      <c r="H24" s="1">
        <v>92900</v>
      </c>
    </row>
    <row r="25" spans="1:9">
      <c r="A25" s="20" t="s">
        <v>124</v>
      </c>
      <c r="C25" s="1">
        <v>1920</v>
      </c>
      <c r="I25" s="1">
        <f>SUM(H23:H24)</f>
        <v>405400</v>
      </c>
    </row>
    <row r="26" spans="1:9">
      <c r="A26" t="s">
        <v>139</v>
      </c>
      <c r="C26" s="1">
        <v>22000</v>
      </c>
      <c r="D26" s="1"/>
    </row>
    <row r="27" spans="1:9">
      <c r="A27" t="s">
        <v>138</v>
      </c>
      <c r="C27" s="1">
        <v>16200</v>
      </c>
      <c r="D27" s="1"/>
      <c r="F27" t="s">
        <v>149</v>
      </c>
      <c r="I27" s="1">
        <f>I22-I25</f>
        <v>796390</v>
      </c>
    </row>
    <row r="28" spans="1:9">
      <c r="C28" s="1"/>
      <c r="D28" s="1">
        <f>SUM(C22:C27)</f>
        <v>267275</v>
      </c>
    </row>
    <row r="29" spans="1:9">
      <c r="C29" s="1"/>
      <c r="D29" s="1"/>
      <c r="F29" s="18" t="s">
        <v>110</v>
      </c>
    </row>
    <row r="30" spans="1:9">
      <c r="C30" s="1"/>
      <c r="D30" s="1"/>
      <c r="F30" t="s">
        <v>140</v>
      </c>
      <c r="H30" s="1">
        <v>9000</v>
      </c>
    </row>
    <row r="32" spans="1:9">
      <c r="A32" s="18" t="s">
        <v>106</v>
      </c>
    </row>
    <row r="33" spans="1:8">
      <c r="A33" t="s">
        <v>112</v>
      </c>
      <c r="C33" s="1">
        <v>338000</v>
      </c>
      <c r="F33" t="s">
        <v>142</v>
      </c>
      <c r="H33" s="1">
        <v>1306390</v>
      </c>
    </row>
    <row r="34" spans="1:8">
      <c r="A34" t="s">
        <v>126</v>
      </c>
      <c r="C34" s="1">
        <v>11000</v>
      </c>
    </row>
    <row r="35" spans="1:8">
      <c r="A35" s="20" t="s">
        <v>132</v>
      </c>
      <c r="C35" s="1">
        <v>-19700</v>
      </c>
    </row>
    <row r="36" spans="1:8">
      <c r="A36" t="s">
        <v>141</v>
      </c>
      <c r="C36" s="1">
        <v>620000</v>
      </c>
    </row>
    <row r="37" spans="1:8">
      <c r="C37" s="1"/>
      <c r="D37" s="1">
        <f>SUM(C33:C36)</f>
        <v>949300</v>
      </c>
    </row>
    <row r="38" spans="1:8">
      <c r="C38" s="1"/>
      <c r="D38" s="1"/>
    </row>
    <row r="39" spans="1:8">
      <c r="A39" s="21" t="s">
        <v>151</v>
      </c>
      <c r="B39" s="21"/>
      <c r="C39" s="22"/>
      <c r="D39" s="22">
        <f>D28+D37</f>
        <v>1216575</v>
      </c>
    </row>
    <row r="40" spans="1:8">
      <c r="C40" s="1"/>
      <c r="D40" s="1"/>
    </row>
    <row r="41" spans="1:8">
      <c r="F41" s="1">
        <f>D19-D39</f>
        <v>1346240</v>
      </c>
    </row>
    <row r="42" spans="1:8">
      <c r="A42" s="18" t="s">
        <v>105</v>
      </c>
    </row>
    <row r="43" spans="1:8">
      <c r="A43" t="s">
        <v>125</v>
      </c>
      <c r="C43" s="1">
        <v>51000</v>
      </c>
    </row>
    <row r="44" spans="1:8">
      <c r="A44" s="19" t="s">
        <v>137</v>
      </c>
      <c r="C44" s="1">
        <v>-22000</v>
      </c>
    </row>
    <row r="45" spans="1:8">
      <c r="A45" t="s">
        <v>110</v>
      </c>
      <c r="C45" s="1">
        <v>1306390</v>
      </c>
      <c r="D45" s="1"/>
    </row>
    <row r="46" spans="1:8">
      <c r="D46" s="1">
        <f>SUM(C43:C45)</f>
        <v>1335390</v>
      </c>
    </row>
    <row r="47" spans="1:8">
      <c r="D4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CE28-090C-5B46-9FB8-5C9EF9375C6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Balance sheet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2019-06-30T21:13:21Z</dcterms:created>
  <dcterms:modified xsi:type="dcterms:W3CDTF">2019-07-02T21:21:05Z</dcterms:modified>
</cp:coreProperties>
</file>