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Sheet1!$A$1:$I$7614</definedName>
  </definedNames>
  <calcPr/>
  <extLst>
    <ext uri="GoogleSheetsCustomDataVersion2">
      <go:sheetsCustomData xmlns:go="http://customooxmlschemas.google.com/" r:id="rId5" roundtripDataChecksum="urix6zYIjOO5YYk4p8wY2V0B7YMoJcGenJzhUOOZaNQ="/>
    </ext>
  </extLst>
</workbook>
</file>

<file path=xl/sharedStrings.xml><?xml version="1.0" encoding="utf-8"?>
<sst xmlns="http://schemas.openxmlformats.org/spreadsheetml/2006/main" count="20252" uniqueCount="11071">
  <si>
    <t>id</t>
  </si>
  <si>
    <t>keyword</t>
  </si>
  <si>
    <t>location</t>
  </si>
  <si>
    <t>text</t>
  </si>
  <si>
    <t>target</t>
  </si>
  <si>
    <t>text_zh</t>
  </si>
  <si>
    <t>keyword_zh</t>
  </si>
  <si>
    <t>Our Deeds are the Reason of this #earthquake May ALLAH Forgive us all</t>
  </si>
  <si>
    <t>Forest fire near La Ronge Sask. Canada</t>
  </si>
  <si>
    <t>All residents asked to 'shelter in place' are being notified by officers. No other evacuation or shelter in place orders are expected</t>
  </si>
  <si>
    <t xml:space="preserve">13,000 people receive #wildfires evacuation orders in California </t>
  </si>
  <si>
    <t xml:space="preserve">Just got sent this photo from Ruby #Alaska as smoke from #wildfires pours into a school </t>
  </si>
  <si>
    <t>#RockyFire Update =&gt; California Hwy. 20 closed in both directions due to Lake County fire - #CAfire #wildfires</t>
  </si>
  <si>
    <t>#flood #disaster Heavy rain causes flash flooding of streets in Manitou, Colorado Springs areas</t>
  </si>
  <si>
    <t>I'm on top of the hill and I can see a fire in the woods...</t>
  </si>
  <si>
    <t>There's an emergency evacuation happening now in the building across the street</t>
  </si>
  <si>
    <t>I'm afraid that the tornado is coming to our area...</t>
  </si>
  <si>
    <t>Three people died from the heat wave so far</t>
  </si>
  <si>
    <t>Haha South Tampa is getting flooded hah- WAIT A SECOND I LIVE IN SOUTH TAMPA WHAT AM I GONNA DO WHAT AM I GONNA DO FVCK #flooding</t>
  </si>
  <si>
    <t xml:space="preserve">#raining #flooding #Florida #TampaBay #Tampa 18 or 19 days. I've lost count </t>
  </si>
  <si>
    <t>#Flood in Bago Myanmar #We arrived Bago</t>
  </si>
  <si>
    <t xml:space="preserve">Damage to school bus on 80 in multi car crash #BREAKING </t>
  </si>
  <si>
    <t>ablaze</t>
  </si>
  <si>
    <t>Birmingham</t>
  </si>
  <si>
    <t>@bbcmtd Wholesale Markets ablaze http://t.co/lHYXEOHY6C</t>
  </si>
  <si>
    <t>AFRICA</t>
  </si>
  <si>
    <t>#AFRICANBAZE: Breaking news:Nigeria flag set ablaze in Aba. http://t.co/2nndBGwyEi</t>
  </si>
  <si>
    <t>World Wide!!</t>
  </si>
  <si>
    <t>INEC Office in Abia Set Ablaze - http://t.co/3ImaomknnA</t>
  </si>
  <si>
    <t>Barbados #Bridgetown JAMAICA _x0089_ÛÒ Two cars set ablaze: SANTA CRUZ _x0089_ÛÓ Head of the St Elizabeth Police Superintende...  http://t.co/wDUEaj8Q4J</t>
  </si>
  <si>
    <t>GREENSBORO,NORTH CAROLINA</t>
  </si>
  <si>
    <t>How the West was burned: Thousands of wildfires ablaze in California alone http://t.co/vl5TBR3wbr</t>
  </si>
  <si>
    <t>Sheffield Township, Ohio</t>
  </si>
  <si>
    <t>Deputies: Man shot before Brighton home set ablaze http://t.co/gWNRhMSO8k</t>
  </si>
  <si>
    <t>India</t>
  </si>
  <si>
    <t>Man wife get six years jail for setting ablaze niece
http://t.co/eV1ahOUCZA</t>
  </si>
  <si>
    <t>Anaheim</t>
  </si>
  <si>
    <t>Police: Arsonist Deliberately Set Black Church In North CarolinaåÊAblaze http://t.co/pcXarbH9An</t>
  </si>
  <si>
    <t>USA</t>
  </si>
  <si>
    <t>#Kurds trampling on Turkmen flag later set it ablaze while others vandalized offices of Turkmen Front in #Diyala http://t.co/4IzFdYC3cg</t>
  </si>
  <si>
    <t>South Africa</t>
  </si>
  <si>
    <t>TRUCK ABLAZE : R21. VOORTREKKER AVE. OUTSIDE OR TAMBO INTL. CARGO SECTION. http://t.co/8kscqKfKkF</t>
  </si>
  <si>
    <t>Edmonton, Alberta - Treaty 6</t>
  </si>
  <si>
    <t>How the West was burned: Thousands of wildfires ablaze in #California alone http://t.co/iCSjGZ9tE1 #climate #energy http://t.co/9FxmN0l0Bd</t>
  </si>
  <si>
    <t>Concord, CA</t>
  </si>
  <si>
    <t>@Navista7 Steve these fires out here are something else! California is a tinderbox - and this clown was setting my 'hood ablaze @News24680</t>
  </si>
  <si>
    <t>@nxwestmidlands huge fire at Wholesale markets ablaze http://t.co/rwzbFVNXER</t>
  </si>
  <si>
    <t>accident</t>
  </si>
  <si>
    <t>Nashville, TN</t>
  </si>
  <si>
    <t>Accident on I-24 W #NashvilleTraffic. Traffic moving 8m slower than usual. https://t.co/0GHk693EgJ</t>
  </si>
  <si>
    <t>Santa Clara, CA</t>
  </si>
  <si>
    <t>Accident center lane blocked in #SantaClara on US-101 NB before Great America Pkwy #BayArea #Traffic http://t.co/pmlOhZuRWR</t>
  </si>
  <si>
    <t>Walker County, Alabama</t>
  </si>
  <si>
    <t>Reported motor vehicle accident in Curry on Herman Rd near Stephenson involving an overturned vehicle. Please use... http://t.co/YbJezKuRW1</t>
  </si>
  <si>
    <t>Australia</t>
  </si>
  <si>
    <t>BigRigRadio Live Accident Awareness</t>
  </si>
  <si>
    <t>North Carolina</t>
  </si>
  <si>
    <t>I-77 Mile Marker 31 South Mooresville  Iredell Vehicle Accident Ramp Closed at 8/6 1:18 PM</t>
  </si>
  <si>
    <t>San Mateo County, CA</t>
  </si>
  <si>
    <t>Traffic accident N CABRILLO HWY/MAGELLAN AV MIR (08/06/15 11:03:58)</t>
  </si>
  <si>
    <t>I-77 Mile Marker 31 to 40 South Mooresville  Iredell Vehicle Accident Congestion at 8/6 1:18 PM</t>
  </si>
  <si>
    <t>Njoro, Kenya</t>
  </si>
  <si>
    <t>the pastor was not in the scene of the accident......who was the owner of the range rover ?</t>
  </si>
  <si>
    <t>Your Sister's Bedroom</t>
  </si>
  <si>
    <t>I was in a horrible car accident this past Sunday. I'm finally able to get around. Thank you GOD??</t>
  </si>
  <si>
    <t>Arlington, TX</t>
  </si>
  <si>
    <t>#TruckCrash Overturns On #FortWorth Interstate http://t.co/Rs22LJ4qFp Click here if you've been in a crash&amp;gt;http://t.co/Ld0unIYw4k</t>
  </si>
  <si>
    <t>South Bloomfield, OH</t>
  </si>
  <si>
    <t>Accident in #Ashville on US 23 SB before SR 752 #traffic http://t.co/hylMo0WgFI</t>
  </si>
  <si>
    <t>Carolina accident: Motorcyclist Dies in I-540 Crash With Car That Crossed Median: A motorcycle rider traveling... http://t.co/p18lzRlmy6</t>
  </si>
  <si>
    <t>New Hanover County, NC</t>
  </si>
  <si>
    <t>FYI CAD:FYI: ;ACCIDENT PROPERTY DAMAGE;NHS;999 PINER RD/HORNDALE DR</t>
  </si>
  <si>
    <t>Maldives</t>
  </si>
  <si>
    <t>RT nAAYf: First accident in years. Turning onto Chandanee Magu from near MMA. Taxi rammed into me while I was halfway turned. Everyone conf_x0089_Û_</t>
  </si>
  <si>
    <t>Manchester, NH</t>
  </si>
  <si>
    <t>Accident left lane blocked in #Manchester on Rt 293 NB before Eddy Rd stop and go traffic back to NH-3A delay of 4 mins #traffic</t>
  </si>
  <si>
    <t>Wilmington, NC</t>
  </si>
  <si>
    <t>;ACCIDENT PROPERTY DAMAGE; PINER RD/HORNDALE DR</t>
  </si>
  <si>
    <t>FYI CAD:FYI: ;ACCIDENT PROPERTY DAMAGE;WPD;1600 S 17TH ST</t>
  </si>
  <si>
    <t>8/6/2015@2:09 PM: TRAFFIC ACCIDENT NO INJURY at 2781 WILLIS FOREMAN RD http://t.co/VCkIT6EDEv</t>
  </si>
  <si>
    <t>global</t>
  </si>
  <si>
    <t>Aashiqui Actress Anu Aggarwal On Her Near-Fatal Accident http://t.co/6Otfp31LqW</t>
  </si>
  <si>
    <t>Alberta | Sask. | Montana</t>
  </si>
  <si>
    <t>Suffield Alberta Accident https://t.co/bPTmlF4P10</t>
  </si>
  <si>
    <t>Charlotte</t>
  </si>
  <si>
    <t>9 Mile backup on I-77 South...accident blocking the Right 2 Lanes at Exit 31 Langtree Rd...consider NC 115 or NC 150 to NC 16 as alternate</t>
  </si>
  <si>
    <t>Hagerstown, MD</t>
  </si>
  <si>
    <t>#BREAKING: there was a deadly motorcycle car accident that happened to #Hagerstown today. I'll have more details at 5 @Your4State. #WHAG</t>
  </si>
  <si>
    <t>only had a car for not even a week and got in a fucking car accident .. Mfs can't fucking drive .</t>
  </si>
  <si>
    <t>UK</t>
  </si>
  <si>
    <t>.@NorwayMFA #Bahrain police had previously died in a road accident they were not killed by explosion https://t.co/gFJfgTodad</t>
  </si>
  <si>
    <t>airplane%20accident</t>
  </si>
  <si>
    <t>19.600858, -99.047821</t>
  </si>
  <si>
    <t>Experts in France begin examining airplane debris found on Reunion Island: French air accident experts o... http://t.co/YVVPznZmXg #news</t>
  </si>
  <si>
    <t>Pennsylvania</t>
  </si>
  <si>
    <t>Strict liability in the context of an airplane accident: Pilot error is a common component of most aviation cr... http://t.co/6CZ3bOhRd4</t>
  </si>
  <si>
    <t>Palo Alto, CA</t>
  </si>
  <si>
    <t>Experts in France begin examining airplane debris found on Reunion Island: French air accident experts on Wedn... http://t.co/bKpFpOGySI</t>
  </si>
  <si>
    <t>@AlexAllTimeLow awwww they're on an airplane accident and they're gonna die what a cuties ???? good job!</t>
  </si>
  <si>
    <t>Spain but Opa-Locka, FL</t>
  </si>
  <si>
    <t>family members of osama bin laden have died in an airplane accident how ironic ?????? mhmmm gov shit i suspect</t>
  </si>
  <si>
    <t>Jaipur, India</t>
  </si>
  <si>
    <t>Man Goes into Airplane Engine Accident: http://t.co/TYJxrFd3St via @YouTube</t>
  </si>
  <si>
    <t>Hyderabad Telangana INDIA</t>
  </si>
  <si>
    <t>Horrible Accident  Man Died In Wings of Airplane (29-07-2015) http://t.co/i7kZtevb2v</t>
  </si>
  <si>
    <t>Eagle Pass, Texas</t>
  </si>
  <si>
    <t>A Cessna airplane accident in Ocampo Coahuila Mexico on July 29 2015 killed four men including a State of Coahuila government official.</t>
  </si>
  <si>
    <t>bangalore</t>
  </si>
  <si>
    <t>#Horrible #Accident Man Died In Wings Airplane (29-07-2015) #WatchTheVideo http://t.co/p64xRVgJIk</t>
  </si>
  <si>
    <t>Financial News and Views</t>
  </si>
  <si>
    <t>Experts in France begin examining airplane debris found on Reunion Island http://t.co/LsMx2vwr3J French air accident experts on Wednesday_x0089_Û_</t>
  </si>
  <si>
    <t>Experts in France begin examining airplane debris found on Reunion Island: French air accident experts on Wednesday began examining t...</t>
  </si>
  <si>
    <t>Indonesia</t>
  </si>
  <si>
    <t>#KCA #VoteJKT48ID mbataweel: #RIP #BINLADEN Family members who killed in an airplane's accident</t>
  </si>
  <si>
    <t>Somewhere Out There</t>
  </si>
  <si>
    <t>Experts in France begin examining airplane debris found on Reunion Island: French air accident experts on... http://t.co/TagZbcXFj0 #MLB</t>
  </si>
  <si>
    <t>This is unbelievably insane.
#man #airport #airplane #aircraft #aeroplane #runway #accident #freaky_x0089_Û_ https://t.co/cezhq7CzLl</t>
  </si>
  <si>
    <t>Mumbai india</t>
  </si>
  <si>
    <t>Horrible Accident |  Man Died In Wings of AirplaneåÊ(29-07-2015) http://t.co/wq3wJsgPHL</t>
  </si>
  <si>
    <t>sri lanka</t>
  </si>
  <si>
    <t>Horrible Accident Man Died In Wings of Airplane (29-07-2015) http://t.co/TfcdRONRA6</t>
  </si>
  <si>
    <t>Not a U.S resident</t>
  </si>
  <si>
    <t>Usama bin Ladins family dead in airplane crash. Naturally no accident.</t>
  </si>
  <si>
    <t>Pilot Dies In Plane Crash At Car Festival https://t.co/kQ9aE6AP2B via @YouTube #Crash #Aircraft #Airplane #Pilot #Death #Accident #CarFest</t>
  </si>
  <si>
    <t>Lehigh Valley, PA</t>
  </si>
  <si>
    <t>Strict liability in the context of an airplane accident - http://t.co/gibyQHhKpk</t>
  </si>
  <si>
    <t>Canada</t>
  </si>
  <si>
    <t>DTN Brazil: Experts in France begin examining airplane debris found on Reunion Island: French air accident exp... http://t.co/M9IG3WQ8Lq</t>
  </si>
  <si>
    <t>Experts in France begin examining airplane debris found on Reunion Island: French air accident experts on Wedn... http://t.co/v4SMAESLK5</t>
  </si>
  <si>
    <t>Thrissur</t>
  </si>
  <si>
    <t>Horrible Accident Man Died In Wings Of _x0089_ÛÏAirplane_x0089_Û_x009d_ 29-07-2015. WTF You Can_x0089_Ûªt Believe Your EYES _x0089_ÛÒ... http://t.co/6fFyLAjWpS</t>
  </si>
  <si>
    <t>Havenford</t>
  </si>
  <si>
    <t>+ Nicole Fletcher one of a victim of crashed airplane few times ago. 
The accident left a little bit trauma for her. Although she's 
+</t>
  </si>
  <si>
    <t>OMG Horrible Accident Man Died in Wings of Airplane. http://t.co/xDxDPrcPnS</t>
  </si>
  <si>
    <t>92</t>
  </si>
  <si>
    <t>#OMG! I don't believe this. #RIP bro
#AirPlane #Accident #JetEngine #TurboJet #Boing #G90 http://t.co/KXxnSZp6nk</t>
  </si>
  <si>
    <t>Israel</t>
  </si>
  <si>
    <t>I had a airplane accident.</t>
  </si>
  <si>
    <t>italy</t>
  </si>
  <si>
    <t>airplane crashes on house in Colombia 12 people die in accident https://t.co/ZhJlfLBHZL</t>
  </si>
  <si>
    <t>nyc</t>
  </si>
  <si>
    <t>The shooting or the airplane accident  https://t.co/iECc1JDOub</t>
  </si>
  <si>
    <t>Toronto</t>
  </si>
  <si>
    <t>Could a drone cause an airplane accident? Pilots worried about use of drones esp. in close vicinity of airports http://t.co/kz35rGngJF #</t>
  </si>
  <si>
    <t>ambulance</t>
  </si>
  <si>
    <t>Early wake up call from my sister begging me to come over &amp;amp; ride w/her in the ambulance to the hospital #RODKiai</t>
  </si>
  <si>
    <t>Jackson</t>
  </si>
  <si>
    <t>http://t.co/AY6zzcUpnz Twelve feared killed in Pakistani air ambulance helicopter crash http://t.co/sC9dNS41Mc</t>
  </si>
  <si>
    <t>New York / Worldwide</t>
  </si>
  <si>
    <t>Two air ambulances on scene of serious crash between two cars and lorry in ... - http://t.co/9pFEaQeSki http://t.co/fntG70rnkx | #EMSNe_x0089_Û_</t>
  </si>
  <si>
    <t>Twelve feared killed in Pakistani air ambulance helicopter crash - Reuters http://t.co/mDnUGVuBwN #yugvani</t>
  </si>
  <si>
    <t>West Wales</t>
  </si>
  <si>
    <t>Anyone travelling Aberystwyth-Shrewsbury right now there's been an incident. Services at a halt just outside Shrews. Ambulance on scene.</t>
  </si>
  <si>
    <t>Twelve feared killed in Pakistani air ambulance helicopter crash http://t.co/Xum8YLcb4Q</t>
  </si>
  <si>
    <t xml:space="preserve">Arizona </t>
  </si>
  <si>
    <t>@20skyhawkmm20 @traplord_29 @FREDOSANTANA300 @LilReese300 it was hella crazy 3 fights an ambulance and a couple mosh pits ??</t>
  </si>
  <si>
    <t>#news Twelve feared killed in Pakistani air ambulance helicopter crash http://t.co/bFeS5tWBzt #til_now #DNA</t>
  </si>
  <si>
    <t>Amsterdam</t>
  </si>
  <si>
    <t>http://t.co/7xGLah10zL Twelve feared killed in Pakistani air ambulance helicopter crash http://t.co/THmblAATzP</t>
  </si>
  <si>
    <t>Pakistan air ambulance helicopter crash kills nine http://t.co/8E7rY8eBMf</t>
  </si>
  <si>
    <t>http://t.co/FCqmKFfflW Twelve feared killed in Pakistani air ambulance helicopter crash http://t.co/vAyaYmbNgu</t>
  </si>
  <si>
    <t>Karachi</t>
  </si>
  <si>
    <t>Twelve feared killed in Pakistani air ambulance helicopter crash http://t.co/3bRme6Sn4t</t>
  </si>
  <si>
    <t>|| c h i c a g o ||</t>
  </si>
  <si>
    <t>when you don't know which way an ambulance is coming from &amp;lt;&amp;lt;</t>
  </si>
  <si>
    <t>#reuters Twelve feared killed in Pakistani air ambulance helicopter crash http://t.co/ShzPyIQok5</t>
  </si>
  <si>
    <t>L. A.</t>
  </si>
  <si>
    <t>http://t.co/pWwpUm6RBj Twelve feared killed in Pakistani air ambulance helicopter crash http://t.co/ySpON4d6Qo</t>
  </si>
  <si>
    <t>Lexington</t>
  </si>
  <si>
    <t>http://t.co/FueRk0gWui Twelve feared killed in Pakistani air ambulance helicopter crash http://t.co/Mv7GgGlmVc</t>
  </si>
  <si>
    <t>http://t.co/X5YEUYLT1X Twelve feared killed in Pakistani air ambulance helicopter crash http://t.co/2UgrMd1z1n</t>
  </si>
  <si>
    <t>Twelve feared killed in Pakistani air ambulance helicopter crash http://t.co/TH9YwBbeet #worldNews</t>
  </si>
  <si>
    <t>Hannover, Germany</t>
  </si>
  <si>
    <t>Twelve feared killed in Pakistani air ambulance helicopter crash http://t.co/X2Qsjod40u #worldnews</t>
  </si>
  <si>
    <t>Playa</t>
  </si>
  <si>
    <t>http://t.co/J8TYT1XRRK Twelve feared killed in Pakistani air ambulance helicopter crash http://t.co/9d4nAzOI94</t>
  </si>
  <si>
    <t>annihilated</t>
  </si>
  <si>
    <t>Annihilated Abs . ?? http://t.co/1xPw292tJe</t>
  </si>
  <si>
    <t>Boston</t>
  </si>
  <si>
    <t>Cop pulls drunk driver to safety SECONDS before his car is hit by train. http://t.co/tHrhKHOGcUåÊ http://t.co/tZSZmF2qxE via @ViralSpell</t>
  </si>
  <si>
    <t>Cop pulls drunk driver to safety SECONDS before his car is hit by train. http://t.co/C0nKGp6w03åÊ http://t.co/IMWmfDJSSn via @ViralSpell</t>
  </si>
  <si>
    <t>@violentfeminazi I guess that's ok for Armenians since we've spent most of our history getting annihilated</t>
  </si>
  <si>
    <t>70 years since we annihilated 100000 people instantly and became aware that we have the ability to annihilate the whole of humanity</t>
  </si>
  <si>
    <t>London</t>
  </si>
  <si>
    <t>During the 1960s the oryx a symbol of the Arabian Peninsula were annihilated by hunters. 
http://t.co/yangEQBUQW http://t.co/jQ2eH5KGLt</t>
  </si>
  <si>
    <t>Ready to get annihilated for the BUCS game</t>
  </si>
  <si>
    <t>South 37</t>
  </si>
  <si>
    <t>@PhilipDuncan @breakfastone People 'annihilated by last nights weather'... Really Philip thought you would have forecast that...</t>
  </si>
  <si>
    <t>@TomcatArts thus explaining why you were all annihilated. But the few or in this case you the only survivor evolved and became godlike</t>
  </si>
  <si>
    <t>Cop pulls drunk driver to safety SECONDS before his car is hit by train. http://t.co/F1BAkpNyn6åÊ http://t.co/lZXwoAyE4x via @ViralSpell</t>
  </si>
  <si>
    <t>Swaning Around</t>
  </si>
  <si>
    <t>ANNIHILATED IN DAMASCUS: SYRIAN ARMY GRINDS _x0089_Û÷ALLOOSH AND HIS GANG INTO THE MANURE PILE
http://t.co/7rakhP3bWm</t>
  </si>
  <si>
    <t>annihilation</t>
  </si>
  <si>
    <t>California, USA</t>
  </si>
  <si>
    <t>@rvfriedmann Hell is just a fraction of his belief of total annihilation destruction of USA @LodiSilverado @ritzy_jewels</t>
  </si>
  <si>
    <t>Wild Wild Web</t>
  </si>
  <si>
    <t>annihilating quarterstaff of annihilation</t>
  </si>
  <si>
    <t>Spain</t>
  </si>
  <si>
    <t>:StarMade: :Stardate 3: :Planetary Annihilation:: http://t.co/I2hHvIUmTm via @YouTube</t>
  </si>
  <si>
    <t>CA physically- Boston Strong?</t>
  </si>
  <si>
    <t>U.S National Park Services Tonto National Forest: Stop the Annihilation of the Salt River Wild Horse... https://t.co/sW1sBua3mN via @Change</t>
  </si>
  <si>
    <t>U.S National Park Services Tonto National Forest: Stop the Annihilation of the Salt River Wild Horse... http://t.co/KPQk0C4G0M via @Change</t>
  </si>
  <si>
    <t>@CalFreedomMom @steph93065 not to mention a major contributor to the annihilation of Israel</t>
  </si>
  <si>
    <t>@willienelson We need help! Horses will die!Please RT &amp;amp; sign petition!Take a stand &amp;amp; be a voice for them! #gilbert23 https://t.co/e8dl1lNCVu</t>
  </si>
  <si>
    <t>Ljubljana, Slovenia</t>
  </si>
  <si>
    <t>Stop the Annihilation of the Salt River Wild Horses! http://t.co/wVobVVtXKg via @Change</t>
  </si>
  <si>
    <t>Subconscious LA</t>
  </si>
  <si>
    <t>World Annihilation vs Self Transformation http://t.co/pyehwodWun Aliens Attack to Exterminate Humans http://t.co/8jxqL8Cv8Z</t>
  </si>
  <si>
    <t>Chandler, AZ</t>
  </si>
  <si>
    <t>U.S National Park Services Tonto National Forest: Stop the Annihilation of the Salt River Wild Horse... http://t.co/SB5R7ShcCJ via @Change</t>
  </si>
  <si>
    <t>apocalypse</t>
  </si>
  <si>
    <t>sindria</t>
  </si>
  <si>
    <t>ohH NO FUKURODANI DIDN'T SURVIVE THE APOCALYPSE BOKUTO FEELS HORRIBLE  my poor boy my ppor child</t>
  </si>
  <si>
    <t>Elk Grove, CA, USA</t>
  </si>
  <si>
    <t>Another hour! It's August 05 2015 at 08:02PM Here's Red Rover Zombie Apocalypse 2014! http://t.co/cf9e6TU3g7 #internetradio #collegeradi_x0089_Û_</t>
  </si>
  <si>
    <t>Austin, TX</t>
  </si>
  <si>
    <t>I know it's a question of interpretation but this is a sign of the apocalypse.  I called it https://t.co/my8q1uWIjn</t>
  </si>
  <si>
    <t>Albuquerque</t>
  </si>
  <si>
    <t>And so it begins.. day one of the snow apocalypse</t>
  </si>
  <si>
    <t>San Antonio-ish, TX</t>
  </si>
  <si>
    <t>Dad bought a DVD that looks like a science doc on the front but I read the back and it's actually about the impending biblical apocalypse</t>
  </si>
  <si>
    <t>Buffalo NY</t>
  </si>
  <si>
    <t>There's a Storm over Cairo in the latest 'X-Men Apocalypse' set photo https://t.co/fS012trUDG via @YahooTV</t>
  </si>
  <si>
    <t>The latest from @BryanSinger reveals #Storm is a queen in #Apocalypse @RuPaul @AlexShipppp http://t.co/oQw8Jx6rTs</t>
  </si>
  <si>
    <t>Shadow boxing the apocalypse</t>
  </si>
  <si>
    <t>Short Reading
Apocalypse 21:1023 
In the spirit the angel took me to the top of an enormous high mountain and... http://t.co/v8AfTD9zeZ</t>
  </si>
  <si>
    <t>armageddon</t>
  </si>
  <si>
    <t>California, United States</t>
  </si>
  <si>
    <t>#PBBan (Temporary:300) hyider_ghost2 @'aRmageddon | DO NOT KILL | FLAGS ONLY | Fast XP' for Reason</t>
  </si>
  <si>
    <t>Here And There</t>
  </si>
  <si>
    <t>Armageddon https://t.co/uCSUDk3q1d</t>
  </si>
  <si>
    <t>Florida, USA</t>
  </si>
  <si>
    <t>Vladimir Putin Issues Major Warning But Is It Too Late To Escape Armageddon?
http://t.co/gBxafy1m1C</t>
  </si>
  <si>
    <t>Toronto, ON</t>
  </si>
  <si>
    <t>@Erker Again?? Eep! Thought of you yesterday when I saw that hella scary hail. #armageddon?</t>
  </si>
  <si>
    <t>Paul Craig Roberts _x0089_ÛÒ Vladimir Putin Issues Major Warning But Is It Too Late To Escape A http://t.co/NVfKzv5FEx #brics #roberts #russia</t>
  </si>
  <si>
    <t>army</t>
  </si>
  <si>
    <t>Memphis, TN</t>
  </si>
  <si>
    <t>Salvation Army hosts rally to reconnect fathers with children: The Salvation Army is hosting a back to school rally_x0089_Û_ http://t.co/rDjpor3AZg</t>
  </si>
  <si>
    <t>Studio</t>
  </si>
  <si>
    <t>But if you build an army of 100 dogs and their leader is a lion all dogs will fight like a lion.</t>
  </si>
  <si>
    <t>One Direction Is my pick for http://t.co/q2eBlOKeVE Fan Army #Directioners http://t.co/eNCmhz6y34 x1392</t>
  </si>
  <si>
    <t>VICTORINOX SWISS ARMY DATE WOMEN'S RUBBER MOP WATCH 241487 http://t.co/yFy3nkkcoH http://t.co/KNEhVvOHVK</t>
  </si>
  <si>
    <t>Burbank,CA</t>
  </si>
  <si>
    <t>@AP what a violent country get the army involved to help control the killings and bring back peace to the poor people.</t>
  </si>
  <si>
    <t>arson</t>
  </si>
  <si>
    <t>Spokane, Washington</t>
  </si>
  <si>
    <t>Spokane authorities say they're struggling to solve arson cases like today's on Hamilton. http://t.co/Qbs2k01WzK http://t.co/mvLZIYsGLL</t>
  </si>
  <si>
    <t>Thousands attend a rally organized by Peace Now protesting the arson attack that took the life of an http://t.co/bvCKd9pdTi</t>
  </si>
  <si>
    <t>Our Empire State</t>
  </si>
  <si>
    <t>Another fake hate crime Lesbians burn their own house down. What else Is new :http://t.co/66oBQmxImb</t>
  </si>
  <si>
    <t>Los Angeles Times: Arson suspect linked to 30 fires caught in Northern ... - http://t.co/xwMs1AWW8m #NewsInTweets http://t.co/TE2YeRugsi</t>
  </si>
  <si>
    <t>Mourning notices for stabbing arson victims stir _x0089_Û÷politics of grief_x0089_Ûª in Israel http://t.co/eug6zHciun</t>
  </si>
  <si>
    <t>Jerusalem</t>
  </si>
  <si>
    <t>Mourning notices for stabbing arson victims stir _x0089_Û÷politics of grief_x0089_Ûª in Israel http://t.co/KkbXIBlAH7</t>
  </si>
  <si>
    <t>Republic of Texas</t>
  </si>
  <si>
    <t>Arson suspect linked to 30 fires caught in Northern California http://t.co/EJ2GHNAfHY</t>
  </si>
  <si>
    <t>Trial Date Set for Man Charged with Arson Burglary http://t.co/WftCrLz32P</t>
  </si>
  <si>
    <t>bajaur</t>
  </si>
  <si>
    <t>After death of Palestinian toddler in arson
attack Israel cracks down on Jewish</t>
  </si>
  <si>
    <t>Palestinian Teen Killed Amid Protests Against Arson Attack http://t.co/okVsImoGic</t>
  </si>
  <si>
    <t>Eldoret, kenya</t>
  </si>
  <si>
    <t>#Kisii Police in Kisii hunt for students over failed arson plot: Police in Kisii hunt for students... http://t.co/m5SbFRrSn7 #CountyNews</t>
  </si>
  <si>
    <t>_x0089_ÛÊ_x0089_ÛÊ_x0089_ÛÊ</t>
  </si>
  <si>
    <t>Mariah getting thick in the shoulders poor girl.</t>
  </si>
  <si>
    <t>Miami,FL</t>
  </si>
  <si>
    <t>RelaxInPR: miprv: RT latimes: Arson suspect linked to 30 fires caught in Northern California http://t.co/ylhAyfaOOu</t>
  </si>
  <si>
    <t>Jewish leaders prayed at the hospital where a Palestinian family is being treated after arson http://t.co/Wf8iTK2KVx via @HuffPostRelig</t>
  </si>
  <si>
    <t>#Kisii Police in Kisii hunt for students over failed arson plot: Police in Kisii hunt for students... http://t.co/5bdrFU1duo #CountyNews</t>
  </si>
  <si>
    <t>Mourning notices for stabbing arson victims stir _x0089_Û÷politics of grief_x0089_Ûª in Israel http://t.co/Q4L7Dg56JM</t>
  </si>
  <si>
    <t>Jerusalem, Israel</t>
  </si>
  <si>
    <t>Mourning notices for stabbing arson victims stir _x0089_Û÷politics of grief_x0089_Ûª in Israel http://t.co/GbluHRrlto</t>
  </si>
  <si>
    <t>Owner of Chicago-Area Gay Bar Admits to Arson Scheme http://t.co/ZPxE3fMYNG #LGBT</t>
  </si>
  <si>
    <t>Menasha, WI</t>
  </si>
  <si>
    <t>Arson suspect linked to 30 fires caught in Northern California http://t.co/wnuqQAtTTP (via @latimes)</t>
  </si>
  <si>
    <t>Tennessee lesbian couple faked hate crime and destroyed own home with arson_x0089_Û_ http://t.co/10mUEY8PXJ #Lesbian</t>
  </si>
  <si>
    <t>Arson suspect linked to 30 fires caught in Northern California - Los Angeles Times http://t.co/PrRB4fhXtv</t>
  </si>
  <si>
    <t>Arson suspect linked to 30 fires caught in Northern California http://t.co/u1fuWrGK5U</t>
  </si>
  <si>
    <t>arsonist</t>
  </si>
  <si>
    <t>ss</t>
  </si>
  <si>
    <t>@_301DC @Cloudy_goldrush i hate white people mo</t>
  </si>
  <si>
    <t>Earth</t>
  </si>
  <si>
    <t>Alleged East Bay serial arsonist arrested http://t.co/WR48AQTUm7</t>
  </si>
  <si>
    <t>Worldwide</t>
  </si>
  <si>
    <t>Suspected serial arsonist arrested in Calif. http://t.co/PzotPDGAkI</t>
  </si>
  <si>
    <t>Bleak House</t>
  </si>
  <si>
    <t>Arson suspect linked to 30 fires caught in Northern California http://t.co/mmGsyAHDzb</t>
  </si>
  <si>
    <t>SF Bay Area</t>
  </si>
  <si>
    <t>#Arsonist arrested for setting many fires. WATCH tonight_x0089_Ûªs other #headlines: http://t.co/sqgogJ3S5r. #Nightbeat @VeronicaDLCruz #2MinuteMix</t>
  </si>
  <si>
    <t>California</t>
  </si>
  <si>
    <t>Alleged East Bay serial arsonist arrested #SanFrancisco - http://t.co/ojuHfkHVb2</t>
  </si>
  <si>
    <t>New York</t>
  </si>
  <si>
    <t>Arsonist Sets NYC Vegetarian Restaurant on Fire: Police #NewYork - http://t.co/Nr7usT3uh8</t>
  </si>
  <si>
    <t>Big Top Burning The True Story Of An Arsonist A Missing Girl _x0089_Û_ : http://t.co/QxH1H61cwD .</t>
  </si>
  <si>
    <t>attack</t>
  </si>
  <si>
    <t>Dallas, TX</t>
  </si>
  <si>
    <t>Stay vigilent. Civil liberties are under constant attack. #nativehuman #myreligion  https://t.co/WWu070Tjej</t>
  </si>
  <si>
    <t>http://t.co/pTKrXtZjtV  Nashville Theater Attack: Will Gun Grabbers Now Demand _x0089_ÛÏHatchet Control?_x0089_Û_x009d_</t>
  </si>
  <si>
    <t>Location</t>
  </si>
  <si>
    <t>BREAKING: Terror Attack On
Police Post #Udhampur</t>
  </si>
  <si>
    <t>it scares me that there's new versions of nuclear attack warnings like just knowing that governments still prepare for them</t>
  </si>
  <si>
    <t>ISIL claims suicide bombing at Saudi mosque that killed at least 15 http://t.co/Y8IcF89H6w http://t.co/t9MSnZV1Kb</t>
  </si>
  <si>
    <t>Freeport IL. USA</t>
  </si>
  <si>
    <t>Horrific attack on wife by muslim in Italy http://t.co/nY3l1oRZQb LiveLeak #News</t>
  </si>
  <si>
    <t>_x0089_Ûª93 blasts accused Yeda Yakub dies in Karachi of heart attack http://t.co/mfKqyxd8XG #Mumbai</t>
  </si>
  <si>
    <t>Dubai</t>
  </si>
  <si>
    <t>@etribune  US Drone attack kills 4-suspected militants in North Waziristan @AceBreakingNews https://t.co/jB038rdFAK</t>
  </si>
  <si>
    <t>Tucson, Az</t>
  </si>
  <si>
    <t>Suspect in latest theater attack had psychological issues http://t.co/3huhZxliiG</t>
  </si>
  <si>
    <t>Militants attack police post in Udhampur; 2 SPOs injured | LiveMint http://t.co/Rptouz2iJs | http://t.co/69mLhfefhr #AllTheNews</t>
  </si>
  <si>
    <t>Seattle WA</t>
  </si>
  <si>
    <t>BREAKING: Obama Officials GAVE Muslim Terrorist the Weapon Used in Texas Attack http://t.co/qi8QDw5dFG</t>
  </si>
  <si>
    <t>Delhi Government to Provide Free Treatment to Acid Attack Victims in Private Hospitals http://t.co/H6PM1W7elL</t>
  </si>
  <si>
    <t>Bellevue NE</t>
  </si>
  <si>
    <t>New post from @darkreading http://t.co/8eIJDXApnp New SMB Relay Attack Steals User Credentials Over Internet</t>
  </si>
  <si>
    <t>West Bank, Gaza Strip</t>
  </si>
  <si>
    <t>Israeli forces raid home of alleged car attack suspect http://t.co/3GVUS8NPpy #palestine</t>
  </si>
  <si>
    <t>#volleyball Attack II Volleyball Training Machine - Sets Simulation - http://t.co/dCDeCFv934 http://t.co/dWBC1dUvdk</t>
  </si>
  <si>
    <t>Online 24/7. Not even kidding.</t>
  </si>
  <si>
    <t>Notley's tactful yet very direct response to Harper's attack on Alberta's gov't. Hell YEAH Premier! http://t.co/rzSUlzMOkX #ableg #cdnpoli</t>
  </si>
  <si>
    <t>Police: Assailant in latest US movie theatre attack was homeless had psychological issues http://t.co/zdCvlYq6qK</t>
  </si>
  <si>
    <t>Halton, Ontario</t>
  </si>
  <si>
    <t>Suspect in latest US theatre attack had psychological issues http://t.co/OnPnBx0ZEx http://t.co/uM5IcN5Et2</t>
  </si>
  <si>
    <t>Mumbai</t>
  </si>
  <si>
    <t>India shud not give any evidence 2 pak.They will share with terrorists &amp;amp; use for next attack.Share with oth contries https://t.co/qioPbTIUVu</t>
  </si>
  <si>
    <t>portland, oregon</t>
  </si>
  <si>
    <t>illegal alien released by Obama/DHS 4 times Charged With Rape &amp;amp; Murder of Santa Maria CA Woman Had Prior Offenses  http://t.co/MqP4hF9GpO</t>
  </si>
  <si>
    <t>FIMAK A.S Ist Bolge Muduru</t>
  </si>
  <si>
    <t>Strongly condemn attack on ARY news team in Karachi. A cowardly act against those simply trying to do their job!</t>
  </si>
  <si>
    <t>Nashville Theater Attack: Will Gun Grabbers Now Demand _x0089_ÛÏHatchet Control?_x0089_Û_x009d_  http://t.co/OyoGII97yH</t>
  </si>
  <si>
    <t>London.</t>
  </si>
  <si>
    <t>The fact that the atomic bombs were called 'Little Boy' and 'Fat man' says a lot about the mentality that went into the attack.</t>
  </si>
  <si>
    <t>Dayton, Ohio</t>
  </si>
  <si>
    <t>A Dayton-area org tells me it was hit by a cyber attack: http://t.co/7LhKJz0IVO</t>
  </si>
  <si>
    <t>Global</t>
  </si>
  <si>
    <t>[infowars]  Nashville Theater Attack: Will Gun Grabbers Now Demand _x0089_ÛÏHatchet Control?_x0089_Û_x009d_ http://t.co/n3yJb8TcPm #nwo</t>
  </si>
  <si>
    <t>attacked</t>
  </si>
  <si>
    <t>City Of Joy</t>
  </si>
  <si>
    <t>Cop injured in gunfight as militants attack Udhampur police post: Suspected militants attacked a police post i... http://t.co/2h0dPMv2Ef</t>
  </si>
  <si>
    <t>MAURITIUS</t>
  </si>
  <si>
    <t>Israeli helicopters that attacked civilians in Gaza just completed exercises in Greece.</t>
  </si>
  <si>
    <t>AKRON OHIO USA</t>
  </si>
  <si>
    <t>Christian Attacked by Muslims at the Temple Mount after Waving Israeli Flag via Pamela Geller - ... http://t.co/5qYcZyWKgG</t>
  </si>
  <si>
    <t>Christian Attacked by Muslims at the Temple Mount after Waving Israeli Flag via Pamela Geller - ... http://t.co/U0kEOe5fMt</t>
  </si>
  <si>
    <t>Christian Attacked by Muslims at the Temple Mount after Waving Israeli Flag via Pamela Geller - ... http://t.co/f5MiuhqaBy</t>
  </si>
  <si>
    <t>#PT: The unit attacked by IS was responsible for targeting Muslim Scholars and imprisoning the youth. http://t.co/f4LhfmEhzh</t>
  </si>
  <si>
    <t>Telnet attacked from 124.13.172.40 (STREAMYX-HOME-SOUTHERN MY)</t>
  </si>
  <si>
    <t>Christian Attacked by Muslims at the Temple Mount after Waving Israeli Flag via Pamela Geller - ... http://t.co/wGWiQmICL1</t>
  </si>
  <si>
    <t>Christian Attacked by Muslims at the Temple Mount after Waving Israeli Flag via Pamela Geller - ... http://t.co/NhxSe3RTHX</t>
  </si>
  <si>
    <t>LEALMAN, FLORIDA</t>
  </si>
  <si>
    <t>Christian Attacked by Muslims at the Temple Mount after Waving Israeli Flag via Pamela Geller - ... http://t.co/LHBZHWq4B9</t>
  </si>
  <si>
    <t>San Francisco, CA</t>
  </si>
  <si>
    <t>Kelly Osbourne attacked for racist Donald Trump remark about Latinos on The View http://t.co/7nAgdSAdWP</t>
  </si>
  <si>
    <t>Groningen, Netherlands, Europe</t>
  </si>
  <si>
    <t>Christian Attacked by Muslims at the Temple Mount after Waving Israeli Flag via Pamela Geller - ... http://t.co/mXZ7yX8ld1</t>
  </si>
  <si>
    <t>Livingston, IL  U.S.A.</t>
  </si>
  <si>
    <t>Christian Attacked by Muslims at the Temple Mount after Waving Israeli Flag via Pamela Geller - ... http://t.co/e4YDbM4Dx6</t>
  </si>
  <si>
    <t xml:space="preserve">Arundel </t>
  </si>
  <si>
    <t>Christian Attacked by Muslims at the Temple Mount after Waving Israeli Flag via Pamela Geller - ... http://t.co/T1aa5Ov7Eg</t>
  </si>
  <si>
    <t>America</t>
  </si>
  <si>
    <t>Christian Attacked by Muslims at the Temple Mount after Waving Israeli Flag via Pamela Geller - ... http://t.co/EMDJNNltP0</t>
  </si>
  <si>
    <t>Christian Attacked by Muslims at the Temple Mount after Waving Israeli Flag via Pamela Geller - ... http://t.co/a6wmbnR51S</t>
  </si>
  <si>
    <t>israel</t>
  </si>
  <si>
    <t>Christian Attacked by Muslims at the Temple Mount after Waving Israeli Flag via Pamela Geller - ... http://t.co/ETg0prBP4G</t>
  </si>
  <si>
    <t>The Hammock, FL, USA</t>
  </si>
  <si>
    <t>Christian Attacked by Muslims at the Temple Mount after Waving Israeli Flag via Pamela Geller - ... http://t.co/yUBKHf9iyh</t>
  </si>
  <si>
    <t>??????????????????</t>
  </si>
  <si>
    <t>TV program I saw said US air plane flew to uranium mine in Fukushima and attacked by machine gun when student army were digging it.</t>
  </si>
  <si>
    <t>SÌ£o Paulo SP,  Brasil</t>
  </si>
  <si>
    <t>Christian Attacked by Muslims at the Temple Mount after Waving Israeli Flag via Pamela Geller - ... http://t.co/e4wK8Uri8A</t>
  </si>
  <si>
    <t>Oslo, Norway</t>
  </si>
  <si>
    <t>Christian Attacked by Muslims at the Temple Mount after Waving Israeli Flag via Pamela Geller - ... http://t.co/1pDJoq4Jc1</t>
  </si>
  <si>
    <t>avalanche</t>
  </si>
  <si>
    <t>driving the avalanche after having my car for a week is like driving a tank</t>
  </si>
  <si>
    <t>Denver, CO</t>
  </si>
  <si>
    <t>Chiasson Sens can't come to deal #ColoradoAvalanche #Avalanche http://t.co/2bk7laGMa9 http://t.co/bkDGCfsuiQ</t>
  </si>
  <si>
    <t>World</t>
  </si>
  <si>
    <t>Avalanche City - Sunset http://t.co/48h3tLvLXr #nowplay #listen #radio</t>
  </si>
  <si>
    <t>Chevrolet : Avalanche LT 2011 lt used 5.3 l v 8 16 v automatic 4 wd pickup truck premium b_x0089_Û_ http://t.co/OBkY8Pc89H http://t.co/dXIRnTdSrd</t>
  </si>
  <si>
    <t>battle</t>
  </si>
  <si>
    <t>STAR WARS POWER OF THE JEDI COLLECTION 1 BATTLE DROID HASBRO - Full read by eBay http://t.co/xFguklrlTf http://t.co/FeGu8hWMc4</t>
  </si>
  <si>
    <t>CIVIL WAR GENERAL BATTLE BULL RUN HERO COLONEL 2nd NEW HAMPSHIRE LETTER SIGNED ! http://t.co/Ot0tFFpBYB http://t.co/zaRBwep9LD</t>
  </si>
  <si>
    <t>Jerusalem!</t>
  </si>
  <si>
    <t>Indeed!! I am fully aware of that battle! I support you in that fight!!  https://t.co/MctJnZX4H8</t>
  </si>
  <si>
    <t>Black Eye 9: A space battle occurred at Star M27329 involving 1 fleets totaling 1236 ships with 7 destroyed</t>
  </si>
  <si>
    <t>A young German stormtrooper engaged in the Battle of the Somme 1916. [800 ÌÑ 582 ] http://t.co/yxvMifLvc4</t>
  </si>
  <si>
    <t>bioterror</t>
  </si>
  <si>
    <t>Washington D.C.</t>
  </si>
  <si>
    <t>News: FedEx no longer to transport bioterror germs in wake of anthrax lab mishaps http://t.co/xteZGjfs8A</t>
  </si>
  <si>
    <t>West Virginia, USA</t>
  </si>
  <si>
    <t>FedEx no longer to transport bioterror germs in wake of anthrax lab mishaps http://t.co/HQsU8LWltH via @usatoday</t>
  </si>
  <si>
    <t>Jacksonville Busines FedEx stops shipping potential bioterror pathogens http://t.co/sHzsYmaUSi</t>
  </si>
  <si>
    <t>Silver Spring, MD</t>
  </si>
  <si>
    <t>.@APHL responds: FedEx no longer to transport bioterror germs in wake of anthrax lab mishaps http://t.co/cGdj3dRso9</t>
  </si>
  <si>
    <t>#News FedEx no longer to transport bioterror germs in wake of anthrax lab mishaps (say what?): åÊFedEx no... http://t.co/K0Y7xFxmXA #TCOT</t>
  </si>
  <si>
    <t>Phoenix, AZ</t>
  </si>
  <si>
    <t>FedEx to stop transporting bioterror germs after lab mishaps: FedEx has stopped transporting certain research ... http://t.co/y3dM9uLqxG</t>
  </si>
  <si>
    <t>House Energy &amp;amp;amp; Commerce subcommittee to hold 7/28 hearing of CDC oversight of bioterror labs Army anthrax mishaps. htt_x0089_Û_</t>
  </si>
  <si>
    <t>Memphis</t>
  </si>
  <si>
    <t>FedEx not willing to transport research specimens of potential bioterror pathogens in wake of anthrax lab mishaps  http://t.co/cM8UnI1mRG</t>
  </si>
  <si>
    <t>iTunes</t>
  </si>
  <si>
    <t>#world FedEx no longer to transport bioterror germs in wake of anthrax lab mishaps  http://t.co/wvExJjRG6E</t>
  </si>
  <si>
    <t>FedEx no longer to transport bioterror germs in wake of anthrax lab mishaps http://t.co/P96rgBbaYL #news #phone #apple #mobile</t>
  </si>
  <si>
    <t>Oxford, MS</t>
  </si>
  <si>
    <t>Hmm...this could be problem for some researchers: FedEx no longer to transport select agents http://t.co/9vIibxgjAV via @usatoday</t>
  </si>
  <si>
    <t>US</t>
  </si>
  <si>
    <t>FedEx no longer to transport bioterror germs in wake of anthrax lab mishaps http://t.co/pWAMG8oZj4</t>
  </si>
  <si>
    <t>Atlanta, GA</t>
  </si>
  <si>
    <t>FedEx no longer will ship potential bioterror pathogens - FedEx Corp. (NYSE: FDX) will no longer deliver packages ... http://t.co/2kdq56xTWs</t>
  </si>
  <si>
    <t>#NowPlaying at #orchardalley in #LES of #nyc 'bioterror- manufactured fear and state repression' @abcnorio #gardens http://t.co/Ba2rRXUgsG</t>
  </si>
  <si>
    <t>Jacksonville, FL</t>
  </si>
  <si>
    <t>[JAX Biz Journal] FedEx stops shipping potential bioterror pathogens http://t.co/R33nCvjovC</t>
  </si>
  <si>
    <t>Arkansas, Jonesboro</t>
  </si>
  <si>
    <t>USATODAY: On today's #frontpage: #Bioterror lab faced secret sanctions. #RickPerry doesn't make the cut for FoxNew_x0089_Û_ http://t.co/5uKOHk7SoB</t>
  </si>
  <si>
    <t>Melbourne, Florida</t>
  </si>
  <si>
    <t>FedEx no longer to transport bioterror germs in wake of anthrax lab mishaps http://t.co/c0p3SEsqWm via @usatoday</t>
  </si>
  <si>
    <t>FedEx stops shipping potential bioterror pathogens http://t.co/tkeOAeDQKq #trucking</t>
  </si>
  <si>
    <t>FedEx no longer to transport bioterror germs in wake of anthrax lab mishaps http://t.co/MqbYrAvK6h</t>
  </si>
  <si>
    <t>Over the Moon...</t>
  </si>
  <si>
    <t>#FedEx no longer to transport bioterror germs in wake of anthrax lab mishaps http://t.co/S4SiCMYRmH</t>
  </si>
  <si>
    <t>Espoo, Finland</t>
  </si>
  <si>
    <t>USATODAY: On today's #frontpage: #Bioterror lab faced secret sanctions. #RickPerry doesn't make the cut for FoxNew_x0089_Û_ http://t.co/xFHh2XF9Ga</t>
  </si>
  <si>
    <t>FedEx no longer to transport bioterror germs in wake of anthrax lab mishaps http://t.co/4M5UHeyfDo via @USATODAY</t>
  </si>
  <si>
    <t>bioterrorism</t>
  </si>
  <si>
    <t>To fight bioterrorism sir.</t>
  </si>
  <si>
    <t>OES 4th Point. sisSTAR &amp; TI</t>
  </si>
  <si>
    <t>I liked a @YouTube video http://t.co/XO2ZbPBJB3 FEMA REGION III TARGETED for BIOTERRORISM !!! NASA - JAPAN ROCKET LAUNCH with LITHIUM</t>
  </si>
  <si>
    <t>Sydney, New South Wales</t>
  </si>
  <si>
    <t>#anthrax #bioterrorism CDC To Carry Out Extensive Review of Lab Safety And Pathogen Handling Procedures http://t.co/bCLqpWFDOd</t>
  </si>
  <si>
    <t>@CAgov If 90BLKs&amp;amp;8WHTs colluded 2 take WHT F @USAgov AUTH Hostage&amp;amp;2 make her look BLK w/Bioterrorism&amp;amp;use her lgl/org IDis ID still hers?@VP</t>
  </si>
  <si>
    <t>@DarrellIssa Does that 'great Iran deal' cover bioterrorism? You got cut off terrible of them. Keep up the good work.</t>
  </si>
  <si>
    <t>A Tale of Two Pox - Body Horrors http://t.co/W2IXT1k0AB #virus #infectiousdiseases #bioterrorism</t>
  </si>
  <si>
    <t>Bioterrorism public health superbug biolabs epidemics biosurveillance outbreaks | Homeland Security News Wire http://t.co/cvhYGwcBZv</t>
  </si>
  <si>
    <t>@O_Magazine satan's daughter shadow warrior in 50ft women aka transgender mode ps nyc is about to fold extra extra center of bioterrorism</t>
  </si>
  <si>
    <t>New York City</t>
  </si>
  <si>
    <t>@DrRichardBesser Yes. I would think not. But since college 88-92 it's been difficult not to think of bioterrorism esp. bc 'dispersed.'</t>
  </si>
  <si>
    <t>Hudson Valley, NY</t>
  </si>
  <si>
    <t>Volunteers needed to participate in Emergency Preparedness drill simulating a bioterrorism disaster: http://t.co/NWV2RvGHf3 @HVnewsnetwork</t>
  </si>
  <si>
    <t>Philadelphia, PA</t>
  </si>
  <si>
    <t>@MeyerBjoern @thelonevirologi @MackayIM of a major American newspaper running a series on all the alleged bioterrorism research going on 2/n</t>
  </si>
  <si>
    <t>CDC has a pretty cool list of all bioterrorism agents :3</t>
  </si>
  <si>
    <t>timeline kamu</t>
  </si>
  <si>
    <t>Government Experts Concerned About Possible Bioterrorism Using GM Organisms: Scientists are concerned that the... http://t.co/SuMe5prO0F</t>
  </si>
  <si>
    <t>@StationCDRKelly Any Support Sys 4 @USAgov AUTH taken Hostage by BLK US clergyforced 2 exist younger&amp;amp;grossly disfigured by BIOTERRORISM?@AP</t>
  </si>
  <si>
    <t>@APhiABeta1907 w/ugliness due 2 your 'ugly'@AMESocialAction Frat's BIOTERRORISMI'm she who's @FBI ID U $tolewant'g another in my Home.@ABC</t>
  </si>
  <si>
    <t>@HowardU If 90BLKs&amp;amp;8WHTs colluded 2 take WHT F @USAgov AUTH Hostage&amp;amp;2 make her look BLK w/Bioterrorism&amp;amp;use her lgl/org IDis ID still hers?</t>
  </si>
  <si>
    <t>@cspanwj If 90BLKs&amp;amp;8WHTs colluded 2 take WHT F @USAgov AUTH Hostage&amp;amp;2 make her look BLK w/Bioterrorism&amp;amp;use her lgl/org IDis ID still hers?</t>
  </si>
  <si>
    <t>The #IranDeal only covers nuclear activity. What are they doing about Bioterrorism? Iran has broken at least 27 other agreements.</t>
  </si>
  <si>
    <t xml:space="preserve">Searching for Bae </t>
  </si>
  <si>
    <t>The Threat | Anthrax | CDC http://t.co/q6oxzq45VE via @CDCgov</t>
  </si>
  <si>
    <t>#bioterrorism Authorities allay #glanders fears ahead of Rio Olympic equestrian test event http://t.co/UotPNSQpz5 via @HorsetalkNZ</t>
  </si>
  <si>
    <t>blaze</t>
  </si>
  <si>
    <t>Temecula, CA</t>
  </si>
  <si>
    <t>Pendleton media office said only fire on base right now is the Horno blaze.</t>
  </si>
  <si>
    <t>Fresno, CA</t>
  </si>
  <si>
    <t>Love living on my own. I can blaze inside my apt or on the balcony</t>
  </si>
  <si>
    <t>Property losses from California wildfire nearly double as week-old blaze rages http://t.co/E0UUsnpsq5</t>
  </si>
  <si>
    <t>Raleigh Durham, NC</t>
  </si>
  <si>
    <t>#breaking Firefighters battling blaze at east Cary condo building http://t.co/mIM8hH2ce6</t>
  </si>
  <si>
    <t xml:space="preserve">Karachi </t>
  </si>
  <si>
    <t>Property losses from #California wildfire nearly double as week-old blaze rages: The fire_x0089_Û_ http://t.co/MsdizftZ2g</t>
  </si>
  <si>
    <t>blazing</t>
  </si>
  <si>
    <t>Pig Symbol, Alabama</t>
  </si>
  <si>
    <t>Montgomery come for the blazing hot weather...stay for the STDs. Yet another rejected city slogan.</t>
  </si>
  <si>
    <t>bleeding</t>
  </si>
  <si>
    <t>IN</t>
  </si>
  <si>
    <t>you can stab me in the back but I promise you'll be the one bleeding</t>
  </si>
  <si>
    <t>I waited 2.5 hours to get a cab my feet are bleeding</t>
  </si>
  <si>
    <t>Live Oak, TX</t>
  </si>
  <si>
    <t>@KatRamsland Yes I'm a bleeding heart liberal.</t>
  </si>
  <si>
    <t>Gages Lake, IL</t>
  </si>
  <si>
    <t>@beckyfeigin I defs will when it stops bleeding!</t>
  </si>
  <si>
    <t>The Great State of Texas</t>
  </si>
  <si>
    <t>@Benjm1 @TourofUtah @B1Grego saw that pileup on TV keep racing even bleeding</t>
  </si>
  <si>
    <t>blew%20up</t>
  </si>
  <si>
    <t>@BenKin97 @Mili_5499 remember when u were up like 4-0 and blew it in one game? U probs don't because it was before the kings won the cup</t>
  </si>
  <si>
    <t>Did anyone else see that fireball falling to earth? Look like a plane blew up.</t>
  </si>
  <si>
    <t>blight</t>
  </si>
  <si>
    <t>Central Illinois</t>
  </si>
  <si>
    <t>@todd_calfee so @mattburgener wanted to see that info on blight u got</t>
  </si>
  <si>
    <t>The #Palestinian #refugee tragedy is a blight on humanity &amp;amp; should shame every #Israeli for living with it. https://t.co/gAAE0nO5du</t>
  </si>
  <si>
    <t>blizzard</t>
  </si>
  <si>
    <t>Sydney</t>
  </si>
  <si>
    <t>@Ashayo @MsMiggi Hi Ashayo! I believe there will be VODs on YouTube after the presentation but there is nothing like seeing it live :)</t>
  </si>
  <si>
    <t>Himalayan Mountains</t>
  </si>
  <si>
    <t>#Tweet4Taiji is a dolphin worship group based on superstitions! Just take a look at their tweets!</t>
  </si>
  <si>
    <t>The ?? below ???</t>
  </si>
  <si>
    <t>@BubblyCuteOne ?????????? ok ok okayyyyyy Ima act right ....bout to get this blizzard tho</t>
  </si>
  <si>
    <t>I call it a little bit of your blizzard?</t>
  </si>
  <si>
    <t>blood</t>
  </si>
  <si>
    <t>Cairo, Egypt</t>
  </si>
  <si>
    <t>people with a #tattoo out there.. Are u allowed to donate blood and receive blood as well or not?</t>
  </si>
  <si>
    <t>Can't believe more people in their mid 20's don't have high blood pressure. Life is stressful. #DecisionsOnDecisions</t>
  </si>
  <si>
    <t>The World</t>
  </si>
  <si>
    <t>Ain't no hoe in my blood</t>
  </si>
  <si>
    <t>???</t>
  </si>
  <si>
    <t>Private thirsty night?SAD BLOOD ROCK'N ROLL? #??</t>
  </si>
  <si>
    <t>it wasnt a very big stab but it was a deep stab and theres like blood everwhe</t>
  </si>
  <si>
    <t>bloody</t>
  </si>
  <si>
    <t>Nashua NH</t>
  </si>
  <si>
    <t>@TradCatKnight (1) Russia may have played into reason but that link is BS.  Okanowa was bloody and mainline invasion looked like a bloody</t>
  </si>
  <si>
    <t>Leicester</t>
  </si>
  <si>
    <t>Bloody insomnia again! Grrrr!! #Insomnia</t>
  </si>
  <si>
    <t>Isolated City In World Perth</t>
  </si>
  <si>
    <t>'I came to kill Indians...for FUN': Video of smirking and remorseless Pakistani killer shows him boasting. http://t.co/FPjLwOXKlg</t>
  </si>
  <si>
    <t>blown%20up</t>
  </si>
  <si>
    <t xml:space="preserve">The 5th Dimension. </t>
  </si>
  <si>
    <t>White family (supposedly representing America's GREAT values ) gets blown up in a horrible CGI nuclear strike..... LMFAOOOO!!!!!!!!!!!!</t>
  </si>
  <si>
    <t>The Grey Area</t>
  </si>
  <si>
    <t>On #ThisDayInHistory in 1862 Confederate ship blown up by crew. Read More http://t.co/IW7ELSzIfZ via @History</t>
  </si>
  <si>
    <t>Cobblestone</t>
  </si>
  <si>
    <t>'If a truckload of soldiers will be blown up nobody panics but when one little lion dies everyone loses their mind'
http://t.co/wjNTaOkdHf</t>
  </si>
  <si>
    <t>Los Angeles</t>
  </si>
  <si>
    <t>Even though BSG had been sufficiently hyped up for me in all the years I somehow delayed watching it I was utterly utterly blown away.</t>
  </si>
  <si>
    <t>Gotham</t>
  </si>
  <si>
    <t>@HopefulBatgirl went down I was beaten and blown up. Then next thing I know Ra Al Ghul brought me back to life and I escaped and for a---</t>
  </si>
  <si>
    <t>body%20bag</t>
  </si>
  <si>
    <t>Paignton</t>
  </si>
  <si>
    <t>?? New Ladies Shoulder Tote #Handbag Faux Leather Hobo Purse Cross Body Bag #Womens http://t.co/zujwUiomb3 http://t.co/iap4LwvqsW</t>
  </si>
  <si>
    <t>body%20bagging</t>
  </si>
  <si>
    <t>ÌÏT: 39.982988,-75.261624</t>
  </si>
  <si>
    <t>@fuckyeahcarey @BornVerified drake killing this dude and tea bagging the dead body at this point</t>
  </si>
  <si>
    <t>302???? 815</t>
  </si>
  <si>
    <t>@Yankees body bagging mfs</t>
  </si>
  <si>
    <t>316</t>
  </si>
  <si>
    <t>'I did another one I did another one. You still ain't done shit about the other one.' Nigga body bagging Meek.</t>
  </si>
  <si>
    <t>_x0089_ÛÏ@MacDaddy_Leo: ?????? No Caption Needed ??. Freshman... http://t.co/k8ughv2aif_x0089_Û_x009d_my nigga Stacey body bagging niggas! ????</t>
  </si>
  <si>
    <t>401 livin'</t>
  </si>
  <si>
    <t>Aubrey really out here body-bagging Meek.</t>
  </si>
  <si>
    <t>body%20bags</t>
  </si>
  <si>
    <t>Austin, Texas</t>
  </si>
  <si>
    <t>@FoxNews @JenGriffinFNC When you call to report dangerous activity tell em to have body bags on arrival.</t>
  </si>
  <si>
    <t>bomb</t>
  </si>
  <si>
    <t>Lincoln, NE</t>
  </si>
  <si>
    <t>the_af comments on 'New evidence of Japan's effort to build atom bomb at the end of WWII' - http://t.co/hcTxghR2Yf</t>
  </si>
  <si>
    <t>Bolton &amp; Tewkesbury, UK</t>
  </si>
  <si>
    <t>Hiroshima prepares to remember the day the bomb dropped http://t.co/oJHCGZXLSt</t>
  </si>
  <si>
    <t>The Guardian view on the Hiroshima legacy: still in the shadow of the bomb | Editorial: The world longs to cas... http://t.co/RhxMGhsPd7</t>
  </si>
  <si>
    <t>New Documents Found Pointing To Japan's WWII Atomic Bomb Program http://t.co/IucPcSfbMT</t>
  </si>
  <si>
    <t>@smallforestelf Umm because a gun stopped the gunman with who was carrying a bomb!</t>
  </si>
  <si>
    <t>New Documents Found Pointing To Japan's WWII Atomic Bomb Program http://t.co/M9mowCMVNj</t>
  </si>
  <si>
    <t>Hiroshima marks 70 years since bomb http://t.co/3u6MDLk7dI</t>
  </si>
  <si>
    <t>Ireland</t>
  </si>
  <si>
    <t>The crew on #EnolaGay had nuclear bomb on board disarmed. 15 mins to #Hiroshima they got ready to arm Little Boy http://t.co/JB25fHKe6q</t>
  </si>
  <si>
    <t>lagos nigeria</t>
  </si>
  <si>
    <t>If I fall is men GOD @Praiz8 is d bomb well av always known dat since 2008 bigger u I pray sir</t>
  </si>
  <si>
    <t>Edmonton, Alberta</t>
  </si>
  <si>
    <t>I came up with an idea of a fragrance concept for a bath bomb called The Blood of my Enemies. So you can say that's what you bathe in.</t>
  </si>
  <si>
    <t>Sunrise Manor, NV</t>
  </si>
  <si>
    <t>@SwellyJetEvo Disneyland! Tacos there are bomb!</t>
  </si>
  <si>
    <t>What would it look like if Hiroshima bomb hit Detroit?: Thursday marks the 70-year anniversary of the United S... http://t.co/6sy44kyYsD</t>
  </si>
  <si>
    <t>The hatchet-wielding gunman had PEPPER SPRAY AND A FAKE BOMB?!?!?</t>
  </si>
  <si>
    <t>Odawara, Japan</t>
  </si>
  <si>
    <t>Oops.
H bomb lost 70 miles off the Okinawan coast.
Fell off the ship 1965.
http://t.co/yVsJyzwxJR</t>
  </si>
  <si>
    <t>The Guardian view on the Hiroshima legacy: still in the shadow of the bomb | Editorial: The world longs to cas... http://t.co/ct2JUtvYTg</t>
  </si>
  <si>
    <t>bombed</t>
  </si>
  <si>
    <t>@SweetieBirks @mirrorlady2 @SLATUKIP So name all the countries we've invaded/bombed aside Libya in North Africa in last 5 years.....</t>
  </si>
  <si>
    <t>The U.S. bombed Hiroshima 70 years ago today. A look at how war has changed since: http://t.co/UQnj6nk9y3 http://t.co/QLnnMxzFqK</t>
  </si>
  <si>
    <t>Netherlands</t>
  </si>
  <si>
    <t>US drone bombs Islamic State target in Syria after taking off from Turkey: A US armed drone has bombed a targe... http://t.co/m0daP5xLwo</t>
  </si>
  <si>
    <t>DaKounty, Pa</t>
  </si>
  <si>
    <t>@CyhiThePrynce bombed on Kanye in that #ElephantInTheRoom ????????</t>
  </si>
  <si>
    <t>The majority of those killed were civilians on the ground after the jet first bombed the city's main street then dramatically plummeted</t>
  </si>
  <si>
    <t>Tokyo</t>
  </si>
  <si>
    <t>70 years ago at this hour the USA A-bombed Hiroshima therein killing 200000 civilians. Never forget the crime and never repeat. Peace ??</t>
  </si>
  <si>
    <t>DÌ_sseldorf, Germany</t>
  </si>
  <si>
    <t>On 1st August #Turkish jets bombed the village Zergele in Qendil and killed 8 civilians and 15 others wounded</t>
  </si>
  <si>
    <t>Old Blighty</t>
  </si>
  <si>
    <t>@NickLee8  i went to school in a bombed out East End of London3 families to one house no bathroom outside loo &amp;amp; poor so whats yr point</t>
  </si>
  <si>
    <t>??</t>
  </si>
  <si>
    <t>'the third generation atomic bombed survivor' Photo exhibition 11:00 to 18:00 8/6. 
#?? #Hiroshima http://t.co/gVAipmLSl0</t>
  </si>
  <si>
    <t xml:space="preserve">The land of New Jersey. </t>
  </si>
  <si>
    <t>Shadowflame and the Wraith: Bombed http://t.co/LDBaO0rSuz via @amazon</t>
  </si>
  <si>
    <t>Atlanta Georgia</t>
  </si>
  <si>
    <t>@WhiteHouse @POTUS Just cos Germany invaded Poland Japan bombed Pearl Harbor PRE-EMPTIVE SUICIDE http://t.co/I2AAG6Lp6W</t>
  </si>
  <si>
    <t xml:space="preserve">Nairobi, Kenya </t>
  </si>
  <si>
    <t>http://t.co/wMNOnHxEIr 'Nagasaki has to be forever the last city bombed with a nuclear weapon.' #bannukes</t>
  </si>
  <si>
    <t>Erbil</t>
  </si>
  <si>
    <t>.@Vagersedolla visits villages recently bombed by Turkey and finds people fed up with the PKK http://t.co/UUWEiKD7sP</t>
  </si>
  <si>
    <t>Stockton on tees Teesside UK</t>
  </si>
  <si>
    <t>@antpips67 @JohnEJefferson obviously I'm aware that not all AS are from countries we have bombed but a lot are fleeing conflict</t>
  </si>
  <si>
    <t>Screwston, TX</t>
  </si>
  <si>
    <t>'Redskins WR Roberts Belly-Bombed ' via @TeamStream http://t.co/GbcvVEvDTY</t>
  </si>
  <si>
    <t>melbourne</t>
  </si>
  <si>
    <t>Today Japan marks 70 yrs since the U.S (A) bombed 2 cities killing over 120000 people But we have to worry about Iran http://t.co/FcIXk23XQH</t>
  </si>
  <si>
    <t>She didn't even notice me in the background I'm a floatin head #bombed http://t.co/JA0WGp8sPe</t>
  </si>
  <si>
    <t>Ikeja, Nigeria</t>
  </si>
  <si>
    <t>70 years ago today the United States of America bombed Hiroshima in Japan.</t>
  </si>
  <si>
    <t>Warwick, RI @Dollarocracy also</t>
  </si>
  <si>
    <t>Storm in RI worse than last hurricane. My city&amp;amp;3others hardest hit. My yard looks like it was bombed. Around 20000K still without power</t>
  </si>
  <si>
    <t>bombing</t>
  </si>
  <si>
    <t>The United Kingdom and France are bombing Daesh in Syria - Voltaire Network http://t.co/zYSsObXNtC</t>
  </si>
  <si>
    <t>Shipwreck Cove</t>
  </si>
  <si>
    <t>It's been 70 years (and one hour) since the bombing of Hiroshima. Let's take this time to remember.</t>
  </si>
  <si>
    <t>The cryptic words that guided pilots on the Hiroshima bombing mission http://t.co/FCe0K1Ihti</t>
  </si>
  <si>
    <t>Japan on Thursday marks the 70th anniversary of the atomic bombing of Hiroshima with the most senior official from Washington ever schedule_x0089_Û_</t>
  </si>
  <si>
    <t>Sydney, Australia</t>
  </si>
  <si>
    <t>Today marks the 70th anniversary of the bombing of Hiroshima a city I visited and was humbled by in November 2013 http://t.co/AcC1z5Q9Zw</t>
  </si>
  <si>
    <t>@moscow_ghost @sayed_ridha @Amin_Akh congratulations on capturing a besieged city after 3 months of indiscriminate bombing by land &amp;amp; air</t>
  </si>
  <si>
    <t>The only country claiming the moral high ground is the only one to have dropped atomic bombs. #Hiroshima #BanTheBomb
http://t.co/6G49ywwsQJ</t>
  </si>
  <si>
    <t>The cryptic words that guided pilots on the Hiroshima bombing mission http://t.co/nSS5L64cvR #canada</t>
  </si>
  <si>
    <t>#Setting4Success Bells toll in Hiroshima as Japan marks 70 years since atomic bombing #News #smallbusiness #entrepreneur</t>
  </si>
  <si>
    <t>WorldWide</t>
  </si>
  <si>
    <t>#Australia #News ; #Japan marks 70th anniversary of #Hiroshima atomic bombing  http://t.co/7aD0L7cgee READ MORE; http://t.co/hHzQl9tzNP</t>
  </si>
  <si>
    <t>@NBCNews Yea bombing #pearlharbor not so good of an idea!</t>
  </si>
  <si>
    <t>The cryptic words that guided pilots on the Hiroshima bombing mission http://t.co/39IAbcC5pK</t>
  </si>
  <si>
    <t>70th anniversary of Hiroshima atomic bombing marked  http://t.co/1mGvd4x5Oe</t>
  </si>
  <si>
    <t>Japan Marks 70th Anniversary of Hiroshima Atomic Bombing http://t.co/93vqkdFgnr</t>
  </si>
  <si>
    <t>Overland Park, KS</t>
  </si>
  <si>
    <t>Japan Marks 70th Anniversary of Hiroshima Atomic Bombing http://t.co/cQLM9jOJOP</t>
  </si>
  <si>
    <t>SWMO</t>
  </si>
  <si>
    <t>Japan Marks 70th Anniversary of Hiroshima Atomic Bombing http://t.co/3EV07PPaPn</t>
  </si>
  <si>
    <t>Puerto Rico</t>
  </si>
  <si>
    <t>Japan Marks 70th Anniversary of Hiroshima Atomic Bombing http://t.co/jzgxwRgFQg</t>
  </si>
  <si>
    <t>Toronto-Citizen of Canada &amp; US</t>
  </si>
  <si>
    <t>@rinkydnk2 @ZaibatsuNews @NeoProgressive1 When push2Left talk='ecology'&amp;amp;'human rts'&amp;amp;'democracy'. War Afghetc='Left' humanitarian bombing</t>
  </si>
  <si>
    <t>Silicon Valley</t>
  </si>
  <si>
    <t>Hiroshima bombing justified: Majority Americans even today - Hindustan Times http://t.co/cC9z5asVZh</t>
  </si>
  <si>
    <t>@snapharmony : Bells toll in Hiroshima as Japan marks 70 years since atomic bombing http://t.co/yPvvqZ8jzt</t>
  </si>
  <si>
    <t>Japan marks 70th anniversary of Hiroshima atomic bombing http://t.co/a2SS7pr4gW</t>
  </si>
  <si>
    <t>Washington, DC</t>
  </si>
  <si>
    <t>#Japan marks 70th anniversary of #Hiroshima atomic bombing (from @AP) http://t.co/qREInWg0GS</t>
  </si>
  <si>
    <t>Today is the day Hiroshima got Atomic bomb 70 years ago.  - The 'sanitised narrative' of Hiroshima's atomic bombing http://t.co/GKpANz7vg0</t>
  </si>
  <si>
    <t>North East USA</t>
  </si>
  <si>
    <t>What it was like to survive the atomic bombing of Hiroshima
http://t.co/LGrOcbXPqo</t>
  </si>
  <si>
    <t>Singapore</t>
  </si>
  <si>
    <t>Japan marks 70th anniversary of Hiroshima atomic bombing: Bells tolled in Hiroshima on Thursday as Japan marked 70_x0089_Û_ http://t.co/NBZiKcJpHp</t>
  </si>
  <si>
    <t>United States</t>
  </si>
  <si>
    <t>Japan marks 70th anniversary of Hiroshima atomic bombing #Generalnews http://t.co/M9o08GUrT4</t>
  </si>
  <si>
    <t>bridge%20collapse</t>
  </si>
  <si>
    <t>@ameenshaikh3 by ur. logic if bridge didnt collapse then second train engine should cross bridge then  @sanjaynirupam @sureshprabhu</t>
  </si>
  <si>
    <t>Australia's Ashes disaster - how the collapse unfolded at Trent Bridge... http://t.co/Dq3ddGvgBF
 #cricket</t>
  </si>
  <si>
    <t>Sioux City Fire Officials Believe Bridge Collapse Lead To Cement Truck Roll Over - Siouxland Matters: Siouxlan... http://t.co/sZTGmbkoHG</t>
  </si>
  <si>
    <t>New Delhi, Delhi</t>
  </si>
  <si>
    <t>Ashes 2015: Australia_x0089_Ûªs collapse at Trent Bridge among worst in history: England bundled out Australia for 60 ... http://t.co/985DwWPdEt</t>
  </si>
  <si>
    <t>Buscame EL tu Melte</t>
  </si>
  <si>
    <t>2 Injured 1 missing in bridge collapse in central Mexico http://t.co/kHF0iH05A9</t>
  </si>
  <si>
    <t>I never knew about the relationship btwn Kansas City Hyatt bridge collapse &amp;amp; AIA's COTE.   http://t.co/ThS9IqSWP3 via @HuffPostArts</t>
  </si>
  <si>
    <t>Wiltshire</t>
  </si>
  <si>
    <t>What the fuck is going on at Trent Bridge?!  Reminds me of England's collapse out in the Caribbean back in the 90s...</t>
  </si>
  <si>
    <t>Swiss Kosher Hotel Bridge Collapse Injures Five People - http://t.co/TxIestoX5n @JewishPress</t>
  </si>
  <si>
    <t>PROUD INDIANS</t>
  </si>
  <si>
    <t>Bridge collapse not natural calamity but man-made: MPP lambasts Congress - KanglaOnline http://t.co/jp9XylA3C5  #Yugvani</t>
  </si>
  <si>
    <t>Two giant cranes holding a bridge collapse into nearby homes http://t.co/OQpsvrGbJc</t>
  </si>
  <si>
    <t>ICYMI - #Ashes 2015: Australia collapse at Trent Bridge - how Twitter reacted http://t.co/gl6eeJyJkY http://t.co/wqtDnP3w5a</t>
  </si>
  <si>
    <t>Mumbai , India</t>
  </si>
  <si>
    <t>Warne shocked over Australia's epic collapse at Trent Bridge: Johannesburg Aug 06 (ANI): Legendary Australian... http://t.co/LwwoJXtTIV</t>
  </si>
  <si>
    <t>Two giant cranes holding a bridge collapse into nearby homes http://t.co/UmANaaHwMI</t>
  </si>
  <si>
    <t>2 Injured 1 missing in bridge collapse in central Mexico - Fox News Latino http://t.co/l0UnaFLy0Y</t>
  </si>
  <si>
    <t>Two giant cranes holding a bridge collapse into nearby homes http://t.co/5t69Ev0xTi via http://t.co/Nyp8OQ2Z9T</t>
  </si>
  <si>
    <t>MUM-DEL</t>
  </si>
  <si>
    <t>#TrainTragedy - Happened in MP due to collapse of bridge now I m afraid to take a long distance train. http://t.co/JthusynJaH</t>
  </si>
  <si>
    <t>Two giant cranes holding a bridge collapse into nearby homes http://t.co/jBJRg3eP1Q</t>
  </si>
  <si>
    <t>Two giant cranes holding a bridge collapse into nearby homes http://t.co/gSKJqWyI2d</t>
  </si>
  <si>
    <t>#computers #gadgets Two giant cranes holding a bridge collapse into nearby homes http://t.co/UZIWgZRynY #slingnews</t>
  </si>
  <si>
    <t>Australia's Ashes disaster - how the collapse unfolded at Trent Bridge - Telegraph http://t.co/6FYnerMUsG</t>
  </si>
  <si>
    <t>Nigeria</t>
  </si>
  <si>
    <t>@followlasg This is urgentthere is currently a 3 storey building at church B/stop Oworoshoki Third mainland bridge which likely to collapse</t>
  </si>
  <si>
    <t>Playa del Carmen, Mexico</t>
  </si>
  <si>
    <t>Two giant cranes holding a bridge collapse into nearby homes http://t.co/lSQe7nu6kl</t>
  </si>
  <si>
    <t>Two giant cranes holding a bridge collapse into nearby homes http://t.co/q5q1x5Vcqk</t>
  </si>
  <si>
    <t>Ashes 2015: Australia collapse at Trent Bridge - how Twitter reacted http://t.co/ik7mGidvbm http://t.co/AF1yzUS8LN</t>
  </si>
  <si>
    <t>Mexico: construction of bridge collapse killsåÊone http://t.co/I2C00FcOwb http://t.co/jAAgcFaRTW</t>
  </si>
  <si>
    <t>Two cranes restoring a bridge in the central Dutch town of Alphen aan den Rijn collapse on to buildings with rescuers searching for</t>
  </si>
  <si>
    <t>Two giant cranes holding a bridge collapse into nearby homes http://t.co/9asc1hhFNJ</t>
  </si>
  <si>
    <t>NY, CT &amp; Greece</t>
  </si>
  <si>
    <t>US wont upgrade its infrastructure? http://t.co/NGEHhG9YGa' it a bad situation and its going to get ugly very quickly #USA #sustainability</t>
  </si>
  <si>
    <t>@ameenshaikh3 sir i just only wanted to make a point about @sureshpprabhu you made and said he is lying about bridge collapse.</t>
  </si>
  <si>
    <t>buildings%20burning</t>
  </si>
  <si>
    <t>'i'm a Gemini' *children screaming buildings burning police sirens in the distance*</t>
  </si>
  <si>
    <t>Mackay, QLD, Australia</t>
  </si>
  <si>
    <t>Mmmmmm I'm burning.... I'm burning buildings I'm building.... Oooooohhhh oooh ooh...</t>
  </si>
  <si>
    <t>Quincy MA</t>
  </si>
  <si>
    <t>@DougMartin17 Fireman Ed runs into burning buildings while others are running out Doug he deserves your respect??????</t>
  </si>
  <si>
    <t>NJ</t>
  </si>
  <si>
    <t>@themagickidraps not upset with a rally upset with burning buildings businesses executing cops that have nothing to do with it etc</t>
  </si>
  <si>
    <t>Madison, GA</t>
  </si>
  <si>
    <t>@_minimehh @cjoyner I must be overlooking the burning buildings? #BlackLivesMatter</t>
  </si>
  <si>
    <t>@fewmoretweets all lives matter. Just not a fan of burning down buildings and stealing from your neighbors to 'protest'</t>
  </si>
  <si>
    <t>Denver, Colorado</t>
  </si>
  <si>
    <t>The Rocky Fire burning in northern California is still threatening more than 7000 buildings. It's the largest in the state #9newsmornings</t>
  </si>
  <si>
    <t xml:space="preserve">Ziam af </t>
  </si>
  <si>
    <t>Messi: has tattoos so he can't donate blood
Ronaldo: runs into burning buildings to save dogs #respect</t>
  </si>
  <si>
    <t>I can probably skip on these basic life maintenance things for a few days. (cut to burning buildings people screaming in the streets)</t>
  </si>
  <si>
    <t>GO BLUE! HAIL YES!!</t>
  </si>
  <si>
    <t>@1acd4900c1424d1 @FoxNews no one is rioting burning down buildings or looting.</t>
  </si>
  <si>
    <t>Outside The Matrix, I Think.</t>
  </si>
  <si>
    <t>into burning fucking buildings (2/2)</t>
  </si>
  <si>
    <t>In Hell</t>
  </si>
  <si>
    <t>Schools in Western Uganda still Burning down Buildings during Strikes....Strikes in Western Uganda always Lit literally..</t>
  </si>
  <si>
    <t>somewhere over a rainbow</t>
  </si>
  <si>
    <t>@DoctorFluxx @StefanEJones @spinnellii @themermacorn  No burning buildings and rob during a riot. That's embarrassing &amp;amp; ruining this nation.</t>
  </si>
  <si>
    <t>Selma2Oakland</t>
  </si>
  <si>
    <t>People are more worried about the burning of buildings than black people losing their lives disgusting.</t>
  </si>
  <si>
    <t>Bradford. Back to doing what we do best. Burning down our own buildings. Read it and weep Leeds. https://t.co/OLnfzb86zb</t>
  </si>
  <si>
    <t>Bombardment Bay</t>
  </si>
  <si>
    <t>@EPCOTExplorer my jealous tears are burning with the fire of a thousand ransacked buildings. SO AWESOMEEEEEEEE</t>
  </si>
  <si>
    <t>@zourryart I forgot to add the burning buildings and screaming babies</t>
  </si>
  <si>
    <t>Savannah, GA</t>
  </si>
  <si>
    <t>Sinking ships burning buildings &amp;amp; Falling objects are what reminds me of the old us.</t>
  </si>
  <si>
    <t>dallas</t>
  </si>
  <si>
    <t>like for the music video I want some real action shit like burning buildings and police chases not some weak ben winston shit</t>
  </si>
  <si>
    <t>New Orleans ,Louisiana</t>
  </si>
  <si>
    <t>Burning buildings? Media outrage? http://t.co/pHixZnv1YN</t>
  </si>
  <si>
    <t>England, United Kingdom</t>
  </si>
  <si>
    <t>Must get hot in burning buildings
-loses followers- https://t.co/8sP8xLbbDR</t>
  </si>
  <si>
    <t>New Hampshire</t>
  </si>
  <si>
    <t>Witness video shows car explode behind burning buildings on 2nd St this afternoon #Manchester  http://t.co/cgmJlSEYLo via @MikeCroninWMUR</t>
  </si>
  <si>
    <t>Washington, D.C.</t>
  </si>
  <si>
    <t>Watching Xela firefighters struggle to save burning buildings last night w/ old equipment makes me so grateful for DCFD @ChR3lyc @IAFF36</t>
  </si>
  <si>
    <t>http://t.co/WRB7Xd8W5y
CROYDON RIOTS- The Next Day: Burning Buildings in High Street &amp;amp; crowds at Reeves Corner
Croydonization
August 2011</t>
  </si>
  <si>
    <t>buildings%20on%20fire</t>
  </si>
  <si>
    <t>World Wide</t>
  </si>
  <si>
    <t>Fire hazard associated with installation of non-compliant external cladding on http://t.co/bTPQdehl3p - By @www.cbplawyers</t>
  </si>
  <si>
    <t>Intermountain West</t>
  </si>
  <si>
    <t>.@greenbuildermag @NFPA to hold free webinar on #wildfire mitigation 8/19 at 2pm ET. http://t.co/xmsvOHKccP @Firewise @Michele_NFPA</t>
  </si>
  <si>
    <t>Video:  Fire burns two apartment buildings and blows up car in Manchester http://t.co/5BGcw3EzB5</t>
  </si>
  <si>
    <t>Fire destroys two buildings on 2nd Street in #Manchester http://t.co/Tqh5amoknd</t>
  </si>
  <si>
    <t>Tulsa, Oklahoma</t>
  </si>
  <si>
    <t>Multiple Buildings On Fire In Downtown Hinton http://t.co/P6kdh0p0Sp http://t.co/WaetKGsZA9</t>
  </si>
  <si>
    <t>Buildings are on fire and they have time for a business meeting #TheStrain</t>
  </si>
  <si>
    <t>Auburn, AL</t>
  </si>
  <si>
    <t>Ton of smoke coming out of one of the new apartment buildings at 160 Ross in Auburn. Several fire trucks on scene. http://t.co/AHVYmSQHqC</t>
  </si>
  <si>
    <t>Smoke detectors not required in all buildings: An office building on Shevlin-Hixon Drive was on fire. There we... http://t.co/z6Ee1jVhNi</t>
  </si>
  <si>
    <t>taken by piper curda</t>
  </si>
  <si>
    <t>someone: mentions gansey on fire
me busting through the brick walls of seven different buildings:</t>
  </si>
  <si>
    <t>Such beautiful architecture in #NYC I love those fire escape routes on the buildings. #newyork_x0089_Û_ https://t.co/fW1PtaElgV</t>
  </si>
  <si>
    <t xml:space="preserve">Scotland </t>
  </si>
  <si>
    <t>#TweetLikeItsSeptember11th2001 Those two buildings are on fire</t>
  </si>
  <si>
    <t>Nigeria, Global</t>
  </si>
  <si>
    <t>just in: #kenya: several buildings are reported to be on fire close to dam estate #langata at 2:22pm.</t>
  </si>
  <si>
    <t>Fort Walton Beach, Fl</t>
  </si>
  <si>
    <t>They are evacuating buildings in that area of State Road 20. We still don't have confirmation of what is on fire.</t>
  </si>
  <si>
    <t>Sweden</t>
  </si>
  <si>
    <t>shootings explosions hand grenades thrown at cars and houses &amp;amp; vehicles and buildings set on fire. It all just baffles me.Is this Sweden?</t>
  </si>
  <si>
    <t>NY Capital District</t>
  </si>
  <si>
    <t>Fire Displaces Families and Damages Two Buildings in Troy: Fire broke out on Fourth Street in_x0089_Û_ http://t.co/6HKw5qLPPt #Albany #NY #News</t>
  </si>
  <si>
    <t>Peoria</t>
  </si>
  <si>
    <t>What news reports am I missing? Are there buildings on fire people shot etc. due to videos? #PPSellsBabyParts https://t.co/Wzc5r4XOqZ</t>
  </si>
  <si>
    <t xml:space="preserve">Concord, NH </t>
  </si>
  <si>
    <t>Now on http://t.co/3sTH9lrBUn: PHOTOS: Flames rage through Manchester buildings in 3-alarm fire http://t.co/jQxM4gcQZ3 #NH1News</t>
  </si>
  <si>
    <t>CORNFIELDS</t>
  </si>
  <si>
    <t>@BigSim50 nah Philly pundits are half the cause. They set buildings on fire to report on buildings being on fire.</t>
  </si>
  <si>
    <t>Worcester, MA</t>
  </si>
  <si>
    <t>MaFireEMS: RT WMUR9: Two buildings involved in fire on 2nd Street in #Manchester. WMUR9  http://t.co/QUFwXRJIql via KCarosaWMUR</t>
  </si>
  <si>
    <t>Roanoke, VA</t>
  </si>
  <si>
    <t>Now on WSLS: fire burns multiple buildings in #Montgomery Co tips to make childcare less expensive &amp;amp; rain. Join @jennasjems @PatrickWSLS</t>
  </si>
  <si>
    <t>nj</t>
  </si>
  <si>
    <t>I just wanted to watch Paper Towns but the buildings on fire ?????</t>
  </si>
  <si>
    <t>I hope the only time I end up on TV is when I'm being arrested for lighting buildings on fire.</t>
  </si>
  <si>
    <t>MA via PA</t>
  </si>
  <si>
    <t>Charred remains of homes on 2nd St in Manchester NH after fire rips through 2 buildings damaging neighboring homes http://t.co/Ja3W1S3tmr</t>
  </si>
  <si>
    <t>Boston, MA</t>
  </si>
  <si>
    <t>Three-alarm fire destroys two residential buildings a car in Manchester N.H. on Sunday afternoon http://t.co/rVkyj3YUVK</t>
  </si>
  <si>
    <t>1943: Poland - work party prisoners in the Nazi death camp Treblinka rebelled seizing small arms and setting buildings on fire. #history</t>
  </si>
  <si>
    <t>17 people displaced after 3-alarm fire tore through 2 apartment buildings on Second Street in Manchester. -- http://t.co/NzqwTCYidv #MHT</t>
  </si>
  <si>
    <t>Oklahoma City, OK</t>
  </si>
  <si>
    <t>Hinton city officials confirm multiple buildings on fire currently evacuating people on Main Street. We're on our way @OKCFOX</t>
  </si>
  <si>
    <t>burned</t>
  </si>
  <si>
    <t>San Diego CA</t>
  </si>
  <si>
    <t>Fire burning on Pendleton has burned 300 acres: Smoke reported drifting over Temecula. http://t.co/ZR5RgbGh03</t>
  </si>
  <si>
    <t>All you have to do is look up sports riots on google and you'll see more than couches being burned.. You fr gotta go https://t.co/P1AmgINsYs</t>
  </si>
  <si>
    <t>Gainesville, FL</t>
  </si>
  <si>
    <t>burned 129 calories doing 24 minutes of Walking 3.5 mph brisk pace #myfitnesspal</t>
  </si>
  <si>
    <t>Oakland, CA</t>
  </si>
  <si>
    <t>Burned dog finds new home with young burn victim http://t.co/Pqrjvgvgxg</t>
  </si>
  <si>
    <t>Mad River Complex fires have burned 14028 acres 8% contained: The Mad River Complex fires in Trinity County ... http://t.co/LfNIPpNOtO</t>
  </si>
  <si>
    <t>Watch how bad that fool get burned in coverage this year. Dat dude is all-pro practice squad material</t>
  </si>
  <si>
    <t>Cherry Creek Denver CO</t>
  </si>
  <si>
    <t>Metal Cutting Sparks Brush Fire In Brighton: A brush fire that was sparked by a landowner cutting metal burned 10_x0089_Û_ http://t.co/rj7m42AtWS</t>
  </si>
  <si>
    <t>burning</t>
  </si>
  <si>
    <t>Isle of Man</t>
  </si>
  <si>
    <t>501 sky news mandem in totteham going maddddd burning up fed cars an dem ting dere</t>
  </si>
  <si>
    <t>_x0089_ÛÓ bulletproof and black like a funeral; the world around us is burning but we're so cold. http://t.co/uqssnAAtTu</t>
  </si>
  <si>
    <t>Gameday</t>
  </si>
  <si>
    <t>.@StacDemon with five burning questions for Chris Mullin and St. John_x0089_Ûªs in 2015-16: http://t.co/NmRVTHkvAh #SJUBB</t>
  </si>
  <si>
    <t>Earthling (For now!)</t>
  </si>
  <si>
    <t>Leader of #Zionism STOP BURNING #Babies  https://t.co/6xYsDN2Xz0</t>
  </si>
  <si>
    <t>Black Canyon New River, AZ</t>
  </si>
  <si>
    <t>Flames visible from fire in Tucson mountains: A lightning-caused fire burning in steep rocky terrain in mountains_x0089_Û_ http://t.co/zRTRPL77QV</t>
  </si>
  <si>
    <t>Caracas, Venezuela.</t>
  </si>
  <si>
    <t>We will be burning up like neon lights??????</t>
  </si>
  <si>
    <t>My hand is burning</t>
  </si>
  <si>
    <t>taco bell</t>
  </si>
  <si>
    <t>@Michael5SOS haha so would you say its so hot your balls are burning off????</t>
  </si>
  <si>
    <t>Australian Capital Territory</t>
  </si>
  <si>
    <t>#?x?: :and to counter acts such as the burning of the Alexandrian library.</t>
  </si>
  <si>
    <t>http://www.amazon.com/dp/B00HR</t>
  </si>
  <si>
    <t>'CALIFORNIA IS BURNING:' Gov. Jerry Brown told reporters at a press conference that California is experiencing... http://t.co/arzeMSR7FQ</t>
  </si>
  <si>
    <t>burning%20buildings</t>
  </si>
  <si>
    <t>Sacramento, CA</t>
  </si>
  <si>
    <t>Killing Black Babies at Planned Parenthood where's the demonstrations looting of PP burning down the buildings Black Babies Lives Matter</t>
  </si>
  <si>
    <t>please H? ?:??</t>
  </si>
  <si>
    <t>the mv should just be them strutting like they mean it while buildings are burning up in the bg and flames everywhere how cool would that be</t>
  </si>
  <si>
    <t>we?it _x0089_Û¢ ixwin</t>
  </si>
  <si>
    <t>@Louis_Tomlinson incredible? THE CHILDREN WERE SCREAMING BUILDINGS WERE BURNING AND I WAS DANCING IN THE ASHES</t>
  </si>
  <si>
    <t>@foxnewsvideo @AIIAmericanGirI @ANHQDC So ... where are the rioters looters and burning buildings????  WHITE LIVES MATTER!!!!!!</t>
  </si>
  <si>
    <t>forestservice : RT dhsscitech: #Firefighters run into burning buildings_x0089_ÛÓwe work on #tech t_x0089_Û_ http://t.co/KybQcSvrZa) http://t.co/Ih49kyMsMp</t>
  </si>
  <si>
    <t>Whiterun, Skyrim</t>
  </si>
  <si>
    <t>Destruction magic's fine just don't go burning down any buildings.</t>
  </si>
  <si>
    <t>Seattle, WA</t>
  </si>
  <si>
    <t>I will never support looting or the burning of buildings but when seeing the people fight back against the police. I was proud</t>
  </si>
  <si>
    <t>Large fire burning several buildings causing evacuations in downtown Hinton: http://t.co/mtMkiMwiyy</t>
  </si>
  <si>
    <t>Victoria, British Columbia</t>
  </si>
  <si>
    <t>Heavy smoke pouring out of buildings on fire in Port Coquitlam http://t.co/GeqkdaO4cV http://t.co/Dg0bGzeCgM</t>
  </si>
  <si>
    <t>Nelspruit, South Africa</t>
  </si>
  <si>
    <t>Strikers in Phalaborwa striking over the CHINESE taking their jobs. Strikers burning buildings attacking cars 2... http://t.co/08LnGClZsj</t>
  </si>
  <si>
    <t>Copenhagen, Capital Region of Denmark</t>
  </si>
  <si>
    <t>dog rendered a kitten from burning buildings
https://t.co/9cpWIEcEGv http://t.co/rZLYtneZ2u</t>
  </si>
  <si>
    <t>Spying on your thoughts</t>
  </si>
  <si>
    <t>@kshllcenterpri1 @Progress4Ohio burning down buildings what you mean like when you burnt down those black churches?</t>
  </si>
  <si>
    <t>Dudes will thoroughly express how stupid black ppl r for burning buildings in response to brutality but nvr mention them being mistreated.</t>
  </si>
  <si>
    <t xml:space="preserve">Tucson, Arizona </t>
  </si>
  <si>
    <t>You picture buildings burning to the ground from the basement to the streetlight. 
I'm not your drinking problem
a hole is in the sky.</t>
  </si>
  <si>
    <t>Epic City, BB.</t>
  </si>
  <si>
    <t>I Pledge Allegiance To The P.O.P.E. And The Burning Buildings of Epic City. ??????</t>
  </si>
  <si>
    <t>Charlotte County Florida</t>
  </si>
  <si>
    <t>Where are the protests ? The riots? The burning buildings? How come you don't see any of that crap happening when... http://t.co/1QOchsPYbw</t>
  </si>
  <si>
    <t>bush%20fires</t>
  </si>
  <si>
    <t>Head Office: United Kingdom</t>
  </si>
  <si>
    <t>Insane bush fires in California. Be safe. https://t.co/jSlxTQ3NqS</t>
  </si>
  <si>
    <t>Mid north coast of NSW</t>
  </si>
  <si>
    <t>@POTUS Would you please explain what you are going to do about the volcanoes &amp;amp; bush fires spouting all that CO2 into the air?</t>
  </si>
  <si>
    <t>iPhone: -27.499212,153.011072</t>
  </si>
  <si>
    <t>@marcoarment Middle of winter in Sydney we have had snow bush fires and 78 degree days in the last week.  Keeps you on your toes for sure.</t>
  </si>
  <si>
    <t>OMFG there are bush fires all over this tiny island. Our freaking house is gonna burn down.</t>
  </si>
  <si>
    <t>Jamaica</t>
  </si>
  <si>
    <t>Slash-and-burn blamed for bush fires in western St Thomas - http://t.co/5dJ6cHjFZP</t>
  </si>
  <si>
    <t>Trinidad and Tobago</t>
  </si>
  <si>
    <t>Drought fuels bush fires in Jamaica - http://t.co/ZDtDqQbAHC http://t.co/PsQCNsVfgP - @JamaicaObserver @cnewslive RE https://t.co/6ZGef8J8Bm</t>
  </si>
  <si>
    <t>@DoriCreates @alhanda seems gov moonbeam between tokes blames bush for all the fires.</t>
  </si>
  <si>
    <t>Melbourne Australia</t>
  </si>
  <si>
    <t>The Public Health Team was traumatised after the bush fires. Could #AppreciativeInquiry turn this around? http://t.co/soEa1GgbKj</t>
  </si>
  <si>
    <t>Canberra, Australian Capital Territory</t>
  </si>
  <si>
    <t>Californian Bush Fires 2015 http://t.co/rjdX29wosp</t>
  </si>
  <si>
    <t>28 Oct 1895: 'Bush Fires.' http://t.co/zCKXtFc9PT</t>
  </si>
  <si>
    <t xml:space="preserve">beacon hills </t>
  </si>
  <si>
    <t>@dacherryontop13 ohh there are bush fires in Spain like every year one time when we went swimming there were planes getting water to fight</t>
  </si>
  <si>
    <t>somewhere outside</t>
  </si>
  <si>
    <t>Bush Fires are scary....even scarier when you go down and fight them</t>
  </si>
  <si>
    <t xml:space="preserve">Wolmers Trust School for Boys </t>
  </si>
  <si>
    <t>Drought fuels bush fires in Jamaica - http://t.co/0YMF6TXFcH http://t.co/3i3d2NGeNt - @JamaicaObserver @cnewslive RE https://t.co/jyIEkEo2he</t>
  </si>
  <si>
    <t>Loughborough.</t>
  </si>
  <si>
    <t>@JohnFromCranber  Pleas FOR global warming don't really work when California / Australia keep having catastrophic 'bush' fires.</t>
  </si>
  <si>
    <t>SMH photographer Wolter Peeters was on the front line with NSW Rural Fire Service crews la_x0089_Û_ http://t.co/gXe7nHwZ3e http://t.co/sRbqlMuwbV</t>
  </si>
  <si>
    <t>So apparently there were bush fires near where I live over the weekend that I was totally oblivious to...</t>
  </si>
  <si>
    <t>Selangor</t>
  </si>
  <si>
    <t>California Bush fires please evacuate affected areas ASAP when california govts advised you to do so http://t.co/ubVEVUuAch</t>
  </si>
  <si>
    <t>The Bush fires in CA are so crazy</t>
  </si>
  <si>
    <t>casualties</t>
  </si>
  <si>
    <t>??
Warfighting Robots Could Reduce Civilian Casualties So Calling for a Ban Now Is Premature - IEEE Spectrum http://t.co/TzR58B86qz</t>
  </si>
  <si>
    <t>Another movie theater attack..close to home this time. Thankful for no casualties. Life will go on because we cannot allow evil to win!</t>
  </si>
  <si>
    <t>Philippines</t>
  </si>
  <si>
    <t>Civilian casualties rise as Afghan war intensifies in 2015-- http://t.co/NnylXhInPx</t>
  </si>
  <si>
    <t>Afghan conflict sees 'sharp rise' in female casualties http://t.co/4hcYwRWN6L http://t.co/2TwXZ6vxbx</t>
  </si>
  <si>
    <t>Bronx, New York</t>
  </si>
  <si>
    <t>Warfighting Robots Could Reduce Civilian Casualties So Calling for a... http://t.co/9DVU1RidZ3</t>
  </si>
  <si>
    <t>Afghanistan: U.N. Reports 'Record-High Levels' of Civilian Casualties
In news from Afghanistan the United... http://t.co/YMcZyVKfmE</t>
  </si>
  <si>
    <t>Le Moyne '16</t>
  </si>
  <si>
    <t>Need to stop bottling things up because when everything eventually explodes the casualties just keep getting higher and higher</t>
  </si>
  <si>
    <t>Countless Casualties All Across The Globe War Being Orchestrated On All The Corners Of The Planet [On All Levels] http://t.co/G1BWL3DQQK</t>
  </si>
  <si>
    <t>disinfo: Warfighting Robots Could Reduce Civilian Casualties So Calling for a Ban Now Is ... -... http://t.co/yUinMErQ2s #criticalmedia</t>
  </si>
  <si>
    <t>Hoxton, London</t>
  </si>
  <si>
    <t>A poignant reminder that in war there are many casualties. http://t.co/Mwmt3BdR5L</t>
  </si>
  <si>
    <t xml:space="preserve">Heinz Field </t>
  </si>
  <si>
    <t>There might be casualties tomorrow</t>
  </si>
  <si>
    <t>'American Weapons and Support Are Fueling a Bloody Air War in Yemen' http://t.co/7aGeAkVn2x</t>
  </si>
  <si>
    <t>The Low-Cal Calzone Zone</t>
  </si>
  <si>
    <t>I'M LAUGHING IN THE FACE OF CASUALTIES AND SORROW THE FIRST TIME I'M THINKING PAST TOMORROW BUT I AM NOT THROWIN AWAY MY SHOT</t>
  </si>
  <si>
    <t>Brooklyn, New York</t>
  </si>
  <si>
    <t>@Catwoman1775 Another shooting in a movie theater this is getting more crazier but I'm glad they got the shooter &amp;amp; no casualties.</t>
  </si>
  <si>
    <t>Students at Sutherland remember Australian casualties at Lone Pine Gallipoli
 http://t.co/d50oRfXoFB via @theleadernews</t>
  </si>
  <si>
    <t>Sharp rise in women children casualties in Afghan war UN says http://t.co/0CXm5TkZ8y http://t.co/v5aMDOvHOT</t>
  </si>
  <si>
    <t>50% Queanbeyan - 50% Sydney</t>
  </si>
  <si>
    <t>@FlyOpineMonkey You mean Olympic ;-) 
Also its follow-up for Honshu Operation Coronet. 
In all: 1m Allied casualties 30m Japanese dead.</t>
  </si>
  <si>
    <t>@AlcoholAndMetal + do anything to fix that. Of the few people he had every trusted in his life Charles was one of the casualties.</t>
  </si>
  <si>
    <t>Civilian Casualties in Afghanistan Reach Record High http://t.co/r8pTVFUh5X http://t.co/npCKK0tlEQ</t>
  </si>
  <si>
    <t>@CounterMoonbat @Voodoo_Ben I've heard we're still using Purple Hearts manufactured then bc of the # of casualties we expected.</t>
  </si>
  <si>
    <t>Another day has passed and THANKFULLY Central Command has CONFIRMED NO new casualties. Please pray for those in... http://t.co/mFSw0tYstA</t>
  </si>
  <si>
    <t>News Wrap: UN warns female and child casualties are on the rise in Afghanistan http://t.co/vSvY1qe69t #pbs #iraq</t>
  </si>
  <si>
    <t xml:space="preserve">everywhere </t>
  </si>
  <si>
    <t>Revise the Death to America scenario? 
While there's 500 American casualties by Iranian activity SUSPECTED!!! http://t.co/drlKEbeYPi</t>
  </si>
  <si>
    <t>Afghanistan, USA</t>
  </si>
  <si>
    <t>#Afghanistan: sharp rise in women and children casualties in first half of #2015 http://t.co/LdyWd4ydT9</t>
  </si>
  <si>
    <t>Absecon, NJ</t>
  </si>
  <si>
    <t>#Civilian casualties in Afghanistan hit highest number since 2009 U.N. says via @WashingtonPost - http://t.co/xTF5DvgRvh</t>
  </si>
  <si>
    <t>Williamsbridge, Bronx, New Yor</t>
  </si>
  <si>
    <t>Warfighting Robots Could Reduce Civilian Casualties So Calling for a Ban Now Is Premature http://t.co/lzff4pT4AZ #FTSN #FTSNNewsdesk #_x0089_Û_</t>
  </si>
  <si>
    <t>Northern Kentucky, USA</t>
  </si>
  <si>
    <t>@irishspy What you don't think the Allies should have just sucked up 1 million casualties?</t>
  </si>
  <si>
    <t>Afghanistan: sharp rise in women and children casualties in first half of 2015 http://t.co/3sqSErgnI2</t>
  </si>
  <si>
    <t>casualty</t>
  </si>
  <si>
    <t>Nairobi</t>
  </si>
  <si>
    <t>Train derailment: In Patna no news of any casualty so far http://t.co/Yg697fcQGr</t>
  </si>
  <si>
    <t>Property/casualty insurance rates up 1% in July: After several months of no movement commercial property/casu... http://t.co/KcLkoKqI8a</t>
  </si>
  <si>
    <t xml:space="preserve">south of heaven </t>
  </si>
  <si>
    <t>Cos sanity brings no reward for one more hit and one last score... Don't be a casualty cut the cord...</t>
  </si>
  <si>
    <t>Another sad ocean casualty-Gray whale population in the Pacific listed as critically #endangered (#drone video) https://t.co/vwz3vZpmfb .</t>
  </si>
  <si>
    <t>El Dorado, KS</t>
  </si>
  <si>
    <t>@ThomasHCrown My grandfather was set to be in the first groups of Marines to hit Japan in Operation Olympic. 95% casualty rate predictions</t>
  </si>
  <si>
    <t>Kenya</t>
  </si>
  <si>
    <t>Benzema increasingly looks to be a casualty of Benitez's new look squad. Arsenal bound? 50-50 chance I think</t>
  </si>
  <si>
    <t>UNPREDICTABLE DISCONNECTED AND SOCIAL CASUALTY ARE MY FAVORITES HOW DO PEOPLE NOT LIKE THEM</t>
  </si>
  <si>
    <t>Fairfield, California</t>
  </si>
  <si>
    <t>@NorthBayHealth Trauma Center Shines In Response To Multi-Casualty Crash. http://t.co/21B6SKPDUR http://t.co/wBCb3sYtj7</t>
  </si>
  <si>
    <t>Trinity, Bailiwick of Jersey</t>
  </si>
  <si>
    <t>@ScriptetteSar @katiecool447 btw the 30th is actually next year casualty began 6th September 1986 so 2016 marks 30 years</t>
  </si>
  <si>
    <t>Virginia</t>
  </si>
  <si>
    <t>@AvBronstein @Popehat @instapundit @KurtSchlichter Also are you aware of the casualty estimates for an invasion of Japan's home islands?</t>
  </si>
  <si>
    <t>Boulder, CO</t>
  </si>
  <si>
    <t>RT @GreenHarvard: Documenting climate change's first major casualty http://t.co/4q4zd7oU34 via @GreenHarvard</t>
  </si>
  <si>
    <t>In @4SkinChan 's arms</t>
  </si>
  <si>
    <t>@reriellechan HE WAS THE LICH KING'S FIRST CASUALTY BLOCK ME BACK I HATE YOU! http://t.co/0Gidg9U45J</t>
  </si>
  <si>
    <t>Massachusetts, USA</t>
  </si>
  <si>
    <t>Japan had a nuke program (albeit unsuccessful) and the casualty estimates for a ground war were in the tens of millions. @MacKinnon08</t>
  </si>
  <si>
    <t>Seattle</t>
  </si>
  <si>
    <t>#NowPlaying: Dubstep Hardstyle Trap Messy Mix (event recording) by Alien Casualty on @Mixify http://t.co/m203UL6o7p http://t.co/m203UL6o7p</t>
  </si>
  <si>
    <t>Kansas City, MO</t>
  </si>
  <si>
    <t>Small casualty on the way to Colorado http://t.co/hDVmhSQXHm</t>
  </si>
  <si>
    <t>catastrophe</t>
  </si>
  <si>
    <t>.@robdelaney  Catastrophe is anything but! I literally have been unable to stop ejaculating.</t>
  </si>
  <si>
    <t>@peterjukes But there are good grounds to believe that 'political military catastrophe' was a crime planned and committed by individuals.</t>
  </si>
  <si>
    <t>#boy #mix Ultimate #preparedness library: http://t.co/O207JyaByz Prepare Yourself For Any Catastrophe. Over 10 http://t.co/cjCtb2oCxg</t>
  </si>
  <si>
    <t>Brooklyn, NY</t>
  </si>
  <si>
    <t>UPDATE: 7 of the 9 Mac Pros my company bought in May have had catastrophe failures requiring repair!</t>
  </si>
  <si>
    <t>Azeroth</t>
  </si>
  <si>
    <t>Chances are many of us are still digging out from that catastrophe. THIS is why WoW NEEDS to evolve. THIS is why it can't be Vanilla anymore</t>
  </si>
  <si>
    <t>#nar #phuket Ultimate #preparedness library: http://t.co/qYAeNDvDGC Prepare Yourself For Any Catastrophe. Over http://t.co/3Zp6Ahnsxn</t>
  </si>
  <si>
    <t>bbc r5live studio discussion of hiroshima v poor. sheer *luck* the cold war did not result in catastrophe. MAD = red herring. #ScrapTrident</t>
  </si>
  <si>
    <t>catastrophic</t>
  </si>
  <si>
    <t>Learning from the Legacy of a Catastrophic Eruption http://t.co/RbmuCURS2F</t>
  </si>
  <si>
    <t>Piedmont Area, North Carolina</t>
  </si>
  <si>
    <t>Following a catastrophic injury acute medical care takes precedent.  PTSD often follows in it's wake undetected... http://t.co/BZkqpl6R0a</t>
  </si>
  <si>
    <t>The Catastrophic Effects of Hiroshima and Nagasaki Atomic Bombings Still Being Felt Today http://t.co/oU1M9chznq</t>
  </si>
  <si>
    <t>The Catastrophic Effects of Hiroshima and Nagasaki Atomic Bombings Still Being Felt Today http://t.co/TzxeG4gOkD</t>
  </si>
  <si>
    <t>The Catastrophic Effects of Hiroshima and Nagasaki Atomic Bombings Still Being Felt Today http://t.co/1kRPz3j1EU</t>
  </si>
  <si>
    <t>Buxton, Venice, and Nottingham</t>
  </si>
  <si>
    <t>'Invading Iraq was a catastrophic mistake'.
Diplomacy needs to replace constant threat of war by US and Israel:
http://t.co/yqjpn3qUUX</t>
  </si>
  <si>
    <t>Quito, Ecuador.</t>
  </si>
  <si>
    <t>Learning from the Legacy of a Catastrophic Eruption http://t.co/25sY9Y295L via @newyorker</t>
  </si>
  <si>
    <t xml:space="preserve">Inexpressible Island </t>
  </si>
  <si>
    <t>The Catastrophic Effects of Hiroshima and Nagasaki Atomic Bombings Still Being Felt Today http://t.co/WC8AqXeDF7</t>
  </si>
  <si>
    <t>New York, NY</t>
  </si>
  <si>
    <t>Learning from the most destructive volcanic event in U.S. history thirty-five years later: http://t.co/KkjP9KsBst</t>
  </si>
  <si>
    <t>The Catastrophic Effects of Hiroshima and Nagasaki Atomic Bombings Still Being Felt Today http://t.co/tGcR5voFJ3</t>
  </si>
  <si>
    <t xml:space="preserve"> Bouvet Island</t>
  </si>
  <si>
    <t>@APANO55 @JamesMelville 99% of Scientists don_x0089_Ûªt believe in Catastrophic Man-Made Global Warming only the deluded do.</t>
  </si>
  <si>
    <t>Planet Earth</t>
  </si>
  <si>
    <t>Learning from the Legacy of a Catastrophic Eruption - The New Yorker http://t.co/y8YqPBE4t9</t>
  </si>
  <si>
    <t xml:space="preserve">Paonia, Colorado </t>
  </si>
  <si>
    <t>Learning from the Legacy of a Catastrophic Eruption http://t.co/PgXfocgHqg via @newyorker</t>
  </si>
  <si>
    <t>The Catastrophic Effects of Hiroshima and Nagasaki Atomic Bombings Still Being Felt Today http://t.co/QVlxpyyyCd</t>
  </si>
  <si>
    <t>A better look at what this catastrophic rain and flooding has done to our_x0089_Û_ https://t.co/5yRBegzafX</t>
  </si>
  <si>
    <t>The Catastrophic Effects of Hiroshima and Nagasaki Atomic Bombings Still Being Felt Today http://t.co/rNqEBAyCVM</t>
  </si>
  <si>
    <t>Learning from the Legacy of a Catastrophic Eruption - The New Yorker http://t.co/t344PhNpy9</t>
  </si>
  <si>
    <t>Portland, OR</t>
  </si>
  <si>
    <t>Something Catastrophic Is Coming: Should We Tune Out? http://t.co/a8jZ5A26wi</t>
  </si>
  <si>
    <t>Dublin, Ireland</t>
  </si>
  <si>
    <t>'Kessler Syndrome' is the name for the catastrophic exponential proliferation of Space debris and destruction of satellites. #GravityMovie</t>
  </si>
  <si>
    <t>Learning from the Legacy of a Catastrophic Eruption - The New Yorker http://t.co/vMWTOUyOHm</t>
  </si>
  <si>
    <t>chemical%20emergency</t>
  </si>
  <si>
    <t>Virginia, United States</t>
  </si>
  <si>
    <t>#Illinois: Emergency units simulate a chemical explosion at NU https://t.co/rd10EX6HvT via @sharethis #hazmat</t>
  </si>
  <si>
    <t>Center for Domestic Preparedness</t>
  </si>
  <si>
    <t>At FEMA's Center for Disaster Preparedness for a weeklong training on Chemical Biological Radioactive Nuclear   Emergency Response</t>
  </si>
  <si>
    <t>Ukraine and Ireland</t>
  </si>
  <si>
    <t>Russian nuclear-biological-chemical (NBC) brigade 'emergency response' exercise in Southern MD http://t.co/Ul5XdblmBk http://t.co/VjHpVLnbaw</t>
  </si>
  <si>
    <t>Welt</t>
  </si>
  <si>
    <t>???? #Krefeld: the incident happened in a chemical industry park! Emergency operations underway! A building reportly collapsed! @cnnbrk @ntvde</t>
  </si>
  <si>
    <t>USA: BREAKING NEWS: CHEMICAL SPILL/EVACUATIONS/RED CROSS EMERGENCY http://t.co/007Npen6LG</t>
  </si>
  <si>
    <t>Beaumont, TX</t>
  </si>
  <si>
    <t>Emergency crews respond to chemical spill downtown beaumont #benews http://t.co/PME0HOJVYA</t>
  </si>
  <si>
    <t>Annapolis, MD</t>
  </si>
  <si>
    <t>Explosion at chemical site leads to building collapse near Krefeld Germany. Emergency crews on scene; avoid the area. #iJETalerts</t>
  </si>
  <si>
    <t>Las Vegas, Nevada</t>
  </si>
  <si>
    <t>Bomb Crash Loot Riot Emergency Pipe Bomb Nuclear Chemical Spill Gas Ricin Leak Violence Drugs Cartel Cocaine Marijuana Heroine Kidnap Bust</t>
  </si>
  <si>
    <t>Evanston, IL</t>
  </si>
  <si>
    <t>Emergency units simulate a chemical explosion at NU: Suppose a student in the research labs at Northwestern_x0089_Û_ http://t.co/0NR4DPjgyL</t>
  </si>
  <si>
    <t>Emergency units simulate a chemical explosion at NU: Suppose a student in the research labs at Northwestern_x0089_Û_ http://t.co/ExitLxgIsJ</t>
  </si>
  <si>
    <t>Ames, Iowa</t>
  </si>
  <si>
    <t>Our Chemical Spill Cleanup videos will prepare you for an emergency situation in the lab. http://t.co/UMQbyRUPBd</t>
  </si>
  <si>
    <t>Emergency units simulate a chemical explosion at NU - Evanston Now http://t.co/kfyEbhb3DI</t>
  </si>
  <si>
    <t>Emergency 4 Harbor City Mod v4.5.2 #6 Chemical Fire in Residential Area!: http://t.co/uLuPxYzJwV via @YouTube</t>
  </si>
  <si>
    <t>Mankato, MN</t>
  </si>
  <si>
    <t>Emergency responders prepare for chemical disaster through Hazmat training. http://t.co/q9zixCi8E6</t>
  </si>
  <si>
    <t>Orbost, Victoria, Australia</t>
  </si>
  <si>
    <t>Lindenow: 3:15pm
Emergency crews are at a chemical spill in the main street near Church Street</t>
  </si>
  <si>
    <t>cliff%20fall</t>
  </si>
  <si>
    <t xml:space="preserve">At Da Laundry Mat Wit Nivea </t>
  </si>
  <si>
    <t>2Leezy its like you're about to fall down a cliff but you're grabbing my hand but my palms are sweaty ... Why bruh? https://t.co/GrWdr4kuf3</t>
  </si>
  <si>
    <t>ok peace I hope I fall off a cliff along with my dignity</t>
  </si>
  <si>
    <t>#FunnyNews #Business Watch the moment a cliff collapses as huge chunks of rock fall onto a road in China  http://t.co/LCi3pljX25</t>
  </si>
  <si>
    <t>Fall off a cliff please  https://t.co/4vWSL2Gfp0</t>
  </si>
  <si>
    <t>livin life in the 610</t>
  </si>
  <si>
    <t>I accidentally killed an 87 day snap streak and now I wanna accidentally fall off a cliff ????????????????????</t>
  </si>
  <si>
    <t>Sydney Australia</t>
  </si>
  <si>
    <t>News Update Huge cliff landslide on road in China - Watch the moment a cliff collapses as huge chunks of rock fall... http://t.co/gaBd0cjmAG</t>
  </si>
  <si>
    <t>Lagos, Nigeria</t>
  </si>
  <si>
    <t>Huge cliff landslide on road in China: Watch the moment a cliff collapses as huge chunks of rock fall onto a r... http://t.co/eEEwO207mX</t>
  </si>
  <si>
    <t>627% but if they had lower striked than 16 I would have gone even further OTM. This could really fall off a cliff.</t>
  </si>
  <si>
    <t>collapse</t>
  </si>
  <si>
    <t>Runaway Minion Causes Traffic Collapse in Dublin http://t.co/u2Kwof3wtj</t>
  </si>
  <si>
    <t>Scotland</t>
  </si>
  <si>
    <t>Would a paramedic really do that? Leave someone inside a building that's about to collapse/blow up? @HalloIkBenWill</t>
  </si>
  <si>
    <t>Melrose</t>
  </si>
  <si>
    <t>Watch The Terrifying Moment Two Giant Cranes Collapse Onto Homes: A row of homes was destroyed in seconds. http://t.co/G38Y8H1tJt</t>
  </si>
  <si>
    <t>Interview on The Collapse of Materialism Best #TalkRadio Listen Live: http://t.co/sDXZHjco0X</t>
  </si>
  <si>
    <t>Economic Collapse Investing: Specific actions and strategies to securing lasting wealth from the financial blowout. http://t.co/JZwRisXEPF</t>
  </si>
  <si>
    <t>lugo</t>
  </si>
  <si>
    <t>EUROCRISIS Guardian Greece's tax revenues collapse as debt crisis continues: As talks continue over proposed _x0089_âÂ... http://t.co/bBm9sR1wOw</t>
  </si>
  <si>
    <t>mentions of 'theatre +shooting' on Twitter spike 30min prior to $ckec collapse http://t.co/uuBOvy9GQI</t>
  </si>
  <si>
    <t>Fakefams</t>
  </si>
  <si>
    <t>Correction: Tent Collapse Story http://t.co/S7VYGeNJuv</t>
  </si>
  <si>
    <t xml:space="preserve">Nigeria </t>
  </si>
  <si>
    <t>Correction: Tent Collapse Story http://t.co/jXs50FkviK</t>
  </si>
  <si>
    <t>#Bummerville otw</t>
  </si>
  <si>
    <t>Why did I come to work today.. Literally wanna collapse of exhaustion</t>
  </si>
  <si>
    <t>Europe</t>
  </si>
  <si>
    <t>#Greece's tax revenues collapse as debt crisis continues via @guardian #bailout http://t.co/cJvbQXw83s ^mp</t>
  </si>
  <si>
    <t>United Kingdom</t>
  </si>
  <si>
    <t>Now that's what you call a batting collapse #theashes</t>
  </si>
  <si>
    <t>Behind The Obama Curtain</t>
  </si>
  <si>
    <t>Greece's tax revenues collapse as debt crisis continues
http://t.co/uxp6PoqjLb</t>
  </si>
  <si>
    <t>The @POTUS economy continues to collapse.</t>
  </si>
  <si>
    <t>collapsed</t>
  </si>
  <si>
    <t>I was on my way to Gary but all the Chicago entrances was closed due to a bridge collapsed ?????? I hope they let us through tomorrow</t>
  </si>
  <si>
    <t>CAMARILLO, CA</t>
  </si>
  <si>
    <t>@organicallyrude @1ROCKSTAR62 #wish Mattingly &amp;amp; Bundy &amp;amp; McGwire were standing on it when it collapsed!</t>
  </si>
  <si>
    <t>Eugene, Oregon</t>
  </si>
  <si>
    <t>Roof collapsed a bowling alley many in the community remember going to for more than 30 years @KEZI9 http://t.co/sAhbhLXsSh</t>
  </si>
  <si>
    <t>1 hour parade like 50 people collapsed. #OneHeartOneMindOneCSS</t>
  </si>
  <si>
    <t xml:space="preserve">Paris </t>
  </si>
  <si>
    <t>... The pain of those seconds must have been awful as her heart burst and her lungs collapsed and there was no air and...</t>
  </si>
  <si>
    <t>Bay District coaches learn CPR during medical course: PANAMA CITY _x0089_ÛÓ An athlete collapsed on the field. Coaches... http://t.co/KFkaosh0KH</t>
  </si>
  <si>
    <t>Suplex City</t>
  </si>
  <si>
    <t>@durrellb Prices here are insane. Our dollar has collapsed against the US and it's punishing us. Thanks for the info.</t>
  </si>
  <si>
    <t>Kingston, Jamaica</t>
  </si>
  <si>
    <t>Another entity forced to close in Montego Bay as a result of the collapsed sewer line #TVJNews</t>
  </si>
  <si>
    <t>Alexandria, Egypt.</t>
  </si>
  <si>
    <t>Great British Bake Off's back and Dorret's chocolate gateau collapsed - JAN MOIR http://t.co/2SgDOFsmrQ http://t.co/xLEgC6UorA</t>
  </si>
  <si>
    <t>wherever-the-fuck washington</t>
  </si>
  <si>
    <t>@flickershowell oh wow my heart collapsed cool im crying cool cool</t>
  </si>
  <si>
    <t>From NY. In Scranton, PA</t>
  </si>
  <si>
    <t>Apparently part of the building just collapsed. Hope everyone is ok.</t>
  </si>
  <si>
    <t>Perth, Western Australia</t>
  </si>
  <si>
    <t>@xDescry I was wrong to call it trusty actually.. considering it spontaneously collapsed on me that's not very trusty.</t>
  </si>
  <si>
    <t>Petition | Heartless owner that whipped horse until it collapsed is told he can KEEP his animal! Act Now! http://t.co/87eFCBIczM</t>
  </si>
  <si>
    <t>collide</t>
  </si>
  <si>
    <t>Ormond By The Sea, FL</t>
  </si>
  <si>
    <t>@tackettdc Like a scene from When Worlds Collide ......</t>
  </si>
  <si>
    <t>Houston, Texas</t>
  </si>
  <si>
    <t>When Houston and NYC collide. ?? @pageparkescorp @chloeunguyen @laurensicle @charstevens97 @tiara_marei #gemma #bowe_x0089_Û_ http://t.co/9wowPs78VD</t>
  </si>
  <si>
    <t>Medford, NJ</t>
  </si>
  <si>
    <t>#TheDoolingGroup 2 injured when 2 school buses collide - åÊ #BREAKING: School bus slams into school bus in Bordento... http://t.co/YQHfio9XQm</t>
  </si>
  <si>
    <t>collided</t>
  </si>
  <si>
    <t>Police investigating after an e-bike collided with a car in Little Portugal. E-bike rider suffered serious non-life threatening injuries.</t>
  </si>
  <si>
    <t>Peterborough, On</t>
  </si>
  <si>
    <t>#Newswatch: 2 vehicles collided at Lock and Lansdowne Sts in #Ptbo. Emerg crews on their way</t>
  </si>
  <si>
    <t>I scored 111020 points in PUNCH QUEST stopped when a squeaky bat collided into my skull. http://t.co/aEtgbxm1pL</t>
  </si>
  <si>
    <t>Monsoon flooding - Monsoon rains have have hit India Pakistan and Myanmar hard this season. Two trains collided ... http://t.co/A7zF6N7vrL</t>
  </si>
  <si>
    <t>Eau Claire, Wisconsin</t>
  </si>
  <si>
    <t>An Eau Claire man who police said was drunk when his SUV collided with a train was sentenced in Chippewa County: http://t.co/kQpkY7Dthj</t>
  </si>
  <si>
    <t>St. Joseph, Minnesota</t>
  </si>
  <si>
    <t>Two trains have collided in India. Please pray for victims their families and rescuers.</t>
  </si>
  <si>
    <t>From a torn up town MANCHESTER</t>
  </si>
  <si>
    <t>Two cars collided following shotgun fire in Denton http://t.co/0r03C6njLI</t>
  </si>
  <si>
    <t>Waco TX</t>
  </si>
  <si>
    <t>Major accident causes life-threatening injuries closes highway: An 18-wheeler and an SUV collided and then_x0089_Û_ http://t.co/ajTXUafOEM</t>
  </si>
  <si>
    <t>Cape Cod, Massachusetts USA</t>
  </si>
  <si>
    <t>'Car vs motorcycle in Harwich Port' HARWICH PORT _x0089_ÛÒ A car and motorcycle collided around 5:30 p.m. The crash happen_x0089_Û_ http://t.co/ljxCE1QW2p</t>
  </si>
  <si>
    <t>The 2 cars right in front of me collided and If I hadnt stopped in time it would've been me too. #ButGod ????</t>
  </si>
  <si>
    <t>16 dead in Russia bus accident: At least 16 people were killed and 26 others injured when two buses collided i... http://t.co/jMBVPanXR3</t>
  </si>
  <si>
    <t>Stupid women nearly collided into me today after she came out of a junction not looking. Still kept coming towards me till I beep my horn</t>
  </si>
  <si>
    <t>Pakistan</t>
  </si>
  <si>
    <t>SSP East says a car AEG 061 driven by a young man collided with Akram's carhot words were exchanged n he did firing in air1bullet hit tyre</t>
  </si>
  <si>
    <t>Peterborough, Ont.</t>
  </si>
  <si>
    <t>Johannesburg, South Africa</t>
  </si>
  <si>
    <t>2 pple have been confirmed dead and over 20 rescued while many went missing after a ferry carrying 200 collided with a fishing boat.#News</t>
  </si>
  <si>
    <t>2 Cars Collide 1 Crashes Into Building: Two cars collided at an intersection and that sent one vehicle crashing_x0089_Û_ http://t.co/TpUu3eaTB3</t>
  </si>
  <si>
    <t>Traverse City, MI</t>
  </si>
  <si>
    <t>Bicycle-SUV accident in Mesick: Police say that the bicyclist entered onto West M-115 and collided with a boat... http://t.co/A9gtOPyZK8</t>
  </si>
  <si>
    <t>16 dead in Russia bus accident: At least 16 people were killed and 26 others injured when two buses collided i... http://t.co/ybyP68ieVn</t>
  </si>
  <si>
    <t xml:space="preserve">Hertfordshire </t>
  </si>
  <si>
    <t>Well that was a journey to get home! A train collided with cows on the track! ????</t>
  </si>
  <si>
    <t>ÌÏT: 41.252426,-96.072013</t>
  </si>
  <si>
    <t>Crews working to restore power in southwest Omaha after vehicle collided with utility pole. - http://t.co/dAn0Gkx28l</t>
  </si>
  <si>
    <t>Nairobi, Kenya</t>
  </si>
  <si>
    <t>Stepkans Media - Two confirmed dead after the boat they were travelling in Collided in. L.Victoria http://t.co/INGu6Ztyg4</t>
  </si>
  <si>
    <t>Cyclist who collided with runner on Roanoke greenway wins $300000 civil verdict - Roanoke Times: Cyclist who c... http://t.co/E2WfGp8JHk</t>
  </si>
  <si>
    <t xml:space="preserve">California </t>
  </si>
  <si>
    <t>Can't watch PVRIS I'm so sad bc it collided with another set</t>
  </si>
  <si>
    <t>collision</t>
  </si>
  <si>
    <t>Greeley, CO</t>
  </si>
  <si>
    <t>Motorcyclist bicyclist injured in Denver collision on Broadway: At least two people were taken to a local_x0089_Û_ http://t.co/2aCRGdqhJ0</t>
  </si>
  <si>
    <t>'soooota</t>
  </si>
  <si>
    <t>@Zojadelin you literally almost had a head on collision with us today on pilot knob</t>
  </si>
  <si>
    <t>Sacramento</t>
  </si>
  <si>
    <t>North Sac Elkhorn Blvd / Walerga Rd **Trfc Collision-1141 Enrt** http://t.co/W4ofcC99Wq</t>
  </si>
  <si>
    <t>Beat:G3 MOTOR VEHICLE COLLISION HIT AND RUN at RAINIER AV S / S CHARLES ST reported on 8/5/2015 6:08 PM Call# 15000270653</t>
  </si>
  <si>
    <t>Beat:B2 MOTOR VEHICLE COLLISION at N 35 ST / FREMONT AV N reported on 8/5/2015 6:52 PM Call# 15000270364</t>
  </si>
  <si>
    <t>South Sac Florin Rd / Franklin Blvd **Trfc Collision-1141 Enrt** http://t.co/Es1b3lywAy</t>
  </si>
  <si>
    <t>Ontario, Canada</t>
  </si>
  <si>
    <t>COLLISION: #Hwy401 EB just east of Hwy 8 #Cambridge Single vehicle blocking the left lane. #OPP enroute. ^ag</t>
  </si>
  <si>
    <t>Arvada, CO</t>
  </si>
  <si>
    <t>Motorcyclist bicyclist injured in Denver collision on Broadway: At least two people were taken to a local_x0089_Û_ http://t.co/WlmSQ3MTHO</t>
  </si>
  <si>
    <t>Oregon</t>
  </si>
  <si>
    <t>2 dead 2 injured in head-on collision on Kenai Spur Highway http://t.co/hbbGY2vZYt</t>
  </si>
  <si>
    <t>Motorcyclist bicyclist injured in Denver collision on Broadway: At least two people were taken to a local_x0089_Û_ http://t.co/ozK1QHJVfh</t>
  </si>
  <si>
    <t>Maryland</t>
  </si>
  <si>
    <t>Baltimore City : I-95 NORTH AT MP 54.8 (FORT MCHENRY TUNNEL BORE 3: Collision: I-95 NORTH AT MP 54.8 (FORT MCHENRY TUNNEL BORE 3 Nort...</t>
  </si>
  <si>
    <t>SEATTLE, WA USA</t>
  </si>
  <si>
    <t>On I-405 southbound at Coal Creek Pkwy there is a collision blocking the center lane.</t>
  </si>
  <si>
    <t>Dublin I580 E / I580 E North Flynn Rd Onr **Trfc Collision-No Inj** http://t.co/in8LyS7v5l</t>
  </si>
  <si>
    <t>Orange County, California</t>
  </si>
  <si>
    <t>Westminister Sr22 W / Knott St **Trfc Collision-No Inj** http://t.co/EUmlca1Edw</t>
  </si>
  <si>
    <t>East Atlanta, Georgia</t>
  </si>
  <si>
    <t>Well Saturn doesn't exist anymore. So the collision place has a starting estimate of $4000. That's 3 times what my car is worth.</t>
  </si>
  <si>
    <t>Motorcyclist bicyclist injured in Denver collision on Broadway http://t.co/UpPwxDA4yd</t>
  </si>
  <si>
    <t>Los Angeles, CA</t>
  </si>
  <si>
    <t>West Valley I405 N / Us101 S I405 N Con **Trfc Collision-Unkn Inj** http://t.co/jS9EhP88wQ</t>
  </si>
  <si>
    <t>Saint Lucia</t>
  </si>
  <si>
    <t>@MissJadeBrown tells of the tragic mid-morning collision which claimed the life of a young man riding a motorcycle. https://t.co/rPDA60Aoni</t>
  </si>
  <si>
    <t>Peterborough, Ontario, Canada</t>
  </si>
  <si>
    <t>Two-vehicle collision at Fowlers Corners at Hwy. 7 and Frank Hill Rd. is blocking the road: OPP. Only minor injuries to the occupants.</t>
  </si>
  <si>
    <t>my favorite lady came to our volunteer meeting
hopefully joining her youth collision and i am excite http://t.co/Ij0wQ490cS</t>
  </si>
  <si>
    <t>Colorado</t>
  </si>
  <si>
    <t>#Colorado #News Motorcyclist bicyclist injured in Denver collision on Broadway: At least two people were tak... http://t.co/2iAFPmqJeP</t>
  </si>
  <si>
    <t>North Highlands, CA</t>
  </si>
  <si>
    <t>Traffic Collision - Ambulance Enroute: Elkhorn Blvd at Walerga Rd Sacramento http://t.co/5qHQo6eJtu</t>
  </si>
  <si>
    <t>Vancouver</t>
  </si>
  <si>
    <t>7:13pm #MAPLERIDGE Lougheed Hwy EB is closed between 203rd and Dewdney Trunk Rd because of Collision. ETO is between 8:00 PM and 9:00 PM.</t>
  </si>
  <si>
    <t>Solano SR37 / Skaggs Island Rd **Trfc Collision-1141 Enrt** http://t.co/MylIeRUXK1</t>
  </si>
  <si>
    <t>Traffic Collision - No Injury: I5 S at I5 S 43rd Ave offramp South Sac http://t.co/cT9ejXoLpu</t>
  </si>
  <si>
    <t>CLEARED: COLLISION: #QEW Fort Erie bound approaching Hwy 405 #Niagara.Vehicles removed. ^ag</t>
  </si>
  <si>
    <t>Motorcyclist bicyclist injured in Denver collision on Broadway http://t.co/ZL7ojdAj3u</t>
  </si>
  <si>
    <t>Motorcyclist bicyclist injured in Denver collision on Broadway: http://t.co/241cN8yxjq by @kierannicholson</t>
  </si>
  <si>
    <t>South Sac I5 S / I5 S 43rd Ave Ofr **Trfc Collision-No Inj** http://t.co/GpxQBYzYu4</t>
  </si>
  <si>
    <t>crash</t>
  </si>
  <si>
    <t>HTML5 Beginners Crash Course http://t.co/Y32oWBroVF #course http://t.co/Vr2U4cErW8</t>
  </si>
  <si>
    <t>Liverpool</t>
  </si>
  <si>
    <t>Party for Bestival crash victim Michael Molloy on what would have been his 21st http://t.co/BIkR8zzbhA</t>
  </si>
  <si>
    <t>I-75 in Florida</t>
  </si>
  <si>
    <t>CLEARED: Crash in Hamilton on I-75 south at MM 459.</t>
  </si>
  <si>
    <t>Deliver Value: A Cash Source Crash Course http://t.co/st5fGBLsYe #course http://t.co/0uK0H9hOzn</t>
  </si>
  <si>
    <t>Make man pikin crash ??????</t>
  </si>
  <si>
    <t>Melbourne, Australia</t>
  </si>
  <si>
    <t>#INCIDENT
Crash in Pascoe Vale South outbound on Tullamarine Fwy (CityLink) near Moreland Rd. Vehicles off in emergency lane. No delays.</t>
  </si>
  <si>
    <t>Crash and burn ?? https://t.co/Jq2iB1Ob1X</t>
  </si>
  <si>
    <t>Kenton, Ohio</t>
  </si>
  <si>
    <t>@_chelsdelong12 @kendra_leigh13 I'll crash it</t>
  </si>
  <si>
    <t>Charleston, SC</t>
  </si>
  <si>
    <t>'Fatal crash reported on Johns Island' http://t.co/d2i9bL89Zo</t>
  </si>
  <si>
    <t>Lancaster, Pennsylvania, USA</t>
  </si>
  <si>
    <t>Police respond to crash find 'suspected heroin' http://t.co/oJoecW29qa</t>
  </si>
  <si>
    <t>In my own world!!!</t>
  </si>
  <si>
    <t>AKILAH WORLD NEWS Cop pulls man from car to avoid this ... http://t.co/Vn2Fnmy7li</t>
  </si>
  <si>
    <t>Man killed in crash in Barrington Hills: A Hoffman Estates man was killed in a single-car crash Wednesday afte... http://t.co/b6NphxOrZg</t>
  </si>
  <si>
    <t>crashed</t>
  </si>
  <si>
    <t>Maj Muzzamil Pilot Offr of MI-17 crashed near Mansehra today. http://t.co/kL4R1ccWct</t>
  </si>
  <si>
    <t>Cuernavaca, Morelos, MÌ©xico.</t>
  </si>
  <si>
    <t>http://t.co/iGXRqPoTm7 Bin Laden family plane crashed after 'avoiding microlight and landi... http://t.co/3kPBU6hGt5 #PeritoEnGrafoscopia</t>
  </si>
  <si>
    <t>Neil_Eastwood77: I AM A KNOBHEAD!! Bin Laden family plane crashed after 'avoiding microlight and landing t... _x0089_Û_ http://t.co/dUVUzhMVUT</t>
  </si>
  <si>
    <t>Bin Laden family plane crashed after 'avoiding microlight and landing too far down runway': Three members of t... http://t.co/mFJxh4p51U</t>
  </si>
  <si>
    <t>@brianroemmele UX fail of EMV - people want to insert and remove quickly like a gas pump stripe reader. 1 person told me it crashed the POS</t>
  </si>
  <si>
    <t>Major Hamayun Shaheed pilot of MI-7 heli that crashed in Mansehra http://t.co/2z8UbsY5M8</t>
  </si>
  <si>
    <t>Va Beach, Virginia</t>
  </si>
  <si>
    <t>#UK Bin Laden family plane crashed after 'avoiding microlight and landing too far down runway': Three members ... http://t.co/fQj0SqU3lG</t>
  </si>
  <si>
    <t>The Pig Sty</t>
  </si>
  <si>
    <t>&amp;gt; Bin Laden family plane crashed after 'avoiding microlight and landing too far down runway... http://t.co/Tu9cgLmgVR #rochdale #heywood</t>
  </si>
  <si>
    <t>My iPod crashed..... 
#WeLoveYouLouis 
#MTVHottest One Direction</t>
  </si>
  <si>
    <t>Victoria, Tx.</t>
  </si>
  <si>
    <t>Intact+MH370+Part+Lifts+Odds+Plane+Glided+Not+Crashed+Into+Sea http://t.co/MjTN3qbgOS via @YahooFinance#Hope for answers.</t>
  </si>
  <si>
    <t>Pakistan, Islamabad</t>
  </si>
  <si>
    <t>Pak Army Helicopter crashed in Mansehra.</t>
  </si>
  <si>
    <t>1 _x0089_ÛÒ The bug that almost crashed the Euro - http://t.co/KgkZ50Q8TK</t>
  </si>
  <si>
    <t>Pakistan says army helicopter has crashed in country's restive northwest killing at least 8 http://t.co/QV1RMZI3J1</t>
  </si>
  <si>
    <t>#News Bin Laden family plane crashed after 'avoiding microlight and landing too far down runway' http://t.co/x9MDHocpda</t>
  </si>
  <si>
    <t>This guy bought my car on Tuesday police knocked my door yday cos he crashed n ran &amp;amp; 2day he text me asking not to send the log book????????</t>
  </si>
  <si>
    <t>Gujranwala, Pakistan</t>
  </si>
  <si>
    <t>Maj Muzzamil Pilot Offr of MI-17 crashed near Mansehra today. May Almighty give strength to family to bear the loss http://t.co/EI1K01zAb3</t>
  </si>
  <si>
    <t>Islamabad</t>
  </si>
  <si>
    <t>Army sources say 12 persons on board including a team of doctors die in helicopter crashed near Mansehra. weather seems to be cause of crash</t>
  </si>
  <si>
    <t>f496D mhtw4fnet
Pakistan says army helicopter has crashed in country's restive northwest  - Fox News</t>
  </si>
  <si>
    <t xml:space="preserve">International </t>
  </si>
  <si>
    <t>TTW Today's News: Bin Laden family plane crashed after 'avoiding microlight and landing too far down runway'  http://t.co/BUMzvmwAM3</t>
  </si>
  <si>
    <t>Viterbo BFA Acting '18</t>
  </si>
  <si>
    <t>Heard #SKH on the radio for the first time. Almost crashed the car. @5SOS @Ashton5SOS @Luke5SOS @Michael5SOS @Calum5SOS</t>
  </si>
  <si>
    <t>Buenos Aires</t>
  </si>
  <si>
    <t>MH370: Intact part lifts odds plane glided not crashed into sea http://t.co/8pdnHH6tzH</t>
  </si>
  <si>
    <t>crush</t>
  </si>
  <si>
    <t>'@jorrynja: 6. @ your bf/gf/crush ??' @Ter_ell ??</t>
  </si>
  <si>
    <t>Ina Buted Girl Crush??</t>
  </si>
  <si>
    <t>Ron &amp;amp; Fez - Dave's High School Crush https://t.co/aN3W16c8F6 via @YouTube</t>
  </si>
  <si>
    <t>Everywhere</t>
  </si>
  <si>
    <t>sevenfigz has a crush: http://t.co/20B3PnQxMD</t>
  </si>
  <si>
    <t>crushed</t>
  </si>
  <si>
    <t>U.K.</t>
  </si>
  <si>
    <t>Man crushed to death by own car http://t.co/CrPO9DkW9v</t>
  </si>
  <si>
    <t>ph</t>
  </si>
  <si>
    <t>A diamond is just a piece of charcoal that handled stress exceptionally well. We are hard pressed on every side but not crushed.2 cor4:8</t>
  </si>
  <si>
    <t>Holy moly that was crushed.</t>
  </si>
  <si>
    <t>So many Youtube commenters saying the Dothraki would get crushed if they came to Westeros...nah bro you underestimate the Dothraki</t>
  </si>
  <si>
    <t>curfew</t>
  </si>
  <si>
    <t>Ankara - Malatya - ad Orontem</t>
  </si>
  <si>
    <t>ARA news reporting JaN fighters infiltrated Ashrafiyah district of Afrin with aim of carrying out suicide attacks. YPG have imposed a curfew</t>
  </si>
  <si>
    <t>Chicago, IL</t>
  </si>
  <si>
    <t>Police: Teenagers arrested for curfew violations in Evanston were riding stolen bicycles: Two teenagers taken into cus...  #Chicago #news</t>
  </si>
  <si>
    <t>Illinois, USA</t>
  </si>
  <si>
    <t>@emmychappy Because it's 12 o'clock and my mom said everyone has to go home because of curfew.</t>
  </si>
  <si>
    <t>@ScotRail i be seen them turn a blind eye to a bloke drinking and smoking on during the curfew time cos'its not worth the hassle'</t>
  </si>
  <si>
    <t>KLA,Uganda</t>
  </si>
  <si>
    <t>Next May I'll be free...from school from obligations like family.... Best of all that damn curfew...</t>
  </si>
  <si>
    <t>cyclone</t>
  </si>
  <si>
    <t xml:space="preserve">Des Moines, Iowa </t>
  </si>
  <si>
    <t>'The Big Ten has their annual football media day but before we get into that here's some Cyclone hoops recruiting nuggets'</t>
  </si>
  <si>
    <t>Republic of the Philippines</t>
  </si>
  <si>
    <t>A new tropical cyclone is forming near Guam.
Once it is formed it will be called 'Molave'.</t>
  </si>
  <si>
    <t>@XHNews We need these plants in the pacific during the cyclone seasons it would help</t>
  </si>
  <si>
    <t>BBC Forced To Retract False Claims About Cyclone Pam http://t.co/tbbObvCotj via @wordpressdotcom</t>
  </si>
  <si>
    <t>GREAT CONDITION Easton Cyclone Softball Bat Fastpitch (-9) 29/20 SK398 http://t.co/rA2mAjPkq2 http://t.co/y7gHHYK05b</t>
  </si>
  <si>
    <t xml:space="preserve">Philippines </t>
  </si>
  <si>
    <t>SEVERE WEATHER BULLETIN No. 5
FOR: TYPHOON _x0089_ÛÏ#HannaPH_x0089_Û_x009d_ (SOUDELOR)
TROPICAL CYCLONE: WARNING
ISSUED AT 5:00 PM 06... http://t.co/qHwE5K7xUW</t>
  </si>
  <si>
    <t>'The cyclone derives its powers from a calm center. So does a person.' - Norman Vincent Peale</t>
  </si>
  <si>
    <t>hyderabad</t>
  </si>
  <si>
    <t>@roughdeal1 ante hudhud cyclone Chandrababu Valle ne ante Ga?</t>
  </si>
  <si>
    <t>Vancouver (HQ) and worldwide</t>
  </si>
  <si>
    <t>Cyclone Komen devastates families in Myanmar this week. We need to help them today: http://t.co/fCujsIOyQO</t>
  </si>
  <si>
    <t>Quezon City, Philippines</t>
  </si>
  <si>
    <t>SEVERE WEATHER BULLETIN #6
TROPICAL CYCLONE WARNING: TYPHOON 'HANNA' 
Issued at 11:00 p.m. Thursday 06 August... http://t.co/FQV47OB8gE</t>
  </si>
  <si>
    <t>Geneva</t>
  </si>
  <si>
    <t>Back to the future in #Vanuatu how Cyclone Pam has encouraged traditional ways of living:
http://t.co/aFMKcFn1TL http://t.co/6QZXFK2LFS</t>
  </si>
  <si>
    <t>Cornwall</t>
  </si>
  <si>
    <t>BBC Forced To Retract False Claims About Cyclone Pam http://t.co/ciHC8Nrc9h via @wordpressdotcom</t>
  </si>
  <si>
    <t>Beside Basketball</t>
  </si>
  <si>
    <t>Talent: Misdirection Cyclone Pass Ignite Pass Vanishing Drive Phantom Shot  #KurokoBot</t>
  </si>
  <si>
    <t>Rome, Italy</t>
  </si>
  <si>
    <t>Now on #ComDev #Asia: Radio stations in #Bangladesh broadcasting #programs ?to address the upcoming cyclone #komen http://t.co/iOVr4yMLKp</t>
  </si>
  <si>
    <t>Tafekop Ga-Matsepe</t>
  </si>
  <si>
    <t>Like a cyclone imperialism spins across the globe; militarism crushes peoples and sucks their blood like a... http://t.co/n3VbTC6NCa</t>
  </si>
  <si>
    <t>1970 Mercury Cyclone GT Quarter Panel D/S Rear Trim Moulding Cobra Jet 429CJ http://t.co/wqUL8pG5Px http://t.co/4ykXt3kd62</t>
  </si>
  <si>
    <t>[Tropical Cyclone Info] SOUDELOR 945hPa maximum wind speed: 45m/s maximum wind gust speed: 60m/s  http://t.co/nBD5oT9iEW</t>
  </si>
  <si>
    <t>WFP - WFP Delivers Food To 165000 Bangladesh Flood Victims After Tropical Cyclone Komen: DHAKA _x0089_ÛÒThe United Na... http://t.co/fukbBeDfGx</t>
  </si>
  <si>
    <t>#Rohingya houses in #Kyee NockThie hamlet from Taungbazar region in Buthidaung were severely damaged in Cyclone @KasitaRoch @VivianUNHCR</t>
  </si>
  <si>
    <t>damage</t>
  </si>
  <si>
    <t>Bartholomew County, Indiana</t>
  </si>
  <si>
    <t>FYI: ;ACCIDENT PROPERTY DAMAGE;3460 LIMESTONE LN;COL;YELLOWSTONE WAY;FIELDSTONE DR;08/05/2015 19:36:35</t>
  </si>
  <si>
    <t>Catskills</t>
  </si>
  <si>
    <t>Cleared:  Accident with property damage on #NY35 EB at NY 100</t>
  </si>
  <si>
    <t>Texas</t>
  </si>
  <si>
    <t>Storm damage reported in West Tennessee http://t.co/90L2lB5WMr</t>
  </si>
  <si>
    <t>Lawrence, KS via Emporia, KS</t>
  </si>
  <si>
    <t>Hey the #Royals love doing damage with 2 outs.</t>
  </si>
  <si>
    <t>http://twitch.tv/jcmonkey</t>
  </si>
  <si>
    <t>@Drothvader @CM_Nevalistis you can keep this please!!!!! Arachys
    [2 Pieces] - Now deals 4000% weapon damage (up from 2500%)</t>
  </si>
  <si>
    <t>Unknown</t>
  </si>
  <si>
    <t>@BradleyBrad47 yeah but being fast and doing extremely high damage is what its all about if you want fast then im gonna have to get u the-</t>
  </si>
  <si>
    <t>New Haven, Connecticut</t>
  </si>
  <si>
    <t>@JoeDawg42 TOR for a TOR situation only. Wind damage enhanced wording is key IMO</t>
  </si>
  <si>
    <t>@HfxStanfield @beelieveDC @DiscoveryCntr what is happening we hear there is runway lighting damage by a contractor.</t>
  </si>
  <si>
    <t xml:space="preserve">??? ?? ??????? </t>
  </si>
  <si>
    <t>If Trillion crosses the line a 3rd time he does a field-wide attack that does instant kill damage</t>
  </si>
  <si>
    <t>Somewhere in the Canada</t>
  </si>
  <si>
    <t>Nine inmates charged with causing damage in Calgary Remand Centre riot - http://t.co/1OSmIUXKhW</t>
  </si>
  <si>
    <t>London/New York</t>
  </si>
  <si>
    <t>#pt Cross-sectarian protest. Powerful Shia cleric says militias must withdraw:'ur fightin ISIS but we wont forget damage uve done to ur ppl'</t>
  </si>
  <si>
    <t xml:space="preserve">261 5th Avenue New York, NY </t>
  </si>
  <si>
    <t>Does homeowners insurance cover water damage? Here are some good things to know. http://t.co/0uSDI5JCHo http://t.co/xyg7JhRjoF</t>
  </si>
  <si>
    <t>Beach did damage to my shit</t>
  </si>
  <si>
    <t>Charlotte NC</t>
  </si>
  <si>
    <t>REPORTED: HIT &amp;amp; RUN-IN ROADWAY-PROPERTY DAMAGE at 15901 STATESVILLE RD</t>
  </si>
  <si>
    <t>Rockville, Maryland</t>
  </si>
  <si>
    <t>#Glaucoma occurs when fluid builds up pressure inside #eye to a level that may damage optic nerve #eyefacts</t>
  </si>
  <si>
    <t>#JSunNews Storm damage reported in Madison County: Thunderstorm damage reports ar... http://t.co/s7NBowa7TP (via http://t.co/3f7owdEcy7)</t>
  </si>
  <si>
    <t>S61.231A Puncture wound without foreign body of left index finger without damage to nail initial encounter #icd10</t>
  </si>
  <si>
    <t>Bhopal, Madhya Pradesh, India.</t>
  </si>
  <si>
    <t>@MichaelWestBiz standard damage control</t>
  </si>
  <si>
    <t>Tennessee</t>
  </si>
  <si>
    <t>@GettingLost @JennEllensBB @Muncle_jim It said they had superficial wounds and it was the pepper spray that did the most damage.</t>
  </si>
  <si>
    <t>danger</t>
  </si>
  <si>
    <t>The sign-up is open for the FALLING FOR DANGER release day blast and review tour. Sign-up here:... http://t.co/hbdo22nqPZ</t>
  </si>
  <si>
    <t>San Jose, California</t>
  </si>
  <si>
    <t>Red Flag Warning for fire danger &amp;amp; dry thunderstorms in Bay Area http://t.co/ugzu9iqPRW #weather #cawx by @NWSBayArea</t>
  </si>
  <si>
    <t>Loughborough, England</t>
  </si>
  <si>
    <t>What is this? Like I could be in danger or something</t>
  </si>
  <si>
    <t>Lahar &amp; Gwalior</t>
  </si>
  <si>
    <t>Indian Govt. &amp;amp; Media should take serious concern about their safety. They are in danger now. https://t.co/YX1UKbmTqB</t>
  </si>
  <si>
    <t xml:space="preserve">Atlanta Georgia </t>
  </si>
  <si>
    <t>@bluebirddenver #FETTILOOTCH IS #SLANGLUCCI OPPRESSIONS GREATEST DANGER COMING SOON THE ALBUM 
https://t.co/moLL5vd8yD</t>
  </si>
  <si>
    <t>ALWAYS DYING NEVER RESTING</t>
  </si>
  <si>
    <t>SO THIRSTY YALL IN DANGER OF DEHYDRATION</t>
  </si>
  <si>
    <t>San Jose, CA</t>
  </si>
  <si>
    <t>Thunderstorms with little rain expected in Central California. High fire danger. #weather #cawx http://t.co/A5GNzbuSqq</t>
  </si>
  <si>
    <t>Jersey - C.I</t>
  </si>
  <si>
    <t>Honestly tho Modibo Maiga is stealing a living - fuck all about him - im past my best but still more of a danger than that fucktard #coyi</t>
  </si>
  <si>
    <t>dead</t>
  </si>
  <si>
    <t>Afghanistan</t>
  </si>
  <si>
    <t>17 dead as Afghanistan aircraft crashes: An Afghan military helicopter has crashed in a remote region of the s...  http://t.co/kI9eHjHl8y</t>
  </si>
  <si>
    <t>I just watched emmerdale nd I don't know who most of them are but a slightly attractive man named Ross just got beat up nd now he's dead</t>
  </si>
  <si>
    <t>beforeitsnews : Hundreds feared dead after Libyan migrant boat capsizes during rescue _x0089_Û_ http://t.co/MjoeeBDLXn) http://t.co/fvEn1ex0PS</t>
  </si>
  <si>
    <t>Perspectives on the Grateful Dead: Critical Writings (Contributions to the Study http://t.co/fmu0fnuMxf http://t.co/AgGRyhVXKr</t>
  </si>
  <si>
    <t>Typhoon Soudelor taking dead aim at Taiwan http://t.co/BhsUxVq6NF</t>
  </si>
  <si>
    <t>Man Found Dead in Demi Moore's Swimming Pool! http://t.co/oCtnPyUEei</t>
  </si>
  <si>
    <t>Spare 'Oom</t>
  </si>
  <si>
    <t>that's it val is dead im suing</t>
  </si>
  <si>
    <t>death</t>
  </si>
  <si>
    <t xml:space="preserve">UPTOWN </t>
  </si>
  <si>
    <t>Until my death I'll forever rep the Jets.</t>
  </si>
  <si>
    <t>Novi, MI</t>
  </si>
  <si>
    <t>Adult dies of plague in Colorado http://t.co/yoHVuwuMZS</t>
  </si>
  <si>
    <t>Buenos Aires, Argentina</t>
  </si>
  <si>
    <t>Going back to Gainesville will be the death of me</t>
  </si>
  <si>
    <t>Kensington, MD</t>
  </si>
  <si>
    <t>http://t.co/lMA39ZRWoY There is a way which seemeth right unto a man but the end thereof are the ways of death.</t>
  </si>
  <si>
    <t>Buffalo/DC</t>
  </si>
  <si>
    <t>@KellKane thanks I narrowly averted death that was fun you're right</t>
  </si>
  <si>
    <t>Sylacauga, Alabama</t>
  </si>
  <si>
    <t>@Allahsfinest12 ...death to muslims</t>
  </si>
  <si>
    <t>To The Right of You!</t>
  </si>
  <si>
    <t>Ted Cruz Bashes Obama Comparison GOP To Iranians Shouting 'Death To America' http://t.co/tXETcysm1H | #tcot</t>
  </si>
  <si>
    <t>Cyprus</t>
  </si>
  <si>
    <t>#Cyprus: News Analysis: Mullah Omar's death may split Taliban's ranks - ..Omar's demise would certainly lead... http://t.co/AJkmcusWHo</t>
  </si>
  <si>
    <t>Alicante, Spain</t>
  </si>
  <si>
    <t>New: NYC Legionnaires' disease death toll rises http://t.co/NqL21ajmiv #follow (http://t.co/18xQ3FmuGE)</t>
  </si>
  <si>
    <t>deaths</t>
  </si>
  <si>
    <t>#vaxshill 2 deaths from measles complications in 10 yrs everyone looses their shit. 8 dead from Legionnaires in a month &amp;amp; crickets</t>
  </si>
  <si>
    <t>Mooresville, NC</t>
  </si>
  <si>
    <t>don't get on I77 south... huge wreck and airlift and maybe some deaths interstate is completely blocked</t>
  </si>
  <si>
    <t>Mooseknuckle, Maine</t>
  </si>
  <si>
    <t>_x0089_ÛÏ@LOLGOP: 2.2 cases of voter fraud a year. 
WE NEED NEW LAWS!
83 gun deaths a day. 
WHO ACTUALLY FOLLOWS LAWS AMIRITE?
#VRA50_x0089_Û_x009d_</t>
  </si>
  <si>
    <t>Palermo, Sicily</t>
  </si>
  <si>
    <t>Silence. #Palermo #Shipwreck #Children #Deaths http://t.co/Tm9ZBHJcyf</t>
  </si>
  <si>
    <t>This why BSF Jawans died Fidayeen has AKs and they bloody #INSAS! INSAS rifles not to blame for soldiers' deaths MoD http://t.co/1Lk1EQwyUW</t>
  </si>
  <si>
    <t>Voorhees, NJ</t>
  </si>
  <si>
    <t>1/2 of the deaths in red-light running crashes are pedestrians bicyclists &amp;amp; other vehicle occupants that are hit by the red-light runners.</t>
  </si>
  <si>
    <t>RT @TrueDiagnosis: 250K deaths per year from #physician error: http://t.co/DUtYzQR2P7åÊ How to avoid being one of them: http://t.co/Oznsxxvx_x0089_Û_</t>
  </si>
  <si>
    <t>#CDCwhistleblower 2 deaths from measles complications in 10 yrs everyone looses their shit. 8 dead from Legionnaires in a month &amp;amp; crickets</t>
  </si>
  <si>
    <t>500 deaths a year from foodborne illness... @frackfreelancs dears... @DECCgovuk @frackfree_eu @tarleton_sophie http://t.co/JSccX8k0jA</t>
  </si>
  <si>
    <t>Lagos</t>
  </si>
  <si>
    <t>[Comment] Deaths of older children: what do the data tell #US? http://t.co/p8Yr2po6Jn
 #nghlth</t>
  </si>
  <si>
    <t>Does it really matter!</t>
  </si>
  <si>
    <t>Deaths 7 http://t.co/xRJA0XpL40</t>
  </si>
  <si>
    <t>@Eazzy_P we will never know what would have happened but the govt seemed to think that their beliefs warranted the deaths of innocent japs</t>
  </si>
  <si>
    <t>Your screen</t>
  </si>
  <si>
    <t>real magic in real life:
women went missing in Ohio town the focus of FBI probe after strange deaths and... http://t.co/6m0YNJWbc9</t>
  </si>
  <si>
    <t>No two cases don't constitute an epidemic. http://t.co/jbLrRNMdsM  #plague #health #publichealth</t>
  </si>
  <si>
    <t>Weyburn</t>
  </si>
  <si>
    <t>Weyburn Police Warn Public after Fentanyl Deaths in Province - http://t.co/8bqjtp6iD5 http://t.co/8kjS7ZqAjS</t>
  </si>
  <si>
    <t>It's Time To Reduce Gun Deaths http://t.co/ilADQEBxPn</t>
  </si>
  <si>
    <t>Blackpool</t>
  </si>
  <si>
    <t>Cancers equate for around 25% of all deaths in #Blackpool. 
Kowing the signs could save your life: http://t.co/5lNIdvoBff
#BeClearOnCancer</t>
  </si>
  <si>
    <t>the void, U.S.A</t>
  </si>
  <si>
    <t>@HighQualityBird a reverse situation (lol I don't know 9/11?) where US civilian deaths were specifically utilized to make a political</t>
  </si>
  <si>
    <t>Tennessee/Gallifrey</t>
  </si>
  <si>
    <t>@mathew_is_angry @Z3KE_SK1 @saladinahmed they died horrible deaths trapped in the ships but they knew that was a risk.</t>
  </si>
  <si>
    <t>Amman, Jordan</t>
  </si>
  <si>
    <t>FCO Minister @Tobias_Ellwood condemns attack at a mosque in Saudi Arabia that has resulted in at least 15 deaths http://t.co/c3W95h0ozZ</t>
  </si>
  <si>
    <t>Cancers equate for around 25% of all deaths in #Blackpool. 
Kowing the signs could save your life: http://t.co/11dVqjVXPo
#BeClearOnCancer</t>
  </si>
  <si>
    <t>Critters climate and two plague deaths in Colorado http://t.co/DXkt2Shuj2</t>
  </si>
  <si>
    <t>Since 1940 the year Angela Sanders was born roundhouse kick related deaths have increased 13000 percent.</t>
  </si>
  <si>
    <t>Top Secret</t>
  </si>
  <si>
    <t>As of 2010 there were 17 Beluga deaths reported at #SeaWorld their average age 15 1/2 years #OpSeaWorld http://t.co/MZk5UjlFCV</t>
  </si>
  <si>
    <t>ÌÏT: 10.614817868480726,12.195582811791382</t>
  </si>
  <si>
    <t>Bigamist and his 'first' wife are charged in the deaths of his 'second' pregnant wife her child 8 her mothe... http://t.co/rTEuGB5Tnv</t>
  </si>
  <si>
    <t xml:space="preserve">Top secret bunker </t>
  </si>
  <si>
    <t>@MayorofLondon pls reduce cyclist deaths with a compulsory highway code test as with EVERY OTHER VEHICLE that uses a road. #notrocketscience</t>
  </si>
  <si>
    <t>debris</t>
  </si>
  <si>
    <t>Belbroughton, England</t>
  </si>
  <si>
    <t>#aerospace #exec Plane debris is from missing MH370 - Part of the aircraft wing found on Reunion Island is from th... http://t.co/S2wm8lh7oO</t>
  </si>
  <si>
    <t>Malaysia Airlines Flight 370 that Disappeared 17months ago Debris Found South of The Indian Ocean - http://t.co/nrHURYSyPd</t>
  </si>
  <si>
    <t>#?? #?? #??? #??? MH370: Aircraft debris found on La Reunion is from missing Malaysia Airlines ...  http://t.co/MRVXBZywd4</t>
  </si>
  <si>
    <t>772 Temperance Permenence</t>
  </si>
  <si>
    <t>Discovered Plane Debris Is From Missing Malaysia Airlines Flight 370 | TIME http://t.co/7fSn1GeWUX</t>
  </si>
  <si>
    <t>Confirmed the debris from MH370 ??</t>
  </si>
  <si>
    <t>#?? #?? #??? #??? MH370: Aircraft debris found on La Reunion is from missing Malaysia Airlines ...  http://t.co/q1GlK8plUD</t>
  </si>
  <si>
    <t>Malaysia confirms plane debris washed up on Reunion Island is from Flight MH370 http://t.co/BMxsndx14g</t>
  </si>
  <si>
    <t>#?? #???? #??? #??? MH370: Aircraft debris found on La Reunion is from missing Malaysia Airlines ...  http://t.co/hHWv0EUDFv</t>
  </si>
  <si>
    <t>46.950109,7.439469</t>
  </si>
  <si>
    <t>How Missing Jet_x0089_Ûªs Debris Could Have Floated to RÌ©union - The New York Times http://t.co/pNnUnrnqjA</t>
  </si>
  <si>
    <t>RÌ©union Debris Is Almost Surely From Flight 370 Officials Say - New York Times http://t.co/gyQLAOz3l2</t>
  </si>
  <si>
    <t>RÌ©union Debris Is Almost Surely From Flight 370 Officials Say - New York Times http://t.co/VFbW3NyO9L</t>
  </si>
  <si>
    <t>In the Shadows</t>
  </si>
  <si>
    <t>The debris found on Reunion Island was from flight #MH370. The mystery behind that plane disappearance could be better than any novel.</t>
  </si>
  <si>
    <t>#?? #???? #??? #??? MH370: Aircraft debris found on La Reunion is from missing Malaysia Airlines ...  http://t.co/oTsM38XMas</t>
  </si>
  <si>
    <t>Campo Grande-MS</t>
  </si>
  <si>
    <t>[Reuters] Debris confirmed from MH370; relatives hope for discovery of crash site http://t.co/DFYaSVj7NF</t>
  </si>
  <si>
    <t>nbc washington</t>
  </si>
  <si>
    <t>NBCNightlyNews: Malaysian Officials Say Debris Found on Reunion Island Is From #MH370. BillNeelyNBC reports: http://t.co/foUtpwgFWy</t>
  </si>
  <si>
    <t>MH370: debris found on reunion island. ?? #sad #tragedy #innocent #crash #mh370</t>
  </si>
  <si>
    <t>#love #food #fun Malaysian Prime Minister Najib Razak confirmed that the aircraft debris found on RÌ©union Isla...  http://t.co/FK1L4noziG</t>
  </si>
  <si>
    <t>Hamilton, Ontario Canada</t>
  </si>
  <si>
    <t>Malaysia seem more certain than France.
Plane debris is from missing MH370 http://t.co/eXZnmxbINJ</t>
  </si>
  <si>
    <t>Malaysian Officials Say Debris Found on Reunion Island Is From #MH370. @BillNeelyNBC reports: http://t.co/r6kZSQDghZ</t>
  </si>
  <si>
    <t>#??? #?? #??? #??? MH370: Aircraft debris found on La Reunion is from missing Malaysia Airlines ...  http://t.co/zxCORQ0A3a</t>
  </si>
  <si>
    <t>Debris found on Reunion Island comes from MH370: Malaysian PM http://t.co/f75qWyeeEC</t>
  </si>
  <si>
    <t>Aircraft debris found on island is from MH370 Malaysia confirms http://t.co/X3RccHKagO</t>
  </si>
  <si>
    <t>Dubai, United Arab Emirates</t>
  </si>
  <si>
    <t>What Irony Debris of Flight MH370 found on 'Reunion Island'.</t>
  </si>
  <si>
    <t>MH370: Aircraft debris found on La Reunion is from missing Malaysia Airlines ... - ABC Online http://t.co/C5JuTFXBM9</t>
  </si>
  <si>
    <t>Hong Kong</t>
  </si>
  <si>
    <t>MH370: Reunion debris is from missing Malaysia flight http://t.co/6iMe8KJaCV</t>
  </si>
  <si>
    <t>Berlin, Germany</t>
  </si>
  <si>
    <t>Experts leave lab as Malaysia confirms debris is from #MH370 http://t.co/Ba4pUSvJLN</t>
  </si>
  <si>
    <t>Malaysia confirms plane debris washed up on Reunion Island is from Flight MH370 http://t.co/YS3WALzvjg</t>
  </si>
  <si>
    <t>IRAQ</t>
  </si>
  <si>
    <t>#KAMINDOZ #reuters Debris confirmed from MH370; relatives hope for discovery of crash s... http://t.co/xrdwR8CDvM http://t.co/fxtfFL4aXy</t>
  </si>
  <si>
    <t>Plane debris discovered on Reunion Island belongs to flight MH370 _x0089_ÛÒ Malaysian PM http://t.co/jkc0DIqvXC</t>
  </si>
  <si>
    <t>Tampa, FL</t>
  </si>
  <si>
    <t>Debris confirmed from MH370; relatives hope for discovery of crash site: Malaysian officials confirm a breakth... http://t.co/MGYVGlENKS</t>
  </si>
  <si>
    <t>World news</t>
  </si>
  <si>
    <t>ABC OnlineMH370: Aircraft debris found on La Reunion is from missing Malaysia Airlines ...ABC OnlineA piece of aircraft debris which ...</t>
  </si>
  <si>
    <t>Malaysia confirms Reunion Island debris is from MH370 http://t.co/1bEeGWRsis @SCMP_News http://t.co/drcuLIYp0T</t>
  </si>
  <si>
    <t>Debris confirmed from MH370; relatives hope for discovery of crash site http://t.co/rLFtjmHHvT via @Reuters #Video</t>
  </si>
  <si>
    <t>Plane debris is from missing MH370 http://t.co/kxy56FR8vM</t>
  </si>
  <si>
    <t>MH370: Aircraft debris found on La Reunion is from missing Malaysia Airlines ... - ABC Onlin... http://t.co/N3lNdJKYo3 G #Malaysia #News</t>
  </si>
  <si>
    <t>Bristol, UK</t>
  </si>
  <si>
    <t>Interesting: MH370: Aircraft debris found on La Reunion is from missing Malaysia Airlines ... - ABC ... http://t.co/950xIJhnVH Please RT</t>
  </si>
  <si>
    <t>labuan, malaysia</t>
  </si>
  <si>
    <t>Aircraft debris confirmed to be from MH370 - Nation | The Star Online http://t.co/heS0bPU60Y</t>
  </si>
  <si>
    <t>deluge</t>
  </si>
  <si>
    <t>RT @NLM_DIMRC: A deluge of resources on #floods for medical providers cleanup workers &amp;amp; more at: http://t.co/aUoeyIRqE6</t>
  </si>
  <si>
    <t>Towboat trek sympathy deluge falls: VTc http://t.co/eaaQUMkkc9</t>
  </si>
  <si>
    <t xml:space="preserve">Enniscrone &amp; Aughris, Sligo </t>
  </si>
  <si>
    <t>Back on the beach after the deluge.  Surf camp in motion.  Our Surf Therapy programme kicked off today for... http://t.co/vjsAqPxngN</t>
  </si>
  <si>
    <t>Perhaps 'historic' should be applied not to the deluge of recently exposed #ChildSexAbuse but the truly 'historic' scale of the cover-up</t>
  </si>
  <si>
    <t>Fort Lauderdale, FL</t>
  </si>
  <si>
    <t>If you're in search of powerful content to improve your business or have been frustrated with the deluge of 'quantit_x0089_Û_https://t.co/64cyMG1lTG</t>
  </si>
  <si>
    <t>Newcastle upon Tyne</t>
  </si>
  <si>
    <t>Here I'm the UK there isn't a deluge of Canadian themed tops around...The timing was perfect. I can't quite believe it. Mad.</t>
  </si>
  <si>
    <t>deluged</t>
  </si>
  <si>
    <t>Karachi, Pakistan</t>
  </si>
  <si>
    <t>#Glimpses: Hyderabad deluged by heavy rainfall | http://t.co/DctV1uJLHc http://t.co/QOx1jNQSAU</t>
  </si>
  <si>
    <t>Why are you deluged with low self-image? Take the quiz: http://t.co/XsPqdOrIqj http://t.co/CQYvFR4UCy</t>
  </si>
  <si>
    <t>Tarp is protecting outfield and cannot be moved. Infield getting deluged.</t>
  </si>
  <si>
    <t>#????? Libya#</t>
  </si>
  <si>
    <t>EU states squabble over immigration. UK-France Eurotunnel deluged with migrants. One dead as 'thousands storm' tunnel http://t.co/vf6CKLmCSX</t>
  </si>
  <si>
    <t>Businesses are deluged with invoices. Make yours stand out with colour or shape and it's likely to rise to the top of t e pay' pileq</t>
  </si>
  <si>
    <t>News Alerts - Glimpses: Hyderabad deluged by heavy rainfall</t>
  </si>
  <si>
    <t>Aro Diaspora</t>
  </si>
  <si>
    <t>They've come back!! &amp;gt;&amp;gt; Flying ant day: Capital deluged by annual swarm of winged insects http://t.co/mNkoYZ76Cp</t>
  </si>
  <si>
    <t>demolish</t>
  </si>
  <si>
    <t>Rand Paul's Debate Strategy 'demolish Some other bad ideas out there or point out maybe that there are some em... http://t.co/qzdqRBr4Lh</t>
  </si>
  <si>
    <t>Port Harcourt, Nigeria</t>
  </si>
  <si>
    <t>Enugu Government to demolish illegal structures at International Conference Centre http://t.co/ouYLwuIXcs</t>
  </si>
  <si>
    <t>MAD as Hell</t>
  </si>
  <si>
    <t>RT AbbsWinston: #Zionist #Terrorist demolish 18 #Palestinian structures in Jordan Valley http://t.co/rg3BndKXjX
_x0089_Û_ http://t.co/Bq90pfzMrP</t>
  </si>
  <si>
    <t>London, UK</t>
  </si>
  <si>
    <t>The far right racist #AvigdorLiberman calls for destruction of #Susiya ! Previously he also called for beheadings!   http://t.co/Li8otXt8hh</t>
  </si>
  <si>
    <t>NYHC</t>
  </si>
  <si>
    <t>If you think going to demolish Drake's house over some ghostwriting shit you should know that Rihanna lives next door.</t>
  </si>
  <si>
    <t>demolished</t>
  </si>
  <si>
    <t>Got my first gamer troll I just demolished a kid from Philly with Toronto on MLB and he was upset #BacktoBack #ChargedUp ??????</t>
  </si>
  <si>
    <t>Why is CHURCH media and #Media420 silent when #PapiCongress has demolished the house of a journo in UK @pragnik</t>
  </si>
  <si>
    <t>Chicago</t>
  </si>
  <si>
    <t>_x0089_ÛÏ@SplottDave: @TeamPalestina That's about 28700 Palestinian homes demolished now by Israel since 1967 w/ 0 Israeli home demolished @POTUS</t>
  </si>
  <si>
    <t>#BBSNews latest 4 #Palestine &amp;amp; #Israel -  Six Palestinians Kidnapped in West Bank Hebron Home Demolished http://t.co/gne1fW0XHE</t>
  </si>
  <si>
    <t>Birmingham UK</t>
  </si>
  <si>
    <t>@stallion150 @kbeastx they totally demolished genisys which was a beautiful film and almost 90% of the people agreed</t>
  </si>
  <si>
    <t>A demolished Palestinian village comes back to life http://t.co/9Lpf4V4hMq</t>
  </si>
  <si>
    <t xml:space="preserve">Paterson, New Jersey </t>
  </si>
  <si>
    <t>Three Homes Demolished in Unrecognized Arab Village - International Middle East Media Center http://t.co/ik8m4Yi9T4</t>
  </si>
  <si>
    <t>demolition</t>
  </si>
  <si>
    <t>EPA begins demolition of homes in toxic area #Buffalo - http://t.co/noRkXBRS6G</t>
  </si>
  <si>
    <t>Saving the City in Old Town: The Proposed Demolition of 159 West Burton http://t.co/FJddx43Ewj @MessnerMatthew for @newcity</t>
  </si>
  <si>
    <t>No civilian population ever deserves demolition may we never forget &amp;amp; learn from our mistakes #Hiroshima</t>
  </si>
  <si>
    <t>#download &amp;amp; #watch Demolition Frog (2002) http://t.co/81nEizeknm #movie</t>
  </si>
  <si>
    <t>11202</t>
  </si>
  <si>
    <t>Demolition Means Progress: Flint Michigan and the Fate of the American Metropolis Highsmith https://t.co/ZvoBMDxHGP</t>
  </si>
  <si>
    <t>Delmont's 'Onion House' Purchased After Plans For Demolition http://t.co/yojKfQeJ6s</t>
  </si>
  <si>
    <t>Israel continues its demolition of Palestinian homes #gop #potus #irandeal #isis  https://t.co/NMgp7iMEIi</t>
  </si>
  <si>
    <t>Funtua, Nigeria</t>
  </si>
  <si>
    <t>Kaduna Begins Demolition Of Buildings On Govt School Lands
http://t.co/77cIWXABVA_x0089_Û_t-school-lands/</t>
  </si>
  <si>
    <t>Seven Chinese Christians Are Detained Amid Widespread Anger Over Cross Demolition http://t.co/65xR1p9sOO</t>
  </si>
  <si>
    <t>derail</t>
  </si>
  <si>
    <t>Here_x0089_Ûªs what caused a Metro train to derail in downtown D.C. http://t.co/ImTYgdS5qO</t>
  </si>
  <si>
    <t>BBC News - India rail crash: Trains derail in Madhya Pradesh flash flood http://t.co/WgmZmJ5imD</t>
  </si>
  <si>
    <t>Washington, Krasnodar (Russia)</t>
  </si>
  <si>
    <t>Dr. Gridlock: Here_x0089_Ûªs what may have caused a Metro train to derail in downtown D.C. http://t.co/Pm2TNnFDWw #washingtonpost</t>
  </si>
  <si>
    <t xml:space="preserve"> Road to the Billionaires Club</t>
  </si>
  <si>
    <t>@TemecaFreeman GM! I pray any attack of the enemy 2 derail ur destiny is blocked by the Lord &amp;amp; that He floods ur life w/heavenly Blessings</t>
  </si>
  <si>
    <t>Nairobi-KENYA</t>
  </si>
  <si>
    <t>24 killed in two simultaneous rail crash as acute floods derail the two trains #India #mumbai... http://t.co/4KBWPCmMbM</t>
  </si>
  <si>
    <t>at my home</t>
  </si>
  <si>
    <t>BBC News - India rail crash: Trains derail in Madhya Pradesh flash flood http://t.co/fU1Btuq1Et</t>
  </si>
  <si>
    <t>Will @FoxNews continue to derail the Iran Nuclear Deal during tonight's #GOPDebate  oh yeah.</t>
  </si>
  <si>
    <t>Lake Dallas crash causes train to derail http://t.co/ao4Ju9vMMF</t>
  </si>
  <si>
    <t xml:space="preserve">Washington, D.C. </t>
  </si>
  <si>
    <t>How do you derail a train at... Smithsonian?</t>
  </si>
  <si>
    <t>BBC News - India rail crash: Trains derail in Madhya Pradesh flash flood http://t.co/wmUTCDG36b</t>
  </si>
  <si>
    <t>25 killed as Kamayani Express Janata Express derail in Madhya Pradesh; ex gratia announced http://t.co/6SDTzSgElq</t>
  </si>
  <si>
    <t>Dozens dead as two trains derail over river in India http://t.co/zkKn6mSE1n http://t.co/FzHJF8BXlD</t>
  </si>
  <si>
    <t>24 killed in two simultaneous rail crash as acute floods derail the two trains #India #mumbai... http://t.co/b0ZwI0qPTU</t>
  </si>
  <si>
    <t>India floods derail two trains killing 21 people  http://t.co/2Fs649QdWX</t>
  </si>
  <si>
    <t>Dozens Die As two Trains Derail Into A River In Indiahttp://www.informationng.com/?p=309943</t>
  </si>
  <si>
    <t>Here's what may have caused a Metro train to derail in downtown D.C. http://t.co/mEiSNKv5Tb</t>
  </si>
  <si>
    <t>Dorset, United Kingdom</t>
  </si>
  <si>
    <t>Sound judgement by MPC - premature rises could derail recovery #Business http://t.co/fvLgU1naYr</t>
  </si>
  <si>
    <t>derailed</t>
  </si>
  <si>
    <t>A small federal enclave</t>
  </si>
  <si>
    <t>@Ohmygoshi @unsuckdcmetro At this point I expect to hear reports about a Metrobus being derailed.</t>
  </si>
  <si>
    <t>Happy no one was hurt when #wmata train derailed. Also the express bus is so much better than metro rail http://t.co/7cEhNV3DKy @fox5newsdc</t>
  </si>
  <si>
    <t>DC Media: tip for getting updates on the derailed #WMATA train today - ask them about movie night and quickly change the subject!</t>
  </si>
  <si>
    <t>@jozerphine LITERALLY JUST LOOK THAT UP! YEAH DERAILED AT SMITHSONIAN SO EVERYTHIGN IS SHUT DOWN FROM FEDERAL CENTER SW TO MCPHERSON</t>
  </si>
  <si>
    <t>The Desert of the Real</t>
  </si>
  <si>
    <t>@TrustyMcLusty no passengers were on the derailed train. But the who morning commute is fcked. Go home.</t>
  </si>
  <si>
    <t>lee london</t>
  </si>
  <si>
    <t>The crocodile tears don't wash with me she's more upset that the gravy train has been derailed #kidscompany http://t.co/BCPmVylSih</t>
  </si>
  <si>
    <t>Anchorage, AK</t>
  </si>
  <si>
    <t>@Epic_Insanity It got derailed outside Grimrail Depot...</t>
  </si>
  <si>
    <t>[UPDATE] No-Passenger Metro Train Derails Causing Terrible Delays This Morning: A derailed train is causing a hell_x0089_Û_ http://t.co/bLCBAbM7A1</t>
  </si>
  <si>
    <t>@stury Note there were no passengers on board when the train derailed this morning.</t>
  </si>
  <si>
    <t>DC, frequently NYC/San Diego</t>
  </si>
  <si>
    <t>Whoa a #wmata train derailed at Smithsonian?</t>
  </si>
  <si>
    <t>Metro acting chief Jack Requa says train that derailed was a six-car train with 1000 and 2000 series rail cars. #wmata</t>
  </si>
  <si>
    <t>#Metro still doesn't know when Blue &amp;amp; Orange lines will reopen. Empty passenger car derailed ~ 5 a.m. NOT a new 7000-series. @CQnow #WMATA</t>
  </si>
  <si>
    <t>Breakfast links: Work from home: Derailed: An empty train derailed at Smithsonian this morning suspending ser... http://t.co/iD4QGqDnJQ</t>
  </si>
  <si>
    <t>åø\_(?)_/åø</t>
  </si>
  <si>
    <t>On the eve of Jon Stewart leaving The Daily Show WMATA has honored him by letting another train get derailed and crippling the service.</t>
  </si>
  <si>
    <t>Washington DC / Nantes, France</t>
  </si>
  <si>
    <t>Going to starbs it's only 70 degrees part of the metro derailed it's a beautiful morning in Washington D.C.</t>
  </si>
  <si>
    <t>Washington, DC &amp; Charlotte, NC</t>
  </si>
  <si>
    <t>@AdamTuss and is the car that derailed a 5000 series by chance. They used to have issues w/ wheel climbing RE: 1/2007 Mt. Vern Sq derailment</t>
  </si>
  <si>
    <t>DC</t>
  </si>
  <si>
    <t>So a train derailed and instead of me getting to work early like I would've I'm now late as fuck</t>
  </si>
  <si>
    <t>Relief train carrying survivors of the derailed Janta Express reaches Mumbai via @firstpostin http://t.co/CZNXHuTASX</t>
  </si>
  <si>
    <t>How many trains derailed that @wmata has to shut down orange/blue in most of DC? The Avengers made less of a mess @unsuckdcmetro</t>
  </si>
  <si>
    <t>L'Enfant Plaza Metro Station</t>
  </si>
  <si>
    <t>1 of those days when ya don't realize till already in transit that a train DERAILED at the Metro St closest to work?? https://t.co/QYX5ThkRbH</t>
  </si>
  <si>
    <t>Alexandria, VA</t>
  </si>
  <si>
    <t>.@unsuckdcmetro Is the train half-derailed or half-railed? #deepthoughts</t>
  </si>
  <si>
    <t>NYC</t>
  </si>
  <si>
    <t>Sad that biker beatdown derailed his pro-democracy work as @NYPDnews undercover: http://t.co/iHHRKG4V1S. http://t.co/aryU5qNgJJ</t>
  </si>
  <si>
    <t>@ItsQueenBaby I'm at work it's a bunch of ppl and buses because the train derailed</t>
  </si>
  <si>
    <t>Texas-USA_x0089_ã¢ ?</t>
  </si>
  <si>
    <t>CNN News August 5 2015 Two trains derailed amid floods ...
Video for india august flooding 2015 video youtube?... http://t.co/MMIyE1k8ZZ</t>
  </si>
  <si>
    <t>Arlington, VA and DC</t>
  </si>
  <si>
    <t>@GerryConnolly @RepDonBeyer @timkaine Today's #Metro commute debacle w/derailed non-passenger train shows clearly we need a Rail MGR CEO!</t>
  </si>
  <si>
    <t>Headed To The Top</t>
  </si>
  <si>
    <t>@OhYayyyYay the train derailed this morning</t>
  </si>
  <si>
    <t>derailment</t>
  </si>
  <si>
    <t>Mumbai (India)</t>
  </si>
  <si>
    <t>Madhya Pradesh Train Derailment: Village Youth Saved Many Lives</t>
  </si>
  <si>
    <t>Service on the Green Line has resumed after an earlier derailment near Garfield with residual delays.</t>
  </si>
  <si>
    <t>Death on Railway track: Why rains cannot take all the blame?: Derailment is not very common. Last year less th... http://t.co/jdkQC12tid</t>
  </si>
  <si>
    <t>#news Madhya Pradesh Train Derailment: Village Youth Saved Many Lives http://t.co/fcTrAWJcYL #til_now #NDTV</t>
  </si>
  <si>
    <t>MP trains derailment: _x0089_Û÷It_x0089_Ûªs the freakiest of freak accidents_x0089_Ûª: 
MP trains derailment: _x0089_Û÷It_x0089_Ûªs the freakiest of ... http://t.co/uHXODSc7Wi</t>
  </si>
  <si>
    <t>Coimbatore</t>
  </si>
  <si>
    <t>#TeamFollowBack Madhya Pradesh Train Derailment: Village Youth Saved Many Lives  #FollowBack</t>
  </si>
  <si>
    <t>#ModiMinistry Madhya Pradesh Train Derailment: Village Youth Saved Many Lives http://t.co/YvMpHd0z9X</t>
  </si>
  <si>
    <t>Chicago, IL 60607</t>
  </si>
  <si>
    <t>Still and Box alarm for the train derailment at 61st and Calumet struck out on the orders of 2-1-21. #ChicagoScanner</t>
  </si>
  <si>
    <t>Palo Alto, California</t>
  </si>
  <si>
    <t>Consent Order on cleanup underway at CSX derailment site - Knoxville News Sentinel http://t.co/GieSoMgWTR http://t.co/NMFsgKf1Za</t>
  </si>
  <si>
    <t>Madhya Pradesh Train Derailment: Village Youth Saved Many Lives: A group of villagers saved over 70 passengers' lives after two train...</t>
  </si>
  <si>
    <t>MP train derailment: Village youth saved many lives
http://t.co/lTYeFJdM3A #IndiaTV http://t.co/0La1aw9uUd</t>
  </si>
  <si>
    <t>@greateranglia I know the cow incident not yr fault by how where they on the line could of caused a derailment</t>
  </si>
  <si>
    <t>Chicagoland</t>
  </si>
  <si>
    <t>CHICAGO FD
STILL &amp;amp; BOX ALARM/EMS PLAN I 
 61ST &amp;amp; CALUMET FOR THE EL TRAIN DERAILMENT
CINS/TG</t>
  </si>
  <si>
    <t>@Raishimi33 :) well I think that sounds like a fine plan where little derailment is possible so I applaud you :)</t>
  </si>
  <si>
    <t>Railway Minister Prabhu calls MP derailment a natural calamity http://t.co/ocxBWGyFT8</t>
  </si>
  <si>
    <t>Latest : Trains derailment: 'It's the freakiest of freak accidents' - The Indian Express: The Indi... http://t.co/iLdbeJe225 #IndianNews</t>
  </si>
  <si>
    <t>@AlvinNelson07 A train isn't made to withstand collisions! Immediate derailment. It's totally fucked.</t>
  </si>
  <si>
    <t>#???? #?? #??? #??? Trains derailment: 'It's the freakiest of freak accidents' - The Indian Express   http://t.co/4Y4YtwhD74</t>
  </si>
  <si>
    <t>New Delhi</t>
  </si>
  <si>
    <t>Suresh Prabhu calls Harda derailment a natural calamity; officials feel warning signs ignored: Prabhu may regr... http://t.co/Q5MlbODVm4</t>
  </si>
  <si>
    <t>25 killed 50 injured in Madhya Pradesh twin train derailment http://t.co/DNU5HWSxo2</t>
  </si>
  <si>
    <t>Mumbai24x7 Helping Hand: In Mumbai 2 TTEs take charge of helpline to calm anxious relatives - The Ind... http://t.co/tUARYIJpqU #Mumbai</t>
  </si>
  <si>
    <t>Trains derailment: 'It's the freakiest of freak accidents' - The Indian Express http://t.co/cEdCUgEuWs #News  #topstories</t>
  </si>
  <si>
    <t>Latest : Trains derailment: 'It's the freakiest of freak accidents' - The Indian Express: The Indi... http://t.co/sjXLlzOSW7 #IndianNews</t>
  </si>
  <si>
    <t>http://t.co/BAGEF9lFGT 25 killed 50 injured in Madhya Pradesh twin train derailment http://t.co/bVxqA3Kfrx</t>
  </si>
  <si>
    <t>Trains derailment: 'It's the freakiest of freak accidents' - The Indian Express http://t.co/CUVKf5YKAX</t>
  </si>
  <si>
    <t>PHOTOS: Green Line derailment near Cottage Grove and Garfield: http://t.co/4d9Cd4mnVh http://t.co/UNhqCQ6Bex</t>
  </si>
  <si>
    <t>#ModiMinistry Railway Minister Prabhu calls MP derailment a natural calamity http://t.co/tL41olpAkZ</t>
  </si>
  <si>
    <t>Minneapolis,MN,US</t>
  </si>
  <si>
    <t>Train derailment: In Patna no news of any casualty so far - The Indian Express http://t.co/YH5VETm0YZ http://t.co/17Wgug8z0M</t>
  </si>
  <si>
    <t>After the green line derailment my concern for track that looks like this goes up a bit... @cta @CTAFails http://t.co/1uDz0NVOEH</t>
  </si>
  <si>
    <t>Very sad to learn of the derailment of 2 trains in Mp.My deepest condolences to the families who lost loved ones in this Mishap @OfficeOfRG</t>
  </si>
  <si>
    <t xml:space="preserve">Chicago, IL </t>
  </si>
  <si>
    <t>Scene of the derailment.. CTA Green Line at 63rd/Prairie http://t.co/zz5UDiLrea</t>
  </si>
  <si>
    <t>Consent Order on cleanup underway at CSX derailment site - Knoxville News Sentinel http://t.co/xsZx9MWXYp http://t.co/NMFsgKf1Za</t>
  </si>
  <si>
    <t>Helping Hand: In Mumbai 2 TTEs take charge of helpline to calm anxious relatives - The Indian Exp... http://t.co/B9KUylcxg4 MumbaiTimes</t>
  </si>
  <si>
    <t>desolate</t>
  </si>
  <si>
    <t>Thanks a lot roadworks men cos a tube strike wasn't disruptive enough so having to walk the desolate route from Tottenham to .....</t>
  </si>
  <si>
    <t>Me watching Law &amp;amp; Order (IB: @sauldale305) (Vine by @NaturalExample) https://t.co/tl29LnU44O</t>
  </si>
  <si>
    <t>Here there and everywhere</t>
  </si>
  <si>
    <t>I totally agree. They rape kill destroy and leave land desolate. Action needs to happen before the swarm swells. https://t.co/Twcds433YI</t>
  </si>
  <si>
    <t>Unexercised honda run-down neighborhood desolate: PSqD</t>
  </si>
  <si>
    <t>Macclesfield</t>
  </si>
  <si>
    <t>@binellithresa TY for the follow Go To http://t.co/UAN05TNkSW BRUTALLY ABUSED+DESOLATE&amp;amp;LOST + HER LOVELY MUM DIES..Is it Murder?</t>
  </si>
  <si>
    <t>Pueblo, CO</t>
  </si>
  <si>
    <t>@Bill_Roose That looks so desolate and just...depressing</t>
  </si>
  <si>
    <t xml:space="preserve">the insane asylum. </t>
  </si>
  <si>
    <t>@CorleoneDaBoss bc its risky and costly I don't see a need to do that when there isn't anything there. It's totally desolate.</t>
  </si>
  <si>
    <t>desolation</t>
  </si>
  <si>
    <t>Stockholm, Sweden</t>
  </si>
  <si>
    <t>? This Weekend: Stockholm Sweden - Aug 8 at Copperfields http://t.co/6un7xC9Sve</t>
  </si>
  <si>
    <t>Birmingham, UK</t>
  </si>
  <si>
    <t>The date for the release of EP03 DESOLATION is set. Stay tuned for more info while we finalise the schedule. #alt #electro #rock #comingsoon</t>
  </si>
  <si>
    <t>North East, England</t>
  </si>
  <si>
    <t>Just came back from camping and returned with a new song which gets recorded tomorrow. Can't wait! #Desolation #TheConspiracyTheory #NewEP</t>
  </si>
  <si>
    <t>RT kurtkamka: Beautiful desolation. Just me a couple of coyotes some lizards and the morning sun. #Phoenix #Ariz_x0089_Û_ http://t.co/0z1PvJVdpf</t>
  </si>
  <si>
    <t xml:space="preserve">infj </t>
  </si>
  <si>
    <t>going to redo my nails and watch behind the scenes of desolation of smaug ayyy</t>
  </si>
  <si>
    <t>Middle Earth / Asgard / Berk</t>
  </si>
  <si>
    <t>Fotoset: elanorofrohan: 10th December 2013 Green Carpet in Zurich for the Swiss Premiere of The Desolation... http://t.co/BQ3P7n7w06</t>
  </si>
  <si>
    <t>Quilmes , Arg</t>
  </si>
  <si>
    <t>This desperation dislocation
Separation condemnation
Revelation in temptation
Isolation desolation
Let it go and so to find away</t>
  </si>
  <si>
    <t>destroy</t>
  </si>
  <si>
    <t>Virginia, USA</t>
  </si>
  <si>
    <t>destroy the free fandom honestly</t>
  </si>
  <si>
    <t>Wilbraham, MA</t>
  </si>
  <si>
    <t>Just made anthonys bed considering i destroy it everytime i fall asleep. Smh ????</t>
  </si>
  <si>
    <t>Jerseyville, IL</t>
  </si>
  <si>
    <t>Dem FLATLINERS who destroy creativity-balance-longevity &amp;amp; TRUTH stand with Lucifer in all his flames of destruction https://t.co/WcFpZNsN9u</t>
  </si>
  <si>
    <t>Watch These Super Strong Magnets Destroy Everyday Objects: http://t.co/bTUs5jejuy http://t.co/zrTfxLuk6R</t>
  </si>
  <si>
    <t>@Beyonce @NicoleKidman @Oprah these money grubbing kikes need to get a clueI have no money but I can still destroy with telekinesis. Watch.</t>
  </si>
  <si>
    <t>@SarniamakChris @Hromadske @kasiadear33  how silly that one of only two countries that can destroy the world has a say about world security</t>
  </si>
  <si>
    <t>New England</t>
  </si>
  <si>
    <t>5/6 will destroy Reg C competitiveness.   The entire region will B over-saturated.   Yes Brockton gets $12M and RegC Commonwealth PPC and</t>
  </si>
  <si>
    <t>(SJ GIST): 148 Houses Farm Produce Destroy... http://t.co/dkrGS2AWEX #StreetjamzDotNet | https://t.co/mR9KcGpIwM</t>
  </si>
  <si>
    <t>Norway</t>
  </si>
  <si>
    <t>Politics = Preschool Attitude: Russia orders to destroy all food coming from countries it doesn't like. - There is no hunger in the world?</t>
  </si>
  <si>
    <t>destroyed</t>
  </si>
  <si>
    <t>everydaynigerian@gmail.com</t>
  </si>
  <si>
    <t>#EverydayNaija | Flood: Two people dead 60 houses destroyed in Kaduna http://t.co/nOnm8C6L8P</t>
  </si>
  <si>
    <t>Surulere Lagos,Home Of Swagg</t>
  </si>
  <si>
    <t>Flood: Two people dead 60 houses destroyed in Kaduna: Two people have been reportedly killed and 60 houses ut... http://t.co/BDsgF1CfaX</t>
  </si>
  <si>
    <t>Montreal</t>
  </si>
  <si>
    <t>@freeMurphy Your hot take on Canada's hitchhiking garbage-bot (destroyed in Philly) was sorely needed.</t>
  </si>
  <si>
    <t>ÌÏT: 6.4682,3.18287</t>
  </si>
  <si>
    <t>Flood: Two people dead 60 houses destroyed in Kaduna: Two people have been reportedly killed an... http://t.co/kEE1tyTZ15 #SemasirTalks</t>
  </si>
  <si>
    <t>Boise, Idaho</t>
  </si>
  <si>
    <t>70 years after #ABomb destroyd #Hiroshima_x0089_ÛÓ#BBC looks at wht #survived http://t.co/dLgNUuuUYn #CNV Watch Peace Vigils: http://t.co/jvkYzNDtja</t>
  </si>
  <si>
    <t>In my studio</t>
  </si>
  <si>
    <t>Flood: Two people dead 60 houses destroyed in Kaduna: Two people have been reportedly killed and 60 houses ut... http://t.co/JixScpMdUD</t>
  </si>
  <si>
    <t>@DavidVitter Hi David in 2003 I saw the USA walk into a war that destroyed the lives of millions. You can prevent a repeat. #IranDeal</t>
  </si>
  <si>
    <t>Ford Truck Starts Up And Drives Off After Being DESTROYED By Tornado! http://t.co/IxJjlp1LVo</t>
  </si>
  <si>
    <t>destruction</t>
  </si>
  <si>
    <t>Patra-Greece.</t>
  </si>
  <si>
    <t>New RAN report from the frontlines of human rights abuses and forest destruction for fashion.: http://t.co/tYDXauuEnQ</t>
  </si>
  <si>
    <t>#Putin decree results in destruction of 10 tons of imported cheese near Russia-Ukraine border. RT @Independent http://t.co/K3pnNktlXh</t>
  </si>
  <si>
    <t>Manchester, England</t>
  </si>
  <si>
    <t>How American war planners singled out Hiroshima for destruction http://t.co/B5OKgpSpbH</t>
  </si>
  <si>
    <t>??????? ??????? ????????</t>
  </si>
  <si>
    <t>@HassanRouhani Wars doomed to destruction loss money must invest in Iran's inside that should not go outside</t>
  </si>
  <si>
    <t>RSS: Russia begins mass destruction of illegally imported food   http://t.co/r6JDj9kIGm</t>
  </si>
  <si>
    <t>So you have a new weapon that can cause un-imaginable destruction.</t>
  </si>
  <si>
    <t>detonate</t>
  </si>
  <si>
    <t>Bomb squad set to detonate backpack Antioch Tenn. theater gunman had on him officials say - @Tennessean http://t.co/eb74iieIWn</t>
  </si>
  <si>
    <t>Milton/Tallahassee</t>
  </si>
  <si>
    <t>Apollo Brown ft. M.O.P- Detonate - http://t.co/OMfGv9ma1W</t>
  </si>
  <si>
    <t>KÌ¦ln, Nordrhein-Westfalen</t>
  </si>
  <si>
    <t>Detonate (feat. M.O.P.) by Apollo Brown http://t.co/fllaBzGCRc</t>
  </si>
  <si>
    <t>Broomfield, CO</t>
  </si>
  <si>
    <t>#Boulder deputies are waiting for the bomb squad to detonate grenade like this one found in Stearns lake today http://t.co/7cADM3lNkO</t>
  </si>
  <si>
    <t>@BldrCOSheriff says 2nd grenade found is 'younger' that WWII era grenade found earlier. They'll detonate it at 8:00 tonight. @CBSDenver</t>
  </si>
  <si>
    <t>52.214904 5.139055 Nuke please. Target Hilversum please detonate 800 meters below surface.</t>
  </si>
  <si>
    <t>@channelstv:That's why terrorism is not d war for d army but for Intel agents who can counter their moves before they detonate their bombs.</t>
  </si>
  <si>
    <t>Apollo Brown - Detonate (Ft. M.O.P.) https://t.co/NlJVP3Vfyz #FIYA!</t>
  </si>
  <si>
    <t>Northern Ireland</t>
  </si>
  <si>
    <t>@SourMashNumber7 @tomfromireland @rfcgeom66 @BBCTalkback They didn't succeed the other two times either. Bomb didn't detonate&amp;amp;Shots missed.</t>
  </si>
  <si>
    <t>Orlando, FL</t>
  </si>
  <si>
    <t>#hiphop #news #indie Apollo Brown _x0089_ÛÒ _x0089_ÛÏDetonate_x0089_Û_x009d_ Ft. M.O.P. - &amp;lt;a href='http://t.co/WnowfVCbMs... http://t.co/JxWOjxqndC</t>
  </si>
  <si>
    <t>detonation</t>
  </si>
  <si>
    <t>Ignition Knock (Detonation) Sensor-Senso Standard KS94 http://t.co/IhphZCkm41 http://t.co/wuICdTTUhf</t>
  </si>
  <si>
    <t>Dorman 917-033 Ignition Knock (Detonation) Sensor Connector http://t.co/WxCes39ZTe http://t.co/PyGKSSSCFR</t>
  </si>
  <si>
    <t>Ignition Knock (Detonation) Sensor-Senso fits 01-06 BMW 325Ci 2.5L-L6 http://t.co/gBVDNczjoU http://t.co/c211HISe0R</t>
  </si>
  <si>
    <t>Ignition Knock (Detonation) Sensor-Senso Standard KS94 http://t.co/dY1erSDcRh http://t.co/m4cPmxmuRK</t>
  </si>
  <si>
    <t>Ignition Knock (Detonation) Sensor-Senso BECK/ARNLEY 158-0853 http://t.co/OdMx36WDhM http://t.co/gAHeUjRUJu</t>
  </si>
  <si>
    <t>Don't miss Chris #Appy's detonation of the myths obscuring our crime in #Hiroshima 70 yrs ago this month. @salon http://t.co/DlP8kPkt2k</t>
  </si>
  <si>
    <t>Detonation fashionable mountaineering electronic watch water-resistant couples leisure tab_x0089_Û_ http://t.co/7dYOgLhMRe http://t.co/HKm3rtD4ZF</t>
  </si>
  <si>
    <t>Brisbane.</t>
  </si>
  <si>
    <t>We are on our way to Hiroshima.
Today is the 70th anniversary of the detonation of the atomic bomb.</t>
  </si>
  <si>
    <t>70 years after : Hiroshima and Nagasaki - consequences of a nuclear detonation @ICRC http://t.co/BKh7Z6CWWl</t>
  </si>
  <si>
    <t>devastated</t>
  </si>
  <si>
    <t>PG Chillin!</t>
  </si>
  <si>
    <t>Man Currensy really be talkin that talk... I'd be more devastated if he had a ghostwriter than anybody else....</t>
  </si>
  <si>
    <t>Manchester</t>
  </si>
  <si>
    <t>_x0089_ÛÏRichmond Coaches were devastated to hear of the death of their second driver Mr Chance who was sitting_x0089_Û_: Jam... http://t.co/y5Yhbb0hkf</t>
  </si>
  <si>
    <t>Zayn Malik &amp;amp; Perrie Edwards End Engagement: She_x0089_Ûªs _x0089_Û÷Devastated_x0089_Ûª http://t.co/GedOxSPpL9 http://t.co/ACZRUOrYtD</t>
  </si>
  <si>
    <t>@UN No more #GujaratRiot &amp;amp; #MumbaiRiot92-93 which devastated 1000&amp;amp;1000 Indianperpetrated by #Modi &amp;amp; #ChawalChorbjp @UN_Women  @UNNewsTeam</t>
  </si>
  <si>
    <t>REPUBLICA DOMINICANA</t>
  </si>
  <si>
    <t>(#LosDelSonido) Obama Declares Disaster for Typhoon-Devastated Saipan: Obama signs disaster declaration for Northern Ma...  (#IvanBerroa)</t>
  </si>
  <si>
    <t>Obama declares disaster for typhoon-devastated Saipan: President Barack Obama has declared the Commonwealth of... http://t.co/4k8OLZv9bV</t>
  </si>
  <si>
    <t>Obama declares disaster for typhoon-devastated Saipan #Worldnews http://t.co/9NYXjndoRA</t>
  </si>
  <si>
    <t>FOLLOWS YOU everywhere you go</t>
  </si>
  <si>
    <t>Obama Declares Disaster for Typhoon-Devastated Saipan: Obama signs disaster declaration for Northern Marians a... http://t.co/JCszCJiHlH</t>
  </si>
  <si>
    <t>_x0089_ÛÏRichmond Coaches were devastated to hear of the death of their second driver Mr Chance who was sitting_x0089_Û_: Jam... http://t.co/sHKiMonMlw</t>
  </si>
  <si>
    <t>-?s?s?j??s-</t>
  </si>
  <si>
    <t>Obama Declares Disaster for Typhoon-Devastated Saipan: Obama signs disaster declaration for Northern Marians a... http://t.co/1i19CuOv7L</t>
  </si>
  <si>
    <t>_x0089_ÛÏRichmond Coaches were devastated to hear of the death of their second driver Mr Chance who was sitting_x0089_Û_: Jam... http://t.co/dIalTa6t69</t>
  </si>
  <si>
    <t>Obama Declares Disaster for Typhoon-Devastated Saipan: Obama signs disaster declaration for Northern Marians a... http://t.co/U8Ykr63B1G</t>
  </si>
  <si>
    <t xml:space="preserve">Indonesia
</t>
  </si>
  <si>
    <t>Obama Declares Disaster for Typhoon-Devastated Saipan: Obama signs disaster declaration for Northern Marians a... http://t.co/a1MoeJxqyA</t>
  </si>
  <si>
    <t>abcnews - Obama Declares Disaster for Typhoon-Devastated Saipan: Obama signs disaster declaration for Northern... http://t.co/mg5eAJElul</t>
  </si>
  <si>
    <t>Banbridge</t>
  </si>
  <si>
    <t>'Er indoors will be devastated. RIP Arfur. #GeorgeCole</t>
  </si>
  <si>
    <t>Port Orange, FL</t>
  </si>
  <si>
    <t>@argentings WE COULD HAVE HAD IT AAAAAAALLLL I_x0089_Ûªm not even on that season and I_x0089_Ûªm devastated</t>
  </si>
  <si>
    <t>Obama Declares Disaster for Typhoon-Devastated Saipan:  http://t.co/M6LvKXl9ii</t>
  </si>
  <si>
    <t>ACCRA GHANA</t>
  </si>
  <si>
    <t>Obama Declares Disaster for Typhoon-Devastated Saipan: Obama signs disaster declaration for Northern Marians a... http://t.co/XDt4VHFn7B</t>
  </si>
  <si>
    <t>devastation</t>
  </si>
  <si>
    <t>Columbus</t>
  </si>
  <si>
    <t>@WesleyLowery ?????? how are you going to survive this devastation?</t>
  </si>
  <si>
    <t>I'm in utter shock and devastation you don't go to work to be left feeling how I do now. Life really is too short ??</t>
  </si>
  <si>
    <t>St Joseph de Beauce</t>
  </si>
  <si>
    <t>In this fragile global economy considering the devastation the alternatives would cause ... it's the best reason .. https://t.co/zwVyisyP2B</t>
  </si>
  <si>
    <t>In Kalmikya Astrakhan Volgagrad and Dagestan there is already no food left for the locusts
  http://t.co/79Fw9zWxtP via @TIMEWorld</t>
  </si>
  <si>
    <t>Wasington, DC</t>
  </si>
  <si>
    <t>70 Years After Atomic Bombs Japan Still Struggles With War Past: The anniversary of the devastation wrought b... http://t.co/pmS4pMuR0q</t>
  </si>
  <si>
    <t>http://t.co/IQoWZgvZNl #LatestNews #CNBC #CNN
The anniversary of the devastation wrought by the first military use of an atomic weapon c_x0089_Û_</t>
  </si>
  <si>
    <t xml:space="preserve">  News</t>
  </si>
  <si>
    <t>70 Years After Atomic Bombs Japan Still Struggles With War Past: The anniversary of the devastation wrought b... http://t.co/ohNdh2rI0V</t>
  </si>
  <si>
    <t>70 Years After Atomic Bombs Japan Still Struggles With War Past: The anniversary of the devastation wrought b... http://t.co/iTBJ6DKRZI</t>
  </si>
  <si>
    <t>Newport, Wales, UK</t>
  </si>
  <si>
    <t>@cllrraymogford Indeed Ray devastation would be far more comprehensive #Hiroshima</t>
  </si>
  <si>
    <t>70 Years After Atomic Bombs Japan Still Struggles With Wartime Past: The anniversary of the devastation wroug... http://t.co/EfsA6pbeMC</t>
  </si>
  <si>
    <t>70 Years After Atomic Bombs Japan Still Struggles With War Past: The anniversary of the devastation wrought b... http://t.co/aG65u29SGo</t>
  </si>
  <si>
    <t>iTunes - RSS</t>
  </si>
  <si>
    <t>Classic WWW _x0089_ÛÓ Hiroshima/Nagasaki: Atomic Devastation Hidden for Decades: The people of Hiroshima and Nagasaki ... http://t.co/pLo2QkrWHu</t>
  </si>
  <si>
    <t>contactSimpleNews@gmail.com</t>
  </si>
  <si>
    <t>70 Years After Atomic Bombs Japan Still Struggles With War Past: The anniversary of the devastation wrought b... http://t.co/LtVVPfLSg8</t>
  </si>
  <si>
    <t>#HungerArticles: Nepal: Rebuilding Lives and Livelihoods After Quake Devastation http://t.co/LROuWjMbIx</t>
  </si>
  <si>
    <t>70 Years After Atomic Bombs Japan Still Struggles With War Past http://t.co/5wfXbAQMBK The anniversary of the devastation wrought by the_x0089_Û_</t>
  </si>
  <si>
    <t>Upper manhattan, New York</t>
  </si>
  <si>
    <t>70 Years After Atomic Bombs Japan Still Struggles With War Past: The anniversary of the devastation wrought b... http://t.co/1erd2FPryP</t>
  </si>
  <si>
    <t>@Pam_Palmater i agree with @perrybellegarde to get out &amp;amp; vote. Look at devastation @pmharper caused #FirstNations #IdleNoMore #cndpoli #yyj</t>
  </si>
  <si>
    <t>Brasil</t>
  </si>
  <si>
    <t>70 Years After Atomic Bombs Japan Still Struggles With War Past: The anniversary of the devastation wrought b...  http://t.co/BS6XaqHsim</t>
  </si>
  <si>
    <t>ITALY</t>
  </si>
  <si>
    <t>#Thorium Radioactive Weapons. Scandals murders and environmental devastation: - VIDEO http://t.co/mly7sDN6eV</t>
  </si>
  <si>
    <t>70 Years After Atomic Bombs Japan Still Struggles With War Past: The anniversary of the devastation wrought b... http://t.co/o6AA0nWLha</t>
  </si>
  <si>
    <t>70 Years After Atomic Bombs Japan Still Struggles With War Past: The anniversary of the devastation wrought b... http://t.co/Targ56iGBZ</t>
  </si>
  <si>
    <t>EVERYWHERE</t>
  </si>
  <si>
    <t>What would your city look like if it had been the subject of the #Hiroshima bombing? Hint-devastation. #BeyondtheBomb http://t.co/3nKcUlGVMW</t>
  </si>
  <si>
    <t>$10M SETTLEMENT attained using our illustrations to help jurors understand the true devastation of internal injuries: http://t.co/2BaXg1WdPP</t>
  </si>
  <si>
    <t>70 Years After Atomic Bombs Japan Still Struggles With War Past: The anniversary of the devastation wrought b... http://t.co/vFCtrzaOk2</t>
  </si>
  <si>
    <t>#health #Newyear The anniversary of the devastation wrought by the first military use of an atomic weapon come...  http://t.co/yuo7jDnijx</t>
  </si>
  <si>
    <t>Washington DC</t>
  </si>
  <si>
    <t>I visited Hiroshima in 2006. It is an incredible place. This model shows devastation of the bomb. http://t.co/Gid6jqN8UG</t>
  </si>
  <si>
    <t>Water now tops the charts for highest global risk in terms of devastation_x0089_Û_ ahead of nuclear war or a global pandemic http://t.co/nbcvbSO9nm</t>
  </si>
  <si>
    <t>disaster</t>
  </si>
  <si>
    <t>USA, Haiti, Nepal</t>
  </si>
  <si>
    <t>More Natural Disaster Research Urgent http://t.co/5Cm0LfZhxn via #JakartaPost</t>
  </si>
  <si>
    <t>å¬'Only the sea knows how many are dead' @MSF_Sea after last disaster in #Mediterranean turned into a massgrave  http://t.co/m0utLDif77</t>
  </si>
  <si>
    <t>@Tim_A_Roberts w/o giving up too much of Nana France reminds me of America right before the war in Iraq. A restlessness leading to disaster</t>
  </si>
  <si>
    <t>Manila, Philippines</t>
  </si>
  <si>
    <t>Strengthening partnerships #AfterHaiyan http://t.co/Ga14egplw9 #Haiyan #YolandaPh #Philippines #livelihood #disasterrecovery #disaster</t>
  </si>
  <si>
    <t>CW500: Dealing with disaster - http://t.co/jq9nJ6Gko3</t>
  </si>
  <si>
    <t>San Francisco</t>
  </si>
  <si>
    <t>Blue Bell May Be Close to a Return From Its Listeria Disaster... Hot on #theneeds #Recipes http://t.co/F56v61AmPt</t>
  </si>
  <si>
    <t>Hinton, W.Va.</t>
  </si>
  <si>
    <t>Jeff Locke. Train wreck. F'in disaster. Fortunately the Pirates acquired a top quality starter in J.A... Oh wait. #Blowltan</t>
  </si>
  <si>
    <t>#Metepec #Mexico - ?NIGHT DISASTER?...E(Oficial) @ #NitClub #mÌ¼sica #mÌ¼sica http://t.co/WTfJF9jjzs</t>
  </si>
  <si>
    <t>Philadelphia, PA USA</t>
  </si>
  <si>
    <t>DISASTER AVERTED: Police kill gunman with 'hoax device' at cinema http://t.co/tdHn9zy0ER  via #Foxnews</t>
  </si>
  <si>
    <t>TV: Vitaly Churkin Briliantly Exposes the Hypocrisy of the Ukraine's FM Klimkin About the MH17 Disaster http://t.co/tt4kVmvuJq</t>
  </si>
  <si>
    <t>Naperville</t>
  </si>
  <si>
    <t>Illinois Tornado Slipped Under The Radar Emergency Officials Say http://t.co/zhGu8yE1bj</t>
  </si>
  <si>
    <t>Top insurer blasts lack of Australian Govt action on disaster mitigation http://t.co/sDgOUtWNtb via @smh</t>
  </si>
  <si>
    <t>Dappar (Mohali) Punjab</t>
  </si>
  <si>
    <t>@Gurmeetramrahim #MSGDoing111WelfareWorks Green S welfare force ke appx 65000 members har time disaster victim ki help ke liye tyar hai....</t>
  </si>
  <si>
    <t>los angeles</t>
  </si>
  <si>
    <t>Keeps askin me what this means
Not like i got the answers
Plus if i say the wrong thing
This might just turn into a disaster</t>
  </si>
  <si>
    <t>Atlanta</t>
  </si>
  <si>
    <t>DISASTER AVERTED: Police kill gunman with 'hoax device' at cinema http://t.co/94SXKI7KVX</t>
  </si>
  <si>
    <t>displaced</t>
  </si>
  <si>
    <t>Pedophile hunting ground</t>
  </si>
  <si>
    <t>#Myanmar  Displaced #Rohingya at #Sittwe point of no return http://t.co/cgf61fPmR0  #Prison like conditions #genocide IHHen MSF Refugees</t>
  </si>
  <si>
    <t>Crews were out all day boarding up windows at the park at the Galleria apts. where fire displaced 55 this AM. http://t.co/NMPN2mqZgE</t>
  </si>
  <si>
    <t>U.S.</t>
  </si>
  <si>
    <t>.POTUS #StrategicPatience is a strategy for #Genocide; refugees; IDP Internally displaced people; horror; etc. https://t.co/8owC41FMBR</t>
  </si>
  <si>
    <t>Visit our  dedicated website @</t>
  </si>
  <si>
    <t>300000 Dead 1200000 injured 11000000 Displaced this is #Syria 2015 visit  http://t.co/prCI76hOwu  #US #Canada http://t.co/rTCuFaG0au</t>
  </si>
  <si>
    <t xml:space="preserve">Asia Pacific   </t>
  </si>
  <si>
    <t>#Myanmar 's Displaced #Rohingya at #Sittwe point of no return http://t.co/gsa4o1mjNm Prison-like conditionsprivation http://t.co/i5ma6eWuwc</t>
  </si>
  <si>
    <t>#KCA #VoteJKT48ID 12News: UPDATE: A family of 3 has been displaced after fired damaged housed near 90th and Osborn. Fire extinguished no i_x0089_Û_</t>
  </si>
  <si>
    <t>@I_AmTalia @SGC72 'Thousands of people were displaced/injured/killed but hey now there's more opportunity for different restaurants!'</t>
  </si>
  <si>
    <t>Philippines Must Protect Internally Displaced Persons Warns UN Expert http://t.co/xLZWTzgQTC</t>
  </si>
  <si>
    <t>Kelowna, BC</t>
  </si>
  <si>
    <t>At least 180 dead a million displaced in India floods - India | ReliefWeb http://t.co/0abgFgLH7X</t>
  </si>
  <si>
    <t>48.870833,2.399227</t>
  </si>
  <si>
    <t>9000 Photographs from 1800's British Mandate of Palestine - with no trace of 'Palestinians' http://t.co/X8i0mHYRmN</t>
  </si>
  <si>
    <t>.POTUS #StrategicPatience is a strategy for #Genocide; refugees; IDP Internally displaced people; horror; etc. https://t.co/rqWuoy1fm4</t>
  </si>
  <si>
    <t>Historic flooding across Asia leaves hundreds dead millions displaced: http://t.co/4roisyXJlw http://t.co/3R8QoZJt7T</t>
  </si>
  <si>
    <t>Angry Woman Openly Accuses NEMA Of Stealing Relief Materials Meant For IDPs: An angry Internally Displaced wom... http://t.co/TEq7SrI57P</t>
  </si>
  <si>
    <t>UK  &amp; Germany</t>
  </si>
  <si>
    <t>#Myanmar  Displaced #Rohingya at #Sittwe point of no return http://t.co/qegMRhSms2  #Prison like conditions #genocide @IHHen @MSF @Refugees</t>
  </si>
  <si>
    <t>Manila</t>
  </si>
  <si>
    <t>Philippines Must Protect Internally Displaced Persons Warns UN Expert - The Diplomat http://t.co/V0yRfH9DKc</t>
  </si>
  <si>
    <t>40 displaced by Ocean Township apartment fire #NewYork - http://t.co/uelZ59wVOm</t>
  </si>
  <si>
    <t>PennLive - Two families displaced by Mechanicsburg blaze - No one was injured in the fire. http://t.co/OHYD7Hhcpe</t>
  </si>
  <si>
    <t>@peterjukes A crime that killed/displaced millions. In which systematic torture was carried out. But look. GrahamWP fired a gun! Arrest him!</t>
  </si>
  <si>
    <t>(Spain)</t>
  </si>
  <si>
    <t>'@PhelimKine: #Myanmar 's Displaced #Rohingya at #Sittwe point of no return http://t.co/8gO68KjE4b  http://t.co/0KrW1zYaHM'</t>
  </si>
  <si>
    <t>new york</t>
  </si>
  <si>
    <t>Could Billboard's Hot 100 chart be displaced by these social-media-driven music charts?    http://t.co/WVlaH8jRXe</t>
  </si>
  <si>
    <t>Real people. True stories. Real pain &amp;amp; suffering. #displaced #RefugeesMatter #Syria  https://t.co/OEZ7O9AB2C</t>
  </si>
  <si>
    <t>Na:tinixw / Hoopa, Berkeley</t>
  </si>
  <si>
    <t>Elem Pomo helping the displaced from the Rocky Fire. Please consider!
Elem Evacuation Center http://t.co/dYDFvz7amj via @gofundme</t>
  </si>
  <si>
    <t>drought</t>
  </si>
  <si>
    <t>USA (Formerly @usNOAAgov)</t>
  </si>
  <si>
    <t>#Nevada's _x0089_Û÷exceptional_x0089_Ûª #drought steady at ~11%; ~ 95% of #NV in drought: http://t.co/Nyo1xueBFA @DroughtGov http://t.co/w0a1MJOrHY</t>
  </si>
  <si>
    <t>U.S. in record hurricane drought http://t.co/8JvQI9UspL</t>
  </si>
  <si>
    <t>Chappaqua NY and Redlands CA</t>
  </si>
  <si>
    <t>U.S. record hurricane drought. http://t.co/fE9hIVfMxq</t>
  </si>
  <si>
    <t>Spokane, WA</t>
  </si>
  <si>
    <t>Worried about how the CA drought might affect you? Extreme Weather: Does it Dampen Our Economy? http://t.co/fDzzuMyW8i</t>
  </si>
  <si>
    <t>NYC-LA-MIAMI</t>
  </si>
  <si>
    <t>LLF TALK WORLD NEWS U.S. in record hurricane drought - The United States hasn't been hit by a major hurricane in t... http://t.co/oqeq4ueGF8</t>
  </si>
  <si>
    <t>http://t.co/vYmnRnSThG: U.S. in record hurricane drought http://t.co/1mvSQG0XKE</t>
  </si>
  <si>
    <t>w--=-=-=-[ NEMA warns Nigerians to prepare for drought http://t.co/5uoOPhSqU3</t>
  </si>
  <si>
    <t>Okanagan Valley, BC</t>
  </si>
  <si>
    <t>#MakeWaterWork Okanagan! Drought rating maxed out - Okanagan Valley http://t.co/tXrBdaUBNN http://t.co/Ue78c7EgOX #WesternCanadaDrought</t>
  </si>
  <si>
    <t>Gov. Brown links CA wildfire to drought http://t.co/jEvrCWUdpm</t>
  </si>
  <si>
    <t>Caribbean</t>
  </si>
  <si>
    <t>Heat wave is relentless:  91å¡F Feels Like 100 Humidity 55% +
relentless drought too: now Dominicana. I know is worse in other places.</t>
  </si>
  <si>
    <t>Treasures revealed as California drought drains lakes http://t.co/kAH1KmTrj7</t>
  </si>
  <si>
    <t>CANADA BC DROUGHT: Okanagan region issued Level 4 rating - Okanagan River (Columbia trib) fishing suspended to Sep 30 http://t.co/r4yZHxk7lw</t>
  </si>
  <si>
    <t>San Francisco , CA</t>
  </si>
  <si>
    <t>It_x0089_Ûªs time to do away with drought.Check out how the #cloud #IOT are helping conserve water http://t.co/nnv3zwVANt</t>
  </si>
  <si>
    <t>Charlotte, NC</t>
  </si>
  <si>
    <t>BLOG: Rain much needed as drought conditions worsen: Right now Charlotte and much of the surrounding area have_x0089_Û_ http://t.co/OLzaVTJFKH</t>
  </si>
  <si>
    <t>#weed news How marijuana is making California drought worse - Christian Science Monitor http://t.co/2SZ7oKjRXi</t>
  </si>
  <si>
    <t>#DroughtMonitor: Moderate or worse #drought ? to ~27% of contig USA; affects ~80M people. http://t.co/YBE9JQoznR http://t.co/328SzflEtZ</t>
  </si>
  <si>
    <t>Las Cruces, NM</t>
  </si>
  <si>
    <t>Pretty neat website to get the latest drought conditions in your area https://t.co/uaoDOquDa1</t>
  </si>
  <si>
    <t>Football Field</t>
  </si>
  <si>
    <t>The Drought Is Real ??????</t>
  </si>
  <si>
    <t>i luv raquel</t>
  </si>
  <si>
    <t>@Michael5SOS California is in a drought. what are you gonna do about this issue? if you want to be president this attitude won't work with m</t>
  </si>
  <si>
    <t>austin, texas</t>
  </si>
  <si>
    <t>For these Californians it's like living in Africa's Sahel desert - just finding water a daily chore. http://t.co/ySG9vsrT4g</t>
  </si>
  <si>
    <t>U.S. in record hurricane drought: The United States hasn't been hit by a major hurricane in the past nine years and it seems like that_x0089_Û_</t>
  </si>
  <si>
    <t>Philadelphia</t>
  </si>
  <si>
    <t>California meets drought-fueled fire season with extra crews.. Related Articles: http://t.co/rKDzB0TGC3</t>
  </si>
  <si>
    <t>Macon, Georgia</t>
  </si>
  <si>
    <t>Moderate #drought is spreading rapidly across central Ga. #Macon #WarnerRobins #Dublin #Milledgeville #gawx http://t.co/PHNEZ60cwe</t>
  </si>
  <si>
    <t>Ashxjonespr@gmail.com</t>
  </si>
  <si>
    <t>Thought it was a drought @_ASHJ? http://t.co/V4Br5gjMIY</t>
  </si>
  <si>
    <t>miami</t>
  </si>
  <si>
    <t>@_gaabyx we got purple activist I thought it was a drought</t>
  </si>
  <si>
    <t>We happily support mydrought  a project bringing awareness to the LA drought. Track your water_x0089_Û_ https://t.co/2ZvhX41I9v</t>
  </si>
  <si>
    <t>Abuja,Nigeria</t>
  </si>
  <si>
    <t>'California's Burning:' Gov. on Drought Wildfires http://t.co/mkqSVp8E0G</t>
  </si>
  <si>
    <t>LLF TALK  WORLD NEWS U.S. in record hurricane drought - The United States hasn't been hit by a major hurricane in ... http://t.co/ML8IrhWg7O</t>
  </si>
  <si>
    <t>drown</t>
  </si>
  <si>
    <t>.@karijobe and her band killed it tonight.  It was almost loud enough to drown out the tambourine behind me..... @codycarnes @AG_USA</t>
  </si>
  <si>
    <t>Portugal</t>
  </si>
  <si>
    <t>I can't drown my demons they know how to swim</t>
  </si>
  <si>
    <t>Jonesboro, Arkansas USA</t>
  </si>
  <si>
    <t>We are getting some reports of flooding near Jonesboro High School. Please use caution when driving in the area. Turn around don't drown!</t>
  </si>
  <si>
    <t>drowned</t>
  </si>
  <si>
    <t>Wtf this mom just drowned her child?!</t>
  </si>
  <si>
    <t>Hundreds feared drowned as migrant boat capsizes off Libya http://t.co/7S1GfNEBgt</t>
  </si>
  <si>
    <t>R'lyeh, South Pacific</t>
  </si>
  <si>
    <t>Sadly before she could save humanity Ursula drowned in the drool of a protoshoggoth but at least she sort of died doing what she loved.</t>
  </si>
  <si>
    <t>WorldWideWeb</t>
  </si>
  <si>
    <t>#DW Hundreds feared drowned as migrant boat capsizes off Libya: Hundreds of migrants are_x0089_Û_ http://t.co/VOX99FWKcX</t>
  </si>
  <si>
    <t>Dreieich, Germany</t>
  </si>
  <si>
    <t>via @dw_english Hundreds feared drowned as migrant boat capsizes off Libya http://t.co/Cubc0nq6Fd #UFO4UBlogEurope</t>
  </si>
  <si>
    <t>Migrants drown at sea after boat capsizes off #Libya http://t.co/t4pv0nrOoV http://t.co/PSeYLYzck4</t>
  </si>
  <si>
    <t>Visting Georgina at The Drowned Rat Cafe.....awful view!! http://t.co/pYLFb3tI9U</t>
  </si>
  <si>
    <t>Toddler drowned in bath after mum left room to fetch his pyjamas http://t.co/k9aSKtwXfL</t>
  </si>
  <si>
    <t>Halfrica</t>
  </si>
  <si>
    <t>So I pick myself off the ground and swam before I drowned. Hit the bottom so hard I bounced twice suffice this time around is different.</t>
  </si>
  <si>
    <t>Jacksonville Beach, FL</t>
  </si>
  <si>
    <t>Jacksonville  family bands together as memorial is planned for  ... http://t.co/tilgurKv7Z</t>
  </si>
  <si>
    <t>Melbourne</t>
  </si>
  <si>
    <t>Hundreds feared drowned after another Mediterranean asylum seeker boat sinking http://t.co/zsYkzj2bzG</t>
  </si>
  <si>
    <t>I got drowned like 5 times in the damn game today ????????????</t>
  </si>
  <si>
    <t>80 tons of cocaine worth 125 million dollars drowned in #Alameda .....now that's a American drought #coke</t>
  </si>
  <si>
    <t>U.S.A. - Global Members Site</t>
  </si>
  <si>
    <t>Hundreds feared drowned as migrant boat capsizes off Libya http://t.co/pPJi1tCNML</t>
  </si>
  <si>
    <t>Hundreds of migrants feared drowned off Libya: Migrants stand next to their tent at a camp set near Calais_x0089_Û_ http://t.co/PY4mtW5xpM</t>
  </si>
  <si>
    <t>drowning</t>
  </si>
  <si>
    <t>Grace: this is not your first ' storm' you know bicycles fences trees will fly as well as idiots drowning that go by swollen rivers...</t>
  </si>
  <si>
    <t>Numa casa de old yellow bricks</t>
  </si>
  <si>
    <t>LONDON IS DROWNING AND IIII LIVE BY THE RIVEEEEEER</t>
  </si>
  <si>
    <t>'Drowning' - Acrylic 08.05.15 https://t.co/X17fUBQBGG</t>
  </si>
  <si>
    <t>New Jersey/ D.R.</t>
  </si>
  <si>
    <t>@_jeesss_ @Ethereal_7 Hello 911 yeah we have someone drowning here send a medic http://t.co/7GiglwdMhy</t>
  </si>
  <si>
    <t>@HeyImBeeYT its like theres fire in my skin and im drowning from within ????</t>
  </si>
  <si>
    <t>Baltimore, MD</t>
  </si>
  <si>
    <t>No reported cases of people drowning in sweat...FYI</t>
  </si>
  <si>
    <t>Hughes, AR</t>
  </si>
  <si>
    <t>http://t.co/9y0pAJ8sxd Family mourns drowning of 'superhero' toddler with rare epilepsy - Chicago Tribune http://t.co/oLdjsowKY5</t>
  </si>
  <si>
    <t>Madison, WI</t>
  </si>
  <si>
    <t>@NigelTanner1 Believe it or not we've had too MUCH rain here. Our newly planted maple trees are actually drowning.</t>
  </si>
  <si>
    <t>Boy saves autistic brother from drowning: A nine-year-old in Maine dove into a pool to save his autistic brother from drowning</t>
  </si>
  <si>
    <t>dust%20storm</t>
  </si>
  <si>
    <t>Beirut, Lebanon</t>
  </si>
  <si>
    <t>Some poor sods arriving in Amman during yesterday's dust storm were diverted to Ben Gurion airport: http://t.co/jkpjpcH9i6</t>
  </si>
  <si>
    <t>Kids Disappear in Dust Storm in Atmospheric Aussie Thriller http://t.co/0MNPCER9nO RT @Newz_Sacramento</t>
  </si>
  <si>
    <t>El Paso, Texas</t>
  </si>
  <si>
    <t>NASA MODIS image: Dust storm over Morocco and the Straits of Gibraltar http://t.co/QWQnni7VMZ #duststorm</t>
  </si>
  <si>
    <t>qosqo</t>
  </si>
  <si>
    <t>Totoooooo! Totoooooooooo!
'@Historicalmages: Dust storm approaching Stratford Texas 18th April 1935. http://t.co/4awC16uUWB'</t>
  </si>
  <si>
    <t>Lubbock, TX</t>
  </si>
  <si>
    <t>Severe storm weakening as it moves SE towards Lubbock area.  Outflow boundary may create dust and 50 mph gusts http://t.co/pw3tZU0tay</t>
  </si>
  <si>
    <t>CA via Brum</t>
  </si>
  <si>
    <t>When the answer my friend isn't blowing in the wind-IT'S YELLING! -How to Survive a Dust Storm http://t.co/9NwAJLi9cr http://t.co/tKMOtaeaCo</t>
  </si>
  <si>
    <t>Kids Disappear in Dust Storm in Atmospheric Aussie Thriller http://t.co/TPOaprJudp RT @Newz_Sacramento</t>
  </si>
  <si>
    <t>How to Survive a Dust Storm http://t.co/0yL3yT4YLH</t>
  </si>
  <si>
    <t>Dust Storm 'en route' from Alice Springs to Uluru http://t.co/4ilt6FXU45</t>
  </si>
  <si>
    <t xml:space="preserve">D(M)V  </t>
  </si>
  <si>
    <t>@RetiredFilth people in sydney woke up to the whole sky being red after a dust storm..like unreal.</t>
  </si>
  <si>
    <t>Marrakech MÌ©dina, Marrakech - Tensift - Al Haouz</t>
  </si>
  <si>
    <t>There's a big storm brewing dark clouds thunder and rain carrying thick dust. This could be interesting.</t>
  </si>
  <si>
    <t>Ellensburg to Spokane</t>
  </si>
  <si>
    <t>I-90 Vantage: Backups eastbound with low visibility due to a dust storm about 4 miles east of the bridge.</t>
  </si>
  <si>
    <t>Good way to end the day!!! Geyser plus dust storm! http://t.co/l5VakLR59M</t>
  </si>
  <si>
    <t>SD |Norway| KSA</t>
  </si>
  <si>
    <t>dust storm in riyadh ????</t>
  </si>
  <si>
    <t>Let it be gone away like a dust in the wind .... Big Wind like a Tornado with Blizzard Thunder and Storm its that what I always want it</t>
  </si>
  <si>
    <t>Pocatello, ID</t>
  </si>
  <si>
    <t>Storm headed towards Idaho Falls with blowing dust &amp;amp; winds to 60 mph.  US HWY 20 &amp;amp; I15 look out.  #idwx http://t.co/0cR74m1Uxm</t>
  </si>
  <si>
    <t>Room 234</t>
  </si>
  <si>
    <t>Currently driving through a dust storm. http://t.co/srUj5ZljGL</t>
  </si>
  <si>
    <t>I learned more about economics from one South Dakota dust storm than I did in all my years in college.  -Hubert Humphrey</t>
  </si>
  <si>
    <t>Raw Video: Dust Storm Rolls Through Texas http://t.co/QllkOfdyzX http://t.co/rGjJuMnNah</t>
  </si>
  <si>
    <t>DUST IN THE WIND: @82ndABNDIV paratroopers move to a loading zone during a dust storm in support of Operation Fury: http://t.co/uGesKLCn8M</t>
  </si>
  <si>
    <t>Wall of noise is one thing - but a wall of dust? Moving at 60MPH? http://t.co/9NwAJLi9cr How to not get blown away! http://t.co/j4NI4N0yFZ</t>
  </si>
  <si>
    <t>@deadlydemi even staying up all night to he barrier for tÌüp and then having to run through a dust storm and almost passing out?</t>
  </si>
  <si>
    <t>chicago</t>
  </si>
  <si>
    <t>Going to a fest? Bring swimming goggles for the dust storm in the circle pit</t>
  </si>
  <si>
    <t>Severe storm weakening as it moves SE towards Lubbock area.  Outflow boundary may create dust and 50 mph gusts http://t.co/kA1HBjlqVw</t>
  </si>
  <si>
    <t>earthquake</t>
  </si>
  <si>
    <t>ARGENTINA</t>
  </si>
  <si>
    <t>#Earthquake #Sismo M 1.4 - 4km E of Interlaken California: Time2015-08-06 00:52:25 UTC2015-08-05 17:52:25 -07... http://t.co/wA5C77F8vQ</t>
  </si>
  <si>
    <t>1.43 earthquake occurred near Mount St. Helens area Washington at 09:36 UTC! #earthquake http://t.co/2xMdiDGpnr</t>
  </si>
  <si>
    <t>Contruction upgrading ferries to earthquake standards in Vashon Mukilteo - Q13 FOX http://t.co/E981DgSkab #EarthquakeNews</t>
  </si>
  <si>
    <t>#3Novices : Renison mine sees seismic event http://t.co/2i4EOGGO5j A small earthquake at Tasmania's Renison tin project has created a tem_x0089_Û_</t>
  </si>
  <si>
    <t>2.0 #Earthquake in Sicily Italy #iPhone users download the Earthquake app for more information http://t.co/V3aZWOAmzK</t>
  </si>
  <si>
    <t>USGS EQ: M 1.2 - 23km S of Twentynine Palms California: Time2015-08-05 23:54:09 UTC2015-08-05 16:... http://t.co/T97JmbzOBO #EarthQuake</t>
  </si>
  <si>
    <t>One World</t>
  </si>
  <si>
    <t>Some of the aftershocks can be just as big as the initial earthquake.~ http://t.co/HKbPqdncBa</t>
  </si>
  <si>
    <t>Desde Republica Argentina</t>
  </si>
  <si>
    <t>#Sismo ML 2.4  NEAR THE COAST OF WESTERN TURKEY: MagnitudeåÊåÊML 2.4RegionåÊåÊNEAR THE COAST OF WESTERN TURKEY... http://t.co/0wdAzLcM90 #CS</t>
  </si>
  <si>
    <t>USGS EQ: M 0.6 - 8km SSW of Anza California: Time2015-08-06 01:26:24 UTC2015-08-05 18:26:24 -07:0... http://t.co/3bwWNLsxhB #EarthQuake</t>
  </si>
  <si>
    <t>1.9 earthquake occurred 15km E of Anchorage Alaska at 00:11 UTC! #earthquake #Anchorage http://t.co/QFyy5aZIFx</t>
  </si>
  <si>
    <t>Raffi_RC: RT SustainOurEarth: Oklahoma Acts to Limit Earthquake Risk at Oil and Gas Wells | scoopit http://t.co/yru4nPHdrf Loving all thi_x0089_Û_</t>
  </si>
  <si>
    <t>#USGS M 0.9 - Northern California: Time2015-08-06 01:50:25 UTC2015-08-06 01:50:25 UTC at epicenter... http://t.co/mBo6OAnIQI #EarthTwerk</t>
  </si>
  <si>
    <t>TÌÁchira - Venezuela</t>
  </si>
  <si>
    <t>#SCSeEstaPreparando Light mag. 4.4 earthquake  - - 73km SW of Khuzdar Pakistan on Wednes... http://t.co/i6lmcccLv5 via @volcanodiscover</t>
  </si>
  <si>
    <t>#USGS M 1.2 - 23km S of Twentynine Palms California: Time2015-08-05 23:54:09 UTC2015-08-05 16:54:09 -07:0... http://t.co/kF0QYBKZOL #SM</t>
  </si>
  <si>
    <t>Nepal earthquake 3 months on: Women fear abuse https://t.co/iCTtZ0Divr via @@loupascale</t>
  </si>
  <si>
    <t>Hawaii, USA</t>
  </si>
  <si>
    <t>USGS reports a M1.94 #earthquake 5km S of Volcano Hawaii on 8/6/15 @ 1:04:01 UTC http://t.co/Njd28pg9Xv #quake</t>
  </si>
  <si>
    <t>New Zealand</t>
  </si>
  <si>
    <t>GNS sees unnecessary deaths resulting from earthquake strengthening legislation http://t.co/4rYZMzSgDW ($)</t>
  </si>
  <si>
    <t>'There was a small earthquake in LA but don't worry Emily Rossum is fine' #difficultpeople is great</t>
  </si>
  <si>
    <t>Alaska, USA</t>
  </si>
  <si>
    <t>USGS EQ: M 1.9 - 15km E of Anchorage Alaska: Time2015-08-06 00:11:16 UTC2015-08-05 16:11:16 -08:0... http://t.co/OjQ0KFg5ub #EarthQuake</t>
  </si>
  <si>
    <t>#Earthquake #Sismo M 1.9 - 15km E of Anchorage Alaska: Time2015-08-06 00:11:16 UTC2015-08-05 16:11:16 -08:00 ... http://t.co/Z0VeR1hVM9</t>
  </si>
  <si>
    <t>Contruction upgrading ferries to earthquake standards in Vashon Mukilteo: The upgrades will bring the vulnera... http://t.co/Au5jWGT0ar</t>
  </si>
  <si>
    <t>M1.57 [01:11 UTC]?3km NNW of Lake Henshaw California. http://t.co/f9KQksoSw3</t>
  </si>
  <si>
    <t>rzl ?</t>
  </si>
  <si>
    <t>earthquake drill atm</t>
  </si>
  <si>
    <t>in the Word of God</t>
  </si>
  <si>
    <t>@DArchambau THX for your great encouragement and for RT of NEW VIDEO http://t.co/cybKsXHF7d The Coming Apocalyptic US Earthquake &amp;amp; Tsunami</t>
  </si>
  <si>
    <t>#keepthefaith J&amp;J</t>
  </si>
  <si>
    <t>Earthquake drill ??</t>
  </si>
  <si>
    <t>Global Edition</t>
  </si>
  <si>
    <t>#earthquake (EMSC): MD 2.9 OFF COAST OF NORTHERN CALIFORNIA http://t.co/6AiMd1uway G http://t.co/9cgbJwmhII</t>
  </si>
  <si>
    <t>'There was a small earthquake in LA but don't worry Emmy Rossum is fine'</t>
  </si>
  <si>
    <t>Sure the #Megaquake story brought a sense of panic but the question is: will anything really change? http://t.co/9f3rDN9N3D</t>
  </si>
  <si>
    <t>world</t>
  </si>
  <si>
    <t>Earthquake : M 3.4 - 96km N of Brenas Puerto Rico: Time2015-08-05 10:34:24 UTC2015-08-05 06:34:24 -04:00 at_x0089_Û_ http://t.co/sDZrrfZhMy</t>
  </si>
  <si>
    <t>Saline, MI</t>
  </si>
  <si>
    <t>Scared to be living in Seattle when this predicted earthquake is going to destroy ????</t>
  </si>
  <si>
    <t>electrocute</t>
  </si>
  <si>
    <t>Houston, TX</t>
  </si>
  <si>
    <t>@FoxNews He still has his beard - has he been visited by any1 while in prison? If he keeps that hideous beard electrocute him! 
#UglyPeople</t>
  </si>
  <si>
    <t>electrocuted</t>
  </si>
  <si>
    <t>Karachi Pakistan</t>
  </si>
  <si>
    <t>#pakistan#news# PAKPATTAN City News: Man electrocuted From Our Correspondent PAKPATTAN: A man was electrocuted... http://t.co/frpbNhVPyI</t>
  </si>
  <si>
    <t>Youth electrocuted in Khulna  | http://t.co/3EnyNdXpPm https://t.co/GQpi7jMKan via @sharethis</t>
  </si>
  <si>
    <t>South Side factory where worker electrocuted pays $17000 penalty #Columbus - http://t.co/N8EzfCTfcE</t>
  </si>
  <si>
    <t>not so cool KY</t>
  </si>
  <si>
    <t>Michael talking about when he was electrocuted omg #ROWYSOLouisville http://t.co/HxVfmoUhDM</t>
  </si>
  <si>
    <t>I'm loving this classic barn shot! We may or may not have got electrocuted got stung a few times and stepped in... http://t.co/X6aSGRjsWC</t>
  </si>
  <si>
    <t>South West, England</t>
  </si>
  <si>
    <t>MT @Earths_Voice Treatment of #tigers in #China is appalling: electrocuted in front of businessmen &amp;amp; eaten http://t.co/JlWhaOwFQA #SaveTi...</t>
  </si>
  <si>
    <t>I was blow drying my hair &amp;amp; the cable caught on fire. I let go of it as soon as I realized. Just before I could get electrocuted ??</t>
  </si>
  <si>
    <t>Redondo Beach, CA</t>
  </si>
  <si>
    <t>Do babies actually get electrocuted from wall sockets? I'm wondering how I and those before me survived childhood.</t>
  </si>
  <si>
    <t>Planet Eyal, Shandral System</t>
  </si>
  <si>
    <t>Zotar(50 skeleton alchemist) was electrocuted to death by Atamathon the Giant Golem on Golem Graveyard 1.
http://t.co/GpwrC1KZ5i</t>
  </si>
  <si>
    <t>#pakistan#news# NANKANA SAHIB City News: Electrocuted From Our Correspondent NANKANA SAHIB: A youth was electr... http://t.co/WERK9qibVV</t>
  </si>
  <si>
    <t>Mumbai, Maharashtra</t>
  </si>
  <si>
    <t>Watching a man electrocuted on the roof of #mumbailocals is definitely a lesson.. People please learn!! #lessonforlife #marinelines #mumbai</t>
  </si>
  <si>
    <t>Worked in factory pressing designs onto T-shirts was electrocuted 
d/t faulty ground. Boss docked my pay while I was at ER #WorstSummerJob</t>
  </si>
  <si>
    <t>Student electrocuted to death in school campus http://t.co/ryah8Fni5Q</t>
  </si>
  <si>
    <t>emergency</t>
  </si>
  <si>
    <t>Survival Kit Whistle Fire Starter Wire Saw Cree Torch Emergency Blanket S knife  - Full re_x0089_Û_ http://t.co/cm7HqwWUlZ http://t.co/KdwAzHQTov</t>
  </si>
  <si>
    <t>Emergency Flow  http://t.co/lH9mrYpDrJ mp3 http://t.co/PqhuthSS3i rar http://t.co/0iW6dRf5X9</t>
  </si>
  <si>
    <t>denmark</t>
  </si>
  <si>
    <t>Alaska_x0089_Ûªs Prince of Wales #ArchipelagoWolves are nearing #Extinction. Demand emergency protection! #StandForWolves  http://t.co/hBWoivJqkD</t>
  </si>
  <si>
    <t>Kuwait</t>
  </si>
  <si>
    <t>Plane from New York to Kuwait diverts to UK after declaring state of emergency http://t.co/5AIeXCBKFq</t>
  </si>
  <si>
    <t>Indianapolis, IN</t>
  </si>
  <si>
    <t>UPDATE: Indiana State Police reopening I-65 near Lafayette following emergency bridge repairs that closed key highway for about 28 hours.</t>
  </si>
  <si>
    <t>We are global!</t>
  </si>
  <si>
    <t>SF Asian Women's Shelter crisis line (415) 751-0880. Emergency shelter/support services 4 non-English speaking Asian women &amp;amp; children.</t>
  </si>
  <si>
    <t>Adelaide</t>
  </si>
  <si>
    <t>Myanmar floods: Childfund https://t.co/pQHQ4JnZTT
 and International Needs https://t.co/FX0W2Sq05F and CARE Aust @CAREemergencies appeals</t>
  </si>
  <si>
    <t>University of Limerick</t>
  </si>
  <si>
    <t>Gonna call up tomorrow with the aul 'emergency dental appointment' excuse just like the whole tooth falling out incident of last year</t>
  </si>
  <si>
    <t>Sacae Plains</t>
  </si>
  <si>
    <t>in BOTH 'peacetime and times of national emergency.'</t>
  </si>
  <si>
    <t>Southern Maine</t>
  </si>
  <si>
    <t>Former heroin addict shares story as city leaders sound alarm: City officials said emergency teams responded t... http://t.co/GZxIPMOknB</t>
  </si>
  <si>
    <t>Five down from the Coffeeshop</t>
  </si>
  <si>
    <t>Came across this fire video not mine..enjoy..#fire #firemen #firetruck #emergency #rescue #911 #summertime #sirens_x0089_Û_ http://t.co/hcYAJsAcfJ</t>
  </si>
  <si>
    <t>Denali wolf population declined from 143 in 2007 2 just 48 in 2015. Reinstate emergency buffer zone #ProtectDenaliWolves @Alaska @adndotcom</t>
  </si>
  <si>
    <t>@chowtaxis of Newport a big thanks for the emergency run to pick Jackie up from Bristol temple messages much appreciated</t>
  </si>
  <si>
    <t>#EMERGENCY in Odai Bucharest Romania 600 Dogs Dying!They are so Hungry that they EAT EACH OTHER! http://t.co/pjigXPVPl0</t>
  </si>
  <si>
    <t>emergency%20plan</t>
  </si>
  <si>
    <t>@POTUS Thx for emergency dec. http://t.co/DyWWNbbYvJ 4 days and no plan to get H20 to those who have no transport. Can you deploy troops?</t>
  </si>
  <si>
    <t>Alexandria, VA, USA</t>
  </si>
  <si>
    <t>See Aug 4 2015 PoconoRecord @EmergencyMgtMag - How Many Households Have an #Emergency Plan? | http://t.co/7zlsUmIess http://t.co/TdccH01N7q</t>
  </si>
  <si>
    <t>Our builder is having a dental emergency. Which has ruined my plan to emotionally blackmail him this afternoon with my bump.</t>
  </si>
  <si>
    <t>Calgary, AB</t>
  </si>
  <si>
    <t>This from The City of Calgary - 
City of Calgary has activated Municipal Emergency Plan
The Municipal Emergency... http://t.co/hA5BoppeJy</t>
  </si>
  <si>
    <t>Calgary, Alberta, Canada</t>
  </si>
  <si>
    <t>.@CityofCalgary activates emergency plan amid severe thunderstorm warning http://t.co/pc7S8NxJ6Q #yyc #abstorm http://t.co/9xoHmMlMDY</t>
  </si>
  <si>
    <t>City of Calgary activates Municipal Emergency Plan - http://t.co/IYs9xWPVMK</t>
  </si>
  <si>
    <t>Calgary,AB, Canada</t>
  </si>
  <si>
    <t>The City has activated the Municipal Emergency Plan. Primarily stay indoors avoid flooded areas Call 311 for... http://t.co/Ch6E7vTATR</t>
  </si>
  <si>
    <t>City of Calgary activates Municipal Emergency Plan - 660 NEWS http://t.co/KFBjVJiVQB http://t.co/BN7Xpzqdm0</t>
  </si>
  <si>
    <t>Calgary</t>
  </si>
  <si>
    <t>Hello Calgary!! Important news!! Please be advised!!! http://t.co/ARKTJ9Qn4S</t>
  </si>
  <si>
    <t>b/c it costs less to have sick people using emergency rooms?...grrrr.... http://t.co/vFbbcHwrFD</t>
  </si>
  <si>
    <t xml:space="preserve">Im In Route </t>
  </si>
  <si>
    <t>_x0089_ÛÏ@based_georgie: yo forreal we need to have like an emergency action plan incase donald trump becomes president_x0089_Û_x009d_
Whipe that lil baby</t>
  </si>
  <si>
    <t>U.S. Northern Virginia</t>
  </si>
  <si>
    <t>#Biztip We recommend all businesses to get an alternative source of electricity. #Solar Wind and Batteries. Have an emergency plan! Now!</t>
  </si>
  <si>
    <t>M!$$!$$!PP!</t>
  </si>
  <si>
    <t>When your body's like 'go to fuck to sleep Sami' and your mind's like 'make an emergency plan for every natural disaster GO'</t>
  </si>
  <si>
    <t>Senators calling for emergency housing: Boxer Feinstein back plan to move #homeless vets to VA campus http://t.co/Gm80X3vutf</t>
  </si>
  <si>
    <t>Cochrane, Alberta, Canada</t>
  </si>
  <si>
    <t>Severe thunderstorm warning remains for #Cochrane. @cityofcalgary has enacted municipal emergency plan after today's storm. #abstorm</t>
  </si>
  <si>
    <t>Leduc, Alberta, Canada</t>
  </si>
  <si>
    <t>Can't fix stupid. MT @CBCCalgary Don't drive through flooded underpasses warns city as it enacts Municipal Emergency Plan. #yyc #abstorm</t>
  </si>
  <si>
    <t>Chapel Hill, NC</t>
  </si>
  <si>
    <t>A big issue left undone is HOW to get home if adverse weather hits. @GoTriangle has no real emergency plan in place https://t.co/s7xdXuudcy</t>
  </si>
  <si>
    <t>City of Calgary activates municipal emergency plan as more thunderstorms approach http://t.co/8iHucO4GLW</t>
  </si>
  <si>
    <t>204, 555 11 Ave. S.W.</t>
  </si>
  <si>
    <t>The Municipal Emergency Plan is now in effect. Stay safe everyone! #abstorm #yyc http://t.co/14CIcptKNa</t>
  </si>
  <si>
    <t>Storm concludes City of Calgary's Municipal Emergency Plan deactivated http://t.co/93iaEec26T</t>
  </si>
  <si>
    <t>@chrisroth98 @chaselabsports in an emergency situation late in the year. Not as a plan in camp</t>
  </si>
  <si>
    <t>emergency%20services</t>
  </si>
  <si>
    <t>@TfLBusAlerts @TfLBusAlerts The Drive in Ilford closed both ways while emergency services deal with a call out. Buses are now stuck.</t>
  </si>
  <si>
    <t>@Glenstannard @EssexWeather do you know where abouts as I heard emergency services near by</t>
  </si>
  <si>
    <t>USA, Alabama</t>
  </si>
  <si>
    <t>Sustainability Task Force Presents Levy to Fund Emergency Services - WDTV http://t.co/2FiBE2HAXC</t>
  </si>
  <si>
    <t>Olympia, WA</t>
  </si>
  <si>
    <t>#Nursing alert: Emergency Department Psychiatric RN (.90 FTE Day) | Providence Health &amp;amp; Services | #Olympia WA http://t.co/Yu6NUe7gFB</t>
  </si>
  <si>
    <t>I am not an American but I have family who have served in the military work in the emergency services and work in... http://t.co/Pl2VzLrKVK</t>
  </si>
  <si>
    <t>We're #hiring! Click to apply: RN II/EMERGENCY SERVICES/FT/7P-7A - http://t.co/NV3Uxv9IMX #Nursing #Houston TX http://t.co/ej30IhrEA9</t>
  </si>
  <si>
    <t>Vancouver, British Columbia</t>
  </si>
  <si>
    <t>Removing tsunami debris from the West Coast: Karen Robinson Enviromental and Emergency services manager of the_x0089_Û_ http://t.co/1MeEo3WJcO</t>
  </si>
  <si>
    <t>#Breaking #News - Call for Tasmania's emergency services to be trained in horse ... - http://t.co/urJwsVr311 http://t.co/7JfrETeIi4</t>
  </si>
  <si>
    <t>Emergency Shutdown Systems - Edmonton http://t.co/F8GvWkFqox</t>
  </si>
  <si>
    <t>Goulburn man Henry Van Bilsen missing: Emergency services are searching for a Goulburn man who disappeared from his_x0089_Û_ http://t.co/z99pKJzTRp</t>
  </si>
  <si>
    <t>Services are returning to normal #SouthLine after a medical emergency at Yennora and urgent track equipment repairs at Cabramatta earlier.</t>
  </si>
  <si>
    <t>engulfed</t>
  </si>
  <si>
    <t>Fredonia,NY</t>
  </si>
  <si>
    <t>Just saw a car on the I-77 Fully engulfed in flames hahah</t>
  </si>
  <si>
    <t>Men escape car engulfed in flames in Parley's Canyon crews investigating cause - http://t.co/P6cyLz5lpt http://t.co/Jpu9gIps9f</t>
  </si>
  <si>
    <t>Men escape car engulfed in flames in Parley's Canyon crews investigating cause - http://t.co/CYzlshlQhG http://t.co/nDiS8f1vzt</t>
  </si>
  <si>
    <t>Glendale, CA</t>
  </si>
  <si>
    <t>#TRAFFICALERT  Eastbound 210 Freeway at Citrus Ave in Azusa. Two motorcycles involved in accident with one fully engulfed in flames in lanes</t>
  </si>
  <si>
    <t>Men escape car engulfed in flames in Parley's Canyon crews investigating cause - http://t.co/ldGWsYoWSs http://t.co/cnYVVY4WAT</t>
  </si>
  <si>
    <t xml:space="preserve">Kuwait </t>
  </si>
  <si>
    <t>He came to a land which was engulfed in tribal war and turned it into a land of peace i.e. Madinah. #ProphetMuhammad #islam</t>
  </si>
  <si>
    <t>Tube strike live: Latest travel updates as London is engulfed in chaos: _x0089_Û_  cross-London travel will be accepte...  http://t.co/vg8HRbebdA</t>
  </si>
  <si>
    <t>Tube strike live: Latest travel updates as London is engulfed inåÊchaos http://t.co/xkonKZ0Zl6 http://t.co/dXVtgi1BvO</t>
  </si>
  <si>
    <t>Bahrain</t>
  </si>
  <si>
    <t>Men escape car engulfed in flames in Parley's Canyon crews investigating cause - http://t.co/tFan6qq2Ys http://t.co/rAkwWritPo</t>
  </si>
  <si>
    <t>@ ForSL/RP</t>
  </si>
  <si>
    <t>@godsfirstson1 and she wrapped his coat around herself. It practically engulfed her.</t>
  </si>
  <si>
    <t>#RaheelSharif is manifesting how one RIGHT man at the helm can save a Sinking Ship engulfed in a Dark-Stormy-Tidal-Sea. Well Done.</t>
  </si>
  <si>
    <t>Kokomo, In</t>
  </si>
  <si>
    <t>Fully Engulfed Garage Fire: Propane Tanks Inside. Sunnymeade Dr.</t>
  </si>
  <si>
    <t>Car engulfed in flames backs up traffic at Parley_x0089_Ûªs Summit http://t.co/RmucfjCaZr</t>
  </si>
  <si>
    <t>Men escape car engulfed in flames in Parley's Canyon crews investigating cause - http://t.co/zevAn9kJzL http://t.co/UUZFs1L5Kt</t>
  </si>
  <si>
    <t>Men escape car engulfed in flames in Parley's Canyon crews investigating cause - http://t.co/YfAVSuOgvl http://t.co/ISI1rLLCt0</t>
  </si>
  <si>
    <t>Men escape car engulfed in flames in Parley's Canyon crews investigating cause - http://t.co/fxdH3U8Bq3 http://t.co/YZHVobGOcQ</t>
  </si>
  <si>
    <t>'Tube strike live: Latest travel updates as London engulfed in chaos' &amp;lt;- genuine baffling Telegraph headline</t>
  </si>
  <si>
    <t>Lucas Duda is Ghost Rider. Not the Nic Cage version but an actual 'engulfed in flames' badass. #Mets</t>
  </si>
  <si>
    <t>epicentre</t>
  </si>
  <si>
    <t>Africa</t>
  </si>
  <si>
    <t>RT @calestous: Tanzania elephant population declined by 60% in five years census reveals http://t.co/8zy9N6fX9T http://t.co/ITZ9masBvZ</t>
  </si>
  <si>
    <t>evacuate</t>
  </si>
  <si>
    <t>I feel like if MKayla and Cee ever got in the same room everyone should evacuate because it would be so petty and childish I couldn't deal</t>
  </si>
  <si>
    <t>CHICAGO (AP) _x0089_ÛÓ Organizers of Lollapalooza say they are reopening the music festival after the threat of a storm prompted them to evacuate</t>
  </si>
  <si>
    <t>Tallahassee Florida</t>
  </si>
  <si>
    <t>Learn how to evacuate your home in the event of a #wildfire view videos at http://t.co/bGeRLjamTE #CA #NV #UT #CO #OR http://t.co/sPuHuvgAsy</t>
  </si>
  <si>
    <t>Disaster control teams are studying ways to evacuate the port area in response to tidal wave warnings.[900037]</t>
  </si>
  <si>
    <t>Waterloo, Ont</t>
  </si>
  <si>
    <t>When there's a fire alarm going off in zehrs and we keep working for 20 minutes then decide to evacuate everyone..</t>
  </si>
  <si>
    <t>California &amp;amp;#039;monster&amp;amp;#039; fire is 20% contained as 13000 are told to evacuate http://t.co/aPTAP6Yx1r</t>
  </si>
  <si>
    <t>If you did a cannon ball into the ocean then Japan would evacuate.</t>
  </si>
  <si>
    <t>Firefigthers Evacuate from Northampton Township House Fire http://t.co/hPplD1jHtZ</t>
  </si>
  <si>
    <t>Brisbane</t>
  </si>
  <si>
    <t>Fire crews evacuate passengers from a Gold Coast tram trapped when powerlines fell across a carriage. #TenNews 5pm http://t.co/hFyrloQY8q</t>
  </si>
  <si>
    <t>Disregard my snap story there is an angry white girl riot happening as we speak. #evacuate</t>
  </si>
  <si>
    <t>Condemnation clearly replacing the latest response aimlessly dryer evacuate detersion de: HLg</t>
  </si>
  <si>
    <t>Chevy Chase, MD</t>
  </si>
  <si>
    <t>The EFAK would be designed for building occupants once they evacuate and report to their evacuation assembly sites</t>
  </si>
  <si>
    <t>wrapped arnd hyuk's finger</t>
  </si>
  <si>
    <t>@joonma_ dealbreaker that's it that's the dealbreaker s.o.s. abandon ship evacuate the building</t>
  </si>
  <si>
    <t>Sevier County.</t>
  </si>
  <si>
    <t>So all the store's fire alarms went off today at work and we had to evacuate. I was like 'OMG!! I.S.I.S. ITS HAPPENING!!!!'</t>
  </si>
  <si>
    <t>The U.S. also flew over each bomb site in World War II with warning letters telling people to evacuate</t>
  </si>
  <si>
    <t>Gold Coast, Qld, Australia</t>
  </si>
  <si>
    <t>myGC: Broken powerlines evacuate Gold Coast tram suspend services http://t.co/6e7hHfeRz4</t>
  </si>
  <si>
    <t>Sooo police dispatch said there was a person threatening to shoot up the Walmart on Rutherford &amp;amp; they had to evacuate</t>
  </si>
  <si>
    <t>London UK</t>
  </si>
  <si>
    <t>US govt refuses to evacuate 1000s of Americans from Yemen https://t.co/wQy3JOKuMH #yemen #usa #evacuation #abandoned</t>
  </si>
  <si>
    <t>Nashville</t>
  </si>
  <si>
    <t>@ahhtheenikki And from what I can tell- they responded to today's gunman quickly and were able to evacuate all the ppl so no one was shot.</t>
  </si>
  <si>
    <t>U.S.A</t>
  </si>
  <si>
    <t>California wildfires force thousands to evacuate: http://t.co/GFsl2Kwt5h via @YouTube</t>
  </si>
  <si>
    <t>An eight-sided polygon</t>
  </si>
  <si>
    <t>@pantalonesfuego Yeah I grew up in the canyon above L.A. We had to evacuate a few times.</t>
  </si>
  <si>
    <t>Konoha Village</t>
  </si>
  <si>
    <t>@MeetKakarotto 'Don't bother while you were offline I managed to evacuate everyone out of here including Hinata so so go ahead and cause--</t>
  </si>
  <si>
    <t>//??//</t>
  </si>
  <si>
    <t>Tonight is being quite interesting... A few minutes ago the fire system went off and we had to evacuate the building.</t>
  </si>
  <si>
    <t>FSC '19</t>
  </si>
  <si>
    <t>I just want everyone to know that Emilee was worried I was getting a milkshake when we were supposed to evacuate</t>
  </si>
  <si>
    <t>_x0089_Û¢901_x0089_Û¢</t>
  </si>
  <si>
    <t>AND MY FAM HAD TO EVACUATE BC WE NEED POWER</t>
  </si>
  <si>
    <t>evacuated</t>
  </si>
  <si>
    <t>Does anyone know why #murfreesboro #walmart was evacuated this evening? @dnj_com</t>
  </si>
  <si>
    <t>Green line service on south side disrupted after CTA train derails passengers evacuated. http://t.co/6eZkoof2Xt http://t.co/faCM78eg7K</t>
  </si>
  <si>
    <t>Gold Coast</t>
  </si>
  <si>
    <t>Powerlines down over tram on GC Highway. Passengers have just been evacuated @9NewsBrisbane @9NewsGoldCoast http://t.co/KD3Qsakbi5</t>
  </si>
  <si>
    <t>Portland, Oregon</t>
  </si>
  <si>
    <t>Red Cross re-opens shelter at Bickleton School after 25 homes evacuated in &amp;amp; around Roosevelt WA due to wildfire. #LiveOnK2</t>
  </si>
  <si>
    <t xml:space="preserve">Portland, Ore. </t>
  </si>
  <si>
    <t>New evacuation ordered for 25 homes in danger of Hwy. 8 fire near Roosevelt Wash. http://t.co/SQsyUeh4yI #KOIN6News http://t.co/199t7ND0pm</t>
  </si>
  <si>
    <t>Florida</t>
  </si>
  <si>
    <t>They evacuated the mall. Again. ??</t>
  </si>
  <si>
    <t>More than 300 campers evacuated as California wildfire blazes on officials say http://t.co/wwgAdpFFkW</t>
  </si>
  <si>
    <t>North West England UK</t>
  </si>
  <si>
    <t>Trafford Centre film fans angry after Odeon cinema evacuated following false fire alarm: 
 Twitter users tell ... http://t.co/dZLENSe1Gw</t>
  </si>
  <si>
    <t>13000 evacuated as California firefighters fight flames to save homes. #RockyFire http://t.co/tB52o146tx http://t.co/tsbTiGDSDT</t>
  </si>
  <si>
    <t>Manchester, UK</t>
  </si>
  <si>
    <t>Trafford Centre film fans angry after Odeon cinema evacuated following false fire alarm http://t.co/pFMn63VnAm http://t.co/vKwqbOJFJc</t>
  </si>
  <si>
    <t>Midwest</t>
  </si>
  <si>
    <t>Rocky fire in Northern California swells to 60000 acres; 12000 evacuated http://t.co/42gW2i2Q41 Portland #Phoenix #Miami #Atlanta #Casper</t>
  </si>
  <si>
    <t>Manchester UK</t>
  </si>
  <si>
    <t>Trafford Centre film fans angry after Odeon cinema evacuated following false fire alarm: Twitter users tell of_x0089_Û_ http://t.co/PZeiXi4Xk7</t>
  </si>
  <si>
    <t>TV5, Philippines</t>
  </si>
  <si>
    <t>5 dead 3 missing 103 families evacuated due to floods in Bukidnon: ... http://t.co/z0hSckvySN</t>
  </si>
  <si>
    <t>Just got evacuated from the movie theatre for an emergency. Saw people running from another they're.</t>
  </si>
  <si>
    <t>#WorldNews Fallen powerlines on G:link tram: UPDATE: FIRE crews have evacuated up to 30 passengers who were tr...  http://t.co/EYSVvzA7Qm</t>
  </si>
  <si>
    <t>Queensland, Australia</t>
  </si>
  <si>
    <t>Passengers evacuated &amp;amp; lanes blocked off as power lines come down over a Gold Coast tram @9NewsGoldCoast http://t.co/zZweEezJuG</t>
  </si>
  <si>
    <t>ALERT! Sandy Hook Elementary School Evacuated After _x0089_Û÷Bomb Threat_x0089_Ûª http://t.co/LwLexXjUS8</t>
  </si>
  <si>
    <t>Evacuation orders lifted for Roosevelt in Highway 8 fire. http://t.co/e2HltYyFAk #koin6news http://t.co/pmxEzUo4AY</t>
  </si>
  <si>
    <t>Benton City, Washington</t>
  </si>
  <si>
    <t>Our thoughts are with these local residents! Time for some heavy rain!!! http://t.co/x3g2OX6K8R</t>
  </si>
  <si>
    <t>Trafford Centre film fans angry after Odeon cinema evacuated following false fire alarm: 
 Twi... http://t.co/RYEQMxIrj8 #manchesterlite</t>
  </si>
  <si>
    <t>Chicago, but Philly is home</t>
  </si>
  <si>
    <t>78 passengers evacuated safely after Green Line train derails. http://t.co/KzBSOhtwB4</t>
  </si>
  <si>
    <t>Hotel evacuated after fire on Shore Drive in Norfolk http://t.co/6X0xHlbxji</t>
  </si>
  <si>
    <t>@115Film Doctor we must leave immediately the Core is unstable...The whole building is told to be evacuated. Take the research. We need...</t>
  </si>
  <si>
    <t>Breaking News</t>
  </si>
  <si>
    <t>Evacuation order lifted for town of Roosevelt - Washington Times http://t.co/Kue48Nmjxh</t>
  </si>
  <si>
    <t>seoul</t>
  </si>
  <si>
    <t>Rocky Fire http://t.co/wxhMp5ppjq</t>
  </si>
  <si>
    <t>WA State</t>
  </si>
  <si>
    <t>Entire town of Roosevelt Wash. evacuated because of wildfire http://t.co/CmwEIojJ55</t>
  </si>
  <si>
    <t>Hensley Street, Portland</t>
  </si>
  <si>
    <t>KATUNews: #SR14 remains closed as brush fire burns 1700 acres: http://t.co/QposKp3MWj #LiveOnK2 http://t.co/mTQjsvupwy</t>
  </si>
  <si>
    <t>Good thing there was actually just a legit fire in the mall and nobody evacuated!!</t>
  </si>
  <si>
    <t>MIchigan</t>
  </si>
  <si>
    <t>Is it seclusion when a class is evacuated and a child is left alone in the class to force compliance?  #MoreVoices</t>
  </si>
  <si>
    <t>West</t>
  </si>
  <si>
    <t>Rocky fire in Northern California swells to 60000 acres; 12000 evacuated http://t.co/mtfnbhRYZq Portland #Phoenix #Miami #Atlanta #Casper</t>
  </si>
  <si>
    <t>Gold Coast tram hit by fallen powerlines: UP to 30 people have been evacuated from a tram on the Gold Coast af... http://t.co/xpPQnYHiWC</t>
  </si>
  <si>
    <t>Gold Coast, Australia</t>
  </si>
  <si>
    <t>Tram travellers evacuated after powerlines come down in Surfers http://t.co/Qsheu3yF0W</t>
  </si>
  <si>
    <t>evacuation</t>
  </si>
  <si>
    <t>FAAN orders evacuation of abandoned aircraft at MMA: FAAN noted that the action had become necessary due to re... http://t.co/ZUqgvJnEQA</t>
  </si>
  <si>
    <t>#Breaking: Authorities have issued new mandatory evacuation notices for 25 homes to the North of the fire in #Roosevelt WA</t>
  </si>
  <si>
    <t>Washington</t>
  </si>
  <si>
    <t>Roosevelt Wash. under evacuation order due to wildfire http://t.co/FiJAPxyKRQ</t>
  </si>
  <si>
    <t>Eureka, California, USA</t>
  </si>
  <si>
    <t>Humboldt Cty Sheriff's Office has issued an evacuation advisory for 10 residence in the Lassics area... more info at http://t.co/ERUzBUQZYU</t>
  </si>
  <si>
    <t>FAAN orders evacuation of abandoned aircraft at MMA http://t.co/GsOMtDPmoJ</t>
  </si>
  <si>
    <t>VIETNAM WAR PATCH US 71st EVACUATION HOSPITAL HIGHLAND MEDICS http://t.co/kIF7M3FQLx http://t.co/Oz6vlWwTNR</t>
  </si>
  <si>
    <t>. @VELDFest announces refunds after Day two's extreme weather evacuation: http://t.co/PP05eTlK7t http://t.co/3Ol8MhhPMa</t>
  </si>
  <si>
    <t>Our mission to see the end of this movie last night @markoturner @annaciclismo after getting fire alarm evacuation http://t.co/5kFOVovjso</t>
  </si>
  <si>
    <t>Bend, Oregon</t>
  </si>
  <si>
    <t>Update: Bend FD says roofing co. workers accidentally cut through natural gas line in Post Office leading to evacuation for about a half-hr</t>
  </si>
  <si>
    <t>Evacuation Advisory for Swayback Ridge Area..voluntary-InciWeb:Mad River Complex Announcement http://t.co/vN73o4SGzJ #wildfires #calfires</t>
  </si>
  <si>
    <t>Run out evacuation hospital indexing remedial of angioplasty dissertation at power elite hospitals dismayed:_x0089_Û_ http://t.co/VGvJGr8zoO</t>
  </si>
  <si>
    <t>So the IFAK is an 'individual first aid kit' to treat a single trauma victim I think I should create the EFAK or evacuation first aid kit</t>
  </si>
  <si>
    <t>Bend Post Office roofers cut gas line prompt evacuation - http://t.co/6mF7eyZOAw</t>
  </si>
  <si>
    <t>Minna, Nigeria</t>
  </si>
  <si>
    <t>FAAN orders evacuation of abandoned aircraft at MMA: FAAN noted that the action had become neces... http://t.co/tlS40nqiPN Via @todayngr</t>
  </si>
  <si>
    <t>FAAN gives owners of abandoned aircraft evacuation ultimatum http://t.co/zZpojgngAJ via @dailytimesngr. They should probe them too!</t>
  </si>
  <si>
    <t>Northern California U.S.A.</t>
  </si>
  <si>
    <t>Updated #RockyFire map with Mandatory Evacuation areas (red) Advisory Evacuation (yellow) 2 Evac Centers (green) https://t.co/gZEgjoAKKw</t>
  </si>
  <si>
    <t>Yellowknife, NT</t>
  </si>
  <si>
    <t>UPDATE: The GNWT has just issued a voluntary evacuation order for cabin owners at Pickerel Lake near the Reid... http://t.co/RVSYxwj9Cp</t>
  </si>
  <si>
    <t>Evacuation order lifted for town of Roosevelt Wash. though residents warned to be ready to leave quickly http://t.co/Na0ptN0dTr</t>
  </si>
  <si>
    <t>Walking down the middle of Michigan Ave last Sunday during #Lolla evacuation 2015 https://t.co/YrfZ5WJ7R2</t>
  </si>
  <si>
    <t>Yellowknife</t>
  </si>
  <si>
    <t>_x0089_ÛÏA voluntary evacuation is being recommended at this time_x0089_Û_x009d_ for Pickerel Lake cabins across highway from #Reidlake fire says MACA #NWT #YZF</t>
  </si>
  <si>
    <t>US: 44.414510,8.942499</t>
  </si>
  <si>
    <t>IbrahimMisau : FAAN orders evacuation of abandoned aircraft at MMA http://t.co/5Zcje7arci (via Twitter http://t.co/haVXoBcSVU)</t>
  </si>
  <si>
    <t>Tri-Cities, Wash.</t>
  </si>
  <si>
    <t>Evacuation order lifted for town of Roosevelt: http://t.co/EDyfo6E2PU http://t.co/M5KxLPKFA1</t>
  </si>
  <si>
    <t>Update: More from Bend FD on how a natural gas line cut prompted evacuation of the main Post Office this afternoon http://t.co/wMmkIrJ0Hw</t>
  </si>
  <si>
    <t>Reid Lake fire prompts campground evacuation order http://t.co/jBODKM6rBU</t>
  </si>
  <si>
    <t>Evacuation order lifted for Roosevelt after #Wildfire misses town - KOMO News http://t.co/qCpMktGLLR</t>
  </si>
  <si>
    <t>Moncton, New Brunswick</t>
  </si>
  <si>
    <t>Gas leak forces evacuation in east Saint John http://t.co/E1vkc2efsT #NB http://t.co/BeUa507Iug</t>
  </si>
  <si>
    <t>explode</t>
  </si>
  <si>
    <t>The Windy City</t>
  </si>
  <si>
    <t>Is he about to crash?
Did the Queen die?
Did something explode? 
Who knows. http://t.co/LThMwtl5fP</t>
  </si>
  <si>
    <t>Kendall Jenner and Nick Jonas Are Dating and the World Might Quite Literally Explode http://t.co/pfvzVPxQGr</t>
  </si>
  <si>
    <t>@allen_enbot If you mess up it's gonna explode...</t>
  </si>
  <si>
    <t>exploded</t>
  </si>
  <si>
    <t>Chick masturbates a guy until she gets exploded on her face &amp;gt; http://t.co/5QhoeHE9hf</t>
  </si>
  <si>
    <t>?????? in Yokohama Japan</t>
  </si>
  <si>
    <t>Kakeru Teduka: Bfore 70years of today in Hiroshima it's exploded the one atomic bomd. It is so sad day.http://t.co/8Vzl1ns2iO</t>
  </si>
  <si>
    <t>LFC x GSW</t>
  </si>
  <si>
    <t>@KopiteLuke1892 Its broken its fully exploded.</t>
  </si>
  <si>
    <t>The Dress Memes Have Officially Exploded On The Internet http://t.co/3drSmxw3cr</t>
  </si>
  <si>
    <t>Final #Medinah update: shot a 105. 49 on front (exploded with a) 56 on back. #ImKeepingMyDayJob (pic is famous #17) http://t.co/kcmbBwwp8G</t>
  </si>
  <si>
    <t>Junko was 13 years old when the atomic bomb exploded over #Hiroshima on August 6 1945. http://t.co/lSpnyCVoLO http://t.co/Nh5pkFBfqm</t>
  </si>
  <si>
    <t>zboyer@washingtontimes.com</t>
  </si>
  <si>
    <t>Kai Forbath just demolished a weather station set up on a drill field with a missed field goal. Thing just exploded into metal bits.</t>
  </si>
  <si>
    <t>elizabeth king</t>
  </si>
  <si>
    <t>oh yeah my ipod almost exploded last night i was using it while charging and shit was sparking akxbskdn almost died</t>
  </si>
  <si>
    <t>#news #science London warship exploded in 1665 because sailors were recycling artillery cartridges... http://t.co/r4WGXrA59M #life #tech</t>
  </si>
  <si>
    <t>explosion</t>
  </si>
  <si>
    <t>EE recalls Power Bar phone chargers after explosion burns woman _x0089_ÛÒ The Register http://t.co/lhTvKcoISo</t>
  </si>
  <si>
    <t>Another Mechanical Mod Explosion: Man Injured When a 'Pharaoh' Mod Blows Up in His Hand - http://t.co/O82yVXbztv http://t.co/N5KmxuVeRg</t>
  </si>
  <si>
    <t>Report: Corey Brewer was drug tested after 51-point explosion http://t.co/HhlLQCkcEP</t>
  </si>
  <si>
    <t>Young dancer moves about 300 youth in attendance at the GMMBC Youth Explosion this past Saturday. Inspiring! http://t.co/TMmOrvxsWz</t>
  </si>
  <si>
    <t>London, United Kingdom</t>
  </si>
  <si>
    <t>Around 10 injured in explosion in chemical park in western Germany... http://t.co/XBznU0QkVS</t>
  </si>
  <si>
    <t>Germany</t>
  </si>
  <si>
    <t>I liked a @YouTube video http://t.co/bGAJ2oAX1p Huge Building Explosion at 2500fps - The Slow Mo Guys</t>
  </si>
  <si>
    <t>Large explosion rocks aluminum plant in southeast Missouri Re:Naomi-No Logo http://t.co/0WdsEIHYQu</t>
  </si>
  <si>
    <t>GAElite 0    Explosion Greg 2 [Top 3rd] [0 Out] [0 balls] [0 strikes] ... No one on [P: #16 Morgan Orchard] [B: ]</t>
  </si>
  <si>
    <t>ITS A TIE DYE EXPLOSION ON IG HELP ME. IM DROWNING IN TIE DYE</t>
  </si>
  <si>
    <t>Exploring New Worlds: Three Moments of an Explosion by China MiÌ©ville http://t.co/OTrwZ1t9sp http://t.co/xVlkFCvfX5</t>
  </si>
  <si>
    <t>S.F. Bay area</t>
  </si>
  <si>
    <t>MORE--&amp;gt;OSHA officers on siteinvestigating Noranda explosion -KFVS12 News Cape Girardeau Carbondale Poplar Bluff http://t.co/Pxyh7zo7vT</t>
  </si>
  <si>
    <t>A Time-Lapse Map of Every Nuclear Explosion Since 1945 - by Isao Hashimoto #War #atomicbomb 
https://t.co/V0t8H4Iecc</t>
  </si>
  <si>
    <t>@colinhoffman29 I hope he does. And I hope you die in the explosion too</t>
  </si>
  <si>
    <t>Columbus, OH</t>
  </si>
  <si>
    <t>A Pyrotechnic Artwork by Cai Guo-Qiang Explodes into a Blossom on the Steps of the Philadelphia... http://t.co/orOvZFsKU2</t>
  </si>
  <si>
    <t xml:space="preserve">On the toilet having a dump </t>
  </si>
  <si>
    <t>@lordRsBiscuits That's always good for a pretty explosion.</t>
  </si>
  <si>
    <t>City of London, London</t>
  </si>
  <si>
    <t>EE recalls Power Bar battery packs after explosion in student's bedroom http://t.co/EKWTiHlwuf</t>
  </si>
  <si>
    <t>kindermorgan gas explosion</t>
  </si>
  <si>
    <t>Long Island, NY</t>
  </si>
  <si>
    <t>We found a sunflower explosion on our walk. http://t.co/vLNmkLWWby http://t.co/P769eo49Fj</t>
  </si>
  <si>
    <t>Palestine Texas</t>
  </si>
  <si>
    <t>You Are Invited to The Expo Explosion Summer Event 2015! 
WHEN: August 14th Friday 2015
WHERE: Ben E Keith... http://t.co/yh4R7Ug21a</t>
  </si>
  <si>
    <t>The gusto in persist had amongst empty-pated communication explosion: hPSsJD</t>
  </si>
  <si>
    <t>eyewitness</t>
  </si>
  <si>
    <t>Jammu and Kashmir</t>
  </si>
  <si>
    <t>Eyewitness accounts of survivors of Hiroshima gleaned from a
number of oral history projects https://t.co/yRQGNbLKaC</t>
  </si>
  <si>
    <t>canada</t>
  </si>
  <si>
    <t>Dutch crane collapses demolishes houses: Dramatic eyewitness video captures the moment a Dutch crane hoisting... http://t.co/dYy7ml2NzJ</t>
  </si>
  <si>
    <t>Read an eyewitness account from #Hiroshima from this day in 1945 http://t.co/njAffyjaRz http://t.co/1xHSuEwQn4 #LIFE</t>
  </si>
  <si>
    <t>Interesting approach but doesn't replace Eyewitness video. The Ferguson Case - Video - http://t.co/vEcsoSRleR http://t.co/fiUOgj6hEF</t>
  </si>
  <si>
    <t>Terlingua, Texas</t>
  </si>
  <si>
    <t>#ClimateChange Eyewitness to Extreme Weather: 11 Social Media Posts that Show Just How Crazy Things A... http://t.co/czpDn9oBiT #Anarchy</t>
  </si>
  <si>
    <t>Stay Fly?</t>
  </si>
  <si>
    <t>Lone Survivor: The Eyewitness Account of Operation Redwing and the Lost Heroes of SEAL Team_x0089_Û_ http://t.co/NXtWXJCAVh http://t.co/oL8ESFRGLE</t>
  </si>
  <si>
    <t>How _x0089_ÛÏLittle Boy_x0089_Û_x009d_ Affected the People In Hiroshima _x0089_ÛÒ Eyewitness Testimonials http://t.co/mUAnfWcRW9</t>
  </si>
  <si>
    <t>india</t>
  </si>
  <si>
    <t>Read a Schoolboy_x0089_Ûªs Eyewitness Account of Hiroshima http://t.co/pq0D7MH3qr</t>
  </si>
  <si>
    <t>Read an eyewitness account from #Hiroshima from this day in 1945 http://t.co/QUEDV2xxxX #LIFE</t>
  </si>
  <si>
    <t>Bakersfield, California</t>
  </si>
  <si>
    <t>Wake Up Kern County Eyewitness News Mornings airing RIGHT NOW on KBAK CBS29. http://t.co/rorKtMpqNs #liveonKBAK http://t.co/eDznX6GOud</t>
  </si>
  <si>
    <t>On anniversary of Hiroshima bombing illustrated timeline of bombings. Eyewitness account particularly horrifying http://t.co/GZIb0mAwmn</t>
  </si>
  <si>
    <t>RT patrickjbutler: Excellent damiengayle eyewitness account of Kids Company closure: 'You drop the bomb and expect_x0089_Û_ http://t.co/pHH1VmLfoo</t>
  </si>
  <si>
    <t>famine</t>
  </si>
  <si>
    <t>Russian 'food crematoria' provoke outrage amid crisis famine memories: MOSCOW (Reuters) - Russian government ... http://t.co/Mphog0QDDN</t>
  </si>
  <si>
    <t>New York, USA</t>
  </si>
  <si>
    <t>'Food crematoria' provoke outrage amid crisis famine memories... http://t.co/fABVlvN5MS</t>
  </si>
  <si>
    <t>Kyiv, Ukraine</t>
  </si>
  <si>
    <t>#Russia 'food crematoria' provoke outrage in country w/soaring poverty +Soviet famine memory http://t.co/vymOuZjZRe http://t.co/eNRJh5Qkve</t>
  </si>
  <si>
    <t>Russian 'food crematoria' provoke outrage amid crisis famine memories http://t.co/O4xLjnaV8F</t>
  </si>
  <si>
    <t>A memorial to the millions who perished in the Holodomor has been erected in the U.S. capital. http://t.co/Dj1LWZNIEH http://t.co/I9MxXkzHbL</t>
  </si>
  <si>
    <t>Earth, Milky Way, Universe</t>
  </si>
  <si>
    <t>exporting food wont solve the problem. africans will end famine n poverty by SOLVING OUT OF CONTROL TRIBAL WARS. https://t.co/UttaNbigRx</t>
  </si>
  <si>
    <t>'Food crematoria' provoke outrage amid crisis famine memories... http://t.co/REsxAvgpyJ</t>
  </si>
  <si>
    <t>New article: Russian 'food crematoria' provoke outrage amid crisis famine memories read more at here http://t.co/9HiEiFHSmC</t>
  </si>
  <si>
    <t>The famine is coming to an end #Bluebell http://t.co/p9ryMfjcUX</t>
  </si>
  <si>
    <t>Russian 'food crematoria' provoke outrage amid crisis famine memories http://t.co/GyH00mRKjm</t>
  </si>
  <si>
    <t>Massachusetts</t>
  </si>
  <si>
    <t>Russia destroys food while people go hungry.  We're not the only ones with an insane government.
http://t.co/ZonNqGsxYw</t>
  </si>
  <si>
    <t>@FinancialTimes Ethiopian regimes continue receiving foreign aid when famine struck for 2 years eastern Ethiopia  https://t.co/2fGgzQn1v4</t>
  </si>
  <si>
    <t>Ukraine</t>
  </si>
  <si>
    <t>Reuters: Russian 'food crematoria' provoke outrage amid crisis famine memories http://t.co/SI02QRgukA http://t.co/0C1y8g7E9p</t>
  </si>
  <si>
    <t>???? ???????</t>
  </si>
  <si>
    <t>Russian _x0089_Û÷food crematoria_x0089_Ûª provoke outrage amid crisis famineåÊmemories http://t.co/sGECNKFThU</t>
  </si>
  <si>
    <t>Bolshevik government monopolized food supply to seize power over hunhry population. Artificial famine was the result https://t.co/0xOUv7DHWz</t>
  </si>
  <si>
    <t>Russian 'food crematoria' provoke outrage amid crisis famine memories http://t.co/h6Z7hXUqtu via @YahooNews</t>
  </si>
  <si>
    <t>I've experienced the smell of rotting potatoes for the first time. The Famine must have been awful if the whole country smelled like that.</t>
  </si>
  <si>
    <t>http://t.co/x1x6d5Enef Russian 'food crematoria' provoke outrage amid crisis famine memories http://t.co/XhehJFFT7g</t>
  </si>
  <si>
    <t>Rogersville, MO</t>
  </si>
  <si>
    <t>@SavageNation Reminds me when the Peasants destroyed their food when Stalin's army came to 'redistribute the wealth'. It caused famine/death</t>
  </si>
  <si>
    <t>UPDATE 1-Russian 'food crematoria' provoke outrage amid crisis famine memories: * Russian society still recal... http://t.co/J2erZbMjQD</t>
  </si>
  <si>
    <t>The Adventures of Mineness #9   The Famine Is Over http://t.co/spYmIQNeCj</t>
  </si>
  <si>
    <t>'Food crematoria' in Russia provoke outrage amid crisis famine memories
http://t.co/FelR5a1hBP</t>
  </si>
  <si>
    <t>#Russian food crematoria provokes outrage amid crisis famine memories http://t.co/FjeaFgbZfJ</t>
  </si>
  <si>
    <t>Telangana</t>
  </si>
  <si>
    <t>Maratha raiders scorched their lands &amp;amp; Punjab refused them food aid during the 1943 famine wonder if Bengalis harbor some 'hard feelings'</t>
  </si>
  <si>
    <t>Chatham, IL</t>
  </si>
  <si>
    <t>Images of Famine _x0089_ÛÒ Hope In Christ - A blog on what happens when we forget God http://t.co/9BLiDdNGtF #HopeinChrist @lifelettercafe</t>
  </si>
  <si>
    <t>Charter Member of the VRWC</t>
  </si>
  <si>
    <t>Russian 'food crematoria' provoke outrage amid crisis famine memories - Yahoo News http://t.co/6siiRlnV6z</t>
  </si>
  <si>
    <t>fatal</t>
  </si>
  <si>
    <t>11-Year-Old Boy Charged With Manslaughter of Toddler: Report: An 11-year-old boy has been charged with manslaughter over the fatal sh...</t>
  </si>
  <si>
    <t>Boy 11 charged with manslaughter in shooting death of Elijah Walker: The 11-year-old appeared Wednesday in a... http://t.co/gtcFfaCvam</t>
  </si>
  <si>
    <t>APD investigating fatal shooting of 3 year old child in southeast Anchorage http://t.co/qYccvUubkr</t>
  </si>
  <si>
    <t>Nakhon Si Thammarat</t>
  </si>
  <si>
    <t>Investigators shift focus to cause of fatal Waimate fire http://t.co/c9dVDsSoFn</t>
  </si>
  <si>
    <t>Buffalo, NY</t>
  </si>
  <si>
    <t>Police: man in his early 30s dies after shooting on Vermont St.: http://t.co/HteZ4z48Od http://t.co/Eq4rXC9bb3</t>
  </si>
  <si>
    <t>Winnipeg</t>
  </si>
  <si>
    <t>Winnipeg police seek witnesses in Arlington and William fatal crash http://t.co/N2bCf4M64V</t>
  </si>
  <si>
    <t>Varanasi</t>
  </si>
  <si>
    <t>Thane</t>
  </si>
  <si>
    <t>New South Wales, Australia</t>
  </si>
  <si>
    <t>Man charged over fatal crash near Dubbo refused bail http://t.co/HDBMfOVUtZ via @dailyliberal</t>
  </si>
  <si>
    <t>California man facing manslaughter charge in Sunday's wrong-way fatal crash in ... - http://t.co/1vz3RmjHy4: Ca... http://t.co/xevUEEfQBZ</t>
  </si>
  <si>
    <t>Stockton police are investigating a fatal drive-by shooting in north Stockton
 http://t.co/j3x0DOY7R3</t>
  </si>
  <si>
    <t>Haddonfield, NJ</t>
  </si>
  <si>
    <t>Deputies: Dog dispute leads to fatal shooting in Person County http://t.co/OazgHoZGYa #gunfail #nra</t>
  </si>
  <si>
    <t>Southern California</t>
  </si>
  <si>
    <t>CA Cops: Illegal Immigrant with 4 Prior Arrests Charged in Fatal Sex Attack http://t.co/BL59Fw4SYS</t>
  </si>
  <si>
    <t>??? ???? ??????</t>
  </si>
  <si>
    <t>Investigators shift focus to cause of fatal Waimate fire http://t.co/a6Ro9bmXcy</t>
  </si>
  <si>
    <t>Bangalore</t>
  </si>
  <si>
    <t>Also follow ?</t>
  </si>
  <si>
    <t>Boy 11 charged with manslaughter in shooting death of Elijah Walker http://t.co/HUrIIVFDKC</t>
  </si>
  <si>
    <t>#news #crimes Police ID victim in fatal crash that closed I-65 near Franklin: One person is d... http://t.co/9h0ym9OFsv #justice #courts</t>
  </si>
  <si>
    <t>Dimapur</t>
  </si>
  <si>
    <t>Investigators shift focus to cause of fatal Waimate fire http://t.co/aDSvDpNP3r</t>
  </si>
  <si>
    <t>In the potters hands</t>
  </si>
  <si>
    <t>Boy 11 charged in fatal shooting of 3-year-old http://t.co/FJ7kcRliR7</t>
  </si>
  <si>
    <t>Investigators shift focus to cause of fatal Waimate fire http://t.co/GoeTJGIhOp</t>
  </si>
  <si>
    <t>fatalities</t>
  </si>
  <si>
    <t>EXCLUSIVE: In 179 fatalities involving on-duty NYPD cops in 15 years only 3åÊ_x0089_Û_ http://t.co/Cn1joMMUGH</t>
  </si>
  <si>
    <t>#NYC #News Legionnaires death toll rises to 8 in New York City: All eight fatalities were of older adults with... http://t.co/IQJ1Z3jXx8</t>
  </si>
  <si>
    <t>Corpus Christi, Texas</t>
  </si>
  <si>
    <t>We are totally unprepared for an EMP attack. Both China Russia and probably Isis possess them. 90% fatalities. Why are we pushing them?</t>
  </si>
  <si>
    <t>Cape Town</t>
  </si>
  <si>
    <t>City implores motorists not to speed after more reports of animal fatalities near nature reserves
-&amp;gt; http://t.co/hiKF8Mkjsn</t>
  </si>
  <si>
    <t>Wolverhampton/Brum/Jersey</t>
  </si>
  <si>
    <t>Understand that there are no fatalities as no one was trapped inside the wholesale market. 8 fire engines and 40 fire fighters on scene.</t>
  </si>
  <si>
    <t>Chamblee, Georgia</t>
  </si>
  <si>
    <t>As of the 6-month mark there were a total of 662 fatalities - 114 more than the first half of last year || http://t.co/reOz7H3Em8</t>
  </si>
  <si>
    <t>#WashingtonState #Seattle</t>
  </si>
  <si>
    <t>#Seattle's deadliest red light runner intersections revealed
 http://t.co/gHk9Xup6E0</t>
  </si>
  <si>
    <t>@unsuckdcmetro minor train leaves rails. Major = 1/13/82 Smithsonian Interlocking derails &amp;amp; crashes into barrier wall w/ fatalities.</t>
  </si>
  <si>
    <t>Injuries Illnesses and Fatalities Latest Numbers : http://t.co/1uo1aTrbbJ</t>
  </si>
  <si>
    <t>#Saudi Arabia: #Abha: Fatalities reported following suicide bombing at mosque; avoid area http://t.co/1xW0Z8ZeqW</t>
  </si>
  <si>
    <t>-??-
; kitana
? her fatalities slay me
_x0089_ÛÓkody? (Vine by @KOMBATFANS33) https://t.co/uMajwSNLUF</t>
  </si>
  <si>
    <t>Youngstown, OH</t>
  </si>
  <si>
    <t>OSP concerned about mounting fatalities http://t.co/YmP0gInwza http://t.co/FYIOQvIOif</t>
  </si>
  <si>
    <t>Nantes, France</t>
  </si>
  <si>
    <t>Estimated damage and fatalities of an Hiroshima-sized atomic bomb dropped on your hometown - http://t.co/BSrERJbY0I  #Hiroshima70</t>
  </si>
  <si>
    <t>St. John's, NL, Canada</t>
  </si>
  <si>
    <t>The RCMP are reporting fatalities and serious injuries as a result of the collision on the TCH near Whitbourne.</t>
  </si>
  <si>
    <t xml:space="preserve">Caserta-Roma, Italy </t>
  </si>
  <si>
    <t>Govt allocating 1.3 bn for flood action: Issue takes centre stage after fatalities in Veneto http://t.co/w3esX6Ud8t</t>
  </si>
  <si>
    <t xml:space="preserve">oman muscat al seeb </t>
  </si>
  <si>
    <t>I liked a @YouTube video http://t.co/43sXG9Z6xh TREMOR IS NO JOKE!! [TREMOR DLC] [FATALITIES/X-RAY]</t>
  </si>
  <si>
    <t>'Among other main factors behind pedestrian fatalities are people failing to yield to a car' http://t.co/dgUL7FfJt2</t>
  </si>
  <si>
    <t>Las Vegas in top 5 cities for red-light running fatalities http://t.co/kC8O81BcHG</t>
  </si>
  <si>
    <t>RCMP confirm fatalities in two-vehicle crash: TCH remains closed at Whitbourne due to accident http://t.co/0RokDuTyUN</t>
  </si>
  <si>
    <t>Avon, OH</t>
  </si>
  <si>
    <t>...American casualties including 400000_x0089_ÛÒ800000 fatalities and five to ten million Japanese fatalities.' https://t.co/TxzXCNUDr8</t>
  </si>
  <si>
    <t>No UK train accident fatalities for 8th year running despite 4% increase in passenger journeys http://t.co/SuiLzS2S95 @healthandsafety</t>
  </si>
  <si>
    <t>PolicyLab is at @CECANF's last public hearing in NYC today and tomorrow to address child abuse and neglect fatalities http://t.co/n2cY3Z4TPB</t>
  </si>
  <si>
    <t>Just Happy to Be Anywhere</t>
  </si>
  <si>
    <t>.@KurtSchlichter Yep considering that *millions* of Japanese fatalities were projected for Downfall. @_FreeMarketeer @dibang</t>
  </si>
  <si>
    <t>#Shipping #Logistics eNCA | Fatalities as migrant boat capsizes in Med with hundreds onboard: _x0089_Û_  capsized as i...  http://t.co/dnO7QXcFfh</t>
  </si>
  <si>
    <t>Lima, Ohio</t>
  </si>
  <si>
    <t>Message boards will display updated traffic fatalities (up from 582) and new message beginning today: Traffic deaths 616 - Slow for Workers.</t>
  </si>
  <si>
    <t>Driver fatalities down on Irish roads but pedestrians and cyclists at more risk http://t.co/E7OJhpdfG2</t>
  </si>
  <si>
    <t>fatality</t>
  </si>
  <si>
    <t>@Truly_Stings Yo Dm me</t>
  </si>
  <si>
    <t>Boston _x0089_Û¢ Cape Cod ?</t>
  </si>
  <si>
    <t>Dying of Lyme disease: Case fatality rate nearly 100% http://t.co/RgT9GhODpW</t>
  </si>
  <si>
    <t>@hrips_k when u do a fatality and like the corpse is still jittering</t>
  </si>
  <si>
    <t>Wow fatality on 101 big rig hit motorcyclist blood everywhere ?? wow. I'm sick.</t>
  </si>
  <si>
    <t>Fort Wayne, IN</t>
  </si>
  <si>
    <t>Kosciusko police investigating pedestrian fatality hit by a train Thursday http://t.co/JILfbR0UfP</t>
  </si>
  <si>
    <t>Afghan Soldier Kills US General America's Highest-Ranking Fatality Since Vietnam http://t.co/SiHQPlUIDW</t>
  </si>
  <si>
    <t>Fatality https://t.co/GF5qjGoyCi</t>
  </si>
  <si>
    <t>Truck crash on 40w at US70 in Lebanon is a fatality. Very sad. Expect long delays through the morning.</t>
  </si>
  <si>
    <t>Bishops Stortford, England</t>
  </si>
  <si>
    <t>@LindaSOCVAT @TfLBusAlerts Yes apparently. Report of cow fatality as well sadly.</t>
  </si>
  <si>
    <t>Death of Loretta Fuddy responsible for authenticating Obama birth certificate the sole fatality of nine on plane http://t.co/MzRhfOJT2j</t>
  </si>
  <si>
    <t>fear</t>
  </si>
  <si>
    <t>The Opposite of Love is Fear Here_x0089_Ûªs Why
http://t.co/r5bXZzhXkm</t>
  </si>
  <si>
    <t>Midwestern USA</t>
  </si>
  <si>
    <t>@CowgirlLawyer We must refuse to become a nation with everyone living in fear of being shot unawares by intoxicated &amp;amp;/or crazy people.</t>
  </si>
  <si>
    <t xml:space="preserve">Bedford IN </t>
  </si>
  <si>
    <t>Horror films are made by incredibly creative artists. We interviewed 21 of them in depth for The Anatomy of Fear. http://t.co/J6mpdsx9Lk</t>
  </si>
  <si>
    <t>Nothing to fear. It's all about taking risks.</t>
  </si>
  <si>
    <t>Bremerton, WA</t>
  </si>
  <si>
    <t>The Walking Dead spin off Fear the Walking Dead is on the 23rd ??????</t>
  </si>
  <si>
    <t>fire</t>
  </si>
  <si>
    <t xml:space="preserve">2 high 2 come down </t>
  </si>
  <si>
    <t>@Miss_HoMaStToPa cause were on fire we are on fire were on fire now.. Yeah were on fire we are on fire were on fire nowwwwww</t>
  </si>
  <si>
    <t>Setting things on fire is always an option</t>
  </si>
  <si>
    <t>Brooklyn</t>
  </si>
  <si>
    <t>But put 'Flood of Fire' at the top of the list.  https://t.co/p5JPjgiipW</t>
  </si>
  <si>
    <t>This fire is WAY too close wtf is going on ???? http://t.co/drf3mmRbyx</t>
  </si>
  <si>
    <t>Nothing like a good fire https://t.co/ItFbBz9xYC</t>
  </si>
  <si>
    <t>Fort Valley,GA/Fayetteville,AR</t>
  </si>
  <si>
    <t>California been shaking...catching on fire....and overcharging ppl on rent for the past 150+ years it ain't going nowhere.</t>
  </si>
  <si>
    <t>Arizona</t>
  </si>
  <si>
    <t>There's a fire in the Catalinas. Looks kinda cool. This picture doesn't do it justice. https://t.co/N0tAwGeZJx</t>
  </si>
  <si>
    <t>the road to success</t>
  </si>
  <si>
    <t>I wanna set some shit on fire.</t>
  </si>
  <si>
    <t>The Desert</t>
  </si>
  <si>
    <t>In the words of Charlie Daniels 'Fire on the mountain run boys run.'_x0089_Û_ https://t.co/fz1HAEj255</t>
  </si>
  <si>
    <t>I just checked in! _x0089_ÛÒ at On Fire on @ZomatoAUS #LoveFood http://t.co/9l5kqykrbG</t>
  </si>
  <si>
    <t>Smelling a Bon fire while driving makes me wanna be sitting near one making s'mores ????</t>
  </si>
  <si>
    <t>fire%20truck</t>
  </si>
  <si>
    <t>Niagara Falls, Ontario</t>
  </si>
  <si>
    <t>Fire Call: BRANT AV / DRUMMOND RD for Fire - *Structure - Single. Units: CAR 6 On Call Truck http://t.co/euDwNFyUeM</t>
  </si>
  <si>
    <t>#reno Truck trailer catches fire in Reno http://t.co/k5FIJaNkJb</t>
  </si>
  <si>
    <t>wild night in the village of pugwash every fire truck is out that the town has which is like a fire truck for every house -population:6</t>
  </si>
  <si>
    <t>Here &amp; There</t>
  </si>
  <si>
    <t>'An 18-wheeler came along and struck the fire truck spinning it around 180 degrees and causing it to roll over' http://t.co/kmPfhGlhoo</t>
  </si>
  <si>
    <t>District 12 - Orange County</t>
  </si>
  <si>
    <t>SIGALERT UPDATE #3***N-133 CLOSED AT 5 FWY UFN***- TRASH TRUCK FIRE</t>
  </si>
  <si>
    <t>Plain O' Texas</t>
  </si>
  <si>
    <t>@BrookTekle_ didn't look like a murder scene just 1 cops a fire truck and 2 fire assistance cars along with a helicopter</t>
  </si>
  <si>
    <t>SouthEast Asia</t>
  </si>
  <si>
    <t>Former Township fire truck being used in Philippines - Langley Times http://t.co/L90dCPV9Zu #Philippines</t>
  </si>
  <si>
    <t>Former Township fire truck being used in Philippines: Township of Langley assistant fire chief Pat Walker spen... http://t.co/r6YJw4xcKY</t>
  </si>
  <si>
    <t>@KapoKekito on northgate by the taco truck that's fire.</t>
  </si>
  <si>
    <t>It's never a good sign when you pull up to work &amp;amp; there's five ambulances &amp;amp; a fire truck in the bay. Wompppp at least it's Friday</t>
  </si>
  <si>
    <t>Saipan, CNMI</t>
  </si>
  <si>
    <t>Fire truck and ambulance in K3 Phase 3. Hope everyone's okay. #PrayForSaipan</t>
  </si>
  <si>
    <t>Orange County, Calif.</t>
  </si>
  <si>
    <t>#SigAlert: North &amp;amp; Southbound 133 closed btwn 5 fwy and Irvine Blvd due to truck fire. CHP is detouring traffic.</t>
  </si>
  <si>
    <t>lost in my thoughts</t>
  </si>
  <si>
    <t>@eeenice221 true because of the truck that caught fire?</t>
  </si>
  <si>
    <t>133 N past  the 5 L lane is reopened. All other lanes are closed. All lanes are open on the 133 S. Trash truck fire cleanup. @KNX1070</t>
  </si>
  <si>
    <t>Orange County, CA</t>
  </si>
  <si>
    <t>Found this cool photo not mine 1952 Dodge Wayne bodied 4 window bus.  Ex Libby MT Fire Department truck. All ori_x0089_Û_ http://t.co/mcEjZzxgh8</t>
  </si>
  <si>
    <t>when a monster truck racer catches on fire at the fair</t>
  </si>
  <si>
    <t xml:space="preserve">Laguna Beach, Calif. </t>
  </si>
  <si>
    <t>Truck fire clogs canyon road http://t.co/JRDwyy0aX4</t>
  </si>
  <si>
    <t xml:space="preserve"> Nevada Carson City,Freeman St</t>
  </si>
  <si>
    <t>rgj: Truck trailer catches fire in Reno http://t.co/kAF3WdRmTn</t>
  </si>
  <si>
    <t>#Philippines Former Township fire truck being used in Philippines: _x0089_Û_  of emergency equipment in Cebu Philippi...  http://t.co/aL28RVkqPQ</t>
  </si>
  <si>
    <t>Jacksonville Fire &amp;amp; Rescue Engine 58 - AWESOME TRUCK! - OFFICIAL JADE FL... https://t.co/ybdSlJw7c1 via @YouTube</t>
  </si>
  <si>
    <t>Aracaju - Sergipe</t>
  </si>
  <si>
    <t>#NJTurnpike å_ #NJTurnpike Reopens Hours After Truck Fire In? http://t.co/oABJZtbVyZ http://t.co/GPBXRrDc07</t>
  </si>
  <si>
    <t>first%20responders</t>
  </si>
  <si>
    <t>Nashville, Tennessee</t>
  </si>
  <si>
    <t>I'm grateful for our first responders - @MNPDNashville @NashvilleFD and others - who acted so swiftly to save countless lives today.</t>
  </si>
  <si>
    <t>Portage, IN / Worldwide</t>
  </si>
  <si>
    <t>_x0089_Û÷We Can Help_x0089_Ûª Says Denver Firefighter Working To Curb First Responder Suicide http://t.co/WtaFaepuKZ</t>
  </si>
  <si>
    <t>Carmike Cinemas on Antioch Shooting: 'We Are Grateful' for Staff and First Responders Safety Is 'Highest Priority' http://t.co/BehfHspPud</t>
  </si>
  <si>
    <t>I just added 'Sandy First Responders Lost Their Homes' to VIP Home Page Group on @Vimeo: https://t.co/lKXi6UXjaQ</t>
  </si>
  <si>
    <t>Thankful for our first responders especially @MNPDNashville for life saving response today in Antioch!</t>
  </si>
  <si>
    <t>Michigan</t>
  </si>
  <si>
    <t>Kirsten Gillibrand http://t.co/amEA3LaMDj    Extend Health Care To 911 First RESPONDERS !</t>
  </si>
  <si>
    <t>Bloomington, Indiana</t>
  </si>
  <si>
    <t>'We Can Help' Says Denver Firefighter Working To Curb First Responder Suicide http://t.co/aVV6hPNpch</t>
  </si>
  <si>
    <t>@IAFFLocal4416 no lives lost except those of first responders or the public they're charged with protecting?</t>
  </si>
  <si>
    <t>Stalybridge, Tameside</t>
  </si>
  <si>
    <t>At the #999day Emergency Services display! Meeting the brave police firefighters and first responders that help keep us safe! ????????</t>
  </si>
  <si>
    <t>This week first responders and DART members are participating in a four day intensive Technical Large Animal... http://t.co/tL93AOd3ER</t>
  </si>
  <si>
    <t>As firefighters make gains on #RockyFire Jerry Brown is heading to the area to meet with first responders tomorrow morning</t>
  </si>
  <si>
    <t>Franklin, TN near Nashville</t>
  </si>
  <si>
    <t>After shooting event at the theater @Starbucks is giving FREE COFFEE to all first responders police &amp;amp; firefighters. AntiochHickoryHollow#TN</t>
  </si>
  <si>
    <t>flames</t>
  </si>
  <si>
    <t>Bandung</t>
  </si>
  <si>
    <t>New Giant Flames (GIANT FULL BLACK PANTOFEL) info/order sms:087809233445 pin:23928835 http://t.co/dthNEezupe  pic.twitter.com/pNPiZoDY</t>
  </si>
  <si>
    <t>hell</t>
  </si>
  <si>
    <t>@gilderoy i wish i was good enough to add flames to my nails im on fire</t>
  </si>
  <si>
    <t>St. Patrick's Purgatory</t>
  </si>
  <si>
    <t>@TadhgTGMTEL dude was just smoking and the fucking thing went up in flames i though a bomb went off omg scared</t>
  </si>
  <si>
    <t>Maryland mansion fire that killed 6 caused by damaged plug under Christmas tree report says - Into the flames... http://t.co/ucUDwIU3aN</t>
  </si>
  <si>
    <t>_x0089_ÛÏYou see the devastation &amp;amp; it_x0089_Ûªs shocking._x0089_ÛÏ  Firefighters continue to battle flames in California. benstracy reports _x0089_Û_</t>
  </si>
  <si>
    <t>manaus</t>
  </si>
  <si>
    <t>watching it go up in flames</t>
  </si>
  <si>
    <t xml:space="preserve">Sioux Falls, S.D. </t>
  </si>
  <si>
    <t>RP said they can see smoke coming from the silo on 260th Street in Hartford but no flames.</t>
  </si>
  <si>
    <t>Republica Dominicana</t>
  </si>
  <si>
    <t>Maryland mansion fire that killed 6 caused by damaged plug under Christmas tree report says - Into the flames: Firefighter's bravery...</t>
  </si>
  <si>
    <t>Maryland mansion fire that killed 6 caused by damaged plug under Christmas tree report says - Into the flames... http://t.co/P1WmkXA9d8</t>
  </si>
  <si>
    <t xml:space="preserve"> 616 _x0089_Û¢ Kentwood , MI </t>
  </si>
  <si>
    <t>@selmoooooo @_edvinnn @imTariik @dzafic_haris selmo u not catching flames from me  im just gonna be witnessing the slaughter</t>
  </si>
  <si>
    <t xml:space="preserve">Fairy Tail! </t>
  </si>
  <si>
    <t>@AisuMage @AkumaReisu --just between Gray and Ophelia red flames blazing around her person setting nearly everything in the area--</t>
  </si>
  <si>
    <t xml:space="preserve">Santo Domingo Alma Rosa </t>
  </si>
  <si>
    <t>SoloQuiero Maryland mansion fire that killed 6 caused by damaged plug under Christmas tree report says - Into the flames: Firefighte...</t>
  </si>
  <si>
    <t>Somewhere Around You</t>
  </si>
  <si>
    <t>Maryland mansion fire that killed 6 caused by damaged plug under Christmas tree report says - Into the flames... http://t.co/lKJFabQzb3</t>
  </si>
  <si>
    <t>flattened</t>
  </si>
  <si>
    <t>Melbourne, Victoria</t>
  </si>
  <si>
    <t>70 years ago the first atomic attack flattened #Hiroshima 3 days later it was #Nagasaki both war crimes to put Moscow in its place</t>
  </si>
  <si>
    <t>Today (August 6th) is the 70th anniversary of A-Bomb 'Little Boy' been dropped on Hiroshima.70000 killed outright as the city was flattened</t>
  </si>
  <si>
    <t>somewhere too cold for me</t>
  </si>
  <si>
    <t>@GrabakaHitman @Izi_Garcia when he flattened machida...did he lose that fight..nope he lost fights to guys he shouldn't of lost to also</t>
  </si>
  <si>
    <t>Leeds</t>
  </si>
  <si>
    <t>Flattened thee striker</t>
  </si>
  <si>
    <t>Rocketing through the galaxy</t>
  </si>
  <si>
    <t>@SatanaOfHell ever seen by far. A dreamy look came over his face and his ears flattened as he started to walk slowly toward her.* You'd-</t>
  </si>
  <si>
    <t>flood</t>
  </si>
  <si>
    <t>JKL cancels Flash Flood Warning for Bell Harlan Knox [KY]  http://t.co/4rY6zhcPOQ #WX</t>
  </si>
  <si>
    <t>Spot Flood Combo 53inch 300W Curved Cree LED Work Light Bar 4X4 Offroad Fog Lamp - Full re_x0089_Û_ http://t.co/xxkHjySn0p http://t.co/JEVHKNJGBX</t>
  </si>
  <si>
    <t>Warrandyte, Australia</t>
  </si>
  <si>
    <t>A [small] flood with bigåÊconsequences https://t.co/CVPdVHxd1R http://t.co/FDMXP4FcMo</t>
  </si>
  <si>
    <t>British Columbia, Canada</t>
  </si>
  <si>
    <t>Homecoming Queen Killed on Way Home from the Prom by Flood Waters! #socialnews http://t.co/VmKexjTyG4</t>
  </si>
  <si>
    <t>And please don't flood poor @RobertBEnglund's mentions. He's put in his work!</t>
  </si>
  <si>
    <t>2pcs 18W CREE Led Work Light  Offroad Lamp Car Truck Boat Mining 4WD FLOOD BEAM - Full rea_x0089_Û_ http://t.co/ApWXS5Mm44 http://t.co/DS76loZLSu</t>
  </si>
  <si>
    <t>Hawaii USA</t>
  </si>
  <si>
    <t>iembot_hfo : At 10:00 AM 2 NNW Hana [Maui Co HI] COUNTY OFFICIAL reports COASTAL FLOOD #_x0089_Û_ http://t.co/Gg0dZSvBZ7) http://t.co/kBe91aRCdw</t>
  </si>
  <si>
    <t>Internet basics: the flood defective intertissue is soul mate the milk trench host: GUAbxFv http://t.co/uzsQzYcB8X</t>
  </si>
  <si>
    <t>BMX issues Areal Flood Advisory for Shelby [AL] till Aug 5 9:00 PM CDT http://t.co/62OddEkVLi</t>
  </si>
  <si>
    <t>Flood Advisory in effect for Shelby County in AL until 9 PM #alwx http://t.co/gTqMGsgcsB</t>
  </si>
  <si>
    <t>RT grant_factory: #grants #funds Weymouth meeting on seawalls and flood grants set for Thursday night _x0089_Û_ http://t.co/Th2WLilBmo</t>
  </si>
  <si>
    <t>Flood Advisory issued August 05 at 4:28PM EDT by NWS http://t.co/D02sbM0ojs #WxKY</t>
  </si>
  <si>
    <t>Flood Prone Waterways In Westchester County Now Eligible For Millions In State Aid #NewYork - http://t.co/XSR2VUJyIz</t>
  </si>
  <si>
    <t>Waddesdon</t>
  </si>
  <si>
    <t>Chinese rescue team arrives in Myanmar to help flood victims http://t.co/nOSvu0Zx4x Sittway http://t.co/5mJZJNkPfn</t>
  </si>
  <si>
    <t>Knoxville, TN</t>
  </si>
  <si>
    <t>Flood Advisory issued August 05 at 7:10PM CDT until August 05 at 8:00PM CDT by NWS: ...THE URBAN AND ... http://t.co/SeMw5cQ7Dg #weather</t>
  </si>
  <si>
    <t>flooding</t>
  </si>
  <si>
    <t>Rock Springs, WY</t>
  </si>
  <si>
    <t>ROCK SPRINGS _x0089_ÛÒ Residents living off Elk Street continue to battle flooding issues after Monday_x0089_Ûªs rain storm. While_x0089_Û_ http://t.co/8J19FvU7qA</t>
  </si>
  <si>
    <t>Vietnam</t>
  </si>
  <si>
    <t>Cuban leader extends sympathy to Vietnam over flooding at http://t.co/xLq8G6vb2r</t>
  </si>
  <si>
    <t>Tampa-St. Petersburg, FL</t>
  </si>
  <si>
    <t>Business at the Sponge Docks washed out by rain flooding: http://t.co/5PmikAVyKL</t>
  </si>
  <si>
    <t>Severe Thunderstorms and Flash Flooding Possible in the Mid-South and Midwest http://t.co/uAhIcWpIh4 #WEATHER #ENVIRONMENT #CLIMATE #NATURE</t>
  </si>
  <si>
    <t>Huntsville, Alabama</t>
  </si>
  <si>
    <t>11:30a Radar Update: Widespread Showers/Storms but moving over the same areas-minor flooding possible #HUNwx http://t.co/E3L1JqjH2u</t>
  </si>
  <si>
    <t>Flooding ???? http://t.co/WVeO9ED10e</t>
  </si>
  <si>
    <t>Flooding kills 166 displace over one million in Pakistan - Daily News &amp;amp; Analysis http://t.co/9mj8oUj3vt #yugvani</t>
  </si>
  <si>
    <t>Flooding kills 166 displace over one million in Pakistan - Daily News &amp;amp; Analysis http://t.co/KkOOVBKndp</t>
  </si>
  <si>
    <t>Jakarta/Kuala Lumpur/S'pore</t>
  </si>
  <si>
    <t>#Laos flooding -10 villages underwater World Vision responding http://t.co/8fvQRizOUX</t>
  </si>
  <si>
    <t>#floods #ukfloods - British trekkers rescued amid flash floods in Himalayas: A group of British tr... http://t.co/nsfzkfgZnj - #flooding</t>
  </si>
  <si>
    <t>Cuban leader extends sympathy to Vietnam over flooding at http://t.co/QcyXwr2rdv</t>
  </si>
  <si>
    <t>I ACCEPT SONG REQUESTS</t>
  </si>
  <si>
    <t>When the waves are flooding the shore
And I can't find my way home anymore
That's when I look at you http://t.co/TDAKtGlU5p</t>
  </si>
  <si>
    <t>Honolulu, Hawaii</t>
  </si>
  <si>
    <t>If Flooding occurs in your home - How to stop mold growth via @ProudGreenHome http://t.co/KAVAovJz2V</t>
  </si>
  <si>
    <t>http://t.co/XJkRXrNWNv Flooding of tracks caused derailment sa #INSubcontinent @INSubcontinent http://t.co/JlWGshYY3N</t>
  </si>
  <si>
    <t>Obama Keeps 27 Iraqi Christian Asylum Seekers nDetention While Flooding U.S. w/Unscreened Muslims: http://t.co/b4k0R4GgA8 via @DCClothesline</t>
  </si>
  <si>
    <t>So grateful for all the support flooding in from @NetkiCorp dinner guests! THANK YOU ALL! https://t.co/ELTne5v1Qn</t>
  </si>
  <si>
    <t>Huntsville AL</t>
  </si>
  <si>
    <t>There some flash flooding in madison #valleywx</t>
  </si>
  <si>
    <t>West Midlands</t>
  </si>
  <si>
    <t>_x0089_ÛÏ@BBCEngland: A burst water main causes major flooding at a Birmingham hospital http://t.co/q4kGftC2AM http://t.co/6w6A2L4qAe_x0089_Û_x009d_ OMG.</t>
  </si>
  <si>
    <t>Heavy Rainfall and Flooding in Northern #VietNam | Situation Report No.2 http://t.co/hVxu1Zcvau http://t.co/iJmCCMHh5G</t>
  </si>
  <si>
    <t>Global-NoLocation</t>
  </si>
  <si>
    <t>#flood #disaster Burst Water Pipe Floods Apartments at NYCHA Senior Center - NY1: NY1Burst Water Pipe Floods A... http://t.co/w7SIIdujOH</t>
  </si>
  <si>
    <t>Myanmar: MSF assisting thousands as worst flooding in decades hits parts of Myanmar http://t.co/PiJG5w2L2u</t>
  </si>
  <si>
    <t>Ocean City, NJ</t>
  </si>
  <si>
    <t>Residents in the central part of Ocean City heard from engineers about flood mitigation options Tuesday #OCNJ... http://t.co/jzPrCIqa9D</t>
  </si>
  <si>
    <t>Kualar Lumpur, Malaysia</t>
  </si>
  <si>
    <t>Monsoon Flooding Kills Dozens In Myanmar Prompting Calls For Help - http://t.co/r7vPaKlhvI</t>
  </si>
  <si>
    <t>Memorial unveiled for Travis County deputy killed in Sept. flooding: Travis County Sheriff Greg Hamilton joined_x0089_Û_ http://t.co/Eo2F96WXPz</t>
  </si>
  <si>
    <t>Flooding kills 166 displace over one million in Pakistan http://t.co/iCFQl7I9oP
At least 166 people have been killed and nearly 11 lakh_x0089_Û_</t>
  </si>
  <si>
    <t>floods</t>
  </si>
  <si>
    <t>South of D.C.</t>
  </si>
  <si>
    <t>Slip Sliding Away - Flash Floods Info for Writers w/Tony Nester @SonoranRattler #writingtips http://t.co/sLTtOrRLHs</t>
  </si>
  <si>
    <t>Who is bringing the tornadoes and floods. Who is bringing the climate change. God is after America He is plaguing her
#FARRAKHAN #QUOTE</t>
  </si>
  <si>
    <t>Adventist - Lesson Sabbath</t>
  </si>
  <si>
    <t>Myanmar Flooding: Heavy monsoon rains during the month of July have caused flooding flash floods and landsli... http://t.co/9TG7A5OqFP</t>
  </si>
  <si>
    <t>In #India 119000 people have taken shelter in the 966 relief camps the government has set up after the #floods:   http://t.co/eU8jypIzsd</t>
  </si>
  <si>
    <t>@pmharper don't worry I'm sure climate has nothing to do with hail floods tornados in Alberta &amp;amp; Ontario. I'm sure god's just mad at you.</t>
  </si>
  <si>
    <t>Passamaquoddy</t>
  </si>
  <si>
    <t>@ictyosaur I never thought it would be a wtf moment yet it's here after months of 90 degree heat
Next we will have flash floods..</t>
  </si>
  <si>
    <t>_x0089_Û¢III.XII.MMXI_x0089_Û¢</t>
  </si>
  <si>
    <t>Granted like half my town floods when it rains but still whatever</t>
  </si>
  <si>
    <t>@Cyberdemon531 i hope that mountain dew erodes your throat and floods your lungs leaving you to drown to death</t>
  </si>
  <si>
    <t>Disaster group stunned by floods http://t.co/jrgJ17oAMt</t>
  </si>
  <si>
    <t>#flood #disaster Bengal floods: CM Mamata Banerjee blames DVC BJP claims state failed to use ... - Economic T... http://t.co/BOZlwr716Z</t>
  </si>
  <si>
    <t>69 Dead Due to Floods in Myanmar: Naypyidaw Aug 5 (Prensa Latina) The death toll rose today to 69 in Myanmar... http://t.co/JoDs9a32PI</t>
  </si>
  <si>
    <t>Estados Unidos</t>
  </si>
  <si>
    <t>Typhoon Soudelor approaches after 7 killed 2 missing in floods in Philippines http://t.co/nJMiDySXoF via @abc7chicago</t>
  </si>
  <si>
    <t>New Jersey</t>
  </si>
  <si>
    <t>@casewrites when it rains in NJ it flash floods. Otherwise its just a desert of grief and taxes.</t>
  </si>
  <si>
    <t>Timaru District, New Zealand</t>
  </si>
  <si>
    <t>@ContactEnergy Yep. During floods of 1999 or 2000 - Clyde Dam releasing every bit of water it could. Most speccy!  EV charging your way?</t>
  </si>
  <si>
    <t>Cameroon</t>
  </si>
  <si>
    <t>Bamenda Floods Kill Animals Birds - http://t.co/WnamtxlfMt http://t.co/6cOIDv11qV</t>
  </si>
  <si>
    <t>Ogba, Lagos, Nigeria</t>
  </si>
  <si>
    <t>APC Chieftain Tasks Dickson On N15b Floods Donation To Bayelsa http://t.co/LqGOe7psXp</t>
  </si>
  <si>
    <t>PAGASA 7:12am: YELLOW warning - Panay Island Guimaras Negros. Possible floods in low-lying areas &amp;amp; landslides in mountainous areas.</t>
  </si>
  <si>
    <t>RT: 40HourFamine: In #Bangladesh government has not declared floods an emergency. #WorldVision will continue to m_x0089_Û_ http://t.co/XqdVghz8G6</t>
  </si>
  <si>
    <t>North America</t>
  </si>
  <si>
    <t>Nearly 50 thousand people affected by floods in #Paraguay ? http://t.co/aw23wXtyjB http://t.co/ABgct9VFUa</t>
  </si>
  <si>
    <t>ETP Bengal floods: CM Mamata Banerjee blames DVC BJP claims state failed to use relief funds: Even as flood w... http://t.co/hsZjaFxrvi</t>
  </si>
  <si>
    <t>May Allah help all those suffering from the #Pakistan floods! You and your families are in our #Dua</t>
  </si>
  <si>
    <t>Children in Myanmar face a 'double catastrophe' as floods hit the most ... http://t.co/0jFNvAXFph</t>
  </si>
  <si>
    <t>69 die in Myanmar floods 250000 affected http://t.co/LxjjGyv86A | https://t.co/U9x3perXCO</t>
  </si>
  <si>
    <t>Typhoon Soudelor approaches after 7 killed 2 missing in floods in Philippines_x0089_Û_ http://t.co/8rDXcfgQEm #Typhoon</t>
  </si>
  <si>
    <t>Memphis always floods</t>
  </si>
  <si>
    <t>21.462446,-158.022017</t>
  </si>
  <si>
    <t>Floods cause damage and death across Asia | All media content | http://t.co/a2myUTpDiQ | 05.08.2015 http://t.co/XrSkT0s9lz</t>
  </si>
  <si>
    <t>forest%20fire</t>
  </si>
  <si>
    <t>E1.1.2 Particulate=Break up of Solid Combust Fossil Fuel Voltaic Active Forest Fire Biological VOC=Petroleum CH4 Bacteria Decomposition</t>
  </si>
  <si>
    <t>PDX</t>
  </si>
  <si>
    <t>BE CAREFUL anyone who lives west of Beaverton. Forest Grove has a rapidly spreading fire heading east</t>
  </si>
  <si>
    <t>Shelby County</t>
  </si>
  <si>
    <t>I added a video to a @YouTube playlist http://t.co/bcjYleRRYX Ori and the Bind forest ep 6 'Fire and death'</t>
  </si>
  <si>
    <t>How is it one careless match can start a forest fire but it takes a whole box to start a campfire?</t>
  </si>
  <si>
    <t>port matilda pa</t>
  </si>
  <si>
    <t>Our little forest fire wardens http://t.co/aPreNsss3x</t>
  </si>
  <si>
    <t>Concord, N.C.</t>
  </si>
  <si>
    <t>Fire in Pisgah National Forest grows to 375 acres http://t.co/d7zxZ42QW1</t>
  </si>
  <si>
    <t>Redding, California, USA</t>
  </si>
  <si>
    <t>Ashenforest floorburnt manzanita &amp;amp; timber on Johnson Fire along ridge on Forest Road 1. #RouteComplex http://t.co/FYMP4I2Wp5</t>
  </si>
  <si>
    <t>@Sweet2Young -runs at her for setting my forest on fire and bites the shit out of her neck-</t>
  </si>
  <si>
    <t>@hornybigbadwolf -sets the forest on fire-</t>
  </si>
  <si>
    <t>View of smoke column rising above the south end of the Blake Fire along Forest Road 1. #RouteComplex http://t.co/Yqg5Pvw5gX</t>
  </si>
  <si>
    <t>IT STARTS A FOREST FIRE THAT CANNOT BE PUT OUT. http://t.co/3STfmN26r9</t>
  </si>
  <si>
    <t>Asheville, NC</t>
  </si>
  <si>
    <t>Fire in Pisgah National Forest grows to 375 acres http://t.co/dao9AZEUcr</t>
  </si>
  <si>
    <t>5:15p For those who watch over me forest fire smoke has lifted 'nuff f/me t/make a run t/the pet store on the hwy (N). I'll b/home by 7p.</t>
  </si>
  <si>
    <t>Los Angeles for now</t>
  </si>
  <si>
    <t>We are having forest fires out here in #socal but the only fire you should watch for is @YBTheProphet #RealHiphop https://t.co/ZPSnX5iYAJ</t>
  </si>
  <si>
    <t>????????????</t>
  </si>
  <si>
    <t>U.S. Forest Service firefighter David Ruhl 38 died in the 'Frog Fire' in the Modoc National Forest. He had been temporarily reassigned</t>
  </si>
  <si>
    <t>forest%20fires</t>
  </si>
  <si>
    <t>Only you can prevent forest fires. ???? http://t.co/rGYUaKc0dR</t>
  </si>
  <si>
    <t>#NaturalDisasters As California fires rage the Forest Service sounds the alarm about rising wildfire costs: _x0089_Û_...  http://t.co/TQwrW3jQWo</t>
  </si>
  <si>
    <t>alberta, canada</t>
  </si>
  <si>
    <t>@gilmanrocks7 wow. Where is this? For the rest of the summer I usually have to worry about forest fires. Calgary is about 8 hours away.</t>
  </si>
  <si>
    <t>As California fires rage Forest Service sounds the alarm about sharply rising wildfire costs http://t.co/dFYrPpzkPu http://t.co/iwsdbGd1zq</t>
  </si>
  <si>
    <t>A little concerned about the number of forest fires where I'll be living</t>
  </si>
  <si>
    <t>@nycdivorcelaw TRUMP IS A CLIMATE DENIER- algae bloom in the pacific from calif to alska- seeweed in caribean forest fires- SNOWBALL INHOFE</t>
  </si>
  <si>
    <t xml:space="preserve">Montana </t>
  </si>
  <si>
    <t>The forest service now spends &amp;gt;50% of its budget fighting fires http://t.co/SrSLCxHc2T</t>
  </si>
  <si>
    <t>This is the first year the Forest Service spent more than half its annual budget on fighting fires. #climatechange http://t.co/D62zfZy0Mi</t>
  </si>
  <si>
    <t>As California fires rage the Forest Service sounds the alarm about rising wildfire costs http://t.co/Tft1bb4xaZ</t>
  </si>
  <si>
    <t>Reddit: http://t.co/UtuMVaABz6 Lightning sparks new fires in Boise National Forest /r/StormComing</t>
  </si>
  <si>
    <t>The spread of Conflict #PalmOil has sparked an increase in fires destroying #forest throughout #Indonesia http://t.co/4zn0MDsRVp</t>
  </si>
  <si>
    <t>Cape Cod</t>
  </si>
  <si>
    <t>Photo: blue by @forest.fires source: http://t.co/awXR24zsqh http://t.co/o9A26Fn27y</t>
  </si>
  <si>
    <t>Nicola Valley</t>
  </si>
  <si>
    <t>Forest fires &amp;amp; dying salmon: time 2 act not deny. Climate Change Nightmares Are  Here http://t.co/RBZomWGjeE #bcpoli #canpoli #vanpoli</t>
  </si>
  <si>
    <t>8-5-2015 - 4:30 P.M. - Progress Being Made on Boise Forest Fires
http://t.co/6o1mgMGHgt http://t.co/wTPO6elRZd</t>
  </si>
  <si>
    <t>A group of Florida Forest Service firefighters could be deployed to California to help contain fires. Details at 10! http://t.co/fwuP9YURzY</t>
  </si>
  <si>
    <t>PRAY! For EAST COAST FOREST FIRES! PRAY! That they be put out. PRAY! For RAIN!</t>
  </si>
  <si>
    <t>Duncan</t>
  </si>
  <si>
    <t>@BlueJays @Braves @Angels Instead of dumping water on yourselves please send it to British Columbia to help with the forest fires</t>
  </si>
  <si>
    <t>#HeartDisease U.S. Forest Service says spending more than half of budget on fires http://t.co/KzfiGkEeva</t>
  </si>
  <si>
    <t>CLIMATE CONSEQUENCES: U.S. Forest Service Says Spending More Than Half Of Budget On Fires http://t.co/k0QtL8aODH http://t.co/zQBXe7x9Y7</t>
  </si>
  <si>
    <t>U.S. Forest Service says spending more than half of budget on fires http://t.co/1hLVrKwgIP</t>
  </si>
  <si>
    <t>Based in CA - Serve Nationwide</t>
  </si>
  <si>
    <t>Property losses from northern California wildfire nearly double http://t.co/oTfW5SEkD7 via @YahooNews</t>
  </si>
  <si>
    <t>Inciweb OR Update:  Rogue River-Siskiyou National Forest Fires  8/5/15 12:00 PM (Rogue River-Siskiyou NF Area_x0089_Û_ http://t.co/LkwxU8QV7n</t>
  </si>
  <si>
    <t>Vancouver, BC</t>
  </si>
  <si>
    <t>Forest fires could delay @AbbyAirshow but officials say it could be a good thing http://t.co/Vxjcx8uKMd</t>
  </si>
  <si>
    <t>Lansdale,Pennsylvania</t>
  </si>
  <si>
    <t>U.S. Forest Service says spending more than half of budget on fires: By Ian Simpson_x0089_Û_ http://t.co/UyYYrKd6q3</t>
  </si>
  <si>
    <t>Campsite recommendations 
Toilets /shower 
Pub 
Fires 
No kids 
Pizza shop 
Forest 
Pretty stream 
No midges
No snakes
Thanks ??</t>
  </si>
  <si>
    <t>When ur friend and u are talking about forest fires in a forest and he tells u to drop ur mix tape out there... #straightfire</t>
  </si>
  <si>
    <t>Firefighting consumes Forest Service budget sparks political clash: Forest Service report cites increasing cost of_x0089_Û_ http://t.co/lSWsitnkuk</t>
  </si>
  <si>
    <t>hail</t>
  </si>
  <si>
    <t>Carol Stream, Illinois</t>
  </si>
  <si>
    <t>GREAT MICHIGAN TECHNIQUE CAMP
B1G THANKS TO @bmurph1019 
@hail_Youtsey . @termn8r13 
#GoBlue #WrestleOn http://t.co/OasKgki6Qj</t>
  </si>
  <si>
    <t>All Hail Shadow (Hybrid Mix Feat. Mike Szuter): http://t.co/9e2f7bIvlE @youtube ##youtube</t>
  </si>
  <si>
    <t>LZK issues Severe Thunderstorm Warning [wind: 60 MPH hail: 0.75 IN] for Sharp [AR] till 8:15 PM CDT  http://t.co/AUXSMdG1uN #WX</t>
  </si>
  <si>
    <t>Arkansas</t>
  </si>
  <si>
    <t>Strong Thunderstorm 4 Miles North of Japton Moving SE At 25 MPH. Large Hail and Wind Gusts Up to 50 MPH Poss... #arwx http://t.co/TIM8x9bI0f</t>
  </si>
  <si>
    <t>RNK issues Severe Thunderstorm Warning [wind: 60 MPH hail: 1.00 IN] for Rockingham Stokes [NC] till Aug 5 10:00 PM EDT  _x0089_Û_</t>
  </si>
  <si>
    <t>Inside the Beltway (DC Area)</t>
  </si>
  <si>
    <t>Cue storm with massive wind and hail!! Now a power outage @WXII in Davidson County.</t>
  </si>
  <si>
    <t>Strong Thunderstorm 4 Miles North of Japton Moving SE At 25 MPH. Large Hail and Wind Gusts Up to 50 MPH Poss... #arwx http://t.co/blppzAIbOE</t>
  </si>
  <si>
    <t>@modnao23 the hail is ruining everything. Plus my car I haven't even gotten yet. Have yet another killer migraine and I lost my glasses. ??</t>
  </si>
  <si>
    <t>Rapid City, South Dakota</t>
  </si>
  <si>
    <t>New warning for Central Hills 1' hail 60 mph winds. NOT affecting Sturgis but could later tonight. #KOTAWeather http://t.co/1EPIYeNQYL</t>
  </si>
  <si>
    <t>Heavy rain and lightning overhead in Oakridge SW Calgary - at least it will melt the hail......#yycstorm #ABStorm</t>
  </si>
  <si>
    <t>@HeyItsEpark heavy rain and hail</t>
  </si>
  <si>
    <t>@weathernetwork here comes the hail!</t>
  </si>
  <si>
    <t>Central Mass. fruit trees escape heavy damage after wind hail http://t.co/VbFfodtP6M</t>
  </si>
  <si>
    <t>New warning for Central Hills 1' hail 60 mph winds. NOT affecting Sturgis but could later tonight. #KOTAWeather http://t.co/qo3VWFelkp</t>
  </si>
  <si>
    <t>UNR continues Severe Thunderstorm Warning [wind: 60 MPH hail: &amp;lt;.75 IN] for Weston [WY] and Custer Fall River Pennington [SD] till 7:15 P_x0089_Û_</t>
  </si>
  <si>
    <t>Calgary pounded with hail on second day of storms https://t.co/2BE7BwcMpl</t>
  </si>
  <si>
    <t>Hi-Res Doppler showing storm just NE of Edmond is now severe with 1.25' hail and 60mph wind possible. #okwx http://t.co/lrx0sDsNHM</t>
  </si>
  <si>
    <t>UNR issues Severe Thunderstorm Warning [wind: 60 MPH hail: 0.75 IN] for Weston [WY] and Custer Fall River Lawrence Meade Pennington [S_x0089_Û_</t>
  </si>
  <si>
    <t>hailstorm</t>
  </si>
  <si>
    <t>Well so much for outdoor postering @calgaryfringe #mothernature #hailstorm #rain #yycfringe #KILLHARD</t>
  </si>
  <si>
    <t>Newton Centre, Massachusetts</t>
  </si>
  <si>
    <t>Freak #Boston #hailstorm produces a hailstorm of business ... for auto-body repair specialists. @PeterHoweNECN 6:30/8:30 TONIGHT @necn</t>
  </si>
  <si>
    <t>Kicking Horse Pass</t>
  </si>
  <si>
    <t>OMG NIXON LIVES! That is Richard M. Nixon Tricky Dicky right there in the picture isn't it. Hiding in Calgary he... http://t.co/MIUsvPxQTE</t>
  </si>
  <si>
    <t>Calgary, Alberta</t>
  </si>
  <si>
    <t>@AdriaSimon_: Hailstorm day 2.... #round2 #yyc #yycstorm http://t.co/FqQI8GVLQ4</t>
  </si>
  <si>
    <t>~ More wicked weather rolls through Calgary and surrounding areas http://t.co/SxwJyR3K3l http://t.co/aEWGlVqReH</t>
  </si>
  <si>
    <t>Gotta love #summer in #Calgary. #yyc #hailstorm #crazyweather http://t.co/xQbWnLBBIu</t>
  </si>
  <si>
    <t>Suginami-ku, Tokyo, Japan</t>
  </si>
  <si>
    <t>Severe weather and a rare hailstorm pummel Boston - http://t.co/jkYM9EdOfc</t>
  </si>
  <si>
    <t>Washington State</t>
  </si>
  <si>
    <t>We The Free Hailstorm Maxi http://t.co/ERWs6IELdG</t>
  </si>
  <si>
    <t>Twin Storms Blow Through Calgary ~ 1 http://t.co/rzaGDnWTAH http://t.co/uqEttaGSCU</t>
  </si>
  <si>
    <t>Heaven</t>
  </si>
  <si>
    <t>Summer heat drives bobcats to Calgary backyards ~ 35 http://t.co/TmzXopVs94 http://t.co/W192Wkog1M</t>
  </si>
  <si>
    <t>Ready for my close up... Errrr nope!! #notgoingoutinthat #hailstorm #alberta @HellOnWheelsAMC @HoW_fans @TalkingHell http://t.co/9gIAXD6JTY</t>
  </si>
  <si>
    <t>IG: http://t.co/2WBiVKzJIP 'It's hailing again! #abstorm #yyc #hail #hailstorm #haildamage #yycweather #calgary #captureyyc #alberta #sto_x0089_Û_</t>
  </si>
  <si>
    <t>Summer heat drives bobcats to Calgary backyards ~ 3 http://t.co/kEstuUYc4t http://t.co/PzFBb1P1mj</t>
  </si>
  <si>
    <t>Calgary, Canada</t>
  </si>
  <si>
    <t>Sadly the tent fly did not survive this hailstorm and now I have tears in the roof and water in the tent.  Only... http://t.co/zCt5cchOJ0</t>
  </si>
  <si>
    <t>Virgo Supercluster</t>
  </si>
  <si>
    <t>This was Boston yesterday after an intense hailstorm [X-Post from /r/cityporn] [4608ÌÑ2474] (_x0089_Û_ http://t.co/8E6XuhrBKh http://t.co/Qo190N8UdD</t>
  </si>
  <si>
    <t>facebook.com/tradcatknights</t>
  </si>
  <si>
    <t>Canada: Hailstorm flash flooding slam Calgary knocks out power to 20k customers
http://t.co/SkY9EokgGB http://t.co/5IyZsDA6xB</t>
  </si>
  <si>
    <t xml:space="preserve">Iliff,Colorado  </t>
  </si>
  <si>
    <t>Severe hailstorm in progress over Northeast Logan County... #cowx http://t.co/XK9OwGV1O5</t>
  </si>
  <si>
    <t>Dicky Beach</t>
  </si>
  <si>
    <t>@CouncilSCC it does say hailstorm</t>
  </si>
  <si>
    <t>This is why I am scared to leave my car under trees in a storm
#jamaicaplain #boston #hailstorm_x0089_Û_ https://t.co/MJ8rEZOXlJ</t>
  </si>
  <si>
    <t>Not Los Angeles, Not New York.</t>
  </si>
  <si>
    <t>The Stephen Ave flower pots got a little ripped up in the hailstorm today #yyc #abstorm #calgary #iamdowntown http://t.co/hBhx0dwkPC</t>
  </si>
  <si>
    <t>Grow Calgary avoids worst of city's wicked weather * ~ 16 http://t.co/HLyHDfWsQB http://t.co/GwSNBMmcqF</t>
  </si>
  <si>
    <t>Photo: This is why I am scared to leave my car under trees in a storm #jamaicaplain #boston #hailstorm... http://t.co/1FHRrhciMH</t>
  </si>
  <si>
    <t>Calgary Transit reviewing policy after leaving hundreds of commuters stranded during hail_x0089_Û_ http://t.co/fT7OrfA52y http://t.co/Dv4MMlsO1I</t>
  </si>
  <si>
    <t>Calgary, AB, Canada</t>
  </si>
  <si>
    <t>600 passengers abandoned at LRT station during Tuesday's hailstorm http://t.co/vgF41IuPkn #yyc #yycstorm #abstorm</t>
  </si>
  <si>
    <t>harm</t>
  </si>
  <si>
    <t>Kansas City</t>
  </si>
  <si>
    <t>@leedsrouge Love what you picked! We're playing WORTH IT by FIFTH HARM/KID INK because of you! Listen &amp;amp; Vote: http://t.co/0wrATkA2jL</t>
  </si>
  <si>
    <t>Cleveland, OH - San Diego, CA</t>
  </si>
  <si>
    <t>IMAGINE A DOCTOR TREATING AN #EBOLA PATIENT WITHOUT EVER PLACING HIMSELF IN HARM'S WAY. http://t.co/dliZfkk30Y</t>
  </si>
  <si>
    <t>Gotham City</t>
  </si>
  <si>
    <t>You can never escape me. Bullets don't harm me. Nothing harms me. But I know pain. I know pain. Sometimes I share it. With someone like you.</t>
  </si>
  <si>
    <t>va</t>
  </si>
  <si>
    <t>@malistkiss Sunnis continue to believe they are more righteous and they continually harm Shias. Defeats the ideals of Islam.</t>
  </si>
  <si>
    <t>hazard</t>
  </si>
  <si>
    <t>Alameda, CA</t>
  </si>
  <si>
    <t>Choking Hazard Prompts Recall Of Kraft Cheese Singles http://t.co/nJLqRqcnL9</t>
  </si>
  <si>
    <t>NIFC</t>
  </si>
  <si>
    <t>Road closures remain in effect due to hazard trees falling tree torching and uphill runs of the fire. Forest Service Road #1 remains close</t>
  </si>
  <si>
    <t>CONFIRMED: Sanchez Hazard and Bolasie will be out for the rest of the season. https://t.co/7Ct01nEptL</t>
  </si>
  <si>
    <t>Dil's Campsite</t>
  </si>
  <si>
    <t>@Dead_Dreamer15 ...because if it were on fire that'd be a safety hazard</t>
  </si>
  <si>
    <t>8/6/2015@1:32 PM: HAZARD IN HIGH TRAFFIC AREA at 5000 DEANS BRIDGE RD http://t.co/itZzKWfhG5</t>
  </si>
  <si>
    <t>@LondonFire Hi ..Is there an email that people can use to report s'thing they think is a fire hazard/dangerous?</t>
  </si>
  <si>
    <t>8/6/2015@1:08 PM: HAZARD IN HIGH TRAFFIC AREA at 1500 WRIGHTSBORO RD http://t.co/DdUxtHvVnr</t>
  </si>
  <si>
    <t>hazardous</t>
  </si>
  <si>
    <t>SWinfo@dot.state.al.us</t>
  </si>
  <si>
    <t>I-10 EB at MS line update: Offloading the hazardous material is going much slower than expected. Road could stay closed until tomorrow AM.</t>
  </si>
  <si>
    <t>#Taiwan Grace: expect that large rocks trees mud unstable and/or saturated land may slide ..very hazardous in hilly/mountain areas...</t>
  </si>
  <si>
    <t>DLH issues Hazardous Weather Outlook (HWO) http://t.co/WOzuBXRi2p</t>
  </si>
  <si>
    <t>JAX issues Hazardous Weather Outlook (HWO)  http://t.co/u9fCb8dz3h #WX</t>
  </si>
  <si>
    <t>#foodscare #offers2go #NestleIndia slips into loss after #Magginoodle #ban unsafe and hazardous for #humanconsumption</t>
  </si>
  <si>
    <t>Skinny Jeans are Hazardous for Your Health! #socialnews http://t.co/92Pk0HujD8</t>
  </si>
  <si>
    <t>From recycling to only using non-hazardous chemicals Holland 1916 continually strives to maintain an eco-friendly existence.</t>
  </si>
  <si>
    <t>#dam #gms Olap #world pres: http://t.co/mIcjNPuhG0 How To Recognize A Hazardous Waste And The Multidimensional http://t.co/Vddi5ChKTP</t>
  </si>
  <si>
    <t>JKL issues Hazardous Weather Outlook (HWO)  http://t.co/4e719w6m4V #WX</t>
  </si>
  <si>
    <t>MEG issues Hazardous Weather Outlook (HWO)  http://t.co/gGn39m60tL #WX</t>
  </si>
  <si>
    <t>Caution: breathing may be hazardous to your health.</t>
  </si>
  <si>
    <t>@TheBlackshag @dannyoneil too toxic...cancer....disease...hazardous waste...noxious...</t>
  </si>
  <si>
    <t>MEG issues Hazardous Weather Outlook (HWO) http://t.co/3X6RBQJHn3</t>
  </si>
  <si>
    <t>It's getting to be hazardous getting into this world alive. https://t.co/BJZSSw4tid</t>
  </si>
  <si>
    <t>Mysore, Karnataka</t>
  </si>
  <si>
    <t>http://t.co/rOdpt33XFM EverSafe Emergency Auto Kit for all Weather Unsafe hazardous rush-hour gridlock jumper-ca_x0089_Û_ http://t.co/0BVK5tuB4J</t>
  </si>
  <si>
    <t>MTR issues Hazardous Weather Outlook (HWO) http://t.co/tGLK2UUs2Z</t>
  </si>
  <si>
    <t>HAZARD - HAZARDOUS CONDITION at SB I5 FWY AT / SW TERWILLIGER BLVD PORTLAND OR [Portland Police #PP15000266858] 17:26 #pdx911</t>
  </si>
  <si>
    <t>Skinny Jeans are Hazardous for Your Health! #socialnews http://t.co/pAQanenCeS</t>
  </si>
  <si>
    <t>#psd #special Olap #world pres: http://t.co/9xO9mKQqsi How To Recognize A Hazardous Waste And The Multidimensi http://t.co/BP03eAFEWR</t>
  </si>
  <si>
    <t>DLH issues Hazardous Weather Outlook (HWO)  http://t.co/a0Ad8z5Vsr #WX</t>
  </si>
  <si>
    <t>Skinny Jeans are Hazardous for Your Health! #socialnews http://t.co/LTMa9xQXpx</t>
  </si>
  <si>
    <t>heat%20wave</t>
  </si>
  <si>
    <t xml:space="preserve">Fort Worth,  Texas </t>
  </si>
  <si>
    <t>RT @startelegram: Homeless vulnerable during North Texas heat wave http://t.co/k9aIrFQ3QL http://t.co/JdBTlyMEhY</t>
  </si>
  <si>
    <t>Heat Advisory is In Effect From 1 PM Through 7 PM Thursday. A Building Heat Wave and Increasing Humidity... #lawx http://t.co/u0SYkowVWV</t>
  </si>
  <si>
    <t>Apocalpytic Iran Heat Wave Nearly Breaks World Record http://t.co/Y8WLOcTeVC</t>
  </si>
  <si>
    <t>Japan Heat Wave Intensifies _x0089_ÛÒ Death Toll Surges To 55  http://t.co/irpSSresRq</t>
  </si>
  <si>
    <t>@WaseemBadami Condemning of Deaths More than 1000 due to Heat Wave in Karachi. 
May Allah gv Patience to their Heirs. http://t.co/iTG84q7vIi</t>
  </si>
  <si>
    <t>London, Riyadh</t>
  </si>
  <si>
    <t>Something Frightening is Happening to the Weather in the Middle East http://t.co/bDOTQ8dSlN</t>
  </si>
  <si>
    <t>@creationsbykole cork city in Ireland...we got to 17 degrees today...that is a heat wave for us haha</t>
  </si>
  <si>
    <t>Crayford, London</t>
  </si>
  <si>
    <t>@hollywarnexx mini heat wave apaz</t>
  </si>
  <si>
    <t>Arnhem, the Netherlands</t>
  </si>
  <si>
    <t>Arnhem Weather - &amp;lt;p&amp;gt;An unrelenting and dangerous heat wave will expand across the South Central United States_x0089_Û_ http://t.co/yhAqa5WXoK</t>
  </si>
  <si>
    <t>Pacific Northwest</t>
  </si>
  <si>
    <t>UAE cool to Mideast heat-wave; rain watch latest [video]
NCMS issues warning of thundering rain poor visibility.... http://t.co/Tk65sKe0zm</t>
  </si>
  <si>
    <t>Somewhere in Spain</t>
  </si>
  <si>
    <t>@KlaraJoelsson Well I have seen it now! That's a bummer. We've had this heat wave tho... 43'c!! I'd prefer the rain... :P</t>
  </si>
  <si>
    <t>It's a heat wave. #Squad #RevItUp #PizzaRev http://t.co/bp8bm8xSXw</t>
  </si>
  <si>
    <t>Jackson, MS</t>
  </si>
  <si>
    <t>#Jackson #ms Longest Streak of Triple-Digit Heat Since 2013 Forecast in Dallas http://t.co/Ih0Awv3L1O</t>
  </si>
  <si>
    <t>State College, PA</t>
  </si>
  <si>
    <t>Must Read Forecast! Longest Streak of Triple-Digit Heat Since 2013 What happens next? http://t.co/xXOuPfy8nQ http://t.co/A3BJabHQhe</t>
  </si>
  <si>
    <t>Frisco, TX</t>
  </si>
  <si>
    <t>@wfaaweather Pete when will the heat wave pass? Is it really going to be mid month? Frisco Boy Scouts have a canoe trip in Okla.</t>
  </si>
  <si>
    <t>NOT.. Ready for this heat wave .. I don't want the sun to come back out.. I'm enjoying this break of cooler temps..</t>
  </si>
  <si>
    <t>Malaysia/Jordan</t>
  </si>
  <si>
    <t>It's kinda cool tonight. Is the heat wave finally over?? ???? 7amdollela 3la kulli 7aal</t>
  </si>
  <si>
    <t>Heat wave is ending! Watching a big area of rain though...will impact part of the area. Details NOW on NBC10 at 5pm</t>
  </si>
  <si>
    <t>Somewhere out there</t>
  </si>
  <si>
    <t>@rachelcaine The weatherit needs to make it minds up. First snow tornadoes now would you say a heat wave?</t>
  </si>
  <si>
    <t>Heat wave in WB heavy losses and no compensations (report) -  http://t.co/wMDihdiz1r (via PalinfoEn)   #Palestine</t>
  </si>
  <si>
    <t>International Action</t>
  </si>
  <si>
    <t>Heat wave adding to the misery of internally-displaced Gazans http://t.co/jW3hN9ewFT via @PressTV http://t.co/NYWrkRQ7Kn</t>
  </si>
  <si>
    <t>Longest Streak of Triple-Digit Heat Since 2013 Forecast in Dallas: An unrelenting and dangerous heat wave will... http://t.co/s4Srgrmqcz</t>
  </si>
  <si>
    <t>Planet of da Bathing Apes</t>
  </si>
  <si>
    <t>Heat wave gotta be over 9000 today</t>
  </si>
  <si>
    <t>Longest Streak of Triple-Digit Heat Since 2013 Forecast in Dallas http://t.co/xc96rWUSZb http://t.co/XM9stfzcpV</t>
  </si>
  <si>
    <t>Nebraska, Colorado &amp; The GLOBE</t>
  </si>
  <si>
    <t>weather warfare Follow the Money This Government Is What Our Founding Fathers Were Warning Us About The Weather... http://t.co/TgtCRU8jiO</t>
  </si>
  <si>
    <t>hellfire</t>
  </si>
  <si>
    <t>The Prophet (peace be upon him) said 'Save yourself from Hellfire even if it is by giving half a date in charity.'</t>
  </si>
  <si>
    <t>Hellfire is surrounded by desires so be careful and don_x0089_Ûªt let your desires control you! #Afterlife</t>
  </si>
  <si>
    <t>@gg_keeponrockin @StrawberrySoryu Oh okay I just got the message twice and got suspicious. Sorry.  I'll check it out!</t>
  </si>
  <si>
    <t>?????? ???? ??????</t>
  </si>
  <si>
    <t>#Allah describes piling up #wealth thinking it would last #forever as the description of the people of #Hellfire in Surah Humaza. #Reflect</t>
  </si>
  <si>
    <t>Silvermoon or Ironforge</t>
  </si>
  <si>
    <t>Fel Lord Zakuun is about to DIE ! #Hellfire #WOD http://t.co/x1oNV3d5uX</t>
  </si>
  <si>
    <t>Riyadh ')</t>
  </si>
  <si>
    <t>Hellfire! We don_x0089_Ûªt even want to think about it or mention it so let_x0089_Ûªs not do anything that leads to it #islam!</t>
  </si>
  <si>
    <t>hijack</t>
  </si>
  <si>
    <t>Houston TX</t>
  </si>
  <si>
    <t>Tension In Bayelsa As Patience Jonathan Plans To Hijack APC PDP - http://t.co/ComLG0VdbV</t>
  </si>
  <si>
    <t>Bayelsa poll: Tension in Bayelsa as Patience Jonathan plans to hijack APC PDP: Plans by former First Lady and... http://t.co/86RSYy2tng</t>
  </si>
  <si>
    <t>@dreamoforgonon @TeeEss not to hijack but as a bona fide cislady I can confirm this as true; incidental homosexuality =/= gay/bi for women.</t>
  </si>
  <si>
    <t>I've just posted on my Blog about: Criminals Who Hijack Lorries And Buses Arrested In Enugu (PHOTO) http://t.co/5ytIeX55lh</t>
  </si>
  <si>
    <t>Criminals Who Hijack Lorries And Buses Arrested In Enugu (PHOTO) @DONJAZZY @PoliceNG #HumanRights  https://t.co/XyFl8wy62g</t>
  </si>
  <si>
    <t>Criminals Who Hijack Lorries And Buses Arrested In Enugu (PHOTO) http://t.co/LRTU8Rwn2f</t>
  </si>
  <si>
    <t>Tension In Bayelsa As Patience Jonathan Plans To Hijack APC PDP http://t.co/epABiNcZmJ http://t.co/1SgzGtgfw9</t>
  </si>
  <si>
    <t>Plans by former First Lady and wife of ex-President Goodluck Jonathan Dame Patience Jonathan to hijack the All... http://t.co/HaShGQAFic</t>
  </si>
  <si>
    <t>Lagos Nigeria</t>
  </si>
  <si>
    <t>Patience Jonathan On The Move To Hijack APC In Bayelsa State http://t.co/rJac5sItEp http://t.co/Plqf1bikS4</t>
  </si>
  <si>
    <t>Criminals Who Hijack Lorries And Buses Arrested In Enugu: According to the Nigerian Police Force... http://t.co/FfKcj8pfj2 Via @Music212</t>
  </si>
  <si>
    <t>{:en}Tension In Bayelsa As Patience Jonathan Plans To Hijack APCåÊPDP{:} http://t.co/W1ufeibALa http://t.co/bIULQpRxke</t>
  </si>
  <si>
    <t>Swansea _x0089_Û÷plot hijack transfer move for Southampton target Virgil van Dijk_x0089_Ûª http://t.co/PVmr38LnvA</t>
  </si>
  <si>
    <t>#LatestNews: Tension In Bayelsa As Patience Jonathan Plans To Hijack APC PDP</t>
  </si>
  <si>
    <t>Tension In Bayelsa As Patience Jonathan Plans To Hijack APC PDP http://t.co/qxXN6RKsp6 http://t.co/B3X1wqzAoR</t>
  </si>
  <si>
    <t>Miami, Florida</t>
  </si>
  <si>
    <t>Tension In Bayelsa As Patience Jonathan Plans To Hijack APC PDP - http://t.co/NIpZmfLiBD</t>
  </si>
  <si>
    <t>hijacker</t>
  </si>
  <si>
    <t>Governor Allows Parole for School Bus Hijacker http://t.co/JwfiiLJ8Wr liveleakfun ? http://t.co/IONWArVRFy</t>
  </si>
  <si>
    <t>Governor allows parole for California school bus hijacker who kidnapped 26 children in 1976. http://t.co/hdAhLgrprl http://t.co/Z1s3T77P3L</t>
  </si>
  <si>
    <t>Louisville, KY</t>
  </si>
  <si>
    <t>Remove the http://t.co/VbqmZ5aPwj and Linkury Browser Hijacker http://t.co/C2EyjNyBfN http://t.co/gt7gf0fSeX</t>
  </si>
  <si>
    <t>The Hijacker-Turned-SAT-Tutor Who Evaded Authorities for Three Decades http://t.co/cSXvwXUZ6t via @slate</t>
  </si>
  <si>
    <t>Governor Allows Parole for School Bus Hijacker http://t.co/DzlPNP399x</t>
  </si>
  <si>
    <t>Washington state</t>
  </si>
  <si>
    <t>Governor Allows Parole for School Bus Hijacker http://t.co/liKWQhSHHX via @nbcnews I remember this crime sent chills through parents</t>
  </si>
  <si>
    <t>School Bus Hijacker Given Parole After 39 Years http://t.co/HmRt98OydJ</t>
  </si>
  <si>
    <t>Fort Collins, CO</t>
  </si>
  <si>
    <t>Remove the http://t.co/JAb541hHk0 and Linkury Browser Hijacker http://t.co/Je6Zjwh5uB http://t.co/fDxgmiwAEh</t>
  </si>
  <si>
    <t>Governor Allows Parole for School Bus Hijacker http://t.co/u4bdy1W7d4</t>
  </si>
  <si>
    <t>Medieval airplane hijacker testa: earnings the distinction divers: HtaRvrGLY</t>
  </si>
  <si>
    <t>California School Bus Hijacker Parole Stands http://t.co/kPIVXGjNqt #sacramento</t>
  </si>
  <si>
    <t>Governor allows parole for California school bus hijacker: Local... http://t.co/tAM6aoskoJ http://t.co/eL24mnFcHw</t>
  </si>
  <si>
    <t>Free State, South Africa</t>
  </si>
  <si>
    <t>_x0089_Û÷Hijacker cops_x0089_Ûª back in the dock - http://t.co/9I5cczD5S0 http://t.co/WEaTrRihE1</t>
  </si>
  <si>
    <t>Governor Allows Parole for School Bus Hijacker http://t.co/N71hMveRvv</t>
  </si>
  <si>
    <t>Governor weighs parole for California school bus hijacker http://t.co/yFPpIFDkQO http://t.co/aJYUlMFTIF</t>
  </si>
  <si>
    <t>Fresno, California</t>
  </si>
  <si>
    <t>Governor allows parole for California school bus hijacker http://t.co/FZ8YtWQkwV #fresno</t>
  </si>
  <si>
    <t>worldwide</t>
  </si>
  <si>
    <t>RT NotExplained: The only known image of infamous hijacker D.B. Cooper. http://t.co/JlzK2HdeTG</t>
  </si>
  <si>
    <t>Medieval airplane hijacker hard shell: casting the star deviating: dYxTmrYDu</t>
  </si>
  <si>
    <t>Governor allows parole for California school bus hijacker - Santa Cruz Sentinel http://t.co/TaXUxp9QA2</t>
  </si>
  <si>
    <t>hijacking</t>
  </si>
  <si>
    <t>The Murderous Story Of America_x0089_Ûªs First Hijacking http://t.co/cbPs1gskvO</t>
  </si>
  <si>
    <t>Mongolia</t>
  </si>
  <si>
    <t>#hot  Funtenna: hijacking computers to send data as sound waves [Black Hat 2015] http://t.co/J2aQs5loxu #prebreak #best</t>
  </si>
  <si>
    <t>The Murderous Story Of America_x0089_Ûªs First Hijacking: Earnest Pletch_x0089_Ûªs cold-blooded killing of_x0089_Û_ http://t.co/B9JAxx0vCf</t>
  </si>
  <si>
    <t>Athens,Greece</t>
  </si>
  <si>
    <t>The Murderous Story Of America_x0089_Ûªs First Hijacking http://t.co/EYUGk6byxr</t>
  </si>
  <si>
    <t>_x0089_Û÷Good Samaritans_x0089_Ûª shot in horror hijacking  JOHANNESBURG. &amp;amp;mdash; Four men were shot dead in Bronville Free State_x0089_Û_ http://t.co/6jjvCDN4TI</t>
  </si>
  <si>
    <t>#hot  Funtenna: hijacking computers to send data as sound waves [Black Hat 2015] http://t.co/qj3PVgaVN7 #prebreak #best</t>
  </si>
  <si>
    <t>@USAgov Koreans are performing hijacking of the Tokyo Olympic Games.https://t.co/APkSnpLXZj</t>
  </si>
  <si>
    <t>Vehicle Hijacking in  Vosloorus Gauteng on 2015-08-05 at 23:00 White Toyota Conquest  BKB066GP http://t.co/odmP01eyZU</t>
  </si>
  <si>
    <t>@Drsarwatzaib070 come on. IK will face MCourt for attacking parliment and hijacking TV station.</t>
  </si>
  <si>
    <t>#hot  Funtenna: hijacking computers to send data as sound waves [Black Hat 2015] http://t.co/cOMuiOk3mP #prebreak #best</t>
  </si>
  <si>
    <t>Japan</t>
  </si>
  <si>
    <t>#hot  Funtenna: hijacking computers to send data as sound waves [Black Hat 2015] http://t.co/xV3D9bPjHi #prebreak #best</t>
  </si>
  <si>
    <t>Malaysia</t>
  </si>
  <si>
    <t>The Murderous Story Of America_x0089_Ûªs First Hijacking http://t.co/jmAwRLt7HB</t>
  </si>
  <si>
    <t>Zimbabwe</t>
  </si>
  <si>
    <t>_x0089_Û÷Good Samaritans_x0089_Ûª shot in horror hijacking http://t.co/V5yUUALoqw #263Chat #Twimbos ZimpapersViews</t>
  </si>
  <si>
    <t>The Murderous Story Of America_x0089_Ûªs First Hijacking http://t.co/LK5uqKOP1e</t>
  </si>
  <si>
    <t>#hot  Funtenna: hijacking computers to send data as sound waves [Black Hat 2015] http://t.co/UMgD92wLjA #prebreak #best</t>
  </si>
  <si>
    <t>hostage</t>
  </si>
  <si>
    <t>Egyptian Militants Tied to ISIS Threaten to Kill Croatian Hostage (New York Times) http://t.co/GTXndnJRrl (1717 GMT)</t>
  </si>
  <si>
    <t xml:space="preserve">The Great State of Maine </t>
  </si>
  <si>
    <t>Islamic State group threatens to kill hostage if _x0089_Û÷Muslim women_x0089_Ûª aren_x0089_Ûªt let go - http://t.co/48Zg5ynebn...</t>
  </si>
  <si>
    <t>quoted here--&amp;gt;CNN: Purported ISIS video threatens Croatian hostage http://t.co/swVuZxi6gT</t>
  </si>
  <si>
    <t>Roaming around the world</t>
  </si>
  <si>
    <t>Islamic State group in Egypt threatens to kill Croat hostage http://t.co/NzIfztCUGL</t>
  </si>
  <si>
    <t>Related News: 'ISIS video' threatens hostage - Europe - CNN |  http://t.co/Wk6B5z803o</t>
  </si>
  <si>
    <t>Cape Neddick, ME</t>
  </si>
  <si>
    <t>@EvaHanderek @MarleyKnysh great times until the bus driver held us hostage in the mall parking lot lmfao</t>
  </si>
  <si>
    <t>The horrific story of being a hostage - The horrific story of being a hostage It's 1974 and on a British... http://t.co/XcQ48OuRvL</t>
  </si>
  <si>
    <t>Mariveles, Bataan</t>
  </si>
  <si>
    <t>Islamic State group in Egypt threatens to kill Croat hostage http://t.co/VdgfXYX3bw</t>
  </si>
  <si>
    <t>ÌÏT: 40.562796,-75.488849</t>
  </si>
  <si>
    <t>Murfreesboro peeps- I'm hearing Walmart on S Rutherford is on lockdown with a hostage is that true or a rumor?</t>
  </si>
  <si>
    <t>Islamic State group in Egypt threatens to kill Croat hostage http://t.co/eIoQJWgEiX</t>
  </si>
  <si>
    <t>New Chicago</t>
  </si>
  <si>
    <t>@mylittlepwnies3 @Early__May @AnathemaZhiv @TonySandos much of which has to do with lebanon 80s attack/ iran hostage crisis/ Libya Pan am</t>
  </si>
  <si>
    <t>I went to pick up my lunch today and the bartender was holding my change hostage because he wanted my number. ??</t>
  </si>
  <si>
    <t>San Francisco Bay Area</t>
  </si>
  <si>
    <t>@pmarca content is held hostage by network due to affiliation fees.</t>
  </si>
  <si>
    <t xml:space="preserve">Australia </t>
  </si>
  <si>
    <t>New ISIS Video: ISIS Threatens to Behead Croatian Hostage Within 48 Hours - TLVFaces - TLVFaces#auspol http://t.co/a6PPEgeLOX</t>
  </si>
  <si>
    <t>Sydney hostage crisis has now been recovered from the AirAsia wreckage.</t>
  </si>
  <si>
    <t>hostages</t>
  </si>
  <si>
    <t>THANJAVUR</t>
  </si>
  <si>
    <t>2 hostages in Libya remain unharmed: Government sources on Wednesday denied reports that two Indian nationals who_x0089_Û_ http://t.co/EX4FnJjL6H</t>
  </si>
  <si>
    <t>#hot  C-130 specially modified to land in a stadium and rescue hostages in Iran in 1980 http://t.co/wpGvAyfkBQ #prebreak #best</t>
  </si>
  <si>
    <t>Las Vegas, NV</t>
  </si>
  <si>
    <t>#hot  C-130 specially modified to land in a stadium and rescue hostages in Iran in 1980 http://t.co/6ioaBSl6I7 #prebreak #best</t>
  </si>
  <si>
    <t>@hannahkauthor Read: American lives first | The Chronicle #FreeAmirNow #FreeALLFour #Hostages held by #Iran #IranDeal http://t.co/gWnLHNeKu9</t>
  </si>
  <si>
    <t>Cumming, GA</t>
  </si>
  <si>
    <t>C-130 specially modified to land in a stadium and rescue hostages in Iran in 1980 http://t.co/jkD7CTi2iW http://t.co/LAjN2n5e2d</t>
  </si>
  <si>
    <t>westwestwestwestwestwestwest</t>
  </si>
  <si>
    <t>Russia stood down cold war nuke ban or face ocean superiority 
Unconditional surrender next putin
Game set match
Release the hostages</t>
  </si>
  <si>
    <t>Sinjar Massacre Yazidis Blast Lack of Action OveråÊHostages http://t.co/Carvv6gsRb http://t.co/lAn76ZqKxG</t>
  </si>
  <si>
    <t>#hot  C-130 specially modified to land in a stadium and rescue hostages in Iran in 1980 http://t.co/zLco4UE5OQ #prebreak #best</t>
  </si>
  <si>
    <t>#hot  C-130 specially modified to land in a stadium and rescue hostages in Iran in 1980 http://t.co/W0EXzAD5Gc #prebreak #best</t>
  </si>
  <si>
    <t>Heathrow</t>
  </si>
  <si>
    <t>C-130 specially modified to land in a stadium and rescue hostages in Iran in 1980... http://t.co/tNI92fea3u http://t.co/czBaMzq3gL</t>
  </si>
  <si>
    <t>No #news of #hostages in #Libya
http://t.co/eXil1bKzmP
#India #terrorism #Africa #AP #TS #NRI #News #TRS #TDP #BJP http://t.co/ehomn68oJB</t>
  </si>
  <si>
    <t>Sinjar Massacre Yazidis Blast Lack of Action Over Hostages http://t.co/q4Q8XsYZOB</t>
  </si>
  <si>
    <t>Tampa, Fl</t>
  </si>
  <si>
    <t>C-130 specially modified to land in a stadium and rescue hostages in Iran in 1980:    submitt... http://t.co/nbugSMqLRG #aviationaddicts</t>
  </si>
  <si>
    <t>TonyJ@Centralizedhockey.com</t>
  </si>
  <si>
    <t>Holmgren: We referred to those 35 days as 'the hostage situation.' We were Lou's 'hostages.'</t>
  </si>
  <si>
    <t>Cleveland, OH</t>
  </si>
  <si>
    <t>Barak will Tell the American People that the lives of the Hostages in Iran depends on Congress Voting to give Terrorist a Nuke for hostages.</t>
  </si>
  <si>
    <t>Pune, Maharashtra</t>
  </si>
  <si>
    <t>@minhazmerchant Great job done by village hostages</t>
  </si>
  <si>
    <t>cuba</t>
  </si>
  <si>
    <t>#hot  C-130 specially modified to land in a stadium and rescue hostages in Iran in 1980 http://t.co/fQWTSxLkrZ #prebreak #best</t>
  </si>
  <si>
    <t>Rocky Mountains</t>
  </si>
  <si>
    <t>#Sinjar Massacre #Yazidis Blast Lack of Action Over Hostages http://t.co/JhOaHpbpQ4 Portland #Phoenix #Newyork #Miami #Atlanta #Casper #Iraq</t>
  </si>
  <si>
    <t>No #news of #hostages in #Libya
http://t.co/bjjOIfzUhL
#India #terrorism #Africa #AP #TS #NRI #News #TRS #TDP #BJP http://t.co/IywZAlLsN4</t>
  </si>
  <si>
    <t>Brazos Valley, Texas</t>
  </si>
  <si>
    <t>Cruz: Iran deal _x0089_Û÷leaves 4 American hostages languishing in Iran_x0089_Ûª  http://t.co/EXsQIJF4nY - #NoIranDeal  #TedCruz2016 http://t.co/y7sIPKB1kd</t>
  </si>
  <si>
    <t>Nigerian Military Rescue 178 Hostages From Boko Haram - Florida Sentinel Bulletin: Florid... http://t.co/KcTiGYMahl #security #terrorism</t>
  </si>
  <si>
    <t>No #news of #hostages in #Libya
http://t.co/k9FBtcCU58
#India #terrorism #Africa #AP #TS #NRI #News #TRS #TDP #BJP http://t.co/XYj0rPsAI2</t>
  </si>
  <si>
    <t>One Year on from the Sinjar Massacre #Yazidis Blast Lack of Action Over Hostages
http://t.co/BAqOcMcJqc</t>
  </si>
  <si>
    <t>EastCarolina</t>
  </si>
  <si>
    <t>#hot  C-130 specially modified to land in a stadium and rescue hostages in Iran in 1980 http://t.co/FLqxd3q5pY #prebreak #best</t>
  </si>
  <si>
    <t>china</t>
  </si>
  <si>
    <t>#hot  C-130 specially modified to land in a stadium and rescue hostages in Iran in 1980 http://t.co/OnvD9D4NKg #prebreak #best</t>
  </si>
  <si>
    <t>The Universe</t>
  </si>
  <si>
    <t>Cont'd- #Sinjar: referring to a 40-pg document the group put together on the movt of #Yazidi hostages in the days following #IS massacre [2]</t>
  </si>
  <si>
    <t>@Nervana_1 
As per previous behaviour JAN/AQ would deal with the kidnapped hostages not particularly pleasantly if Div 30 fought JAN/AQ.</t>
  </si>
  <si>
    <t>hurricane</t>
  </si>
  <si>
    <t>#BlackLivesMatter</t>
  </si>
  <si>
    <t>@zaynmaIikist listen to hurricane</t>
  </si>
  <si>
    <t>#1 Vacation Destination,HAWAII</t>
  </si>
  <si>
    <t>HURRICANE GUILLERMO LIVE NOAA TRACKING / LOOPING WED.AUG.5TH ~ http://t.co/RjopJKbydR ~  http://t.co/NUFDgw9YEv http://t.co/2oKSCwYoHC</t>
  </si>
  <si>
    <t>Haiku, Maui, Hawaii</t>
  </si>
  <si>
    <t>HURRICANE GUILLERMO LIVE NOAA TRACKING / LOOPING WED.AUG.5TH ~ http://t.co/ut7R2ixRjQ ~  http://t.co/v3z96YDMvD http://t.co/kxSLfTZ2I5</t>
  </si>
  <si>
    <t xml:space="preserve">NAWF SIDE POKING OUT </t>
  </si>
  <si>
    <t>@Hurricane_Dame ???????? I don't have them they out here</t>
  </si>
  <si>
    <t>Berlin - Germany</t>
  </si>
  <si>
    <t>@lavapixcom Did you see #hurricane #guillermo with #MeteoEarth? http://t.co/mfckpVzfV8</t>
  </si>
  <si>
    <t>Vineyard</t>
  </si>
  <si>
    <t>@ChubbySquirrel_ @Hurricane_Surge this here is very true &amp;gt;:33333</t>
  </si>
  <si>
    <t>@potteratthedisc</t>
  </si>
  <si>
    <t>Hurricane 30STM quem lembra</t>
  </si>
  <si>
    <t>Anderson, SC</t>
  </si>
  <si>
    <t>hurricane?? sick!</t>
  </si>
  <si>
    <t>Cape Coral city leaders take part in mock hurricane training http://t.co/gtYCQyFuam http://t.co/qwd5PvGjbO</t>
  </si>
  <si>
    <t>??? ??? ????? ??? ???.</t>
  </si>
  <si>
    <t>Be careful during hurricane season ???? https://t.co/bFtOU2nybW</t>
  </si>
  <si>
    <t>My back is so sunburned :(</t>
  </si>
  <si>
    <t>@VinusTrip Did you see #hurricane #guillermo with #MeteoEarth? http://t.co/mfckpVzfV8</t>
  </si>
  <si>
    <t>Grace: here are damage levels USA style.. #Taiwan #China #world hurricane/typhoon ratings/categories defined again http://t.co/OdYdT9QPk1</t>
  </si>
  <si>
    <t>AngelRiveraLib_x0089_Û_ #Snowden 'may have' broken laws? Hurricane Katrina may have caused some damage. http://t.co/jAaWuiOvdc Without Snowden h_x0089_Û_</t>
  </si>
  <si>
    <t>HWRF absolutely lashes Taipei with Hurricane force winds High Storm Surge and 20' of rain. Not good news at all!!! http://t.co/CNkvILe7bE</t>
  </si>
  <si>
    <t>@pattonoswalt @FoxNews Wait I thought Fecal Hurricane was on SciFi? Maybe that was turdnado. I've been forgeting up a shit storm lately.</t>
  </si>
  <si>
    <t>The Globe</t>
  </si>
  <si>
    <t>HURRICANE GUILLERMO LIVE NOAA TRACKING / LOOPING WED.AUG.5TH ~ http://t.co/AuruGJEGIQ ~  http://t.co/L3w8miPvnT http://t.co/O85M1bJFRW</t>
  </si>
  <si>
    <t>#kick #hurricane Seriously #simple websites: http://t.co/x8W7tF6FHg Looking For A Seriously Simple Program To http://t.co/9NZ9zFM93i</t>
  </si>
  <si>
    <t>@Hurricane_Dolce no prob</t>
  </si>
  <si>
    <t>Ashley and I on going to hurricane harbor Friday. ?? http://t.co/ScEfPFvAEU</t>
  </si>
  <si>
    <t>injured</t>
  </si>
  <si>
    <t>Srinagar,Kashmir</t>
  </si>
  <si>
    <t>Militants attack police post in Udhampur; 2 SPOs injured
Suspected militants Thursday  attacked a police post in... http://t.co/1o0j9FCPBi</t>
  </si>
  <si>
    <t>DFW, Texas</t>
  </si>
  <si>
    <t>UPDATE:M.E. confirms 2 women pulled from burning house died last Friday. 91 yr old Edna Jefferson&amp;amp;Doris Sherfield72. http://t.co/L6nSLzl7mI</t>
  </si>
  <si>
    <t>Piedmont Triad, NC</t>
  </si>
  <si>
    <t>Unlicensed teen driver among 2 killed in NC crash http://t.co/Woc6AkEHYX</t>
  </si>
  <si>
    <t>Experienced urogyn trying to help mesh injured women talks the worst offenders. http://t.co/NpOQLkqUP9 @meshnewsdesk</t>
  </si>
  <si>
    <t>Yelp Bolsters Health Care Reviews With Investigative Journalism: Sick and injured patients at a local ER are t... http://t.co/E8aEGOFDY2</t>
  </si>
  <si>
    <t>Kolkata</t>
  </si>
  <si>
    <t>Terrorists attack police post; 2 SPOs injured http://t.co/lXMdiseUCn #YUG</t>
  </si>
  <si>
    <t>Check this @SuryaRay Udhampur terror attack: Militants attack police post 2 SPOs injured:_x0089_Û_ http://t.co/ptq3zMgncK #SuryaRay #India</t>
  </si>
  <si>
    <t>Top Stories - Google 4 dead dozens injured in Gaza blast near house leveled in summer war_x0089_Û_ http://t.co/P3o71DZ992</t>
  </si>
  <si>
    <t>Ikorodu</t>
  </si>
  <si>
    <t>Photos: 17 people killed and over 25 injured in deadly Saudi Mosque suicide attack http://t.co/geEKnwJJSz</t>
  </si>
  <si>
    <t>Lucknow, India</t>
  </si>
  <si>
    <t>http://t.co/qr3YPEkfOe 
Seems they declared war against government..</t>
  </si>
  <si>
    <t>london</t>
  </si>
  <si>
    <t>Udhampur terror attack: Militants attack police post 2 SPOs injured http://t.co/zMWeCBWVaO</t>
  </si>
  <si>
    <t>I can't believe Blevins got injured falling off a curb. That's something that would happen to me never it expected for a pro player</t>
  </si>
  <si>
    <t>Udhampur terror attack: Militants attack police post 2 SPOs injured: Suspected militants tonight attacked a p... http://t.co/FPhFESemyJ</t>
  </si>
  <si>
    <t>Offers : http://t.co/Gl3C1vc88P #8392 Deluxe Toilet Safety Support/Health/Home/Bathroom/Support/Elderly/Injured/S_x0089_Û_ http://t.co/vihdoKScCC</t>
  </si>
  <si>
    <t>Washington Post - 4 dead dozens injured in Gaza blast near house leveled in summer war http://t.co/VjXa13n8Ap</t>
  </si>
  <si>
    <t>Ogun smugglers engage Customs in shootoutåÊ: Several persons were allegedly injured on Wednesday when men o... http://t.co/pUXBC2LoYK #RT</t>
  </si>
  <si>
    <t>Bronx NY</t>
  </si>
  <si>
    <t>@ChristieC733 please support this Please cosponsor S. 928 and support aid for sick and injured 9/11 responders! #renew911health</t>
  </si>
  <si>
    <t>World Wide Web</t>
  </si>
  <si>
    <t>4 dead dozens injured in Gaza blast near house leveled in summer war - Washington Post  http://t.co/AXXDCaKzTY #World</t>
  </si>
  <si>
    <t xml:space="preserve">Centurion </t>
  </si>
  <si>
    <t>4 dead dozens injured in Gaza blast near house leveled in summer war - http://t.co/L53OABEqc9 via http://t.co/q3Izqdk1n0</t>
  </si>
  <si>
    <t>@TheHammers_ @tonycottee1986 alsowhat if some of the 1st team players got injured?Then Bilic would get slated for playing themhe can't win</t>
  </si>
  <si>
    <t>Udhampur terror attack: Militants attack police post 2 SPOs injured: Suspected militants tonight attacked a p... http://t.co/cEKbxJmPBj</t>
  </si>
  <si>
    <t>#BreakingNews Militants attack Udhampur police post; 2 SPOs injured http://t.co/EqCCrTlnbd</t>
  </si>
  <si>
    <t>@WeAreTheNews please support this Please cosponsor S. 928 and support aid for sick and injured 9/11 responders! #renew911health</t>
  </si>
  <si>
    <t>Udhampur terror attack: Militants attack police post 2 SPOs injured: Suspected militants tonight attacked a p... http://t.co/Cwm0ULqu3E</t>
  </si>
  <si>
    <t>injuries</t>
  </si>
  <si>
    <t>My baby girls car wreak this afternoon thank God no serious injuries and she was wearing her seatbelt!!!... http://t.co/NJQV45ndS2</t>
  </si>
  <si>
    <t>Tonight we have attended a fire in Romford with @LondonFire thankfully no injuries http://t.co/iyjeJop2WI</t>
  </si>
  <si>
    <t>Peel police say male cyclist struck near Southdown Road and Royal Windsor Drive in Mississauga. Serious but non life-threatening injuries.</t>
  </si>
  <si>
    <t>Rockland County, NY</t>
  </si>
  <si>
    <t>West Nyack Pineview Road railroad crossing off Western Highway. Units on scene of a CSX Train vs. truck no injuries.</t>
  </si>
  <si>
    <t>Atlantic Highlands, NJ</t>
  </si>
  <si>
    <t>Accident with injuries on #NJ36 SB at CR 516/Leonardville Rd http://t.co/2xwIHy2wsg</t>
  </si>
  <si>
    <t>Carterville</t>
  </si>
  <si>
    <t>Carterville High School coaches prepare for game-day injuries http://t.co/kKiMMBUe04</t>
  </si>
  <si>
    <t>Georgia, U.S.A.</t>
  </si>
  <si>
    <t>@msnbc What a fucking idiot. He had a gun &amp;amp; a hatchet yet there were still no serious injuries. Glad police terminated him.</t>
  </si>
  <si>
    <t>Trauma injuries involving kids and sport usually cycling related: Director Trauma NS  http://t.co/8DdijZyNkf #NS http://t.co/52Uus4TFN3</t>
  </si>
  <si>
    <t>Enjoying a little golf this summer? Take care to avoid injury -- back and shoulder injuries can happen quickly http://t.co/f1R5ISBVks</t>
  </si>
  <si>
    <t>injury</t>
  </si>
  <si>
    <t>CLEARED:incident with injury:I-495  inner loop Exit 31 - MD 97/Georgia Ave Silver Spring</t>
  </si>
  <si>
    <t>Somewhere in China.</t>
  </si>
  <si>
    <t>Jack Wilshere has poor injury recordand his off field behaviors doesn't help.#Arsenal</t>
  </si>
  <si>
    <t>Los Angeles, California</t>
  </si>
  <si>
    <t>California Law_x0089_ÛÓNegligence and Fireworks Explosion Incidents http://t.co/d5w2zynP7b</t>
  </si>
  <si>
    <t>Saint Paul</t>
  </si>
  <si>
    <t>My prediction for the Vikings game this Sunday....dont expect a whole lot. Infact I think Zimmer goal is....injury free 1st game</t>
  </si>
  <si>
    <t>Dante Exum's knee injury could stem Jazz's hoped-for surge back to ... http://t.co/8PIFutrB5U</t>
  </si>
  <si>
    <t>@AdamRubinESPN Familia: arm injury or head case?</t>
  </si>
  <si>
    <t>@Sport_EN Just being linked to Arsenal causes injury.</t>
  </si>
  <si>
    <t>incident with injury:I-495  inner loop Exit 31 - MD 97/Georgia Ave Silver Spring</t>
  </si>
  <si>
    <t>inundated</t>
  </si>
  <si>
    <t>Boston, Massachusetts</t>
  </si>
  <si>
    <t>Body shops inundated with cars dented by hail... Good news insurance pays... Bad news :  you are stuck with deductible !
#wcvb</t>
  </si>
  <si>
    <t>Asia</t>
  </si>
  <si>
    <t>As a result of heavy rains in #Bangladeshaffected lands are inundated by flood waters-land looks like rivers at high tide #BangladeshFlood</t>
  </si>
  <si>
    <t>Myanmar's president urged people to leave a low-lying southern delta region on Thursday with rain water that has inundated much of the coun_x0089_Û_</t>
  </si>
  <si>
    <t>San Jose, CA, USA</t>
  </si>
  <si>
    <t>This is set to become a huge one month wonder. (And then Pornhub will be inundated....) http://t.co/gghfx8PzMh</t>
  </si>
  <si>
    <t>Pontefract UK</t>
  </si>
  <si>
    <t>@LEDofficial1 As you can imagine we're inundated with requests each week for samples &amp;amp; as much as we'd love to be able to send sweets 1/2</t>
  </si>
  <si>
    <t>Paducah, KY</t>
  </si>
  <si>
    <t>@Bilsko and suddenly I'm inundated with research. @humofthecity</t>
  </si>
  <si>
    <t>inundation</t>
  </si>
  <si>
    <t>Athens, Greece</t>
  </si>
  <si>
    <t>Potential Storm Surge Flooding Map by National Hurricane Center http://t.co/JZWRWlVlSj 
http://t.co/oT3bjjhH8s</t>
  </si>
  <si>
    <t>Punjab government flood relief platform: http://t.co/vULrClw7Bd realtime information on inundation damages rescue efforts &amp;amp; travel alerts</t>
  </si>
  <si>
    <t>landslide</t>
  </si>
  <si>
    <t>@kemal_atlay caught in a landslide</t>
  </si>
  <si>
    <t>.Sink Holes Earth Slides And Avalanches&amp;gt;&amp;gt;https://t.co/XrRLnheLaP
#Allah #Islam #sinkhole #landslide #avalanche #USA #France #UK #usgs #emsc</t>
  </si>
  <si>
    <t>@MartinMJ22 @YouGov When did a 12 seat majority with 36% of the vote become a landslide?</t>
  </si>
  <si>
    <t>Dundee, UK</t>
  </si>
  <si>
    <t>Army veteran fears loose rocks from Dundee landslide could kill him at any moment: He has faced a hail of bullets_x0089_Û_ http://t.co/sxmLg3XdvX</t>
  </si>
  <si>
    <t>Inbounds/ Out of Bounds:
While many picked the Nats to win the NL East in a landslide they currently sit 2... http://t.co/l0dEoCxU6o</t>
  </si>
  <si>
    <t>11:30BST traffic: A10&amp;gt;Paris A40 Geneva A7 Mons A1 Hamburg A2&amp;gt;Hanover A5 Karlsruhe Gotthard n/b  http://t.co/yoi9tOCxiQ</t>
  </si>
  <si>
    <t>Latest: Landslide kills three near Venice after heavy rain http://t.co/BcCcA4VY9R</t>
  </si>
  <si>
    <t>FreeBesieged: .MartinMJ22 YouGov Which '#Tory landslide' ... you can't POSSIBLY mean the wafer-thin majority of #G_x0089_Û_ http://t.co/2q3fuEReY5</t>
  </si>
  <si>
    <t>Dundee</t>
  </si>
  <si>
    <t>DUNDEE NEWS: Army veteran fears loose rocks from Dundee landslide could kill him at any moment http://t.co/y7Rv0tiL1w</t>
  </si>
  <si>
    <t>Method in contemplation of incident an leading bridal landslide: wiWNpFXA http://t.co/xysNXUM29T</t>
  </si>
  <si>
    <t>being stuck on a sleeper train for 24 hours after de-railing due to a landslide was most definitely the pit of the trip</t>
  </si>
  <si>
    <t>#Flashflood causes #landslide in Gilgit #Pakistan Damage to 20 homes farmland roads and bridges #365disasters  http://t.co/911F3IXRH0</t>
  </si>
  <si>
    <t>EGYPT</t>
  </si>
  <si>
    <t>Italy: Three dead after landslide in the Italian Alps: http://t.co/42MawZb8T9 via @YouTube</t>
  </si>
  <si>
    <t>Landslide kills three near Venice after heavyåÊrain http://t.co/q3Xq8R658r</t>
  </si>
  <si>
    <t>lava</t>
  </si>
  <si>
    <t>Imagine a room with walls that are lava lamps.</t>
  </si>
  <si>
    <t>probably watching survivor</t>
  </si>
  <si>
    <t>The sunset looked like an erupting volcano .... My initial thought was the Pixar short Lava http://t.co/g4sChqFEsT</t>
  </si>
  <si>
    <t>Clayton, NC</t>
  </si>
  <si>
    <t>Check out my Lava lamp dude ???? http://t.co/To9ViqooFv</t>
  </si>
  <si>
    <t>Bandar Lampung, Indonesia</t>
  </si>
  <si>
    <t>@YoungHeroesID Lava Blast dan Power Red #PantherAttack @CunayyH @TaufikCJ</t>
  </si>
  <si>
    <t>di langit 7 bidadari (^,^ )</t>
  </si>
  <si>
    <t>@YoungHeroesID LAVA BLAST dan POWER RED #PantherAttack @Mirmanda11 @evaaaSR</t>
  </si>
  <si>
    <t>lightning</t>
  </si>
  <si>
    <t>Thunder and lightning possible in the Pinpoint Foothill Forecast. http://t.co/CtIjdPXABk</t>
  </si>
  <si>
    <t>Georgia</t>
  </si>
  <si>
    <t>The Lightning out here is something serious!</t>
  </si>
  <si>
    <t>Norman, Oklahoma</t>
  </si>
  <si>
    <t>Couple storms near Guthrie OK. Leaving Norman for an evening lightning op. #okwx http://t.co/HcwrK81p71</t>
  </si>
  <si>
    <t>Rapid City, Black Hills, SD</t>
  </si>
  <si>
    <t>NWS says thunderstorms with deadly lightning will move across the Black Hills this evening. That assumes there's a safe type. Hmm?</t>
  </si>
  <si>
    <t>Memphis, in the Tennessees</t>
  </si>
  <si>
    <t>@random_tourist it rained. Some guys tree hit by lightning and some jackholes drove onto flooded streets.</t>
  </si>
  <si>
    <t>Greensboro, North Carolina</t>
  </si>
  <si>
    <t>Expect gusty winds heavy downpours and lightning moving northeast toward VA now. http://t.co/jyxafD4knK</t>
  </si>
  <si>
    <t>Science Daily: Lightning reshapes rocks at the atomic level - A lightning strike can reshape a mineral's crystal s... http://t.co/TEZLTqeyw2</t>
  </si>
  <si>
    <t>Don't blink ?? won't see the Lightning take the W ?? http://t.co/D4c2iqiRnU</t>
  </si>
  <si>
    <t>Heavy rain gusty winds and vivid lightning moving east through the Triad now. http://t.co/JMu5uyamdu</t>
  </si>
  <si>
    <t>Victoria, BC</t>
  </si>
  <si>
    <t>Lightning causes six new fires on VancouveråÊIsland http://t.co/VdILiiCyR5</t>
  </si>
  <si>
    <t>winston-salem north carolina</t>
  </si>
  <si>
    <t>Expect gusty winds heavy downpours and lightning moving northeast toward VA now. http://t.co/Z5cfrWado6</t>
  </si>
  <si>
    <t>Dry thunderstorms with lightning possible in the Pinpoint Valley Forecast. http://t.co/IdASYJybrO http://t.co/gdoAOLPq91</t>
  </si>
  <si>
    <t>Cell Phone Shop : http://t.co/iOq051t5te #629 8-Pin Lightning Connector 2.1A Car Charger For Apple 5 5S 5C 6 6+ i_x0089_Û_ http://t.co/klxAUcNP5I</t>
  </si>
  <si>
    <t>World War II book LIGHTNING JOE An Autobiography by General J. Lawton Collins http://t.co/R4khEH7iaf http://t.co/qSZgJfUutu</t>
  </si>
  <si>
    <t xml:space="preserve">Reddit </t>
  </si>
  <si>
    <t>Lightning strike in the distance via /r/pics http://t.co/iDmhSwewQw #pics</t>
  </si>
  <si>
    <t>Lightning strike in the distance via /r/pics http://t.co/iDmhSwewQw #pics http://t.co/wwxcOB52zI</t>
  </si>
  <si>
    <t>SoDak</t>
  </si>
  <si>
    <t>Check this out! Lightning reshapes rocks at the atomic level http://t.co/l1gH8064YV #scichat #science</t>
  </si>
  <si>
    <t>loud%20bang</t>
  </si>
  <si>
    <t>Why should you know?</t>
  </si>
  <si>
    <t>@Chibi877 --head. It hit the wall behind him with a loud bang. 'Language!' Drake shouted at him before getting up. 'I'm going out stay--</t>
  </si>
  <si>
    <t>tianta_: Breaking news! Unconfirmed! I just heard a loud bang nearby. in what appears to be a blast of wind from my neighbour's ass.</t>
  </si>
  <si>
    <t xml:space="preserve">Philadelphia, PA </t>
  </si>
  <si>
    <t>Nearly had a heart attack just now; loud bang against window next to me_x0089_Û_turns out it was two birds flying into the glass.</t>
  </si>
  <si>
    <t>Jrowah: Breaking news! Unconfirmed! I just heard a loud bang nearby. in what appears to be a blast of wind from my neighbour's ass.</t>
  </si>
  <si>
    <t>im definitely taller than you.</t>
  </si>
  <si>
    <t>I WAS PEACEFULLY SITTING IN MY ROOM AND I HEARD THIS LOUD BANG OF SOMETHING FALLING</t>
  </si>
  <si>
    <t>daviesmutia: Breaking news! Unconfirmed! I just heard a loud bang nearby. in what appears to be a blast of wind from my neighbour's ass.</t>
  </si>
  <si>
    <t>English Midlands</t>
  </si>
  <si>
    <t>St steel coffee cafetiere exploded this am with loud bang hot coffee &amp;amp; grounds shot over table clean crockery phone
tablet. How?</t>
  </si>
  <si>
    <t>mass%20murder</t>
  </si>
  <si>
    <t>Victoria, Australia, Earth</t>
  </si>
  <si>
    <t>@samanthaturne19 It was... Nagaski another act of mass murder sanctioned and forgiven cause the Allies won... Not by me.</t>
  </si>
  <si>
    <t>Antarctica</t>
  </si>
  <si>
    <t>@TANSTAAFL23 It's not an 'impulse' and it doesn't end in mass murder. Correlation does not imply causation.</t>
  </si>
  <si>
    <t xml:space="preserve">Magnolia, Fiore </t>
  </si>
  <si>
    <t>@ColdMpress You up to commiting mass murder tonight?</t>
  </si>
  <si>
    <t>New Sweden</t>
  </si>
  <si>
    <t>The media needs to stop publicizing mass murder. So many sick people do these things for the eyes of the world &amp;amp; the media is not helping.</t>
  </si>
  <si>
    <t>@samanthaturne19 IIt may logically have been the right call... maybe... But it's an act of mass murder and I can't sanction it.</t>
  </si>
  <si>
    <t>We have different moral systems. Mine rejects the mass murder of innocents yours explicitly endorses such behavior. https://t.co/qadRKEJZ9T</t>
  </si>
  <si>
    <t>cereal aisle #17:i4</t>
  </si>
  <si>
    <t>@DoctorDryadma mass murder here we come</t>
  </si>
  <si>
    <t>RT owenrbroadhurst RT JuanMThompson: At this hour 70 yrs ago one of the greatest acts of mass murder in world hist_x0089_Û_ http://t.co/ODWs0waW9Q</t>
  </si>
  <si>
    <t>i'm a Citizen of the World</t>
  </si>
  <si>
    <t>If abortion is murder then blowjobs are cannibalism and masturbation is mass genocide.</t>
  </si>
  <si>
    <t>Leicester, England</t>
  </si>
  <si>
    <t>@D1ff3r3nt1sG00d @RiceeChrispies What if he committed a mass murder?</t>
  </si>
  <si>
    <t>@tuicruises @aida_de Cruise Industry Supports Mass Murder of Whales in #Faroe Islands!! 'Everything the (cont) http://t.co/3a3FGZFmzh</t>
  </si>
  <si>
    <t>Hiroshima - one of history's worst examples of mass murder  http://t.co/TmogTi6FB4 #hiroshima #war #atombomb #japan</t>
  </si>
  <si>
    <t>@guardian Has Japan ever truly come to terms with devastation and mass murder of millions of Chinese and others with traditional weapons?</t>
  </si>
  <si>
    <t>Oh the usual. Mass murder and world domination plans over coffee. How's your day going?</t>
  </si>
  <si>
    <t>Anonymous</t>
  </si>
  <si>
    <t>http://t.co/c1H7JECFrV @RoyalCarribean do your passengers know about the mass murder that takes place in the #FaroeIslands every year?</t>
  </si>
  <si>
    <t>@noah_anyname The utopian impulse inevitably ends in gulags and mass murder.</t>
  </si>
  <si>
    <t xml:space="preserve"> Queensland, Australia</t>
  </si>
  <si>
    <t>Urgent! Save the Salt River #WildHorses! Mass murder by the very ppl supposed to protect them?  --&amp;gt; http://t.co/14wH0pJJ2C @CNN @CBC</t>
  </si>
  <si>
    <t>Realville</t>
  </si>
  <si>
    <t>@FLGovScott We allow Farrakhan to  to challenge 10000 males to rise up &amp;amp; commit mass murder as he just did in Miami? http://t.co/gV84WNhB7S</t>
  </si>
  <si>
    <t xml:space="preserve">by a piano probably. </t>
  </si>
  <si>
    <t>@yelllowheather controlled murder is fine. mass murder to a crowd of undeserving people isn't. case closed.</t>
  </si>
  <si>
    <t>Fiore, Lamia Scale</t>
  </si>
  <si>
    <t>@Re_ShrimpLevy I'm always up for mass murder</t>
  </si>
  <si>
    <t>@JakeGint the mass murder got her hot and bothered but at heart she was always a traditionalist.</t>
  </si>
  <si>
    <t>Chattanooga TN</t>
  </si>
  <si>
    <t>@MNPDNashville @MontalbanoNY sadly suicide by cop. Wed 2PM @ Dollar movie does not a mass murder make.</t>
  </si>
  <si>
    <t>@billy_hodge Aurora theater shooting trial: Gunman expected notoriety for mass murder and nothing else  http://t.co/1RPCHRu72C</t>
  </si>
  <si>
    <t>Birmingham, England</t>
  </si>
  <si>
    <t>#DebateQuestionsWeWantToHear Why does #Saudi arabia and #Israel get away with mass murder?
#Wahhabism #Zionism</t>
  </si>
  <si>
    <t>Huntsville, AL</t>
  </si>
  <si>
    <t>Okay not sure the word 'mass murder' applies during this war but it was horrendous none the less. https://t.co/Sb3rjQqzIX</t>
  </si>
  <si>
    <t>Another white guy trying to mass murder people for no apparent reason just because let me guess he's mentally ill blah blah blah #Antioch</t>
  </si>
  <si>
    <t>Auckland</t>
  </si>
  <si>
    <t>Hiroshima: 70 years since the worst mass murder in human history. Never forget. http://t.co/jLu2J5QS8U</t>
  </si>
  <si>
    <t>mass%20murderer</t>
  </si>
  <si>
    <t>Kach was a group to which belonged Baruch Goldstein a mass murderer who in 1994 shot and killed 29 Palestinian_x0089_Û_ http://t.co/bXGNQ57xvb</t>
  </si>
  <si>
    <t>@TrillAC_ I think we've only had like one black mass murderer in the history of mass murders white people do that shit.</t>
  </si>
  <si>
    <t>Mass murderer Che Guevara greeting a woman in North Korea http://t.co/GlJBNSFGLl'</t>
  </si>
  <si>
    <t>#gunsense answer to #GFZ's: break law on the minuscule chance a mass murderer shows up. https://t.co/qEoPMCJbCz</t>
  </si>
  <si>
    <t>#TheaterShooting DEFENDANT/MASS MURDERER CHOSE NOT 2 TESTIFY IN FINAL PHASE 3 so he won't therefore B subject 2 cross-exam or jury questions</t>
  </si>
  <si>
    <t>White people I know you worry tirelessly about black on black crime but what are you going to do about your mass murderer problem?</t>
  </si>
  <si>
    <t>You happen to conveniently 'forget' about how you Zionists revere and 'honour' mass murderer Baruch Goldstein.  https://t.co/3KOB7xBeA0</t>
  </si>
  <si>
    <t>Tennessee, USA</t>
  </si>
  <si>
    <t>Hey #movietheatre mass murderer wanna-be we don't play that shit in the #615!</t>
  </si>
  <si>
    <t>Julian Knight - @SCVSupremeCourt dismisses mass murderer's attempt to increase prisoner pay. Challenged quantum of 5% increase 2013.</t>
  </si>
  <si>
    <t>Haysville, KS</t>
  </si>
  <si>
    <t>@bettyfreedoms @AbnInfVet hillary mass murderer.</t>
  </si>
  <si>
    <t>Eww, I'm not Paul Elam</t>
  </si>
  <si>
    <t>Reminder: Mass murderer and white supremacist Anders Breivik was also unsurprisingly an anti-feminist.
http://t.co/1lXnJVl8TR</t>
  </si>
  <si>
    <t>Fresno</t>
  </si>
  <si>
    <t>Happy boy to mass murderer http://t.co/xPddWH5teM</t>
  </si>
  <si>
    <t>@NeanderRebel If you take the suit off him I wouldn't be surprised to hear this is the face that belonged to another democrat mass-murderer</t>
  </si>
  <si>
    <t>West Hollywood, CA</t>
  </si>
  <si>
    <t>Has gun law ever dissuaded a potential mass murderer?</t>
  </si>
  <si>
    <t>Another White mass murderer. Thank God I live in California.  https://t.co/4COg0OTiWn</t>
  </si>
  <si>
    <t>Another White mass murderer. Thank God I'm from California. @FrauTrapani</t>
  </si>
  <si>
    <t>Tama, Iowa</t>
  </si>
  <si>
    <t>Nazi Mass Murderer Became Chairman At Vaccine Drug Company In... http://t.co/x713OMh6Ai</t>
  </si>
  <si>
    <t>Another White mass murderer. #Antioch  https://t.co/OWpd7vcFS6</t>
  </si>
  <si>
    <t>@blairmcdougall and when will you be commenting on Ian Taylor's dealings with mass - murderer Arkan?</t>
  </si>
  <si>
    <t>massacre</t>
  </si>
  <si>
    <t>@AFK_10 @Dr_JohanFranzen ISIS are orchs. But they don't have the ability to massacre civilians far from the frontlines like the tyrant.</t>
  </si>
  <si>
    <t>@Cameron_WATE
 Parents of Colorado theater shooting victim fear copycat massacre
http://t.co/LvlH3W3aWO
#Antioch
http://t.co/vIwXY1XDYK</t>
  </si>
  <si>
    <t>Minneapolis - St. Paul</t>
  </si>
  <si>
    <t>UK police link Tunisian beach massacre with Bardo museum attack http://t.co/1fVoOTqnEj</t>
  </si>
  <si>
    <t>Las Vegas aka Hell</t>
  </si>
  <si>
    <t>Baby elephant dies just days after surviving massacre of his family http://t.co/qzCUT7bVKT</t>
  </si>
  <si>
    <t>@abc3340 
Parents of Colorado theater shooting victim fear copycat massacre
http://t.co/LvlH3W3aWO
#Antioch
http://t.co/vIwXY1XDYK</t>
  </si>
  <si>
    <t>3 Years After the Sikh Temple Massacre Hate-Violence Prevention Is Key | @dviyer @Colorlines http://t.co/nLbLtYnV36 http://t.co/bjrrqHHoHL</t>
  </si>
  <si>
    <t>Massacre at #Sinjar : Has the World Forgotten the #Yazidi ?
http://t.co/WUh1g2BLP1
#??_????_????? #yazidi_shingal_genocide #EzidiGenocide</t>
  </si>
  <si>
    <t>Colorado movie massacre trial jurors reach verdict on mitigating factors http://t.co/75VLsw85GI http://t.co/txY3US2Ejs</t>
  </si>
  <si>
    <t>Still Uninvestigated After 50 Years: Did the U.S. Help Incite the 1965 Indonesia Massacre? http://t.co/EZbTG81trz</t>
  </si>
  <si>
    <t>@KabarMesir @badr58 
Never dies a big Crime like RABAA MASSACRE as long the revolution is being observed.
#rememberRABAA</t>
  </si>
  <si>
    <t>Nottingham, England</t>
  </si>
  <si>
    <t>Bestie is making me watch texas chainsaw massacre ????????</t>
  </si>
  <si>
    <t xml:space="preserve"> The World</t>
  </si>
  <si>
    <t>Petition/No Medals for 1890 Massacre Justice for Wounded Knee Killings of Native Americans! http://t.co/UilPg8i1ev http://t.co/m9pXTo2kwW</t>
  </si>
  <si>
    <t>Own planet!!</t>
  </si>
  <si>
    <t>I see a massacre!!</t>
  </si>
  <si>
    <t>Headed to the massacre 
Bodies arriving everyday 
What were those shells you heard 
Picking the bones up along the way</t>
  </si>
  <si>
    <t>The Fake of Nanking Massacre-4 Eyewitnesses (English): http://t.co/TiPnDEmPuz  #Obama #Clinton #Bush #GOP #ABC #CBS #BBC #CNN #WSJ #WPO</t>
  </si>
  <si>
    <t>Remember this was a massacre of civilians. #Hiroshima http://t.co/qw8qk165Sb</t>
  </si>
  <si>
    <t>Tunisia beach massacre linked to March terror attack on museum http://t.co/kuRqLxFiHL</t>
  </si>
  <si>
    <t xml:space="preserve">Stay Tuned ;) </t>
  </si>
  <si>
    <t>@freddiedeboer @Thucydiplease then you have rise of Coates Charleston massacre Walter Scott and black twitter more broadly as well.</t>
  </si>
  <si>
    <t>@gigagil IOF murdered over 513 Palestinian children (70% under 12) during Gaza Massacre where was zionist morality-zionism is a world evil!</t>
  </si>
  <si>
    <t>Sousse beach massacre linked to Tunis museum attack http://t.co/MyHHTHsLi3</t>
  </si>
  <si>
    <t>Cottonwood Arizona</t>
  </si>
  <si>
    <t>Tell @BarackObama to rescind medals of 'honor' given to US soldiers at the Massacre of Wounded Knee. SIGN NOW &amp;amp; RT! https://t.co/u4r8dRiuAc</t>
  </si>
  <si>
    <t>@nataliealund 
Parents of Colorado theater shooting victim fear copycat massacre
http://t.co/LvlH3W3aWO
#Antioch
http://t.co/vIwXY1XDYK</t>
  </si>
  <si>
    <t>@WKRN 
Parents of Colorado theater shooting victim fear copycat massacre
http://t.co/LvlH3W3aWO
#Antioch
http://t.co/vIwXY1XDYK</t>
  </si>
  <si>
    <t>@MartynWaites It's a well-known fact that the St Valentine's Day massacre could have been avoided with some 'oompah-period' Tom Waits.</t>
  </si>
  <si>
    <t>The Martyrs Who Kept Udhampur Terrorists at Bay Averted a Massacre: It was two young_x0089_Û_ http://t.co/nux5XfPV2d SPSå¨</t>
  </si>
  <si>
    <t>mayhem</t>
  </si>
  <si>
    <t>Raleigh, NC</t>
  </si>
  <si>
    <t>I liked a @YouTube video from @itsjustinstuart http://t.co/oDV3RqS8JU GUN RANGE MAYHEM!</t>
  </si>
  <si>
    <t>Asbury Park shooting reported http://t.co/dADZ5ZFO1g via @AsburyParkPress</t>
  </si>
  <si>
    <t>Jersey Shore</t>
  </si>
  <si>
    <t>BREAKING: Authorities respond to Ocean fire http://t.co/h31Knuwzz5</t>
  </si>
  <si>
    <t>meltdown</t>
  </si>
  <si>
    <t>The ol' meltdown victory for the Mets.</t>
  </si>
  <si>
    <t>Hustletown</t>
  </si>
  <si>
    <t>@tinybaby @adultblackmale @mattytalks meltdown mwednesday</t>
  </si>
  <si>
    <t>#partsunknown</t>
  </si>
  <si>
    <t>THE GLOBAL ECONOMIC MELTDOWN is out! http://t.co/DGATKRdyNy Stories via @seagull07 @AleisStokes @intelligencebar</t>
  </si>
  <si>
    <t>The Internet</t>
  </si>
  <si>
    <t>Byproduct of metal price meltdown is a higher silver price http://t.co/cZWjw4UV7i</t>
  </si>
  <si>
    <t>President Barack Obama has on air meltdown over opposition to Iran nuclear deal http://t.co/c0t7RvoTKj via @examinercom</t>
  </si>
  <si>
    <t>military</t>
  </si>
  <si>
    <t>Senator 'alarmed' by reports U.S. military families harassed: A U.S. Senator said on Wednesday he was alarmed by_x0089_Û_ http://t.co/sbILA2Yqjq</t>
  </si>
  <si>
    <t>@UnivSFoundation For the people who died in Human Experiments by Unit 731 of Japanese military http://t.co/vVPLFQv58P http://t.co/Rwaph6dAUv</t>
  </si>
  <si>
    <t>@kiranahmedd US military and Nato are fighting Talibans too</t>
  </si>
  <si>
    <t>@stfxuniversity For the people who died in Human Experiments by Unit 731 of Japanese military http://t.co/vVPLFQv58P http://t.co/l5AWTUndhm</t>
  </si>
  <si>
    <t>@2for1Lapdances For the people who died in Human Experiments by Unit 731 of Japanese military http://t.co/vVPLFQv58P http://t.co/yOMPxJpPTV</t>
  </si>
  <si>
    <t>Courageous and honest analysis of need to use Atomic Bomb in 1945. #Hiroshima70 Japanese military refused surrender. https://t.co/VhmtyTptGR</t>
  </si>
  <si>
    <t>@UniversityofLaw For the people who died in Human Experiments by Unit 731 of Japanese military http://t.co/vVPLFQv58P http://t.co/eG1fsKqBv6</t>
  </si>
  <si>
    <t>@CochiseCollege For the people who died in Human Experiments by Unit 731 of Japanese military http://t.co/vVPLFQv58P http://t.co/ldx9uKNGsk</t>
  </si>
  <si>
    <t>mudslide</t>
  </si>
  <si>
    <t>Ealing, London</t>
  </si>
  <si>
    <t>'It looks like a mudslide!' And #GBBO is back with a belter!</t>
  </si>
  <si>
    <t>Malibu/SantaFe/Winning!</t>
  </si>
  <si>
    <t>STERLING-SCOTT on the Red Carpet at a fundraiser for 'OSO Mudslide' https://t.co/mA4ra7AtqL http://t.co/cg579wlDnE</t>
  </si>
  <si>
    <t xml:space="preserve">Tring </t>
  </si>
  <si>
    <t>@marc_holl @NenniCook @AitchKayCee @vixstuart @benjbeckwith It's not pretty ??#disaster #GBBO #mudslide</t>
  </si>
  <si>
    <t>Birmingham &amp; Bristol</t>
  </si>
  <si>
    <t>'It looks like a mudslide' poor thing! ?? #greatbritishbakeoff</t>
  </si>
  <si>
    <t>Flood and Mudslide Warning for East Fjords | Iceland Review http://t.co/534q3Jg2OV #icelandreview via @iceland_review</t>
  </si>
  <si>
    <t>@SophieWisey I couldn't. #mudslide</t>
  </si>
  <si>
    <t>plymouth</t>
  </si>
  <si>
    <t>@brobread looks like mudslide????</t>
  </si>
  <si>
    <t>The Pumpkin Carriage of Dreams</t>
  </si>
  <si>
    <t>@Lolly_Knickers It's a mudslide. 
It's like chewing on a rubber tyre.
And with those I'm DONE.
#vaginaorcake #GBBO</t>
  </si>
  <si>
    <t xml:space="preserve">Holly Springs, NC </t>
  </si>
  <si>
    <t>@UrufuSanRagu a Mudslide?</t>
  </si>
  <si>
    <t>London, England</t>
  </si>
  <si>
    <t>@new_hart2010 #mudslide... nuff said #GBBO</t>
  </si>
  <si>
    <t>Oso Washington Mudslide Response Interview _x0089_ÛÒ Part 1 http://t.co/sbfGLQjZfs</t>
  </si>
  <si>
    <t>South, England</t>
  </si>
  <si>
    <t>First time getting into #gbbo2015 and physically gasped at the cake 'mudslide' incident already way too emotionally invested...</t>
  </si>
  <si>
    <t>natural%20disaster</t>
  </si>
  <si>
    <t>Birmingham and the Marches</t>
  </si>
  <si>
    <t>@Doylech They're refugees: 'people who have been forced to leave their country in order to escape war persecution or natural disaster'</t>
  </si>
  <si>
    <t>On the sneak America has us spoiled. A natural disaster will humble niggas.</t>
  </si>
  <si>
    <t>MÌ©xico D.F.</t>
  </si>
  <si>
    <t>RaÌ¼l sends a message of condolence to Vietnam following natural disaster http://t.co/bgyTmqJ3OO</t>
  </si>
  <si>
    <t>@Cali74142290 lol natural disaster/hospital crisis something is needed to get rid of some cast members....</t>
  </si>
  <si>
    <t>Greenwich Meridian</t>
  </si>
  <si>
    <t>Some people are really natural disaster too</t>
  </si>
  <si>
    <t>Coming later this year~ 'THE MAN THAT TATTOOED WOMEN.' A novel based on a real serial killer from #Arkansas &amp;amp; a natural disaster. #NOLA</t>
  </si>
  <si>
    <t>RaÌ¼l sends a message of condolence to Vietnam following natural disaster: On behalf of the Cuban government an... http://t.co/EmrZiCb004</t>
  </si>
  <si>
    <t>Expert Prepper: Financial Collapse Natural Disaster Failed Grid... http://t.co/AVVSOiNO8Z http://t.co/VoYrUxcrIN</t>
  </si>
  <si>
    <t>Oneonta, NY/ Staten Island, NY</t>
  </si>
  <si>
    <t>its only getting colder and colder and faster and faster and when i first realized it it was like a natural disaster</t>
  </si>
  <si>
    <t>Jonesboro, AR MO, IOWA USA</t>
  </si>
  <si>
    <t>natural disaster _x0089_ÛÒ News Stories About natural disaster - Page 1 | Newser http://t.co/TB8gZEMbXU</t>
  </si>
  <si>
    <t>America of Founding Fathers</t>
  </si>
  <si>
    <t>This is the natural and unavoidable consequence of socialism everywhere it has been tried.
http://t.co/BbDpnj8XSx A</t>
  </si>
  <si>
    <t>Suncorp net profit rises to $1.13 billion in worst year of natural disaster claims http://t.co/cwZ37lNDVk</t>
  </si>
  <si>
    <t>on to the next adventure</t>
  </si>
  <si>
    <t>Of course the one day I have to dress professionally aka unsensibly for class is the day I have try and outrun a natural disaster!</t>
  </si>
  <si>
    <t>*books a flight to Burma when country is enduring political unrest and a natural disaster* no wonder it was so cheap ay</t>
  </si>
  <si>
    <t>Suburban Detroit, Michigan</t>
  </si>
  <si>
    <t>We have overrun a Natural Disaster Survival server!</t>
  </si>
  <si>
    <t>Guatemala</t>
  </si>
  <si>
    <t>Savings and sewing in Guatemala: Savings and sewing in Guatemala. When a natural disaster hit seamstress Elvia...  http://t.co/jdx9OX2kIk</t>
  </si>
  <si>
    <t>Patriot Survival Guide: Do you know how survive when the governments collapse or other natural disaster happens? http://t.co/QhtoerhDkM</t>
  </si>
  <si>
    <t>nuclear%20disaster</t>
  </si>
  <si>
    <t>beforeitsnews : 3 former executives to be prosecuted in Fukushima nuclear disaster _x0089_Û_ http://t.co/FgVN2vCrrX) http://t.co/kftVNU7nvf</t>
  </si>
  <si>
    <t>Austin TX</t>
  </si>
  <si>
    <t>Alarming Rise in Dead Marine Life Since the #Fukushima Nuclear Disaster: http://t.co/v6H97K688J http://t.co/tJw9bSeiPW</t>
  </si>
  <si>
    <t>If i tweet daily #Fukushima #Japan global nuclear disaster&amp;amp; #Chernobyl ppl dont care there is no hope 4 humanity C&amp;gt; http://t.co/MAcob5xLsU</t>
  </si>
  <si>
    <t>The Netherlands</t>
  </si>
  <si>
    <t>?#FUKUSHIMA?#TEPCO?
Fukushima Nuclear Disaster | Increased Thyroid Cancer in #US - Integrative Cancer Answers
http://t.co/7Y2GNVA2eV</t>
  </si>
  <si>
    <t>Though serious #natural #disaster increased in #Japanjapan #Nuclear safety standard is far inferior to #US standard.#anonymous #Nytimes</t>
  </si>
  <si>
    <t>Physical sense helps preserve memories of 2011 triple disaster (8/4 AJW) http://t.co/X5jGKjV6Ma #jishin_e #nuclear #Minamisoma</t>
  </si>
  <si>
    <t>Marbella. Spain</t>
  </si>
  <si>
    <t>http://t.co/GaM7otGISw
ANOTHER DISASTER WAITING TO HAPPEN AND YOUR ALLOWING IT???</t>
  </si>
  <si>
    <t>Hammersmith, London</t>
  </si>
  <si>
    <t>@DalaiLama then have the biggest nuclear disaster to ever have happened</t>
  </si>
  <si>
    <t>#Obama signed up to a deal that far from making the world a safer place http://t.co/E0luGBL6pb via @upi #Iran #Nuclear #IranNuclearDeal</t>
  </si>
  <si>
    <t>3 former executives to be prosecuted in Fukushima nuclear disaster http://t.co/zsDVWEgLF5</t>
  </si>
  <si>
    <t>Ashford, Kent, United Kingdom</t>
  </si>
  <si>
    <t>@emmerdale can we have a public vote for the next annual village disaster?  i want an isis strike or a nuclear accident &amp;amp; end this forever</t>
  </si>
  <si>
    <t>3 former executives to be prosecuted in Fukushima nuclear disaster http://t.co/Gvj7slbELP</t>
  </si>
  <si>
    <t>Fukushima Nuclear Disaster | Increased Thyroid Cancer in U.S. http://t.co/FtuNlH6ddg</t>
  </si>
  <si>
    <t>The people who tweet and care about #Japan #Fukushima nuclear disaster are not the problem those who ignore are the problem.</t>
  </si>
  <si>
    <t>Dhaka, Bangladsh</t>
  </si>
  <si>
    <t>We want to see no more Hiroshima and Nagasaki nuclear bomb disaster in this beautiful world.Lets be peaceful &amp;amp; save this human civilization.</t>
  </si>
  <si>
    <t>#Japan #Fukushima the most serious man made disaster in human history...  _x0089_ÛÏa marker of radiation brain damage_x0089_Û_x009d_ http://t.co/Y3ZfqJsvpz</t>
  </si>
  <si>
    <t>#refugees of #nuclear disaster in western #Japan will be beyond 500 thousand at least. #AFP #guardian #WPS #NYTimes</t>
  </si>
  <si>
    <t>3 Former Executives To Be Prosecuted In Fukushima Nuclear Disaster http://t.co/UmjpRRwRUU</t>
  </si>
  <si>
    <t>#goingdownthetoilet Illinois</t>
  </si>
  <si>
    <t>CLOSING THEIR EYES TO DISASTER!  State Department Unaware of Reports Iran is Sanitizing Nuclear Sites http://t.co/yRVGyKdbM6</t>
  </si>
  <si>
    <t>3 Former Executives to Be Prosecuted in Fukushima Nuclear #Disaster.
The story: http://t.co/7uFnxxaVqs via @nytimes</t>
  </si>
  <si>
    <t>Any disaster impairs mental health especially in vulnerable individuals... http://t.co/ZisuwLqRHf</t>
  </si>
  <si>
    <t>Fukushima 'mutant vegetable' images sweep across the region two years after nuclear disaster http://t.co/psi35AU3pc via @MailOnline</t>
  </si>
  <si>
    <t>Bombing #Iran would result in a never-ending game of #nuclear whack-a-mole. Here's why: http://t.co/6exS23MUy3 http://t.co/l9iDheROtj</t>
  </si>
  <si>
    <t>Fukushima: The Story of a Nuclear Disaster http://t.co/ikpnGs3dTi http://t.co/lJHgSdRAEZ</t>
  </si>
  <si>
    <t>The president spoke of Kennedy's diplomacy to avert nuclear disaster during the Cold War to bolster his own pitch for Congress' approval</t>
  </si>
  <si>
    <t>573 deaths have been certified by the Government as _x0089_Û÷nuclear disaster-related deaths_x0089_Ûª</t>
  </si>
  <si>
    <t>3 Former Executives to Be Prosecuted in Fukushima Nuclear Disaster http://t.co/JSsmMLNaQ7</t>
  </si>
  <si>
    <t>Under Santa Barbara Skies</t>
  </si>
  <si>
    <t>70 years ago today 1945 #Hiroshima was the first nuclear atomic bomb leaving a major disaster in the wake. http://t.co/oW4GeXyNbH</t>
  </si>
  <si>
    <t>If U care about life on land sea &amp;amp; in air then dont pretend &amp;amp; ignore the nuclear disaster in #Japan #Fukushima this is a #global problem</t>
  </si>
  <si>
    <t>#Nuclear policy of #Japan without responsibility about Nuclear #Disaster will repeat same #failure.
#annonymous #guardian #NYTimes #Reuters</t>
  </si>
  <si>
    <t>Chernobyl disaster - Wikipedia the free encyclopedia don't you just love the nuclear technology it's so glorious  https://t.co/GHucazjSxB</t>
  </si>
  <si>
    <t>nuclear%20reactor</t>
  </si>
  <si>
    <t>Global Nuclear Reactor Construction Market grew 4.5% between 2013 and 2014 http://t.co/74JppeK6o7</t>
  </si>
  <si>
    <t>USA, North Dakota</t>
  </si>
  <si>
    <t>Salem 2 nuclear reactor shut down over electrical circuit failure on pump: The Salem 2 nuclear reactor had bee... http://t.co/5hkGXzJLmX</t>
  </si>
  <si>
    <t>US Navy Sidelines 3 Newest Subs - http://t.co/guvTIzyCHE: DefenseNews.comUS Navy Sidelines 3 Newest SubsD... http://t.co/SY2WhXT0K5 #navy</t>
  </si>
  <si>
    <t>@RobertHarding @RepJohnKatko Crazy to use the Netanyahu argument Iran can flush A NUCLEAR REACTOR DOWN THE TOILET</t>
  </si>
  <si>
    <t>Nuclear-Deal: Indo-Japan pact lies at the heart of two US reactor-based projects: If Japan were to go ahead an...  http://t.co/XKURDr3yEv</t>
  </si>
  <si>
    <t>Nuclear #Solar Power #Japanese #Fukushima Reactor Energy Japan Temperature No. Fuel Pool More  http://t.co/YS3nMwWyVc http://t.co/AlpotNB7q3</t>
  </si>
  <si>
    <t>New York, New York</t>
  </si>
  <si>
    <t>Japan's Restart of Nuclear Reactor Fleet Fast Approaches http://t.co/DbAUjp29Ub</t>
  </si>
  <si>
    <t>Phoenix, Arizona, USA</t>
  </si>
  <si>
    <t>If I'm also not mistaken we're sitting right next 2 a nuclear reactor. Not smart when we have a cataclysmic event &amp;amp; that reator melts down.</t>
  </si>
  <si>
    <t>@stunckle @Gordon_R74 @crazydoctorlady ...I'm no expert but raw uranium and nuclear reactor fuel rods are 2 very different creatures...</t>
  </si>
  <si>
    <t>SE London(heart is by the sea)</t>
  </si>
  <si>
    <t>Rolling sandunes the gentle lapping of the sea the call of gulls and a nuclear reactor #sizewell http://t.co/X9CUiHIb5n</t>
  </si>
  <si>
    <t>Salem 2 nuclear reactor shut down over electrical circuit failure on pump http://t.co/LQjjy1PTWT</t>
  </si>
  <si>
    <t>Finnish ministers: Fennovoima nuclear reactor will go ahead http://t.co/vB3VFm76ke #worldnews #news #breakingnews</t>
  </si>
  <si>
    <t>Salem 2 nuclear reactor shut down over electrical circuit failure on pump - http://t.co/98o2Kc3A1Z http://t.co/tGdontTkty</t>
  </si>
  <si>
    <t>Bournemouth, Dorset, UK</t>
  </si>
  <si>
    <t>@SnowyWolf5 @TheGreenParty Besides would you rather shut down a whole nuclear reactor for maintenance or a wind turbine at a time?</t>
  </si>
  <si>
    <t>obliterate</t>
  </si>
  <si>
    <t>Purfleet</t>
  </si>
  <si>
    <t>Whereas Jez will obliterate the national debt - and give lots of new benefits - by simply printing money! Genius! https://t.co/ReffbkVG9R</t>
  </si>
  <si>
    <t>Cymru araul</t>
  </si>
  <si>
    <t>@McCaineNL Think how spectacular it will look when the Stonewall riots obliterate the white house.</t>
  </si>
  <si>
    <t>EIC</t>
  </si>
  <si>
    <t>Watch Sarah Palin OBLITERATE Planned Parenthood For Targeting Minority Women! _x0089_ÛÒ BB4SP http://t.co/Dm0uUpqGWY</t>
  </si>
  <si>
    <t>Ondo</t>
  </si>
  <si>
    <t>Someone teaching you that obedience will obliterate trials in your life is trying to sell you a used car. Jesus's life blows that theory.'</t>
  </si>
  <si>
    <t>obliterated</t>
  </si>
  <si>
    <t>@breakingnewslh @bree_mars watch cnn's the seventies terrorism episode. Iran has always hated the U.S. They want us obliterated.</t>
  </si>
  <si>
    <t>Reading MA</t>
  </si>
  <si>
    <t>Drunk Meals 101: What To Cook When You're Totally Obliterated http://t.co/m19iVWrdkk</t>
  </si>
  <si>
    <t>WACKOS like #MicheleBachman predict the WORLD will SOON be OBLITERATED by a burning firey INFERNO but cant accept #GlobalWarming!! HELLO!!!</t>
  </si>
  <si>
    <t>Upstairs.</t>
  </si>
  <si>
    <t>@TheEvilOlives It's the closest structure to the hypo centre that wasn't completely obliterated.</t>
  </si>
  <si>
    <t>obliteration</t>
  </si>
  <si>
    <t>Kontrolled Media say 'US good. Putin bad. #WW3 good Peace bad'. TOTAL BS! Leave Russia alone. DON'T DICE WITH OBLITERATION. #demonization</t>
  </si>
  <si>
    <t>a feminist, modernist hag.</t>
  </si>
  <si>
    <t>@ThatSabineGirl you get me sis. this planet could do with a huge dose of obliteration.</t>
  </si>
  <si>
    <t>@tiggr_ why only Squad Obliteration?</t>
  </si>
  <si>
    <t>Ontario</t>
  </si>
  <si>
    <t>Path of Obliteration
Back From The Dead
Story by @KyleWappler @thisishavehope
 http://t.co/1PdNlsP8XW</t>
  </si>
  <si>
    <t>oil%20spill</t>
  </si>
  <si>
    <t>Montgomery, AL</t>
  </si>
  <si>
    <t>SB57 [NEW] Deepwater Horizon Oil Spill distribution of funds from BP settlement road and bridge projects in Bal... http://t.co/dKpsrkG6pc</t>
  </si>
  <si>
    <t>California oil spill might be larger than projected: http://t.co/xwxBYHTuzC http://t.co/wzeDxEFBlg</t>
  </si>
  <si>
    <t>Refugio oil spill may have been costlier bigger than projected: A Plains All American Pipeline oil spill off ... http://t.co/yhmrEgAuxZ</t>
  </si>
  <si>
    <t>LA Times: Refugio oil spill may have been costlier bigger than projected http://t.co/g37huJx6et</t>
  </si>
  <si>
    <t>Amarillo</t>
  </si>
  <si>
    <t>'California: Spring Oil Spill Estimate Grows ' by THE ASSOCIATED PRESS via NYT http://t.co/6Cx46E7QB7</t>
  </si>
  <si>
    <t>Refugio oil spill may have been costlier bigger than projected http://t.co/41L8tqCAey</t>
  </si>
  <si>
    <t>Refugio oil spill may have been costlier bigger than projected http://t.co/Rqu5Ub8PLF</t>
  </si>
  <si>
    <t>Refugio oil spill may have been costlier bigger than projected http://t.co/OSJUrFDDkt</t>
  </si>
  <si>
    <t>Refugio oil spill may have been costlier bigger than projected http://t.co/lzob8qOH1B</t>
  </si>
  <si>
    <t>Refugio oil spill may have been costlier bigger than projected http://t.co/BIEYgUqpB1</t>
  </si>
  <si>
    <t>Sydney, NSW</t>
  </si>
  <si>
    <t>Sydney Traffic HAZARD Oil spill - BANKSTOWN Stacey St at Wattle St #sydtraffic #trafficnetwork</t>
  </si>
  <si>
    <t>Central Coast, California</t>
  </si>
  <si>
    <t>Plains All American Pipeline company may have spilled 40% more crude oil than previously estimated #KSBYNews @lilitan http://t.co/PegibIqk2w</t>
  </si>
  <si>
    <t>SYD traffic HAZARD Oil spill - BANKSTOWN Stacey St at Wattle St http://t.co/TZyHdBW9f5</t>
  </si>
  <si>
    <t>Clean World</t>
  </si>
  <si>
    <t>Watch our video of Wendell Berry speaking about the BP oil spill in the Gulf of Mexico.
It_x0089_Ûªs the birthday... http://t.co/tN1aX1xMBB</t>
  </si>
  <si>
    <t>NYC :) Ex- #Islamophobe</t>
  </si>
  <si>
    <t>National Briefing | West: California: Spring Oil Spill Estimate Grows: Documents released on Wednesday disclos... http://t.co/wBi7Laq18E</t>
  </si>
  <si>
    <t>DTN Brazil: Refugio oil spill may have been costlier bigger than projected: A Plains All American Pipeline oi... http://t.co/pDOSrg8Cf7</t>
  </si>
  <si>
    <t>Hannah: 'Hiroshima sounds like it could be a place in China. Isn't that where the oil spill was?'</t>
  </si>
  <si>
    <t>Street of Dallas</t>
  </si>
  <si>
    <t>Refugio oil spill may have been costlier bigger than projected http://t.co/aP30psZkVx</t>
  </si>
  <si>
    <t>Refugio oil spill may have been costlier bigger than projected (LA Times) http://t.co/TCSoLvwhXq</t>
  </si>
  <si>
    <t>Goa, India</t>
  </si>
  <si>
    <t>California: Spring Oil Spill Estimate Grows: Documents released on Wednesday disclosed that an oil sp... http://t.co/zqiHnHDWPV #OSI2016</t>
  </si>
  <si>
    <t>Refugio oil spill may have been costlier bigger than projected http://t.co/gtHddzAvhg #LosAngelesTimes #latimes #news</t>
  </si>
  <si>
    <t>England, Great Britain.</t>
  </si>
  <si>
    <t>National Briefing | West: California: Spring Oil Spill Estimate Grows: Documents released on Wednesday d... http://t.co/hTxAi05y7B (NYT)</t>
  </si>
  <si>
    <t>San Luis Obispo, CA</t>
  </si>
  <si>
    <t>Plains All American Pipeline company may have spilled 40 percent more crude oil than previously estimated.... http://t.co/WEZjqC4Cf2</t>
  </si>
  <si>
    <t>Kamloops, BC</t>
  </si>
  <si>
    <t>@Kinder_Morgan can'twon't tell @cityofkamloops how they'd respond to an oil spill. Trust them? See Sec 4.2 #Kamloops http://t.co/TA6N9sZyfP</t>
  </si>
  <si>
    <t>Lyallpur, Pakistan</t>
  </si>
  <si>
    <t>news@@ Refugio oil spill may have been costlier bigger than projected http://t.co/jhpdSSVhvE</t>
  </si>
  <si>
    <t>Plains: Calif. Oil Spill Could be Larger than Estimated. http://t.co/CcvcTe3lCw</t>
  </si>
  <si>
    <t>Refugio oil spill may have been costlier bigger than projected http://t.co/xcoLwUGFjg</t>
  </si>
  <si>
    <t>Refugio oil spill may have been costlier bigger than projected http://t.co/FPaouLWU3N</t>
  </si>
  <si>
    <t>@News@ Refugio oil spill may have been costlier bigger than projected http://t.co/SqoA1Wv4Um</t>
  </si>
  <si>
    <t>Refugio oil spill may have been costlier bigger than projected http://t.co/GusrAmzp1s #news</t>
  </si>
  <si>
    <t>Refugio oil spill may have been costlier bigger than projected http://t.co/7L6bHeXIXv | https://t.co/eMOSrMUvQa</t>
  </si>
  <si>
    <t>News@ Refugio oil spill may have been costlier bigger than projected http://t.co/jhpdSSVhvE</t>
  </si>
  <si>
    <t>Refugio oil spill may have been costlier bigger than projected http://t.co/EFCn9IVNfg A Plains All American Pipeline oil spill off the S_x0089_Û_</t>
  </si>
  <si>
    <t>Refugio oil spill may have been costlier bigger than projected http://t.co/zdtcw9Fsx1</t>
  </si>
  <si>
    <t>LA Times: Refugio oil spill may have been costlier bigger than projected http://t.co/1ct0pUGZ69</t>
  </si>
  <si>
    <t>Pensacola, FL</t>
  </si>
  <si>
    <t>Senator voices concerns over BP oil spill settlement http://t.co/mFSBWpj0Ce</t>
  </si>
  <si>
    <t>Corpus Christi</t>
  </si>
  <si>
    <t>'California: Spring Oil Spill Estimate Grows ' by THE ASSOCIATED PRESS via NYT http://t.co/zdpa4DBtsU</t>
  </si>
  <si>
    <t>outbreak</t>
  </si>
  <si>
    <t>Chile</t>
  </si>
  <si>
    <t>Families to sue over Legionnaires: More than 40 families affected by the fatal outbreak of Legionnaires' disea... http://t.co/02ELqLOpFk</t>
  </si>
  <si>
    <t>Families to sue over Legionnaires: More than 40 families affected by the fatal outbreak of Legionnaires' disease in Edinburgh are to ...</t>
  </si>
  <si>
    <t>Families to sue over Legionnaires: More than 40 families affected by the fatal outbreak of Legionnaires' disea... http://t.co/8lCbDW7m2z</t>
  </si>
  <si>
    <t>EspaÌ±a, Spain</t>
  </si>
  <si>
    <t>Legionnaires' Disease: What's Being Done to Stop Deadly Outbreak http://t.co/AjzY19Vepu</t>
  </si>
  <si>
    <t>New York City, NY</t>
  </si>
  <si>
    <t>10th death confirmed in Legionnaires' outbreak in South Bronx; total cases reaches triple digits http://t.co/JtzefipdBo</t>
  </si>
  <si>
    <t>More than 40 families affected by the fatal outbreak of Legionnaires' disease in Edinburgh are to sue two comp... http://t.co/vsoXioOy78</t>
  </si>
  <si>
    <t>A Mad Catastrophe : The Outbreak of World War I and the Collapse of the... http://t.co/jGdlX4Faw8 http://t.co/IvwtYnoUjK</t>
  </si>
  <si>
    <t>LAGOS</t>
  </si>
  <si>
    <t>Families to sue over Legionnaires: More than 40 families affected by the fatal outbreak of Legionnaires' disea... http://t.co/2Mwc9YWjZy</t>
  </si>
  <si>
    <t>NJ/NYC</t>
  </si>
  <si>
    <t>Wow-the name #LegionnairesDisease comes from an outbreak of pneumonia at the @AmericanLegion convention in Philly in 1976--29 died from it.</t>
  </si>
  <si>
    <t>??????</t>
  </si>
  <si>
    <t>'Legionnaires' Disease: What's Being Done to Stop Deadly Outbreak' http://t.co/FftOKd0Vts #????_?????</t>
  </si>
  <si>
    <t>Families to sue over Legionnaires: More than 40 families affected by the fatal outbreak of Legionnaires' disea... http://t.co/81HVV3N3rS</t>
  </si>
  <si>
    <t>Families to sue over Legionnaires: More than 40 families affected by the fatal outbreak of Legionnaires' disea... http://t.co/2AO97o2a9D</t>
  </si>
  <si>
    <t>Families to sue over Legionnaires: More than 40 families affected by the fatal outbreak of Legionnaires' disea... http://t.co/3sNyOOhseq</t>
  </si>
  <si>
    <t>Families to sue over Legionnaires: More than 40 families affected by the fatal outbreak of Legionnaires' disea... http://t.co/VBsj8tniv1</t>
  </si>
  <si>
    <t>Italy</t>
  </si>
  <si>
    <t>Families to sue over Legionnaires: More than 40 families affected by the fatal outbreak of Legionnaires' disea... http://t.co/SO81Ab3a1x</t>
  </si>
  <si>
    <t>Families to sue over Legionnaires: More than 40 families affected by the fatal outbreak of Legio... http://t.co/uCBfgIBFOR #MuhamadJabal</t>
  </si>
  <si>
    <t>DTN Italy: Families to sue over Legionnaires: More than 40 families affected by the fatal outbreak of Legionna... http://t.co/RsV9ATj9vH</t>
  </si>
  <si>
    <t>@SenateMajLdr let's try to do our best to prevent another outbreak of violence by talking to each other both the people and the politics</t>
  </si>
  <si>
    <t>Families to sue over Legionnaires: More than 40 families affected by the fatal outbreak of Legionnaires' disea... http://t.co/oJyW7jkUH5</t>
  </si>
  <si>
    <t>Families to sue over Legionnaires: More than 40 families affected by the fatal outbreak of Legionnaires' disea... http://t.co/rv9Dv6JOeW</t>
  </si>
  <si>
    <t>Eagle River Alaska</t>
  </si>
  <si>
    <t>New York City Outbreak: What Is Legionnaire's Disease?   http://t.co/CXI82rFiFS</t>
  </si>
  <si>
    <t>ÌÏT: 6.488400524109015,3.352798039832285</t>
  </si>
  <si>
    <t>Families to sue over Legionnaires: More than 40 families affected by the fatal outbreak of Legionnaires' disea... http://t.co/1H7zk6UYze</t>
  </si>
  <si>
    <t xml:space="preserve">Akure city in ondo state </t>
  </si>
  <si>
    <t>Families to sue over Legionnaires: More than 40 families affected by the fatal outbreak of Legionnaires' disea... http://t.co/mNsy1QR7bq</t>
  </si>
  <si>
    <t>Families to sue over Legionnaires: More than 40 families affected by the fatal outbreak of Legionnaires' disea... http://t.co/kkdX8zMV4G</t>
  </si>
  <si>
    <t>Families to sue over Legionnaires: More than 40 families affected by the fatal outbreak of Legionnaires' disea... http://t.co/13W8CyukKZ</t>
  </si>
  <si>
    <t>Anywhere</t>
  </si>
  <si>
    <t>Families to sue over Legionnaires: More than 40 families affected by the fatal outbreak of Legionnaires' disea... http://t.co/hKxYzhvmQE</t>
  </si>
  <si>
    <t xml:space="preserve">FCT, Abuja </t>
  </si>
  <si>
    <t>8th person dies in NY Legionnaires' disease outbreak http://t.co/fJdM8QHYAI #SEBEE</t>
  </si>
  <si>
    <t>Legionnaires' Disease: What's Being Done to Stop Deadly Outbreak: The worst-ever outbreak of Legio... http://t.co/0ubG9wFyge #losangeles</t>
  </si>
  <si>
    <t>Finland</t>
  </si>
  <si>
    <t>Families to sue over Legionnaires: More than 40 families affected by the fatal outbreak of Legionnaires' disea... http://t.co/ZA4AXFJSVB</t>
  </si>
  <si>
    <t>SÌ£o Paulo</t>
  </si>
  <si>
    <t>Families to sue over Legionnaires' disease outbreak in Edinburgh - BBC News http://t.co/rM6CNzkSzL</t>
  </si>
  <si>
    <t>Ile-Ife,Osun state, Nigeria</t>
  </si>
  <si>
    <t>#News Families to sue over Legionnaires: More than 40 families affected by the fatal outbreak of Legionnaires'... http://t.co/zfYqSAwvrk</t>
  </si>
  <si>
    <t>Fukuoka, Japan</t>
  </si>
  <si>
    <t>Families to sue over Legionnaires: More than 40 families affected by the fatal outbreak o... http://t.co/3hTJ2PypSg #News #check #follow</t>
  </si>
  <si>
    <t>kano</t>
  </si>
  <si>
    <t>Families to sue over Legionnaires: More than 40 families affected by the fatal outbreak of Legionnaires' disea... http://t.co/NQ77EfMF88</t>
  </si>
  <si>
    <t>?? ?+254? ? \??å¡_??å¡_???å¡_?/??</t>
  </si>
  <si>
    <t>Families to sue over Legionnaires: More than 40 families affected by the fatal outbreak of Legionnaires' disea... http://t.co/lfbdhTGQWG</t>
  </si>
  <si>
    <t>An outbreak of Legionnaires' disease in New York has killed at least 8 people _x0089_ÛÓ now officials think they've fo... http://t.co/7evyeLW4LC</t>
  </si>
  <si>
    <t>Dammam- KSA</t>
  </si>
  <si>
    <t>Families to sue over Legionnaires: More than 40 families affected by the fatal outbreak of Legionnaires' disea... http://t.co/Paje5mxN1z</t>
  </si>
  <si>
    <t>An outbreak of Legionnaires' disease in New York has killed at least 8 people @BI_Video http://t.co/eRJ7YANjXm http://t.co/vbRPeuJANL</t>
  </si>
  <si>
    <t>Pro-American and Anti-#Occupy</t>
  </si>
  <si>
    <t>#BREAKING 10th death confirmed in Legionnaires' outbreak in South Bronx; total cases reaches triple digits
http://t.co/TxrsWi0efg</t>
  </si>
  <si>
    <t>pandemonium</t>
  </si>
  <si>
    <t>Pandemonium In Aba As Woman Delivers Baby Without Face (Photos).... http://t.co/lYXNjlxL8s http://t.co/CXYFqN3ue4</t>
  </si>
  <si>
    <t>Dallas Fort-Worth</t>
  </si>
  <si>
    <t>Pandemonium In Aba As Woman Delivers Baby Without Face (Photos) - http://t.co/c5u9qshhnb</t>
  </si>
  <si>
    <t>I'll be at SFA very soon....#Pandemonium http://t.co/RW8b50xz9m</t>
  </si>
  <si>
    <t>The P (South Philly)</t>
  </si>
  <si>
    <t>Pandemonium use to be my fav cd ?? I had to get it http://t.co/6WhUgaeM3C</t>
  </si>
  <si>
    <t>Pandemonium In Aba As Woman Delivers Baby Without Face (Photos) - http://t.co/xRP0rTkFfJ</t>
  </si>
  <si>
    <t>Leeds, UK</t>
  </si>
  <si>
    <t>@KhalidKKazi mate they've taken another 2 since I posted this tweet it's pandemonium</t>
  </si>
  <si>
    <t>Pandemonium In Aba As Woman Delivers Baby Without FaceåÊ(Photos) http://t.co/bM0SXzbNKE</t>
  </si>
  <si>
    <t>Truly a scene of chaos unprecedented in frenzy. Pandemonium even. Utter disorder. That anyone survived such mania is astounding. @catovitch</t>
  </si>
  <si>
    <t>panic</t>
  </si>
  <si>
    <t>Charlotte, NC | KÌ¦ln, NRW</t>
  </si>
  <si>
    <t>@elielcruz just watching the streams was bad - I don't think I could actually walk in there I'd panic and get sick</t>
  </si>
  <si>
    <t>Palm Bay, FL (Kissimmee)</t>
  </si>
  <si>
    <t>Panic over: Patient in Alabama tests negative for Ebola
http://t.co/cY0CiU2u1C</t>
  </si>
  <si>
    <t>tomorrow's going to be a year since I went to the Panic! concert dressed as afycso ryan do u guys remember that</t>
  </si>
  <si>
    <t>panicking</t>
  </si>
  <si>
    <t>@Dirk_NoMissSki yea but if someone faints why are they panicking?.. thats basic stuff ??</t>
  </si>
  <si>
    <t>all that panicking made me tired ;__; i want to sleep in my bed</t>
  </si>
  <si>
    <t>police</t>
  </si>
  <si>
    <t>America said it had a war on terrorism. Then police took my AR-15 when I was ready to start shooting the enemies!</t>
  </si>
  <si>
    <t>Kansas City, Mo.</t>
  </si>
  <si>
    <t>Police: Gunman reported dead at Nashville area theater: A suspect who carried a gun and a hatchet at the Carmi... http://t.co/kqvN1uTpMM</t>
  </si>
  <si>
    <t>#BREAKING411 4 police officers arrested for abusing children at police-run boot camp in San Luis Obispo Calif. - ... http://t.co/oNLvf2fyoY</t>
  </si>
  <si>
    <t>#World #News Qld police wrap Billy Gordon investigation: QUEENSLAND Police have wrapped up their investigation...  http://t.co/msgnNDxOeK</t>
  </si>
  <si>
    <t>'Gunman who opened fire at Tennessee movie theater killed by police'  Anyone suspect suicide-by-cop?</t>
  </si>
  <si>
    <t>Police kill hatchet-wielding gunman who opened fire inside Nashville movie theater: AåÊmiddle-aged manåÊarmed wi... http://t.co/tyD47NfL5x</t>
  </si>
  <si>
    <t>A Santa Ana Police Union Blocks Video of the Raid at Sky High Holistic Pot Dispensary - The Atlantic http://t.co/yvV1RlghfT #SmartNews</t>
  </si>
  <si>
    <t>anzio,italy</t>
  </si>
  <si>
    <t>4 police officers arrested for abusing children at police-run boot camp in San Luis Obispo Calif. - @ABC7: http://t.co/QpWOtugUI9</t>
  </si>
  <si>
    <t>Now Trending in Nigeria: Police charge traditional ruler others with informant_x0089_Ûªs  murder http://t.co/93inFxzhX0</t>
  </si>
  <si>
    <t>US, PA</t>
  </si>
  <si>
    <t>California police officer pulls gun on man without any apparent provocation (VIDEO) http://t.co/Lhw4vTbHZG via @dailykos</t>
  </si>
  <si>
    <t>Oops: Bounty hunters try to raid Phoenix police chief's home: http://t.co/yPRJWMigHL -- A group of armed bounty... http://t.co/3RrKRCjYW7</t>
  </si>
  <si>
    <t>$1 million bail for man accused of #shooting at Fife #police - Aug 5 @ 8:16 PM ET http://t.co/hu5CXqnoBf</t>
  </si>
  <si>
    <t>DT @georgegalloway: RT @Galloway4Mayor: _x0089_ÛÏThe CoL police can catch a pickpocket in Liverpool Stree... http://t.co/vXIn1gOq4Q</t>
  </si>
  <si>
    <t>Bangalore, India</t>
  </si>
  <si>
    <t>Police kill gunman at Nashville movie theatre - Times of India: Times of India Police kill_x0089_Û_ http://t.co/K8BExkgwr2</t>
  </si>
  <si>
    <t>@robbiewilliams U fkn asswipe playing for Israeli child killers.. The fkn karma police will get U.</t>
  </si>
  <si>
    <t>Mesa, AZ</t>
  </si>
  <si>
    <t>@ArizonaDOT Price Rd North bound closed from University to Rio Salado.. Lots of police..  What's crackin?</t>
  </si>
  <si>
    <t>Stratford, CT</t>
  </si>
  <si>
    <t>Selection September Bridgeport men charged in home invasion Police looking for burglar. - http://t.co/7mlCD0l0b8</t>
  </si>
  <si>
    <t>Police: Man killed ex grandmother after son wasn&amp;amp;#8217;t named after him http://t.co/ndCy8Q7R6I OMG!!!!! Absolutely Crazy!!!</t>
  </si>
  <si>
    <t>-=-0!!!!. Photo: LASTMA officials challenge police for driving against traffic in Lagos http://t.co/8VzsfTR1bG</t>
  </si>
  <si>
    <t xml:space="preserve">Houston </t>
  </si>
  <si>
    <t>CNN: Tennessee movie theater shooting suspect killed by police http://t.co/dI8ElZsWNR</t>
  </si>
  <si>
    <t>Oops: Bounty hunters try to raid Phoenix police chief's home: A group of armed bounty hunters surrounded the h... http://t.co/dGELJ8rYt9</t>
  </si>
  <si>
    <t>quarantine</t>
  </si>
  <si>
    <t>missouri USA</t>
  </si>
  <si>
    <t>Reddit Will Now Quarantine_x0089_Û_ http://t.co/pkUAMXw6pm #onlinecommunities #reddit #amageddon #freespeech #Business http://t.co/PAWvNJ4sAP</t>
  </si>
  <si>
    <t>Bucharest</t>
  </si>
  <si>
    <t>#Reddit updates #content #policy promises to quarantine _x0089_Û÷extremely offensive_x0089_Ûª communities http://t.co/EHGtZhKAn4</t>
  </si>
  <si>
    <t>Joshua Tree, CA</t>
  </si>
  <si>
    <t>Reddit Will Now Quarantine Offensive Content http://t.co/WosYPVQUFI http://t.co/XW8SDS1Tjp</t>
  </si>
  <si>
    <t>Reddit Will Now Quarantine OffensiveåÊContent http://t.co/VYgh2ni4Ah</t>
  </si>
  <si>
    <t>Reddit Will Now Quarantine Offensive Content http://t.co/LTmgdP6Jaf</t>
  </si>
  <si>
    <t>quarantined</t>
  </si>
  <si>
    <t>Officials: Alabama home quarantined over possible Ebola case http://t.co/UYUgFg3k1h</t>
  </si>
  <si>
    <t>Here we go again. EBOLA! Run for your lives! aaarrrgghhh!
http://t.co/G2UIMBeKgE</t>
  </si>
  <si>
    <t>Sarasota, FL</t>
  </si>
  <si>
    <t>Reddit's new content policy goes into effect many horrible subreddits banned or quarantined http://t.co/ZsXqbdUzBN http://t.co/6NCfjXPLOY</t>
  </si>
  <si>
    <t>#hot  Reddit's new content policy goes into effect many horrible subreddits banned or quarantined http://t.co/nGKrZPza45 #prebreak #best</t>
  </si>
  <si>
    <t>Officials: Alabama home quarantined over possible ... http://t.co/Rb2s0jmleJ</t>
  </si>
  <si>
    <t>Karolinska vÌ_gen 18, Solna</t>
  </si>
  <si>
    <t>Officials say a quarantine is in place at a Birmingham home over a possible Ebola case.
Edward Khan of the... http://t.co/qnIJ2p8Zv6</t>
  </si>
  <si>
    <t>gmtTy mhtw4fnet
Officials: Alabama home quarantined over possible Ebola case - Washington Times</t>
  </si>
  <si>
    <t>Alabama home quarantined over possible Ebola case: Officials say a quarantine is in place at ... http://t.co/ztOnvgubVm #Bluehand #PJNET</t>
  </si>
  <si>
    <t>I Heard #2MBikers</t>
  </si>
  <si>
    <t>Hm MT @Ebolatrends: Alabama Home Quarantined Over Possible Ebola Case http://t.co/ihVMtmZXne http://t.co/jLieMrSnnj</t>
  </si>
  <si>
    <t>Alabama firefighters quarantined after possible Ebola exposure http://t.co/hzpX6vAQPZ reports http://t.co/L4W0PCorbs</t>
  </si>
  <si>
    <t>0nPzp mhtw4fnet
Officials: Alabama Home Quarantined Over Possible Ebola Case - ABC News</t>
  </si>
  <si>
    <t>Ebola</t>
  </si>
  <si>
    <t>Alabama home quarantined over possible #Ebola case: An ambulance sat outside the University of Alabama at_x0089_Û_ http://t.co/y2JT1aMyFJ</t>
  </si>
  <si>
    <t>Ebola: Alabama Home Quarantined Over Possible Ebola Case.. Related Articles: http://t.co/BiigD1LEq3</t>
  </si>
  <si>
    <t>oc73x mhtw4fnet
Officials: Alabama home quarantined over possible Ebola case - Washington Post</t>
  </si>
  <si>
    <t>radiation%20emergency</t>
  </si>
  <si>
    <t>I liked a @YouTube video http://t.co/V57NUgmGKT US CANADA RADIATION UPDATE EMERGENCY FISHING CLOSURES</t>
  </si>
  <si>
    <t>WIPP emergency activated because of slightly elevated levels of radiation. #sejorg</t>
  </si>
  <si>
    <t>Burlington, VT</t>
  </si>
  <si>
    <t>Some of worst radiation exposure from Fukushima meltdown happened 47km northwest-Proof that small emergency planning zones don_x0089_Ûªt cut it</t>
  </si>
  <si>
    <t>Warszawa</t>
  </si>
  <si>
    <t>Radioactive Box Quarantined - Israel_x0089_Ûªs Ashdod Port was evacuated when emergency teams discovered radiation emittin... http://t.co/swQ5lMyDka</t>
  </si>
  <si>
    <t>Radiation emergency #preparedness starts with knowing to: get inside stay inside and stay tuned http://t.co/RFFPqBAz2F via @CDCgov</t>
  </si>
  <si>
    <t>rainstorm</t>
  </si>
  <si>
    <t>Gloucester, MA</t>
  </si>
  <si>
    <t>Rainstorm downtown Gloucester
#gloucester #capeann #seagulls #triciaoneill #triciaoneillphoto https://t.co/oLS6qdi9Um</t>
  </si>
  <si>
    <t xml:space="preserve">Alberta </t>
  </si>
  <si>
    <t>Wow what beauty lies within every storm. Taken today after a rainstorm at A&amp;amp;B Pipeliners http://t.co/pSt5bBQ0av</t>
  </si>
  <si>
    <t>Yobe State</t>
  </si>
  <si>
    <t>Rainstorm Destroys 600 Houses in Yobe State: Rainstorm Destroys 600 Houses in Yobe State. [Daily Trust] Damatu...  http://t.co/rzxQSSun02</t>
  </si>
  <si>
    <t>United States of America</t>
  </si>
  <si>
    <t>'Three #people were #killed when a severe #rainstorm in the #Italian #Alps caused a #landslide' http://t.co/hAXJ6Go2ac</t>
  </si>
  <si>
    <t>Landslide in Italian Alps kills three: ROME (Reuters) - Three people were killed when a severe rainstorm in th... http://t.co/uZwXJBG0Zh</t>
  </si>
  <si>
    <t>Federal Capital Territory</t>
  </si>
  <si>
    <t>Rainstorm Destroys 600 Houses In Yobe | iReporter https://t.co/0rNY349UnT via @sharethis</t>
  </si>
  <si>
    <t>music.</t>
  </si>
  <si>
    <t>major rainstorm happening! I'm gonna lie down and drift away to the storming around me for a little while. bebacksoon.</t>
  </si>
  <si>
    <t xml:space="preserve">online </t>
  </si>
  <si>
    <t>Landslide in Italian Alps kills three - ROME (Reuters) - Three people were killed when a severe rainstorm in the I... http://t.co/BoygBp0Jw9</t>
  </si>
  <si>
    <t>Rainstorm Update: Further North or Further South? http://t.co/50vdQ7A1M5 http://t.co/QH6oXfT9Ir</t>
  </si>
  <si>
    <t xml:space="preserve">Thailand Malaysia Indonesia </t>
  </si>
  <si>
    <t>Nigeria: Rainstorm Destroys 600 Houses in Yobe State: [Daily Trust] Damaturu -Over 600_x0089_Û_ http://t.co/BBQnK76qUS</t>
  </si>
  <si>
    <t>Landslide in Italian Alps kills three: ROME (Reuters) - Three people were killed when a severe rainstorm in th... http://t.co/SmKZnF52Za</t>
  </si>
  <si>
    <t>Fairfax, VA</t>
  </si>
  <si>
    <t>Tomorrow's evening commute receives a RED LIGHT. A rainstorm impacting the region will push it's way in late evening. http://t.co/DRvm8ISOtE</t>
  </si>
  <si>
    <t>That rainstorm didn't last nearly long enough</t>
  </si>
  <si>
    <t>Sicamous, British Columbia</t>
  </si>
  <si>
    <t>lizzie363 @CstSmith I drove thru deep water in a flash flood--rainstorm repair cost $14000. 25 yrs later people still thnk cars float!!!</t>
  </si>
  <si>
    <t>North Vancouver, BC</t>
  </si>
  <si>
    <t>Yay I can feel the wind gearing up for a rainstorm in #Vancouver!! Bring it on #drought #deadgrassandflowers #wildfires</t>
  </si>
  <si>
    <t>Pioneer Village, KY</t>
  </si>
  <si>
    <t>'The way you move is like a full on rainstorm and I'm a house of cards'</t>
  </si>
  <si>
    <t>Rainstorm Destroys 600 Houses in Yobe State http://t.co/nU0D3uANNZ</t>
  </si>
  <si>
    <t>Landslide caused by severe rainstorm kills 3 in ItalianåÊAlps https://t.co/8BhvxX2Xl9 http://t.co/4ou8s82HxJ</t>
  </si>
  <si>
    <t>razed</t>
  </si>
  <si>
    <t>The Latest: More Homes Razed by Northern California Wildfire - ABC News http://t.co/AKnBtuyaef</t>
  </si>
  <si>
    <t>TENSION IN ABIA AS INEC OFFICE_x0089_ÛªS RAZEDåÊ_x0089_ÛÒ GOVERNOR IKPEAZU PDP APGA REACT http://t.co/aKzZOe5CE6</t>
  </si>
  <si>
    <t>Tulsa, OK</t>
  </si>
  <si>
    <t>The Latest: More homes razed by Northern California wildfire: The latest on wildfires burning in California and_x0089_Û_ http://t.co/0Keh2TReNy</t>
  </si>
  <si>
    <t>The Latest: More homes razed by Northern California wildfire - http://t.co/nTSwUAYEJI http://t.co/wgeFBuk4Jk</t>
  </si>
  <si>
    <t>The Latest: More Homes Razed by Northern California Wildfire - ABC News http://t.co/ZBZc8905Gl</t>
  </si>
  <si>
    <t>The Latest: More Homes Razed by Northern California Wildfire - ABC News http://t.co/lY8x7rqbwN</t>
  </si>
  <si>
    <t>http://t.co/iXiYBAp8Qa The Latest: More homes razed by Northern California wildfire - Lynchburg News and Advance http://t.co/zEpzQYDby4</t>
  </si>
  <si>
    <t>#News : The Latest: More Homes Razed by Northern California Wildfire - New York Times http://t.co/5kBRZZmf8c #TAFS #FB100%</t>
  </si>
  <si>
    <t>The Latest: More Homes Razed by Northern California Wildfire - ABC News http://t.co/d1VjOYg52A</t>
  </si>
  <si>
    <t>The Latest: More Homes Razed by Northern California Wildfire - ABC News http://t.co/dOFRh5YB01</t>
  </si>
  <si>
    <t>The Latest: More homes razed by Northern California wildfire - http://t.co/2nIP3d15dx http://t.co/egYFNlAOQv</t>
  </si>
  <si>
    <t>The Latest: More homes razed by Northern California wildfire - http://t.co/BsGR67dyWY http://t.co/nDGgr6Xyqd</t>
  </si>
  <si>
    <t>The Latest: More homes razed by Northern California wildfire - http://t.co/5FcJVMl520 http://t.co/fvYRWhux8p</t>
  </si>
  <si>
    <t>The Latest: More homes razed by Northern California wildfire - http://t.co/3tnuACIV3c http://t.co/SAkORGdqUL</t>
  </si>
  <si>
    <t>The Latest: More homes razed by Northern California wildfire - http://t.co/P3g3bQBczu http://t.co/RpBxdfnx5k</t>
  </si>
  <si>
    <t>The Latest: More Homes Razed by Northern California Wildfire - ABC News http://t.co/x1xj0XVTj7</t>
  </si>
  <si>
    <t>Ames, IA</t>
  </si>
  <si>
    <t>@DavidVonderhaar At least you were sincere ??</t>
  </si>
  <si>
    <t>The Latest: More Homes Razed by Northern California Wildfire - ABC News http://t.co/Rg9yaybOSA</t>
  </si>
  <si>
    <t>The Latest: More Homes Razed by Northern California Wildfire - ABC News http://t.co/2872J5d4HB</t>
  </si>
  <si>
    <t>The Latest: More homes razed by Northern California wildfire - http://t.co/ecXMoiNZgU http://t.co/ntwWDweDNb</t>
  </si>
  <si>
    <t>San Diego California 92101</t>
  </si>
  <si>
    <t>More homes razed by Northern Calif. wildfire http://t.co/u52RW9Ji2r #sandiego http://t.co/GX75w3q9Ye</t>
  </si>
  <si>
    <t>George Njenga the hero saved his burning friend from a razing wildfire http://t.co/Ywkk26arAG</t>
  </si>
  <si>
    <t>The Latest: More Homes Razed by Northern California Wildfire - ABC News http://t.co/bKsYymvIsg #GN</t>
  </si>
  <si>
    <t>The Latest: More Homes Razed by Northern California Wildfire - ABC News http://t.co/RlPTtkBG4W</t>
  </si>
  <si>
    <t>The Latest: More Homes Razed by Northern California Wildfire - ABC News http://t.co/6AcSWzo7cw</t>
  </si>
  <si>
    <t>The Latest: More Homes Razed by Northern California Wildfire - ABC News http://t.co/hCKxJ8eukt</t>
  </si>
  <si>
    <t>The Latest: More homes razed by #NorthernCalifornia wildfire http://t.co/mONiJJth7V #ZippedNews http://t.co/0yXBB5dzw5</t>
  </si>
  <si>
    <t>The Latest: More homes razed by Northern California wildfire - http://t.co/R1CNSjUAYQ http://t.co/DQ1yLcrF9K</t>
  </si>
  <si>
    <t>George Njenga the hero saved his burning friend from a razing wildfire... http://t.co/us8r6Qsn0p</t>
  </si>
  <si>
    <t>The Latest: More homes razed by Northern California wildfire - http://t.co/IrqUjaEsck http://t.co/qDwEknRMi9</t>
  </si>
  <si>
    <t>The Latest: More Homes Razed by Northern California Wildfire - ABC News http://t.co/aueZxZA5ak</t>
  </si>
  <si>
    <t>refugees</t>
  </si>
  <si>
    <t>This just-married Turkish couple gave 4000 Syrian refugees an incredible gift http://t.co/ibeD3xG7fy Fed them instead of family &amp;amp; friends.</t>
  </si>
  <si>
    <t>Ad Majorem Dei Glorium</t>
  </si>
  <si>
    <t>Police Monitoring 200 Jihadis in Poland http://t.co/1wCOfmLUb9 via @freedomoutpost</t>
  </si>
  <si>
    <t xml:space="preserve"> Baku &amp; Erzurum </t>
  </si>
  <si>
    <t>This just-married Turkish couple gave 4000 Syrian refugees an incredible gift #WashingtonPost http://t.co/aRKmc7vclN</t>
  </si>
  <si>
    <t>paradise</t>
  </si>
  <si>
    <t>#retweet Cameroon repatriating about 12000 Nigerian refugees due to Boko Haram http://t.co/wvVgmejA7l</t>
  </si>
  <si>
    <t>wowo--=== 12000 Nigerian refugees repatriated from Cameroon</t>
  </si>
  <si>
    <t>./.....hmm 12000 Nigerian refugees repatriated from Cameroon http://t.co/YTW9SlWvmg /(</t>
  </si>
  <si>
    <t>...//..// whao.. 12000 Nigerian refugees repatriated from Cameroon http://t.co/baE0Ap4G9Y</t>
  </si>
  <si>
    <t>reaad/ plsss 12000 Nigerian refugees repatriated from Cameroon</t>
  </si>
  <si>
    <t>Refugee Connections Indiegogo campaign will be going live tomorrow! Support us and help launch the only online community for #refugees.</t>
  </si>
  <si>
    <t>y'all read 12000 Nigerian refugees repatriated from Cameroon http://t.co/aVwE1LBvhn</t>
  </si>
  <si>
    <t>Short of throwing them overboard himself I don't think any other leader could do much worse by #refugees than @TonyAbbottMHR worst pm ever!</t>
  </si>
  <si>
    <t>Warri</t>
  </si>
  <si>
    <t>Cameroon Repatriated 12000 Nigerian Refugees http://t.co/6nQRU2q5Tz</t>
  </si>
  <si>
    <t>How One Couple Is Using Drones to Save Refugees at the World's Deadliest Border http://t.co/9qpG0Z3Rh9</t>
  </si>
  <si>
    <t>...//..// whao.. 12000 Nigerian refugees repatriated from Cameroon http://t.co/HuhWPmryWz</t>
  </si>
  <si>
    <t>./.....hmm 12000 Nigerian refugees repatriated from Cameroon http://t.co/96p3hUJNTj /(</t>
  </si>
  <si>
    <t>Skyhold</t>
  </si>
  <si>
    <t>@fadelurker @dalinthanelan &amp;lt; right now.
Even after two years there were still refugees camped just south of Redcliffe village and Aidan &amp;gt;</t>
  </si>
  <si>
    <t>Amman,Jordan</t>
  </si>
  <si>
    <t>In Photos: The Young Refugees Forced to Flee Burundi's Violence | VICE News https://t.co/jOjnq2oOPi see more http://t.co/DsKuI6Mmgl</t>
  </si>
  <si>
    <t>Newlyweds feed thousands of Syrian refugees instead of hosting a banquet wedding dinner -  http://t.co/XZV0lT9ZZk via @smh</t>
  </si>
  <si>
    <t>recap/ 12000 Nigerian refugees repatriated from Cameroon http://t.co/po19h8YCND</t>
  </si>
  <si>
    <t>...//..// whao.. 12000 Nigerian refugees repatriated from Cameroon http://t.co/po19h8YCND</t>
  </si>
  <si>
    <t>QLD Australia</t>
  </si>
  <si>
    <t>The 46 returned refugees - what were they fleeing from &amp;amp; how will the Vietnamese Govt treat them now they are returned? #Dutton #presser</t>
  </si>
  <si>
    <t>Geneva, Switzerland</t>
  </si>
  <si>
    <t>CHPSRE: RT: Refugees: For our followers in Paris do visit 'A Dream of Humanity' exhibition by rezaphotography _x0089_Û_ _x0089_Û_ http://t.co/RPmTROPsVr</t>
  </si>
  <si>
    <t>rescue</t>
  </si>
  <si>
    <t>Trinidad &amp; Tobago</t>
  </si>
  <si>
    <t>Policyholders object to Clico rescue plan http://t.co/E4DvI9vUXZ http://t.co/JyCpf8iYhg</t>
  </si>
  <si>
    <t>Toronto, Ontario</t>
  </si>
  <si>
    <t>UD: Rescue (Structural Collapse) - Scott Road @ Ypres Road York (14 Trucks)</t>
  </si>
  <si>
    <t>Flood-zone : General Raheel Sharif visits Chitral: He  also lauded the efforts of  FWO army troops and army aviation in rescue opera...</t>
  </si>
  <si>
    <t>Officials rescue 367 migrants off Libya; 25 bodies found - Fox News http://t.co/cEdCUgEuWs #News</t>
  </si>
  <si>
    <t>rescued</t>
  </si>
  <si>
    <t>@Zak_Bagans this is Sabrina my dad rescued her from some dude who kept her in a cage. We've had her since I was 4 http://t.co/1k2PhQcuW8</t>
  </si>
  <si>
    <t>Britons rescued amid Himalaya floods (http://t.co/WGRXLy9pDO) http://t.co/BJ4hAAVAYE http://t.co/59p3AoIQUS</t>
  </si>
  <si>
    <t>4 kidnapped ladies rescued by police in Enugu | Nigerian Tribune http://t.co/xYyEV89WIz</t>
  </si>
  <si>
    <t>Jakarta</t>
  </si>
  <si>
    <t>Rescued Med migrants arrive in Sicily http://t.co/Z8xIqNgulc</t>
  </si>
  <si>
    <t>10-Month-Old Baby Girl was Rescued by Coastguard after She Floated HALF A MILE Out to Sea! #socialnews http://t.co/kJUzJC6iGD</t>
  </si>
  <si>
    <t>Rescued Med migrants arrive in Sicily http://t.co/nekm1RPohU</t>
  </si>
  <si>
    <t>Jammu | Kashmir | Delhi</t>
  </si>
  <si>
    <t>18 bovines rescued 3 smugglersåÊnabbed http://t.co/E7fn5G5rUu</t>
  </si>
  <si>
    <t>#news Britons rescued amid Himalaya floods http://t.co/kEPznhXHXd</t>
  </si>
  <si>
    <t>@BrittanyPetko breaking news tonight kids were rescued from play room after a week with no food or water do to parents sex life haha</t>
  </si>
  <si>
    <t>NIGERIA</t>
  </si>
  <si>
    <t>http://t.co/QGyN2u1UP3 Rescued Med migrants arrive in Sicily: Hundreds of migrants rescued_x0089_Û_ http://t.co/wiS3H9Tqrm</t>
  </si>
  <si>
    <t>The green and pleasant land.</t>
  </si>
  <si>
    <t>Why weren't they taken back to Africa once rescued? #c4news</t>
  </si>
  <si>
    <t>Migrants Rescued After Boat Capsizes Off Libya http://t.co/pmGgavtokP</t>
  </si>
  <si>
    <t>Young children among those rescued from capsized boat off Libya http://t.co/Kot9zVD2H7 via @IrishTimesWorld</t>
  </si>
  <si>
    <t>Heroes! A Springer Spaniel &amp;amp; her dog dad rescued a stranded baby dolphin: http://t.co/G03DkPooNP http://t.co/Go0HPi0B4c</t>
  </si>
  <si>
    <t>Three beached whales rescued in Kerry - http://t.co/rQbsPUCjDF</t>
  </si>
  <si>
    <t>Photo: Hundreds of rescued migrants await disembarkment from an Irish naval vessel at Palermo Italy - @tconnellyR_x0089_Û_ https://t.co/AIM5CYHL0y</t>
  </si>
  <si>
    <t>Rescued Med migrants arrive in Sicily http://t.co/p4dOA5YYJe</t>
  </si>
  <si>
    <t>rescuers</t>
  </si>
  <si>
    <t>VIDEO: 'We're picking up bodies from water': Rescuers are searching for hundreds of migrants in ... http://t.co/bS6PjT09Tc #Africa #News</t>
  </si>
  <si>
    <t>Westerland</t>
  </si>
  <si>
    <t>VIDEO: 'We're picking up bodies from water': Rescuers are searching for hundreds of migrants in the Mediterran... http://t.co/s5NuEGSwYj</t>
  </si>
  <si>
    <t>Kuala Lumpur</t>
  </si>
  <si>
    <t>VIDEO: 'We're picking up bodies from water': Rescuers are searching for hundreds of migrants in the Mediterran... http://t.co/ciwwUQthin</t>
  </si>
  <si>
    <t>Surabaya</t>
  </si>
  <si>
    <t>VIDEO: 'We're picking up bodies from water': Rescuers are searching for hundreds of migrants in the Mediterran... http://t.co/GEU4H46CsZ</t>
  </si>
  <si>
    <t>#iminchina</t>
  </si>
  <si>
    <t>VIDEO: 'We're picking up bodies from water' - Rescuers are searching for hundreds of migrants in the Mediterranean... http://t.co/yhQU5UV6Ok</t>
  </si>
  <si>
    <t>#world Fears over missing migrants in Med: Rescuers search for survivors after a boat carrying as many a... http://t.co/6DS67XAI5e #news</t>
  </si>
  <si>
    <t>@Durban_Knight Rescuers are searching for hundreds of migrants in the Mediterranean after a boat carr... http://t.co/cWCVBuBs01 @Nosy_Be</t>
  </si>
  <si>
    <t>#RoddyPiperAutos Fears over missing migrants in Med: Rescuers search for survivors after a boat carrying as ma...  http://t.co/97B8AVgEWU</t>
  </si>
  <si>
    <t>VIDEO: 'We're picking up bodies from water': Rescuers are searching for hundreds of migrants in the Mediterranean after a boat carryi...</t>
  </si>
  <si>
    <t>Woman_x0089_Ûªs GPS app guides rescuers to injured biker in Marin County http://t.co/UoJy4E2Sv4</t>
  </si>
  <si>
    <t>VIDEO: 'We're picking up bodies from water': Rescuers are searching for hundreds of migrants in the Mediterran... http://t.co/zG1YddywA5</t>
  </si>
  <si>
    <t>VIDEO: 'We're picking up bodies from water': Rescuers are searching for hundreds of migrants in the Mediterran... http://t.co/PUezv6bd37</t>
  </si>
  <si>
    <t>VIDEO: 'We're picking up bodies from water': Rescuers are searching for hundreds of migrants in ... http://t.co/awtScUCBBV #Africa #News</t>
  </si>
  <si>
    <t>#WorldNews
 VIDEO: 'We're picking up bodies from water' - BBC News - Home:
Rescuers are searching for hundreds of.. http://t.co/6hhmBdK9Yo</t>
  </si>
  <si>
    <t xml:space="preserve">?????????????, Thailand </t>
  </si>
  <si>
    <t>VIDEO: 'We're picking up bodies from water': Rescuers are searching for hundreds of migrants in the Mediterran... http://t.co/ZFWMjh6SLh</t>
  </si>
  <si>
    <t>http://t.co/XlFi7ovhFJ VIDEO: 'We're picking up bodies from water': Rescuers are searching for hundreds_x0089_Û_ http://t.co/rAq4ZpdvKe</t>
  </si>
  <si>
    <t>17th Dimension</t>
  </si>
  <si>
    <t>AH-Mazing story of the power animal rescuers have! A starving homeless dog with no future was rescued by a person... http://t.co/ficd5qbqwl</t>
  </si>
  <si>
    <t>Rescuers are searching for hundreds of migrants in the Mediterranean after a boat carrying as many as 600 people capsized off the coast of_x0089_Û_</t>
  </si>
  <si>
    <t>#News: 'Many deaths' in shipwreck: Rescuers are trying to save hundreds of migrants after the... http://t.co/tX51oYbrN6 via @TheNewsHype</t>
  </si>
  <si>
    <t>USA - Canada - Europe - Asia</t>
  </si>
  <si>
    <t>VIDEO: 'We're picking up bodies from water': Rescuers are searching for hundreds of migrants in the Mediterran... http://t.co/PsPm3ahGKQ</t>
  </si>
  <si>
    <t>VIDEO: 'We're picking up bodies from water': Rescuers are searching for hundreds of migrants in the Mediterran... http://t.co/yvO6q6W442</t>
  </si>
  <si>
    <t>Phoenix</t>
  </si>
  <si>
    <t>When Rescuers Found Him He Was Barely Alive. But They Had No Idea He Was Allergic To THIS! http://t.co/VecmsiUUh1</t>
  </si>
  <si>
    <t>Fears over missing migrants in Med: Rescuers search for survivors after a boat carrying as many as 600 migrant... http://t.co/gx9sKUAu9J</t>
  </si>
  <si>
    <t>Woman's GPS app guides rescuers to injured biker in Marin County - SFGate http://t.co/Iz9U8BhfAA</t>
  </si>
  <si>
    <t>Fears over missing migrants in Med: Rescuers search for survivors after a boat carrying as many as 600 migrants_x0089_Û_ http://t.co/v9ftYB30EI</t>
  </si>
  <si>
    <t>Rescuers find survivors of Nepal earthquake buried ... http://t.co/I8SJ1KWs1D</t>
  </si>
  <si>
    <t>Paris, France</t>
  </si>
  <si>
    <t>Rescuers recover body of 37-year-old Calgary man from lake near Vulcan 
             _x0089_Û_ http://t.co/gAEhr9bHEk</t>
  </si>
  <si>
    <t>Fears over missing migrants in Med: Rescuers search for survivors after a boat carrying as many as 600 migrants_x0089_Û_ http://t.co/IXfnE5Jlep</t>
  </si>
  <si>
    <t>Here, there and everywhere</t>
  </si>
  <si>
    <t>VIDEO: 'We're picking up bodies from water': Rescuers are searching for hundreds of migrants in the... http://t.co/UymxocFs33 #BBC #News</t>
  </si>
  <si>
    <t>riot</t>
  </si>
  <si>
    <t>Cardiff, UK</t>
  </si>
  <si>
    <t>@PipRhys I predict a riot.</t>
  </si>
  <si>
    <t>@Live_Workshop selfie at booth or riot Kappa</t>
  </si>
  <si>
    <t>To All The Meat-Loving Feminists Of The World Riot Grill Has Arrived http://t.co/TiOst8oKvX</t>
  </si>
  <si>
    <t>Sligo and Galway, Ireland</t>
  </si>
  <si>
    <t>@DavidJordan88 @Stephanenny Except we don't know who started the riot or if it even makes sense to credit any particular individuals...</t>
  </si>
  <si>
    <t xml:space="preserve">Tipperary (Long Way) </t>
  </si>
  <si>
    <t>Sweetpea's are running riot at the allotment - and brightening up a rainy day http://t.co/6NdBFOPK5m</t>
  </si>
  <si>
    <t>Malang</t>
  </si>
  <si>
    <t>Riot police intervene after Southampton and Vitesse Arnhem supporters clash: _x0089_Û¢ Fans clash in buildup to second... http://t.co/sKVNmtZGeG</t>
  </si>
  <si>
    <t>rioting</t>
  </si>
  <si>
    <t>hertfordshire.</t>
  </si>
  <si>
    <t>But the government will not care. Police will stop rioting eventually of protestors. Eventually some skyscrapers become plant-covered .</t>
  </si>
  <si>
    <t>Eric Clapton shot the sheriff in 1974 and guess how many people were rioting? Right none.</t>
  </si>
  <si>
    <t>SURROUNDED BY WEEABOOS</t>
  </si>
  <si>
    <t>'Money can't buy happiness' is just a lie we tell poor people to keep them from rioting.</t>
  </si>
  <si>
    <t>Bloody hell it's already been upgraded to 'rioting'. #hyperbole #saintsfc</t>
  </si>
  <si>
    <t>Twitter is doing a count down to the rioting and financial collapse of Brazil #Rio2016 http://t.co/9mtrq5Jf4d</t>
  </si>
  <si>
    <t>Vista, CA</t>
  </si>
  <si>
    <t>http://t.co/wspuXOrEWb  Cindy Noonan@CindyNoonan-Heartbreak in #Baltimore #Rioting #YAHIstorical #UndergroundRailraod</t>
  </si>
  <si>
    <t>Serva Fidem</t>
  </si>
  <si>
    <t>Leeds fan.... rioting in Embra at a lower tier/ league cup final ... dee dum</t>
  </si>
  <si>
    <t>Still rioting in a couple of hours left until I have to be up for class.</t>
  </si>
  <si>
    <t>trapped in America</t>
  </si>
  <si>
    <t>@evacide The Ferguson RIOTS worked. This of this the next time you say RIOTING doesn't change anything.
There fixed it for you.</t>
  </si>
  <si>
    <t>A little house in the outback.</t>
  </si>
  <si>
    <t>`bbcnews The Ass. of British Insurers says rioting will cost insurers  &amp;amp;#163;163;millions. But police numbers are reduced by blind fat contr</t>
  </si>
  <si>
    <t>tri state</t>
  </si>
  <si>
    <t>#BHRAMABULL Watch Run The Jewels Use Facts to Defend Rioting in Ferguson: The socially minded duo takes on the... http://t.co/Ld5P1sIa2N</t>
  </si>
  <si>
    <t>@BLutz10 People aren't rioting because justice has been served and that murderer is behind bars. Simple! No justice=no peace Justice=peace.</t>
  </si>
  <si>
    <t>Scotland, United Kingdom</t>
  </si>
  <si>
    <t>@jasalhad @brianboru67 @Jimskiv92 @hijinks1967 Rioting.</t>
  </si>
  <si>
    <t>RT : Why Sweden Isn't Venezuela: There have been a few days of rioting in Venezuela with the riots directed at gr_x0089_Û_ http://t.co/GJfd85vuf2</t>
  </si>
  <si>
    <t>@aelinrhee a group of mascara smeared girls rioting will be horrific I think</t>
  </si>
  <si>
    <t>The last time a high profile name was due to be signing for #nffc the City was rioting! Wesley Verhoek now a household name! #don'tpanic</t>
  </si>
  <si>
    <t>Colonial Heights, VA</t>
  </si>
  <si>
    <t>@halljh1720. I am so sick of criminals parents and friends rioting when they are killed by police. You don't give a Damn when officer is.</t>
  </si>
  <si>
    <t>@BLutz10 But the rioting began prior to the decision for the indictment so you're not really making sense at this point_x0089_Û_</t>
  </si>
  <si>
    <t>The Ashes Test match is currently more interesting than stupid Congress rioting...</t>
  </si>
  <si>
    <t>The Weird Part of Wonderland</t>
  </si>
  <si>
    <t>people rioting everywhere and I think I'd be one of them.'
Usami-san &amp;lt;3</t>
  </si>
  <si>
    <t>Football hooligan jailed for rioting before game in Scotland was already banned from matches in England #UkNews http://t.co/q5mp2Q6Hy8</t>
  </si>
  <si>
    <t>AM `bbcnews The Ass British Insurers says rioting will cost insurers163;millions. But police numbers are reduced by blind fat controllers.</t>
  </si>
  <si>
    <t>Cassadaga Florida</t>
  </si>
  <si>
    <t>@fa07af174a71408 I have lived &amp;amp; my family have lived in countries where looters were shot on sight where rioting wasn't tolerated. Why here</t>
  </si>
  <si>
    <t>rubble</t>
  </si>
  <si>
    <t>@accionempresa China_x0089_Ûªs stock market crash this summer has sparked interest from bargain hunt... http://t.co/s0Eyq1wEHE @gerenciatodos å¨</t>
  </si>
  <si>
    <t>Dubai, UAE</t>
  </si>
  <si>
    <t>#forbes #europe China's Stock Market Crash: Are There Gems In The Rubble? http://t.co/C0SlAbBP7j</t>
  </si>
  <si>
    <t>Phoenix Az</t>
  </si>
  <si>
    <t>@JasonPope2 @JohnFugelsang again I didn't say it was. I was referring to the main 2 buildings. 7 was hit by rubble</t>
  </si>
  <si>
    <t>#360WiseNews : China's Stock Market Crash: Are There Gems In The Rubble? http://t.co/9Naw3QOQOL</t>
  </si>
  <si>
    <t>Jun 2015. Yemenis search for survivors under the rubble of houses in the old city of San_x0089_Ûªa following an... http://t.co/11JUzHlgmT</t>
  </si>
  <si>
    <t>ON</t>
  </si>
  <si>
    <t>China's Stock Market Crash: Are There Gems In The Rubble? http://t.co/j4ggmKINEy #forbesasia</t>
  </si>
  <si>
    <t>St. Louis, MO</t>
  </si>
  <si>
    <t>Steve Buscemi was a firefightr B4 fame &amp;amp; workd 12hr shifts diggin thru WTC rubble lookg 4 survivors. http://t.co/L9fJpNSZuO</t>
  </si>
  <si>
    <t>West Africa</t>
  </si>
  <si>
    <t>#TNN: China's Stock Market Crash: Are There Gems In The Rubble? http://t.co/9LO0hZwJPZ</t>
  </si>
  <si>
    <t>China's Stock Market Crash: Are There Gems In The Rubble? http://t.co/BqBLWiw08g #ROIMentor #yycwalks</t>
  </si>
  <si>
    <t xml:space="preserve">Made Here In Detroit </t>
  </si>
  <si>
    <t>#360WiseNews : China's Stock Market Crash: Are There Gems In The Rubble? http://t.co/aOd2ftBMGU</t>
  </si>
  <si>
    <t>ruin</t>
  </si>
  <si>
    <t>Wailuku, Maui</t>
  </si>
  <si>
    <t>Four Things That May Ruin Your Personal Injury Accident Claim http://t.co/ZU9YYdF5DI</t>
  </si>
  <si>
    <t>sandstorm</t>
  </si>
  <si>
    <t>Watch This Airport Get Swallowed Up By A Sandstorm In Under A Minute http://t.co/mkWyvM3i8r</t>
  </si>
  <si>
    <t>Watch This Airport Get Swallowed Up By A Sandstorm In Under A Minute http://t.co/aZL4XydvzK</t>
  </si>
  <si>
    <t>Watch This Airport Get Swallowed Up By A Sandstorm In Under A Minute http://t.co/Z2Ph0ArzYI</t>
  </si>
  <si>
    <t>Watch This Airport Get Swallowed Up By A Sandstorm In Under A Minute http://t.co/brctMNybjy</t>
  </si>
  <si>
    <t>hkXfYMhEx</t>
  </si>
  <si>
    <t>Watch This Airport Get Swallowed Up By A Sandstorm In Under A Minute http://t.co/NX2d83A4Du</t>
  </si>
  <si>
    <t>Watch This Airport Get Swallowed Up By A Sandstorm In Under A Minute http://t.co/GaotrG4mTr</t>
  </si>
  <si>
    <t>Watch This Airport Get Swallowed Up By A Sandstorm In Under A Minute http://t.co/rkU0IDM6aQ</t>
  </si>
  <si>
    <t>Watch This Airport Get Swallowed Up By A Sandstorm In Under A Minute http://t.co/7IJlZ6BcSP</t>
  </si>
  <si>
    <t>A sandstorm in Jordan has coated the Middle East_x0089_Ûªs largest refugee camp in a layer of grit http://t.co/hVJmuuaLXV http://t.co/T8Nz6h9Zz4</t>
  </si>
  <si>
    <t>Hamilton County, IN</t>
  </si>
  <si>
    <t>SANDSTORM!!! WOO HOO!!</t>
  </si>
  <si>
    <t>Watch This Airport Get Swallowed Up By A Sandstorm In Under A Minute http://t.co/VZPKn23RX4</t>
  </si>
  <si>
    <t>Watch This Airport Get Swallowed Up By A Sandstorm In Under A Minute http://t.co/Rm50vCVjsh</t>
  </si>
  <si>
    <t>Watch This Airport Get Swallowed Up By A Sandstorm In Under A Minute http://t.co/1tr2KvXCTW</t>
  </si>
  <si>
    <t>Watch This Airport Get Swallowed Up By A Sandstorm In Under A Minute http://t.co/Q0X7e84R4e</t>
  </si>
  <si>
    <t>Dakar</t>
  </si>
  <si>
    <t>SocialWOTS: GLOBI_inclusion: RT NRC_MiddleEast: Sandstorm engulfs caravans and tents in the #Zaatari refugee camp _x0089_Û_ http://t.co/XBNLSBzzgI</t>
  </si>
  <si>
    <t>Watch This Airport Get Swallowed Up By A Sandstorm In Under A Minute http://t.co/H84R1TIh8J</t>
  </si>
  <si>
    <t>Watch This Airport Get Swallowed Up By A Sandstorm In Under A Minute http://t.co/sEquWmvFx4</t>
  </si>
  <si>
    <t>Watch This Airport Get Swallowed Up By A Sandstorm In Under A Minute http://t.co/akNyNPv461</t>
  </si>
  <si>
    <t>Watch This Airport Get Swallowed Up By A Sandstorm In Under A Minute http://t.co/C9t2F6DLtM</t>
  </si>
  <si>
    <t>Watch This Airport Get Swallowed Up By A Sandstorm In Under A Minute http://t.co/xSZicdWxq0</t>
  </si>
  <si>
    <t>Watch This Airport Get Swallowed Up By A Sandstorm In Under A Minute http://t.co/qr6BtDCqCj</t>
  </si>
  <si>
    <t>Watch This Airport Get Swallowed Up By A Sandstorm In Under A Minute http://t.co/wD9ODwjj9L</t>
  </si>
  <si>
    <t>Watch This Airport Get Swallowed Up By A Sandstorm In Under A Minute http://t.co/87H5MbA3N1</t>
  </si>
  <si>
    <t>Watch This Airport Get Swallowed Up By A Sandstorm In Under A Minute http://t.co/8L4RFFZD0P</t>
  </si>
  <si>
    <t>Watch This Airport Get Swallowed Up By A Sandstorm In Under A Minute http://t.co/TvYQczGJdy</t>
  </si>
  <si>
    <t>Come out to Sandstorm tryouts Aug 15th at Lower Woodland!
MS Tryout: 3-4:30pm
HS Tryout: 4:30-6pm</t>
  </si>
  <si>
    <t>Watch This Airport Get Swallowed Up By A Sandstorm In Under A Minute http://t.co/BB7TTdVJWE</t>
  </si>
  <si>
    <t>Watch This Airport Get Swallowed Up By A Sandstorm In Under A Minute http://t.co/bgM4cSrbVd</t>
  </si>
  <si>
    <t>screamed</t>
  </si>
  <si>
    <t>Asgard</t>
  </si>
  <si>
    <t>@GodOf_Mischief_ -of Loki's daggers she pulled it out and jammed it into Mina's thigh. When Mina screamed and grabbed at her leg sif-</t>
  </si>
  <si>
    <t>San Diego, CA</t>
  </si>
  <si>
    <t>OMFG??
Didnt expect Drag Me Down to be the first song Pandora played 
OMFG I SCREAMED SO LOUD
My coworker is scared http://t.co/VzcvAdkcQp</t>
  </si>
  <si>
    <t>North Carolina, USA</t>
  </si>
  <si>
    <t>Vacation update: my great aunt just killed a spider with her bare hand after I screamed in fear. #fierce</t>
  </si>
  <si>
    <t>livin in a plastic world</t>
  </si>
  <si>
    <t>I JUST SCREAMED @toddyrockstar http://t.co/JDtPirnm76</t>
  </si>
  <si>
    <t>screaming</t>
  </si>
  <si>
    <t>tx</t>
  </si>
  <si>
    <t>@camilacabello97 Internally and externally screaming</t>
  </si>
  <si>
    <t>#NoChillLukeHammings
IM SCREAMING</t>
  </si>
  <si>
    <t>screams</t>
  </si>
  <si>
    <t>xiumin's nonexistent solos</t>
  </si>
  <si>
    <t>//screams in the distance// http://t.co/Cfe9HUQN0h</t>
  </si>
  <si>
    <t>Melbourne, Australia.</t>
  </si>
  <si>
    <t>@OllyMursAus I do feel sorry for him! He is not a piece of meat! He is a nice guy... People don't need to rush him and screams in his face!</t>
  </si>
  <si>
    <t>Sheffield/Leeds</t>
  </si>
  <si>
    <t>I agree with certain cultural appropriation things but honestly if u looked at my house it screams appropriation bc Buddhas and stuff-</t>
  </si>
  <si>
    <t>5-Feb</t>
  </si>
  <si>
    <t>When you go to a concert and someone screams in your ear... Does it look like I wanna loose my hearing anytime soon???</t>
  </si>
  <si>
    <t>The little girl next to me sees the spot lights in the sky and screams ' mom! Look I see Angels in the sky!' ????</t>
  </si>
  <si>
    <t>seismic</t>
  </si>
  <si>
    <t>garowe puntland somalia</t>
  </si>
  <si>
    <t>Oil and Gas Exploration http://t.co/PckF0nl2yN</t>
  </si>
  <si>
    <t>SEISMIC RISK: a COMPARISON between 2 case studies: CALABRIA AND MALTA http://t.co/HmRtqEykyI</t>
  </si>
  <si>
    <t>Lives in London</t>
  </si>
  <si>
    <t>Exploration takes seismic shift in #Gabon to #Somalia http://t.co/kLtIt88AS3</t>
  </si>
  <si>
    <t>The 08/06/2015 AlabamaQuake seismic summary w/ #earthquake #news &amp;amp; history http://t.co/zM6VcZqvWk http://t.co/DKNlZNom6n</t>
  </si>
  <si>
    <t>#Sismo DETECTADO #JapÌ_n [Report 1] 01:01:56 Okinawa Island region M4.0 Depth 10km Maximum seismic intensity 3 JST #??</t>
  </si>
  <si>
    <t>[Report 5] 18:22:45 Ibaraki Prefecture offing M5.5 Depth 60km Maximum seismic intensity 4 #Earthquake</t>
  </si>
  <si>
    <t>Somalia</t>
  </si>
  <si>
    <t>Oil and Gas Exploration Takes Seismic Shift in Gabon to Somalia - Bloomberg http://t.co/bEKrPjnYHs #??????? #Somalia</t>
  </si>
  <si>
    <t>#Sismo DETECTADO #JapÌ_n [Report 3] 01:02:17 Okinawa Island region M3.8 Depth 10km Maximum seismic intensity 3 JST #??</t>
  </si>
  <si>
    <t>Madison, Wisconsin, USA</t>
  </si>
  <si>
    <t>#OilandGas Exploration Takes Seismic Shift in #Gabon to #Somalia http://t.co/oHHolJ9vEV via @business</t>
  </si>
  <si>
    <t>Mogadishu, Somalia</t>
  </si>
  <si>
    <t>Exploration Takes Seismic Shift in #Gabon to #Somalia
http://t.co/Ltf6jL5keU http://t.co/Zlq8tHcTkW</t>
  </si>
  <si>
    <t>Perenjori, WA</t>
  </si>
  <si>
    <t>Panoramic Resources cuts jobs after seismic event http://t.co/mUwmfJGzYh</t>
  </si>
  <si>
    <t>A subcontractor working for French seismic survey group CGG has been kidnapped in Cairo and is held by Islamic State the company said on W_x0089_Û_</t>
  </si>
  <si>
    <t>#Sismo DETECTADO #JapÌ_n 06:32:43 Miyagi Estimated seismic intensity 0 JST #??</t>
  </si>
  <si>
    <t>sinkhole</t>
  </si>
  <si>
    <t>MRW when a sinkhole opens up beneath my friends and I... #gif #funny #lol #comedy #iFunny #video #image #RT http://t.co/XiYdYfptru</t>
  </si>
  <si>
    <t>Above the snake line - #YoNews</t>
  </si>
  <si>
    <t>Large sinkhole swallows entire pond in Lowndes County Georgia: Large sinkhole_x0089_Û_ http://t.co/bCLDQmMEHg #Occasion2B</t>
  </si>
  <si>
    <t>San Diego</t>
  </si>
  <si>
    <t>10News ? Water main break disrupts trolley service http://t.co/pAug7a68i0</t>
  </si>
  <si>
    <t>Sinkhole closes Falmer Drive in Bethlehem Township http://t.co/6TVVlG2fNi</t>
  </si>
  <si>
    <t>A sinkhole grows in Brooklyn: six-meter crater swallows street http://t.co/gkPrvzQ6lk</t>
  </si>
  <si>
    <t>NY</t>
  </si>
  <si>
    <t>Gaping sinkhole opens up in Brooklyn New York http://t.co/0xA6FCjyec</t>
  </si>
  <si>
    <t>ill yorker</t>
  </si>
  <si>
    <t>_x0089_ÛÏ@FDNY: This morning #FDNY responded to a sinkhole in #Brooklyn. Units remain on-scene with @NYCBuildings &amp;amp; others. http://t.co/M78ir0IK01_x0089_Û_x009d_</t>
  </si>
  <si>
    <t>Newcastle</t>
  </si>
  <si>
    <t>150-Foot Sinkhole Opens in Lowndes County Residential Area
WCTV-35 minutes ago</t>
  </si>
  <si>
    <t>Large sinkhole swallows entire pond in Lowndes County Georgia http://t.co/wKPzp1JCAu #YoNews</t>
  </si>
  <si>
    <t>150-Foot Sinkhole Opens in Lowndes County Residential Area http://t.co/0YAxrJICRR</t>
  </si>
  <si>
    <t>Alger-New York-San Francisco</t>
  </si>
  <si>
    <t>#SanDiego #News Sinkhole Disrupts Downtown Trolley Service: The incident happened Wed... http://t.co/RVMMuT3GvC #Algeria #???????</t>
  </si>
  <si>
    <t>beforeitsnews : A sinkhole grows in Brooklyn: six-meter crater swallows street _x0089_Û_ http://t.co/QWo7q1AMh8) http://t.co/esRkmazEq9</t>
  </si>
  <si>
    <t>Massive Sinkhole Emerges In Brooklyn http://t.co/n3Ow73Oasw http://t.co/Gs9bmplbHH</t>
  </si>
  <si>
    <t>_x0081_Êwagger!Ì_x0090_ominicanÌ÷</t>
  </si>
  <si>
    <t>#LoMasVisto THOUSANDS OF HIPSTERS FEARED LOST: Giant Sinkhole Devours Brooklyn Intersectio... http://t.co/qwtk1b2fMC #CadenaDeSeguidores</t>
  </si>
  <si>
    <t>150-Foot Sinkhole Opens In Lowndes County Residential Area http://t.co/cBAxCuBA0h</t>
  </si>
  <si>
    <t>Sinkhole Disrupts Downtown Trolley Service #SanDiego - http://t.co/9tb82ZMr2X</t>
  </si>
  <si>
    <t>Sinkhole swallows Brooklyn intersection _x0089_ÛÒ video http://t.co/1yBE5mgZL4 http://t.co/7Zog3DpdU9</t>
  </si>
  <si>
    <t>Texas af</t>
  </si>
  <si>
    <t>Damn that sinkhole on sunset????</t>
  </si>
  <si>
    <t>Water main break disrupts trolley service http://t.co/kff8ojrZP4 #sandiego http://t.co/JoB4GGtpAl</t>
  </si>
  <si>
    <t>RT twit_san_diego 'Possible sinkhole disrupts trolley service: A depression in a portion of asphalt in downtown Sa_x0089_Û_ http://t.co/ANrIOMbHQN'</t>
  </si>
  <si>
    <t>Evansville, IN</t>
  </si>
  <si>
    <t>Some Evansville residents told to limit water usage due to sinkhole construction: Some Evansville residents have_x0089_Û_ http://t.co/SJNyFszCu1</t>
  </si>
  <si>
    <t>Sinkhole on west side damaging cars via @WEWS http://t.co/S7grbZNwlr</t>
  </si>
  <si>
    <t>Georgia sinkhole closes road swallows whole pond http://t.co/cPEQv52LNA</t>
  </si>
  <si>
    <t>Sinkhole leaking sewage opens in housing estate
Irish Independent-3 Aug 2015</t>
  </si>
  <si>
    <t>#MTSAlert Orange &amp;amp; Blue Line riders: Expect delays downtown due to a sinkhole that's developed in the vicinity of 4th &amp;amp; C Street.</t>
  </si>
  <si>
    <t>There's a sinkhole in Brooklyn ?!</t>
  </si>
  <si>
    <t>Share Large sinkhole swallows entire pond in Lowndes County Georgia A large_x0089_Û_ http://t.co/HvBJ30aj9s #YoNews</t>
  </si>
  <si>
    <t>sinking</t>
  </si>
  <si>
    <t>After a Few Years Afloat Pension Plans Start Sinking Again http://t.co/4cEEuzWHvf</t>
  </si>
  <si>
    <t>Every Where in the World</t>
  </si>
  <si>
    <t>that horrible sinking feeling when you_x0089_Ûªve been at home on your phone for a while and you realise its been on 3G this whole time</t>
  </si>
  <si>
    <t>4 equipment ego break upon dig your family internet hoke excepting versus a sinking term: dfLJEV</t>
  </si>
  <si>
    <t>@AP 
 Too slow report the sinking boat in the Mediterranean sea what a shame</t>
  </si>
  <si>
    <t>Do you feel like you are sinking in low self-image? Take the quiz: http://t.co/bJoJVM0pjX http://t.co/wHOc7LHb5F</t>
  </si>
  <si>
    <t>That horrible sinking feeling when you_x0089_Ûªve been at home on your phone for a while and you realise its been on 3G this whole time</t>
  </si>
  <si>
    <t>Rhyme Or Reason?</t>
  </si>
  <si>
    <t>The #Tribe just keeps sinking everyday it seems faster. As for this year it's been a titanic disaster.</t>
  </si>
  <si>
    <t>MA</t>
  </si>
  <si>
    <t>siren</t>
  </si>
  <si>
    <t xml:space="preserve"> New England</t>
  </si>
  <si>
    <t>'Amateur Night' Actress Reprises Role for 'Siren' - HorrorMovies.ca #horror http://t.co/W9Cd6OFfcj</t>
  </si>
  <si>
    <t>Hame</t>
  </si>
  <si>
    <t>There's a weird siren going off here...I hope Hunterston isn't in the process of blowing itself to smithereens...</t>
  </si>
  <si>
    <t>Brizzle City !</t>
  </si>
  <si>
    <t>@tomarse99 they all are intending to go. Just waiting for winds to drop. Siren just gone off to signal they allowed to leave arena.none gone</t>
  </si>
  <si>
    <t>The real question is why is the tornado siren going off in Dyersburg?</t>
  </si>
  <si>
    <t>Flipadelphia</t>
  </si>
  <si>
    <t>@SoonerMagic_ I mean I'm a fan but I don't need a girl sounding off like a damn siren</t>
  </si>
  <si>
    <t>sirens</t>
  </si>
  <si>
    <t>Reasons I should have gone to Warped today: tony played issues showed up sleeping w sirens played attila is there issues issues issues</t>
  </si>
  <si>
    <t>... -.- -.--</t>
  </si>
  <si>
    <t>Thu Aug 06 2015 01:20:32 GMT+0000 (UTC)
#millcityio #20150613
theramin sirens</t>
  </si>
  <si>
    <t xml:space="preserve">they/them </t>
  </si>
  <si>
    <t>my dad said I look thinner than usual but really im over here like http://t.co/bnwyGx6luh</t>
  </si>
  <si>
    <t>@KIRO7Seattle Just saw a Bomb Squad car heading north on Elliott with sirens on - any word on where they're headed??</t>
  </si>
  <si>
    <t>Hollywood</t>
  </si>
  <si>
    <t>@TravelElixir Any idea what's going on? I hear no sirens but this damn helo is flying so low my apt is shaking!</t>
  </si>
  <si>
    <t>Nanaimo, BC, Canada</t>
  </si>
  <si>
    <t>Photoset: hakogaku: ?åÊI am a kurd. i was born on a battlefield. raised on a battlefield. gunfire sirens... http://t.co/obp595W7tm</t>
  </si>
  <si>
    <t>az</t>
  </si>
  <si>
    <t>connor franta: damn sirens I hope everyone is okay. 
dan howell: can you PLEASE get MURDERED on ANOTHER STREET</t>
  </si>
  <si>
    <t>smoke</t>
  </si>
  <si>
    <t>Dalston, Hackney</t>
  </si>
  <si>
    <t>@PianoHands You don't know because you don't smoke. The way to make taxis and buses come is to light a cigarette to smoke while you wait.</t>
  </si>
  <si>
    <t>@BillMcCabe  sky looks clear.... No smoke from the fires. Enjoy your time in Tahoe. One of my favorite places!</t>
  </si>
  <si>
    <t>Ktx</t>
  </si>
  <si>
    <t>I get to smoke my shit in peace</t>
  </si>
  <si>
    <t>snowstorm</t>
  </si>
  <si>
    <t>Wakefield MA</t>
  </si>
  <si>
    <t>Manuel hoping for an early Buffalo snowstorm so his accuracy improves.</t>
  </si>
  <si>
    <t>South, USA</t>
  </si>
  <si>
    <t>Sassy city girl country hunk stranded in Smoky Mountain snowstorm #AoMS http://t.co/nkKcTttsD9 #ibooklove #bookboost</t>
  </si>
  <si>
    <t>Hampshire, UK</t>
  </si>
  <si>
    <t>New #photo Oak in a snowstorm http://t.co/HK9Yf72OVA taken in #winter on the #SouthDowns #Hampshire #photography #art #tree #treeporn</t>
  </si>
  <si>
    <t>@Habbo bring back games from the past. Snowstorm. Tic tac toe. Battleships. Fast food. Matchwood.</t>
  </si>
  <si>
    <t>@dirk_trossen 
I've still got some of the snowstorm/hailstorm!</t>
  </si>
  <si>
    <t xml:space="preserve">This Is Paradise. Relax. </t>
  </si>
  <si>
    <t>_x0089_ÛÏ@LordBrathwaite: Everyone Here: Ahh I hate snow!
Me: Lol u call this a snowstorm..?
#growingupincolorado_x0089_Û_x009d_</t>
  </si>
  <si>
    <t>Transportation panel showing a video of a pileup of 18-wheelers in a snowstorm in WY. Crash crash crash _x0089_ÛÏMake it stop!_x0089_Û_x009d_ #AMSsummer</t>
  </si>
  <si>
    <t>Sassy city girl country hunk stranded in Smoky Mountain snowstorm #AoMS http://t.co/HDJS9RNtJ4 #ibooklove #bookboost</t>
  </si>
  <si>
    <t>@PyrBliss ah I remember those days. In a snowstorm too.</t>
  </si>
  <si>
    <t>Porthcawl</t>
  </si>
  <si>
    <t>I liked a @YouTube video http://t.co/z8Cp77lVza Boeing 737 takeoff in snowstorm. HD cockpit view + ATC audio - Episode 18</t>
  </si>
  <si>
    <t>In the spirit world</t>
  </si>
  <si>
    <t>Photo: mothernaturenetwork: What is thundersnow? Hearing thunder during a snowstorm is extremely uncommon.... http://t.co/eYdAPauPvG</t>
  </si>
  <si>
    <t>Western New York</t>
  </si>
  <si>
    <t>#LakeEffect #Snowstorm Twill Denim Jackets   *** ALL MY PROCEEDS FOR ITEMS WITH THIS DESIGN WILL GO_x0089_Û_ https://t.co/TxTpx4umqH</t>
  </si>
  <si>
    <t>@PrablematicLA @Adweek I'm actually currently dressed for a snowstorm...despite being in the middle of a Texas summer. Thanks office A/C.</t>
  </si>
  <si>
    <t>storm</t>
  </si>
  <si>
    <t>State College, Pa</t>
  </si>
  <si>
    <t>Typhoon Soudelor was captured in this incredible NASA photo on it's way to Taiwan! http://t.co/dGGm5b0w4L http://t.co/eYr2Xx5l1p</t>
  </si>
  <si>
    <t>So this storm just came out of no where. .fuck me its cool</t>
  </si>
  <si>
    <t>How to prepare your #property for a #storm:
http://t.co/KhYqQsi6My http://t.co/G6Vs3XEinb</t>
  </si>
  <si>
    <t>kesabaran membuahkan hasil indah pada saat tepat! life isn't about waiting for the storm to pass it's about learning to dance in the rain.</t>
  </si>
  <si>
    <t>mind ya business</t>
  </si>
  <si>
    <t>@Jenniferarri_ comeeeee! ...but why is it bout to storm tho</t>
  </si>
  <si>
    <t>Is it bad to say that I'm kinda afraid of storms and we are in a storm???? help</t>
  </si>
  <si>
    <t>West Palm Beach, Florida</t>
  </si>
  <si>
    <t>Looks like a perfect storm-free evening coming up.  Check out the outdoor happenings featured at http://t.co/hUzrHgmkSY #EventsPalmBeach.</t>
  </si>
  <si>
    <t>Crazy storm hit and I'm trapped inside a Hobby Lobby AMA http://t.co/8qc8Bcxoko</t>
  </si>
  <si>
    <t>What tropical storm? #guillermo by hawaiianpaddlesports http://t.co/LgPgAjgomY http://t.co/FKd1mBTB68</t>
  </si>
  <si>
    <t>The Storm Prediction Center has expanded the 'Slight Risk' area to include more of central NC. #TWCNews #ncwx http://t.co/DgBeH5L9DS</t>
  </si>
  <si>
    <t xml:space="preserve"> Alberta</t>
  </si>
  <si>
    <t>'Calgarians stunned by storm insurance companies busy handling calls' #abstorm http://t.co/fkFa9vSssZ</t>
  </si>
  <si>
    <t>pittsboro</t>
  </si>
  <si>
    <t>Ready for this storm</t>
  </si>
  <si>
    <t>Severe T-storm Warning for Union County ~3:45pm. Top threats include heavy rain lightning &amp;amp; damaging winds. http://t.co/XWOevMK0aA</t>
  </si>
  <si>
    <t>EspaÌ±a - Spain - Espagne</t>
  </si>
  <si>
    <t>NASAHurricane? EASTERN PACIFIC *Full Update* Satellite Sees Formation of Eastern Pacific's Tropical Storm Hilda
Th_x0089_Û_ http://t.co/KsXTo8NKNl</t>
  </si>
  <si>
    <t>#NASA announced that a massive #solar storm is headed straight for us: http://t.co/CM5u55MiOl</t>
  </si>
  <si>
    <t>Ottawa, Ontario</t>
  </si>
  <si>
    <t>My last two weather pics from the storm on August 2nd. People packed up real fast after the temp dropped and winds picked up.</t>
  </si>
  <si>
    <t>Santiago de Chile</t>
  </si>
  <si>
    <t>Doves - The Storm + Greatest Denier (Electric Proms Pt4) http://t.co/xjTpV4OydL</t>
  </si>
  <si>
    <t>Today_x0089_Ûªs storm will pass; let tomorrow_x0089_Ûªs light greet you with a kiss. Bask in this loving warmth; let your soul return to bliss.</t>
  </si>
  <si>
    <t>stretcher</t>
  </si>
  <si>
    <t>Amazon Seller , Propagandist</t>
  </si>
  <si>
    <t>Keep shape your shoes ??#Amazon #foot #adjust #shape #shoe Mini Shoe Tree Stretcher Shaper Width Extender Adjustable http://t.co/8cPcz2xoHb</t>
  </si>
  <si>
    <t>NJ/NY/NM/NE/ND</t>
  </si>
  <si>
    <t>Scary stuff in San Antonio. Stars head coach Dan Hughes was run into on the sidelines and fell over chairs onto the floor. Stretcher now out</t>
  </si>
  <si>
    <t>@Stretcher @witter @Rexyy @Towel show me a picture of it</t>
  </si>
  <si>
    <t>structural%20failure</t>
  </si>
  <si>
    <t>1) 'Investigators say a Virgin Galactic spaceship crash was caused by structural failure after the co-pilot unlocked a braking system early'</t>
  </si>
  <si>
    <t>SpaceX Founder Musk: Structural Failure Took Down Falcon 9 http://t.co/LvIzO9CSSR</t>
  </si>
  <si>
    <t>Virgin galactic crash: early unlocking of brakes triggered structural failure http://t.co/Kp1hDchfNZ</t>
  </si>
  <si>
    <t>VIDEO: Virgin Galactic crash: Brakes blamed: Investigators have said a Virgin Galactic spaceship crash was caused by structural failure_x0089_Û_</t>
  </si>
  <si>
    <t>Cimahi,West Java,Indonesia</t>
  </si>
  <si>
    <t>Investigators have said a Virgin Galactic spaceship crash was caused by structural failure after the co-pilot ... http://t.co/imAWVMzs3A</t>
  </si>
  <si>
    <t>Bukittinggi  ?? Sumatera Barat</t>
  </si>
  <si>
    <t>Investigators say a fatal Virgin Galactic spaceship crash last year was caused by structural failure after the... http://t.co/FPrt7NwrOt</t>
  </si>
  <si>
    <t>Stateless Global Citizen</t>
  </si>
  <si>
    <t>The result of failure in correcting structural problems with West's financial markets collapse https://t.co/DvieABlOFz</t>
  </si>
  <si>
    <t>Virgin galactic crash: early unlocking of brakes triggered structural failure - Irish Examiner http://t.co/ocMCvfDZkv</t>
  </si>
  <si>
    <t>Investigators say a fatal Virgin Galactic spaceship crash last year was caused by structural failure after the co_x0089_Û_</t>
  </si>
  <si>
    <t>Rightways: Building structural integrity &amp;amp; failure: inspections damages defects testing  repair http://t.co/vz1irH0Nmm via @rightwaystan</t>
  </si>
  <si>
    <t>Los Angeles, Calif.</t>
  </si>
  <si>
    <t>NTSB: Virgin Galactic's SpaceshipTwo crash due to structural failure when braking system unlocked early http://t.co/EYSbLYX6L6 via @KPCC @AP</t>
  </si>
  <si>
    <t>Investigators have said a Virgin Galactic spaceship crash was caused by structural failure after the co-pilot ... http://t.co/PnhPLJHo8E</t>
  </si>
  <si>
    <t>Investigators rule catastrophic structural failure resulted in 2014 ... http://t.co/AdZ8kbuRt7</t>
  </si>
  <si>
    <t>Investigators have said a Virgin Galactic spaceship crash was caused by structural failure after the co-pilot ... http://t.co/WC69XAJIs4</t>
  </si>
  <si>
    <t>Investigators have said a Virgin Galactic spaceship crash was caused by structural failure after the co-pilot unlocked a braking system</t>
  </si>
  <si>
    <t>Slums are a manifestation state failure to provide housing to citizens. Illegality discourse confounds structural problems. #stopevictions</t>
  </si>
  <si>
    <t>Investigators say a fatal Virgin Galactic spaceship crash last year was caused by structural failure after the...  http://t.co/BgRAb7lK8D</t>
  </si>
  <si>
    <t>Reality</t>
  </si>
  <si>
    <t>'Jet fuel cant melt steel'
'The structural failure is illogical'
'The second plane crashing into the building is fake'
'It was a bomb'</t>
  </si>
  <si>
    <t>Investigators rule catastrophic structural failure resulted in 2014 ... http://t.co/QU1IUg3E9r</t>
  </si>
  <si>
    <t>Virgin galactic crash: early unlocking of brakes triggered structural failure: The crash of a Virgin Galactic ... http://t.co/x3VqxdouVT</t>
  </si>
  <si>
    <t>Investigators rule catastrophic structural failure resulted in 2014 Virg.. Related Articles: http://t.co/Cy1LFeNyV8</t>
  </si>
  <si>
    <t>NTSB: Virgin Galactic crash caused by structural failure triggered when brakes unlocked early http://t.co/iKnyOk9zZr http://t.co/QCKqcX4Hw9</t>
  </si>
  <si>
    <t>Investigators say a fatal Virgin Galactic spaceship crash last year was caused by structural failure after the co-pilot unlocked a braking</t>
  </si>
  <si>
    <t>suicide%20bomb</t>
  </si>
  <si>
    <t>#Bestnaijamade: 16yr old PKK suicide bomber who detonated bomb in ... http://t.co/KSAwlYuX02 bestnaijamade bestnaijamade bestnaijamade be_x0089_Û_</t>
  </si>
  <si>
    <t>London/Lagos/FL ÌÏT: 6.6200132,</t>
  </si>
  <si>
    <t>Pic of 16yr old PKK suicide bomber who detonated bomb in Turkey Army trench released http://t.co/1yB8SiZarG http://t.co/69iIzvyQYC</t>
  </si>
  <si>
    <t>Pic of 16yr old PKK suicide bomber who detonated bomb in Turkey Army trench released http://t.co/uWfvWMjepU http://t.co/pxONlrqUsm</t>
  </si>
  <si>
    <t>@AlfaPedia It might have come out ONLY too burst as a Bomb making him suicide bomber</t>
  </si>
  <si>
    <t>Pic of 16yr old PKK suicide bomber who detonated bomb in Turkey Army trench released http://t.co/uJNRGFAnGj http://t.co/TmIpEgQyeV</t>
  </si>
  <si>
    <t>Pic of 16yr old PKK suicide bomber who detonated bomb in Turkey Army trench released http://t.co/pOL92mn8YZ</t>
  </si>
  <si>
    <t>...//..// whao.. Pic of 16yr old PKK suicide bomber who detonated bomb in Turkey Army trench released http://t.co/tuVbR4lEP3</t>
  </si>
  <si>
    <t>The Land of MAss Stupidity</t>
  </si>
  <si>
    <t>Look at the previous battles. Citizens were committing suicide so to not be under American control. The bomb was the only way. @NBCNews</t>
  </si>
  <si>
    <t>Gidi</t>
  </si>
  <si>
    <t>Pic of 16yr old PKK suicide bomber who detonated bomb in Turkey Army trench released http://t.co/IUh718KCy0 http://t.co/9pQyx4xOOL</t>
  </si>
  <si>
    <t>Email: Lovethterry@gmail.com</t>
  </si>
  <si>
    <t>See the 16yr old PKK suicide bomber who detonated bomb in Turkey Army trench_x0089_Û_ http://t.co/ZdiEodWbog via @MsOreo_ http://t.co/V6nyLVdPeD</t>
  </si>
  <si>
    <t>//./../.. Pic of 16yr old PKK suicide bomber who detonated bomb in Turkey Army trench released http://t.co/Sj57BoKsiB -/</t>
  </si>
  <si>
    <t>//./../.. Pic of 16yr old PKK suicide bomber who detonated bomb in Turkey Army trench released http://t.co/fqSk7QCawO -/</t>
  </si>
  <si>
    <t>recap/ Pic of 16yr old PKK suicide bomber who detonated bomb in Turkey Army trench released http://t.co/6jzCEdaYRG</t>
  </si>
  <si>
    <t>Homs- Syria</t>
  </si>
  <si>
    <t>11 soldiers killed in ISIS suicide bomb in air base east Homs SYRIA NEWS | ZAMAN ALWSL  - http://t.co/V8juC5eK1A  #ISIS #Homs</t>
  </si>
  <si>
    <t>lagos. Unilag</t>
  </si>
  <si>
    <t>16yr old PKK suicide bomber who detonated bomb in Turkey Army trench released http://t.co/mGZslZz1wF</t>
  </si>
  <si>
    <t>16yr old PKK suicide bomber who detonated bomb in Turkey Army trench released http://t.co/5orTB8p51c</t>
  </si>
  <si>
    <t>Did anybody see me here ??</t>
  </si>
  <si>
    <t>16yr old PKK suicide bomber who detonated bomb in Turkey Army trench released http://t.co/n7Yst76ku3</t>
  </si>
  <si>
    <t>Pic of 16yr old PKK suicide bomber who detonated bomb in Turkey Army trench released http://t.co/gnynJHnE6j http://t.co/1fuNEMes7M</t>
  </si>
  <si>
    <t>wo Pic of 16yr old PKK suicide bomber who detonated bomb in Turkey Army trench released http://t.co/5v29w19tFX /'/'//</t>
  </si>
  <si>
    <t>Na waffi</t>
  </si>
  <si>
    <t>Pic of 16yr old PKK suicide bomber who detonated bomb in Turkey Army trench released http://t.co/FVXHoPdf3W</t>
  </si>
  <si>
    <t>Iraq - Hashd Shaabi Theft ISIS Suicide Car bomb http://t.co/2AG9auABr3 #ISIS http://t.co/Qna4TUBnWh</t>
  </si>
  <si>
    <t>ll//ll= Pic of 16yr old PKK suicide bomber who detonated bomb in Turkey Army trench released http://t.co/uoNEbAHH3h /</t>
  </si>
  <si>
    <t>GLOBAL</t>
  </si>
  <si>
    <t>16yr old PKK suicide bomber who detonated bomb in Turkey Army trench released http://t.co/mMkLapX2ok</t>
  </si>
  <si>
    <t>#GRupdates Pic of 16yr old PKK suicide bomber who detonated bomb in Turkey Army trench released --&amp;gt; http://t.co/fqcDPhccg7</t>
  </si>
  <si>
    <t>? 19th Day Since 17-Jul-2015 -- Nigeria: Suicide Bomb Attacks Killed 64 People; Blamed: Boko Haram [L.A. Times/AP] | http://t.co/O2cdKpSDfp</t>
  </si>
  <si>
    <t>16yr old boy pic PKK suicide bomber who detonated bomb in Turkey Army trench http://t.co/H3SXfV5mtC http://t.co/IEWDreNauK</t>
  </si>
  <si>
    <t>New post: Pic of 16yr old PKK suicide bomber who detonated bomb in Turkey Army trench released http://t.co/LWDcrPEhTN</t>
  </si>
  <si>
    <t>suicide%20bomber</t>
  </si>
  <si>
    <t>Suicide bomber kills 15 in Saudi security site mosque http://t.co/ETyZY8GB2A #mercados</t>
  </si>
  <si>
    <t>Suicide Bomber Kills 13 At Saudi Mosque http://t.co/oZ1DS3Xu0D #Saudi #Tripoli #Libya</t>
  </si>
  <si>
    <t>Six people were killed Thursday when a Taliban suicide bomber detonated an explosives-rigged truck outside a police compound in eastern</t>
  </si>
  <si>
    <t>ISIS claims responsibility for Saudi mosque suicide bombing http://t.co/Wpilp4mymf http://t.co/8NHD9iDaJs</t>
  </si>
  <si>
    <t>Suicide bomber kills 15 in Saudi security site mosque http://t.co/AxhcLfErSU</t>
  </si>
  <si>
    <t>#ISIS claims responsibility for Saudi suicide bombing  http://t.co/jlMICJ6jE5</t>
  </si>
  <si>
    <t>Helsinki</t>
  </si>
  <si>
    <t>Islamic State claims suicide bombing at Saudi Arabian mosque: Ten members of emergency service... http://t.co/mpOaEFQl6k via @josephjett</t>
  </si>
  <si>
    <t>Saudi Arabia</t>
  </si>
  <si>
    <t>#saudiarabia 13 confirmed dead as suicide bomber attacks Saudi Arabian mosque - The I... http://t.co/LwAnE9vupg - http://t.co/CpQguFZB28</t>
  </si>
  <si>
    <t>Suicide bomber kills 15 in Saudi security site mosque - Reuters Canada: Reuters CanadaSuicide bomber kills 15 ... http://t.co/Ktd5IG9M5o</t>
  </si>
  <si>
    <t>Garden City, NY</t>
  </si>
  <si>
    <t>Suicide bomber kills 15 in Saudi security site mosque http://t.co/YyTKP1Z5kG via @Reuters</t>
  </si>
  <si>
    <t>News: 'Islamic State claims suicide bombing at Saudi Arabian mosque' http://t.co/vIJfNHl630</t>
  </si>
  <si>
    <t>17 killed in S_x0089_ÛªArabia mosque suicide bombing
A suicide bomber attacked a mosque in Aseer south-western Saudi... http://t.co/pMTQhiVsXX</t>
  </si>
  <si>
    <t>Mosque bombing strikes Saudi special forces; at least 15 people dead: A suicide bomber struck a mosque i... http://t.co/gigW51IZpK #news</t>
  </si>
  <si>
    <t>Suicide bomber 'hits Saudi mosque' http://t.co/kE6DjxAnmm</t>
  </si>
  <si>
    <t>Suicide bomber detonates in Saudi Arabia mosque 17 reportedly killed  http://t.co/xycKgxZv9s</t>
  </si>
  <si>
    <t>Suicide bomber kills 15 in Saudi security site mosque - A suicide bomber killed at least 15 people in an attack on... http://t.co/FY0r9o7Xsl</t>
  </si>
  <si>
    <t>Suicide bomber kills 15 in Saudi security site mosque - Reuters http://t.co/37DqvJHNCv</t>
  </si>
  <si>
    <t>#?? #?? #??? #??? Suicide bomber kills 15 in Saudi security site mosque - Reuters  http://t.co/LgpNe5HkaO</t>
  </si>
  <si>
    <t>@Abu_Baraa1 Suicide bomber targets Saudi mosque at least 13 dead - Suicide bomber targets Saudi mosque at least 13 dead
This is ridiculous</t>
  </si>
  <si>
    <t>http://t.co/9k1tqsAarM Suicide bomber kills 15 in Saudi security site mosque - Reuters http://t.co/Ev3nX9scx3</t>
  </si>
  <si>
    <t>#deai #??? #??? #??? Suicide bomber kills 15 in Saudi security site mosque - Reuters  http://t.co/SqydkslFzp</t>
  </si>
  <si>
    <t>africa</t>
  </si>
  <si>
    <t>Suicide Bomber Kills More Than a Dozen in Saudi Mosque: Saudi Arabia have started experiencing some terrorist ... http://t.co/PIoY1O54f4</t>
  </si>
  <si>
    <t>Moscow</t>
  </si>
  <si>
    <t>Suicide Bomber Kills 13 At SaudiåÊMosque http://t.co/h99bHB29xt</t>
  </si>
  <si>
    <t>Suicide bomber kills 15 in Saudi security site mosque http://t.co/axK9XNo6Yz #mercados</t>
  </si>
  <si>
    <t>IS claims suicide bombing against Saudi police: An Islamic State group suicide bomber on Thursday detonated an... http://t.co/Dn5Buo7GSK</t>
  </si>
  <si>
    <t>@bbclaurak Why is no one talking about the risk of a suicide bomber hiding amongst the migrants stowing aboard the Eurotunnel  trains?</t>
  </si>
  <si>
    <t>Birmingham, United Kingdom</t>
  </si>
  <si>
    <t>IS claims suicide bombing against Saudi police: RIYADH (AFP) - An Islamic State group suicide bomber on Thursd... http://t.co/IBypE1kaz5</t>
  </si>
  <si>
    <t>nigeria</t>
  </si>
  <si>
    <t>Suicide Bomber Kills More Than a Dozen in Saudi Mosque: Saudi Arabia have started experiencing some terrorist ... http://t.co/GuAJ2t910b</t>
  </si>
  <si>
    <t>Suicide bomber kills 15 in Saudi security site mosque  #world #news</t>
  </si>
  <si>
    <t>#?? #?? #??? #??? Suicide bomber kills 15 in Saudi security site mosque - Reuters  http://t.co/txg7K2DO9v</t>
  </si>
  <si>
    <t>suicide%20bombing</t>
  </si>
  <si>
    <t>I was taught at school in the 1970s that piracy slavery and suicide-bombing were purely historical. No one then expected them to re-occur</t>
  </si>
  <si>
    <t>After a suicide bombing in SuruÌ¤ that killed 32 people Turkey launches airstrikes against ISIL and Kurdistan Workers' Party camps in Iraq.</t>
  </si>
  <si>
    <t>@daisycuttertz @GROGParty @Tony_Burke He's been having lessons in suicide bombing from his imam!</t>
  </si>
  <si>
    <t>Minority Privilege, USA</t>
  </si>
  <si>
    <t>@sonofbobBOB @Shimmyfab @trickxie usually I'd agree. Once the whole chopping heads off throwing gays off rooftops &amp;amp; suicide bombing start</t>
  </si>
  <si>
    <t>England</t>
  </si>
  <si>
    <t>Suicide bombing for Da'esh is (rightly) despicable. Suicide bombing for Ocalan/ Marxism?
= They share 'our values'. https://t.co/Gs0km0vlgk</t>
  </si>
  <si>
    <t>&amp;lt; 25 Dead In Kuwait Mosque Suicide Bombing Claimed By ISIS Offshoot on http://t.co/eTITgPSrUN</t>
  </si>
  <si>
    <t>Suicide bombing is just the fear of dying alone</t>
  </si>
  <si>
    <t>'Suicide bombing at [location named]...' #premonitions http://t.co/iIkSsJGBDn</t>
  </si>
  <si>
    <t>@JewhadiTM It is almost amazing to think someone thought suicide bombing would actually be a good idea.</t>
  </si>
  <si>
    <t>Paris</t>
  </si>
  <si>
    <t>13 security personnel killed in Iraq suicide bombing | http://t.co/IbAZRHlSUr http://t.co/B6wWq2nYQI</t>
  </si>
  <si>
    <t>Turkish troops killed in Kurdish militant 'suicide attack' http://t.co/wD7s6S0vci</t>
  </si>
  <si>
    <t>Remembering Rebecca Roga 40 of the Philippines. murdered by Hamas terrorists in the suicide bombing of Egged bus No. 361</t>
  </si>
  <si>
    <t>Istanbul</t>
  </si>
  <si>
    <t>INFOGRAPHIC: At least 20 Turkish security officials killed in PKK and ISIS terror attacks since Suruc suicide bombing http://t.co/UvAOJzcYcZ</t>
  </si>
  <si>
    <t>Malik Saadthe best police officer produced by KPdied in a suicide bombing on 27 Jan 2007he was more than a brother to me. #KPPolice.</t>
  </si>
  <si>
    <t>Chicago IL</t>
  </si>
  <si>
    <t>bout to go suicide bombing http://t.co/ZoIPkPBD6o</t>
  </si>
  <si>
    <t>&amp;lt; Suicide Bombing Of European Union Car Kills At Least Three In Kabul on http://t.co/o6aRmcgVbS</t>
  </si>
  <si>
    <t>Principality of Zeron</t>
  </si>
  <si>
    <t>@RayquazaErk There are Christian terrorists to be sure but I don't suicide bombing is employed often as it is in Islamic groups.</t>
  </si>
  <si>
    <t>Turkish troops killed in Kurdish militant 'suicide attack' http://t.co/nVP6wrKL1E</t>
  </si>
  <si>
    <t>Turkish troops killed in Kurdish militant 'suicide attack' http://t.co/7cIbxls55f</t>
  </si>
  <si>
    <t>GCC</t>
  </si>
  <si>
    <t>Alleged driver in #Kuwait attack 'joined Daesh just a day before the June 26 suicide bombing' he confesses in court http://t.co/Tmz6X1N2gQ</t>
  </si>
  <si>
    <t xml:space="preserve">On a beach </t>
  </si>
  <si>
    <t>@Haji_Hunter762 @MiddleEastEye maybe some muzzies will spontaneously combust! It's like Allah suicide bombing them as payback ????????</t>
  </si>
  <si>
    <t>Belgium</t>
  </si>
  <si>
    <t>The number of security officials killed by PKK in terror attacks since the Suruc suicide bombing has reached 22 https://t.co/OpJwuNUvG8</t>
  </si>
  <si>
    <t>Erdogan's Bloody Gambit: on July 20 a suicide bombing in Turkey took the lives of 31 socialists in SuruÌ¤ http://t.co/z6xAUIDRXu @Shareaholic</t>
  </si>
  <si>
    <t>Kurd Suicide Attack Kills 2 Turkish Soldiers http://t.co/GHGHQm9e6d</t>
  </si>
  <si>
    <t>EARTH</t>
  </si>
  <si>
    <t>@NBCPolitics RUSSIA AND THAT BACK FIRED NOW 2015 look what happened 911bombing of marine barracks  suicide bombers attacks on world sites</t>
  </si>
  <si>
    <t>Imagine a school where suicide bombing Is being taught the teachers would say to the students...
'Please pay... http://t.co/zfiVVxYDZY</t>
  </si>
  <si>
    <t>Turkish troops killed in Kurdish militant 'suicide attack' http://t.co/7old5MJWph</t>
  </si>
  <si>
    <t>Tokyo &amp; Osaka</t>
  </si>
  <si>
    <t>9) 'Without the bombing you would have to do hara-kiri you know commit suicide'. http://t.co/UO0aQk9KR8 Hiroshima 70 years ago.</t>
  </si>
  <si>
    <t>Remembering Mordechai Yehuda Friedman 24 of Ramat Beit Shemesh; murdered by Hamas terrorists in the suicide bombing of Egged bus No. 361</t>
  </si>
  <si>
    <t>Remembering Marlene Menahem 22 of Moshav Safsufa;  murdered by Hamas terrorists in the suicide bombing of Egged bus No. 361</t>
  </si>
  <si>
    <t>1 of the major reason of suicide bombing is the absence of sexual interactions.</t>
  </si>
  <si>
    <t>sunk</t>
  </si>
  <si>
    <t>mainly California</t>
  </si>
  <si>
    <t>why wasn't this warship sunk?      CNN: First on CNN: Iranian warship points weapon at U.S. helicopter official says http://t.co/hfZk09McEN</t>
  </si>
  <si>
    <t>British diver Neil Anthony Fears found dead by the wreck of a steamship - Daily Mail http://t.co/QP3GVvfoFq</t>
  </si>
  <si>
    <t>glasgow</t>
  </si>
  <si>
    <t>Near them on the sand half sunk a shattered visage lies... http://t.co/0kCCG1BT06</t>
  </si>
  <si>
    <t>Aquarium Ornament Wreck Sailing Boat Sunk Ship Destroyer Fish Tank Cave Decor - Full read _x0089_Û_ http://t.co/kNCm9jC8i9 http://t.co/swviAZSPHk</t>
  </si>
  <si>
    <t>Japan FUSO Class Battleship YAMASHIRO Naval Cover 1999 PHOTO Cachet SUNK WWII http://t.co/Aq5ZliM7l4 http://t.co/FvR9jDQ71a</t>
  </si>
  <si>
    <t>Bracknell</t>
  </si>
  <si>
    <t>@SaintRobinho86 someone has to be at the bottom of every league. Tonight clearly demonstrated why the Lions are where they are - sunk!</t>
  </si>
  <si>
    <t>Aquarium Ornament Wreck Sailing Boat Sunk Ship Destroyer Fish Tank Cave Decor - Full read _x0089_Û_ http://t.co/nosA8JJjiN http://t.co/WUKvdavUJu</t>
  </si>
  <si>
    <t xml:space="preserve">i beg vines sorry </t>
  </si>
  <si>
    <t>@UnrealTouch fuck sake john Jesus my heart just sunk.</t>
  </si>
  <si>
    <t>The Seven Seas - Wreck of the Giannis D. sunk after hitting a submerged reef in the_x0089_Û_ http://t.co/Gn3WHNSFIb http://t.co/fWpOF5TwoC</t>
  </si>
  <si>
    <t>survive</t>
  </si>
  <si>
    <t>So much shit has happened today wtf idk how I survive thruuu it all</t>
  </si>
  <si>
    <t>A country Chim can survive!</t>
  </si>
  <si>
    <t>Camberwell, Melbourne</t>
  </si>
  <si>
    <t>I Will Survive by Gloria Gaynor (with Oktaviana Devi) _x0089_ÛÓ https://t.co/HUkJZ1wT36</t>
  </si>
  <si>
    <t>Kansas</t>
  </si>
  <si>
    <t>Escaping her captors was the 1st step. Now she must survive a deadly storm &amp;amp; a wild-looking recluse.
BETRAYED
http://t.co/0Q040STkCV
#books</t>
  </si>
  <si>
    <t>#Autoinsurance industry clueless on driverless cars : #healthinsurance http://t.co/YdEtWgRibk</t>
  </si>
  <si>
    <t>survived</t>
  </si>
  <si>
    <t>Update: I survived. No canoe. 
May have been the fastest feed out in history though.</t>
  </si>
  <si>
    <t>Meet the man who survived both Hiroshima and Nagasaki http://t.co/PNSsIa5e46 http://t.co/LSVsYSpdxX</t>
  </si>
  <si>
    <t>It's a miracle that mankind survived 70 years since one of the worst days in its history. All bets are off if it will survive the next 70.</t>
  </si>
  <si>
    <t>?</t>
  </si>
  <si>
    <t>@TheSmallClark 'He'll kill me instead if he survived the shot. I don't exactly know. I fled the scene and pulled the trigger with---</t>
  </si>
  <si>
    <t>Washington, USA</t>
  </si>
  <si>
    <t>@rjkrraj @KarnakaranK @vimvith whether pressure or not NON wud not survived even if thalapathi didn't release</t>
  </si>
  <si>
    <t>South Asia</t>
  </si>
  <si>
    <t>'Planted 390 years ago' it was moved to U-S. This Bonsai Survived Hiroshima But Its Story Was Nearly Lost http://t.co/jID4RO34gb via @NatGeo</t>
  </si>
  <si>
    <t>Only one man Tsutomi Yamaguchi is said to have survived both atomic bomb blasts at #Hiroshima and #Nagasaki. #OTD http://t.co/DaalPeNZp0</t>
  </si>
  <si>
    <t>Well said Sir. My cousin was a POW. Brutally treated. Survived but never talked about it. The bombing was justified https://t.co/SuDkK1wEEZ</t>
  </si>
  <si>
    <t>RT THR 'RT THRArchives: 1928: When Leo the MGM Lion Survived a Plane Crash #TBT http://t.co/Wpkl2qNiQW http://t.co/BD52FxDvhQ'</t>
  </si>
  <si>
    <t>_x0089_ÛÏ@BBCWomansHour: Setsuko Thurlow survived the #Hiroshima bomb. This is her story: http://t.co/cvjYML7KrM http://t.co/FpH01U3eIi_x0089_Û_x009d_</t>
  </si>
  <si>
    <t>survivors</t>
  </si>
  <si>
    <t>AUSTRALIA-SOUTHAFRICA-CAMBODIA</t>
  </si>
  <si>
    <t>The Cafe Run by Acid Attack Survivors in #India http://t.co/qmiF0bLwOa http://t.co/l6PIf3LpEn</t>
  </si>
  <si>
    <t>Hiroshima survivors fight nuclear industry in Brazil Ì¢?? video http://t.co/GLZmGBM7w0</t>
  </si>
  <si>
    <t>Tricycle toddler atomic bomb
http://t.co/ljeRYHItwh In a fraction of a second Our decisions change the landscape of humanity.</t>
  </si>
  <si>
    <t>Port Williams NS</t>
  </si>
  <si>
    <t>Patient-reported outcomes in long-term survivors of metastatic colorectal cancer - British Journal of Surgery http://t.co/5Yl4DC1Tqt</t>
  </si>
  <si>
    <t>Dear @POTUS In the name of humanityI apologized to #Hiroshima Survivors.R u ready to do so?#Japan #nuclearweapons http://t.co/TWykzN4rlC</t>
  </si>
  <si>
    <t>#coppednews Haunting memories drawn by survivors http://t.co/Wx11d69gEZ</t>
  </si>
  <si>
    <t>RT @kotowsa: South Sudan_x0089_Ûªs war on women: survivors say rape has become 'just a normal thing' 
https://t.co/MexwoHd3TG http://t.co/gB46FiD2wE</t>
  </si>
  <si>
    <t xml:space="preserve">Dallas, TX </t>
  </si>
  <si>
    <t>Haunting memories drawn by survivors http://t.co/pRAro2OWia</t>
  </si>
  <si>
    <t>SÌ£o Paulo, Brasil</t>
  </si>
  <si>
    <t>Hiroshima survivors fight nuclear industry in Brazil _x0089_ÛÒ video http://t.co/E7SHtYLbnL</t>
  </si>
  <si>
    <t>#WorldNews
 Fears over missing migrants in Med - BBC News - Home:
Rescuers search for survivors after a boat carr.. http://t.co/iJoBZ3MZp0</t>
  </si>
  <si>
    <t>Stowmarket</t>
  </si>
  <si>
    <t>Breaking news: Haunting memories drawn by survivors http://t.co/PCjBvrs7xw</t>
  </si>
  <si>
    <t>Lake Monticello, VA</t>
  </si>
  <si>
    <t>As Anniversary Nears Atomic Bomb Survivors Speak Out Against Nuclear Power - http://t.co/Uo8GrDAuAT</t>
  </si>
  <si>
    <t>Sao Paulo</t>
  </si>
  <si>
    <t>Hiroshima survivors fight nuclear industry in Brazil _x0089_ÛÒ video http://t.co/uvM975yha2</t>
  </si>
  <si>
    <t>The second part which focuses on the survivors is really difficult to watch but at the same time is really powerful.</t>
  </si>
  <si>
    <t>WV, love the blue and gold</t>
  </si>
  <si>
    <t>@Arovolturi3000 survived because of magic  she is searching the wood for survivors outside of London</t>
  </si>
  <si>
    <t>Berlin, NY, DC, Malibu</t>
  </si>
  <si>
    <t>@FedPorn I feel your pain. Survivors will look back on this period as most absurd in human history. Satire indistinguishable from reality.</t>
  </si>
  <si>
    <t>_x0089_Û÷Faceless body belonged to my sister_x0089_Ûª: #Hiroshima #Nagasaki #nuke survivors recall horrors 70 years on _x0089_ÛÓ RT News http://t.co/918EQmTkrL</t>
  </si>
  <si>
    <t>Anywhere Safe</t>
  </si>
  <si>
    <t>@LawfulSurvivor T-Dog had been holed up in an apartment store with several other survivors Glenn Morales Andrea Jacqui and Merle.--</t>
  </si>
  <si>
    <t>Marietta, GA</t>
  </si>
  <si>
    <t>Stemming from my #Cubs talk- the team rosters 2 cancer survivors in @ARizzo44 &amp;amp; @JLester34...@Cubs fans: help another http://t.co/XGnjgLE9eQ</t>
  </si>
  <si>
    <t>Haunting memories drawn by survivors http://t.co/WJ7UjFs8Fd</t>
  </si>
  <si>
    <t>Remembrance  http://t.co/ii4EwE1QIr #Hiroshima http://t.co/H3vUsqzyQo</t>
  </si>
  <si>
    <t>terrorism</t>
  </si>
  <si>
    <t>everywhere</t>
  </si>
  <si>
    <t>News786-UK Islamist Cleric Anjem Choudary Charged Under Terrorism Act: http://t.co/u7bBeNXWYK</t>
  </si>
  <si>
    <t>@RobPulseNews @huyovoeTripolye Phillips should be charged for assisting terrorism. LDNR-terrorists' organizations. http://t.co/XwnJYsV9V9</t>
  </si>
  <si>
    <t>Truth...
https://t.co/nXS3Z1kxiD
#News
#BBC
#CNN
#Islam
#Truth
#god
#ISIS
#terrorism
#Quran
#Lies http://t.co/UDKMAdKuzY</t>
  </si>
  <si>
    <t>Preacher faces UK terrorism charges http://t.co/daPlllFuqK</t>
  </si>
  <si>
    <t>Salt Lake City, UT</t>
  </si>
  <si>
    <t>Woman sneaks into airplane cockpit; terrorism not suspected http://t.co/1W58Ehv9S1 http://t.co/p8Ih0hni3l</t>
  </si>
  <si>
    <t>Winston-Salem, NC</t>
  </si>
  <si>
    <t>NC Senate follows House on legal action on terrorism damages - Winston http://t.co/2Y5MoRpugt</t>
  </si>
  <si>
    <t>#Politics Democracy_x0089_Ûªs hatred for hate: _x0089_Û_ Dawabsha threaten to erode Israeli democracy. Homegrown terrorism ha...  http://t.co/q8n5Tn8WME</t>
  </si>
  <si>
    <t>New Jersey, USA</t>
  </si>
  <si>
    <t>Cross-border terrorism: Pakistan caught red-handed again http://t.co/uDj50J3MV4</t>
  </si>
  <si>
    <t>CTD arrest three vital criminals from Orangi: KARACHI: Counter-Terrorism Department (CTD) of the Sindh Police ... http://t.co/Le4brduau9</t>
  </si>
  <si>
    <t>Lancaster, CA</t>
  </si>
  <si>
    <t>Still domestic terrorism  https://t.co/GevRMBVznB</t>
  </si>
  <si>
    <t>DireTube Information _x0089_ÛÒ Egypt Cyprus and Greece agreed to fightåÊterrorism http://t.co/V6IjxCCD2I http://t.co/YSXhFWMGOD</t>
  </si>
  <si>
    <t>Perspectives on Terrorism - Understanding Jihadi Proto-States: http://t.co/d5h4jif1y3</t>
  </si>
  <si>
    <t>DHS Refuses to Call Chattanooga _x0089_Û÷Islamic Terrorism_x0089_Ûª out of respect for MUSLIMS ... http://t.co/u8RGB51d22 via @po_st http://t.co/2tnu95VGFE</t>
  </si>
  <si>
    <t>Pakistan's Supreme Court rules to allow military trials for suspects in terrorism cases http://t.co/ajpbdCalew</t>
  </si>
  <si>
    <t>Reston, VA, USA</t>
  </si>
  <si>
    <t>A good piece on Israeli incitement and Jewish terrorism by Beinart: http://t.co/OT2OOOEdts</t>
  </si>
  <si>
    <t>Riyadh</t>
  </si>
  <si>
    <t>In #islam saving a person is equal in reward to saving all humans! Islam is the opposite of terrorism!</t>
  </si>
  <si>
    <t>toronto, ontario</t>
  </si>
  <si>
    <t>@AdamNibloe Arrest report: Affiliation with Terrorism</t>
  </si>
  <si>
    <t>Truth...
https://t.co/2Y4RGob7pj
#News
#BBC
#CNN
#Islam
#Truth
#god
#ISIS
#terrorism
#Quran
#Lies http://t.co/mVes6VsSyN</t>
  </si>
  <si>
    <t>Really cannot condemn an entire group based on the actions of a few.. A heart-warming unity against terrorism.. http://t.co/HHPvPaEL4n</t>
  </si>
  <si>
    <t>Truth...
https://t.co/p5ZIcjUdXO
#News
#BBC
#CNN
#Islam
#Truth
#god
#ISIS
#terrorism
#Quran
#Lies http://t.co/kZhB8zX6YC</t>
  </si>
  <si>
    <t>@KurtSchlichter  He's already done it by negotiating with the #1 state of terrorism in the World. What was his hurry in trying to get a deal</t>
  </si>
  <si>
    <t>Pakistan Supreme Court endorses military courts for terrorism cases http://t.co/sZeapuEuvy</t>
  </si>
  <si>
    <t>Truth...
https://t.co/4ZQrsAQrRT
#News
#BBC
#CNN
#Islam
#Truth
#god
#ISIS
#terrorism
#Quran
#Lies http://t.co/6ar3UKvsxw</t>
  </si>
  <si>
    <t>Bangalore City, India</t>
  </si>
  <si>
    <t>Cross-border terrorism: Pakistan caught red-handed again - The Times of India http://t.co/uiqsfgZoOx</t>
  </si>
  <si>
    <t>terrorist</t>
  </si>
  <si>
    <t>Captured terrorist Naved not registered as our citizen: Pakistan http://t.co/0FS9kSV5xK</t>
  </si>
  <si>
    <t>Signing a petition to seek mercy on a death punishment for a convivted terrorist is a job well done in India. But asking a foreign govt 1/n</t>
  </si>
  <si>
    <t>Here_x0089_Ûªs how media in Pakistan covered the capture of terrorist Mohammed Naved http://t.co/3MtWh0jJns</t>
  </si>
  <si>
    <t>Update on Pulwama encounter that began earlier today: 2nd terrorist killed by security forces. Security forces...  http://t.co/m5RjekVDDp</t>
  </si>
  <si>
    <t>Fresh encounter in Pulwama of J&amp;amp;amp;K one terrorist killed others holed up inside a house http://t.co/oEf123l5Rc</t>
  </si>
  <si>
    <t>Beit El - Israel</t>
  </si>
  <si>
    <t>'The Terrorist Tried to Get Out of the Car; I Shot Him' http://t.co/VSoxKbt6Nq</t>
  </si>
  <si>
    <t>Me pulling over and fighting the hoes that called Zayn a terrorist  http://t.co/FY30fV0Qbx</t>
  </si>
  <si>
    <t>New Delhi, India</t>
  </si>
  <si>
    <t>Udhampur terror attack: NIA takes over probe Pakistani terrorist quizzed; Pak denies link  http://t.co/ogZJOkd7Sv  #Elections #AcheDin #_x0089_Û_</t>
  </si>
  <si>
    <t>@narendramodi @bjpsamvad Hiroshima is now beautiful on the ashes of the old. So could be a terrorist Pakistan.</t>
  </si>
  <si>
    <t>Sanganer, Rajasthan</t>
  </si>
  <si>
    <t>@rahulkanwal why  Jammu is soft target for terrorist</t>
  </si>
  <si>
    <t>Loading...</t>
  </si>
  <si>
    <t>Anyone missing their license plate? Two stolen ones found on terrorist's car... http://t.co/CWGCciw3V6</t>
  </si>
  <si>
    <t>Chennai</t>
  </si>
  <si>
    <t>Pakistan Disowned Kasab Now Disowns Naved: State of Denial?: Naved the terrorist captured alive after an_x0089_Û_ http://t.co/HGDrK81sN4</t>
  </si>
  <si>
    <t>BILASPUR,CHHATTISGARH,495001</t>
  </si>
  <si>
    <t>The Pak terrorist who has been caught alive must be tried fast not delayed as KasabWe must send very hard message to Pak instead of Biryani</t>
  </si>
  <si>
    <t>proudly South African</t>
  </si>
  <si>
    <t>@SwiftyCommissh @TaoistInsight @ImmortalTech Some jewish ppl agree tht Israel is a bully nd a terrorist state killin palestine kids nd women</t>
  </si>
  <si>
    <t>RT AbbsWinston: #Zionist #Terrorist Demolish Tire Repair Shop Structure in #Bethlehem
http://t.co/ph2xLI8nVe http://t.co/22fuxHn7El</t>
  </si>
  <si>
    <t>Three Israeli soldiers wounded in West Bank terrorist attack - Haaretz http://t.co/u4gSBNU8wc</t>
  </si>
  <si>
    <t>Three Israeli soldiers wounded in West Bank terrorist attack via /r/worldnews http://t.co/su4ZVWADj7</t>
  </si>
  <si>
    <t>RT AbbsWinston: #Zionist #Terrorist kidnapped 15 #Palestinians in overnight terror on Palestinian Villages _x0089_Û_ http://t.co/J5mKcbKcov</t>
  </si>
  <si>
    <t>????? ???? ????</t>
  </si>
  <si>
    <t>#UdhampurAgain 2 terrorist shot dead.. #Udhampur</t>
  </si>
  <si>
    <t>@lovemywife1983 @FoxNews like shedid on 9/11 4the public facts I am not a journalist the Bush's washard on stopping more than just terrorist</t>
  </si>
  <si>
    <t>Charleston S.C.</t>
  </si>
  <si>
    <t>Isn't it ironic that on the anniversary of Hiroshima our current President is helping a terrorist nation acquire nuclear weapons. #TRAITOR</t>
  </si>
  <si>
    <t>Three Israeli soldiers wounded in West Bank terrorist attack via /r/worldnews http://t.co/9TyucdWh3g</t>
  </si>
  <si>
    <t>threat</t>
  </si>
  <si>
    <t>Kwajalein/Virginia/Dayton, OH</t>
  </si>
  <si>
    <t>@dmassa5 Definite triple crown threat. Him and Harper both.</t>
  </si>
  <si>
    <t>BiÌ±an,Laguna</t>
  </si>
  <si>
    <t>Meek Mill responds to Drake_x0089_Ûªs OVO Fest set with wedgie threat http://t.co/qqSKYbARNg</t>
  </si>
  <si>
    <t>thunder</t>
  </si>
  <si>
    <t>Gander NF</t>
  </si>
  <si>
    <t>Random wind gust just came through #Gander.  Probably some convection outflow.  Haven't heard any thunder yet but a few spits of rain #nlwx</t>
  </si>
  <si>
    <t>@OriginalFunko @Spencers THUNDER BUDDYS!!!! THUNDER BUDDYS!!!!</t>
  </si>
  <si>
    <t>Heavy rain frequent thunder and gusty winds moving into parts of Uptown and Midtown. http://t.co/KQJevYqzLV - CN http://t.co/HmWhob7prs</t>
  </si>
  <si>
    <t>Thunder lightening torrential rain and a power cut!</t>
  </si>
  <si>
    <t>The thunder shook my house woke my sister and made car alarms go off ????</t>
  </si>
  <si>
    <t>I hear lightening and see thunder</t>
  </si>
  <si>
    <t>I was over here dreaming peacefully then that loud ass thunder wanted to scare me. ??</t>
  </si>
  <si>
    <t>Palma, Islas Baleares</t>
  </si>
  <si>
    <t>@AsimTanvir @NemesisK_PES @KevR_7  Snow? Thunder and lightning?</t>
  </si>
  <si>
    <t>Oh shit its rly sheeting
Aaaaaand there's the thunder and lightning
I missed summer storms</t>
  </si>
  <si>
    <t>Baydestrian</t>
  </si>
  <si>
    <t>suddenly it's off &amp;amp; on gloomy &amp;amp; thunder so loud it shakes the windows? Not ever on the Bay Area. Miss me w/that lol http://t.co/x4eCGGvnSN</t>
  </si>
  <si>
    <t>Macon, GA</t>
  </si>
  <si>
    <t>#thunder outside my house this afternoon #gawx ??????????????????</t>
  </si>
  <si>
    <t xml:space="preserve">gamertag: bexrayandvav </t>
  </si>
  <si>
    <t>@HaydnExists so glad i saved them all at once then didn_x0089_Ûªt want you stealing my thunder :P</t>
  </si>
  <si>
    <t>thunderstorm</t>
  </si>
  <si>
    <t>Severe Thunderstorm Warning for Oklahoma County until 10:30pm. Radar here: http://t.co/2HV2y2M2oZ #okwx</t>
  </si>
  <si>
    <t>NIggas playing in the thunderstorm.. 'HOPE THE LORR BLESS EM' ????</t>
  </si>
  <si>
    <t>Jupiter</t>
  </si>
  <si>
    <t>#usNWSgov Special Weather Statement issued August 05 at 10:40PM EDT by NWS: ...STRONG THUNDERSTORM WILL IMPACT... http://t.co/TQ1rUQD4LG</t>
  </si>
  <si>
    <t>Severe Thunderstorm Warning issued August 05 at 9:31PM CDT until August 05 at 10:15PM CDT by NWS http://t.co/h9i6moZAsK</t>
  </si>
  <si>
    <t>OUN cancels Severe Thunderstorm Warning for Lincoln Logan Oklahoma [OK]  http://t.co/bTi8JAMFiu #WX</t>
  </si>
  <si>
    <t>#usNWSgov Severe Weather Statement issued August 05 at 10:38PM EDT by NWS: ...THE SEVERE THUNDERSTORM WARNING ... http://t.co/EpzgG4uqJI</t>
  </si>
  <si>
    <t>@museawayfic @beenghosting @xylodemon ok ok what if I make the close quarters an abandoned cabin in the woods IN A THUNDERSTORM</t>
  </si>
  <si>
    <t>El Dorado, Arkansas</t>
  </si>
  <si>
    <t>NWS has Continued a Severe Thunderstorm Warning for Oklahoma-OK until 10:30 PM</t>
  </si>
  <si>
    <t>East Coast</t>
  </si>
  <si>
    <t>THE NATIONAL WEATHER SERVICE IN LITTLE ROCK HAS ISSUED A * SEVERE THUNDERSTORM WARNING FOR... VAN BUREN COUNTY IN _x0089_Û_ http://t.co/KJsvW06GBV</t>
  </si>
  <si>
    <t>iNWS Alert SPSGSP from 8/5/2015 10:40 PM to 11:15 PM EDT for Pickens County: STRONG THUNDERSTORM WILL IMPACT... http://t.co/LdcwKyuaFf</t>
  </si>
  <si>
    <t>Severe Thunderstorm Warnings have been cancelled in central Oklahoma. Still expect 50 mph winds penny sized hail</t>
  </si>
  <si>
    <t>73101</t>
  </si>
  <si>
    <t>Severe Weather Statement issued August 05 at 9:33PM CDT by NWS: ...THE SEVERE THUNDERSTORM WARN... http://t.co/1EOf1Wxnpj #Skywarn #OKwx</t>
  </si>
  <si>
    <t>Severe Thunderstorm Warning including Russellville AR Clarksville AR Dardanelle AR until 10:15 PM CDT http://t.co/n844h1ASPj</t>
  </si>
  <si>
    <t>RT @LivingSafely: NWS posts Severe #Thunderstorm Warnings for parts of #AR #NC #OK. Seek strong shelter if at risk: http://t.co/kEa5l3b1AE</t>
  </si>
  <si>
    <t>Oklahoma City</t>
  </si>
  <si>
    <t>Severe Thunderstorm Warning for Oklahoma County until 10:30pm. http://t.co/RsdkWZRc8g #okwx</t>
  </si>
  <si>
    <t>South Carolina</t>
  </si>
  <si>
    <t>Strong Thunderstorm 4 Miles East of Pickens Moving NE At 20 MPH. Pea Size Hail and Wind Gusts Up to 40 MPH... #scwx http://t.co/TsaLetFtkt</t>
  </si>
  <si>
    <t xml:space="preserve">Tornado Alley, USA </t>
  </si>
  <si>
    <t>Severe Thunderstorm Warning for Oklahoma County in OK until 10:30pm CDT. #okwx</t>
  </si>
  <si>
    <t>OUN continues Severe Thunderstorm Warning for Oklahoma [OK] till 10:30 PM CDT http://t.co/oIM6Po8XCu</t>
  </si>
  <si>
    <t>Nicoma Park, OK</t>
  </si>
  <si>
    <t>Severe Thunderstorm Warning including Midwest City OK Del City OK Choctaw OK until 10:30 PM CDT http://t.co/ogxSY4GWD1</t>
  </si>
  <si>
    <t>Severe Thunderstorm pictures from across the Mid-South http://t.co/UZWLgJQzNS</t>
  </si>
  <si>
    <t>Lethbridge, Alberta, Canada</t>
  </si>
  <si>
    <t>[HIGH PRIORITY] SEVERE THUNDERSTORM WATCH ENDED Issued for Lethbridge [Updated: Aug 05th 20:29 MDT] http://t.co/yqYiwjN8eZ</t>
  </si>
  <si>
    <t>A STRONG THUNDERSTORM WILL AFFECT CENTRAL HALIFAX COUNTY THROUGH 1145 PM EDT for Halifax [VA] till 11:45 PM EDT http://t.co/MjSTefgGU5</t>
  </si>
  <si>
    <t>Thunderstorm in Helsinki
#thunder #lightning #lightningstrike #thunderstorm #nature #Helsinki_x0089_Û_ https://t.co/rJJXUcX5PM</t>
  </si>
  <si>
    <t xml:space="preserve">Killafornia made me </t>
  </si>
  <si>
    <t>9:35 pm. Thunderstorm. No rain. 90 degrees. This weather weird.</t>
  </si>
  <si>
    <t>NWS has issued a Severe Thunderstorm Warning for Oklahoma-OK until 10:30 PM</t>
  </si>
  <si>
    <t>#usNWSgov Severe Weather Statement issued August 05 at 10:38PM EDT by NWS: ...THE SEVERE THUNDERSTORM WARNING ... http://t.co/7HuEN4rWrn</t>
  </si>
  <si>
    <t>tornado</t>
  </si>
  <si>
    <t>Austin</t>
  </si>
  <si>
    <t>73rd GOODE Water Ski National Championships will go on as planned next week  http://t.co/PgKBT3MBAp. (Event w/ damage from a tornado on Mon)</t>
  </si>
  <si>
    <t>(AR)  Severe Thunderstorm Warning issued August 05 at 9:12PM CDT until August 05 at 9:45PM CDT by NWS http://t.co/AYfdjeB7Hy #arwx</t>
  </si>
  <si>
    <t>Second tornado confirmed in Sunday_x0089_Ûªs storm http://t.co/Ffnzit7kgN</t>
  </si>
  <si>
    <t>(OK)  Severe Thunderstorm Warning issued August 05 at 8:29PM CDT until August 05 at 9:15PM CDT by NWS http://t.co/O8X4M5eR6b #okwx</t>
  </si>
  <si>
    <t>I liked a @YouTube video http://t.co/itnKBxgWLH Lexi Belle for Oklahoma tornado victims</t>
  </si>
  <si>
    <t>Fort Knox, KY 40121</t>
  </si>
  <si>
    <t>@SakhalinTribune Calgary area tornado warnings end as thunderstorms move eastward</t>
  </si>
  <si>
    <t>Environment Canada confirms 2nd tornado touched down last weekend åÈ http://t.co/x8zqbwNfO1</t>
  </si>
  <si>
    <t>San Antonio, TX</t>
  </si>
  <si>
    <t>Pizza and beer in a tornado in Austin. Windy af right now</t>
  </si>
  <si>
    <t xml:space="preserve">Providence RI / Lisnaskea </t>
  </si>
  <si>
    <t>Still can't get over the thunderstorm/tornado we were woken up to yesterday. Half the street is still in the dark! http://t.co/Y8h5v1j2y7</t>
  </si>
  <si>
    <t>Dindigul,TamilNadu.</t>
  </si>
  <si>
    <t>@kunalkapoor Photo of the Day: Storm
Chaser
http://t.co/4WJy7seHmw
#photography #pod</t>
  </si>
  <si>
    <t>@Rebelmage2 I'm glad you got away XD But My 'be safe' was in reference to a tornado near calgary and drum heller at around 4 :O</t>
  </si>
  <si>
    <t>Weak but distinct rotation fully condenses near Villa Ridge MO today near MCV center.  A 'sub-tornado?' Video: https://t.co/Fd9DzspuGk</t>
  </si>
  <si>
    <t>Calgary area tornado warnings end as thunderstorms move eastward - CBC.ca: CBC.ca Calgary area tornado warnings end_x0089_Û_ http://t.co/ST9jPZ8Y24</t>
  </si>
  <si>
    <t>Illinois Tornado Slipped Under The Radar Emergency Officials Say http://t.co/P4KOfYtkdx</t>
  </si>
  <si>
    <t xml:space="preserve">  </t>
  </si>
  <si>
    <t>Maybe that's what happens when a tornado meets a volcano</t>
  </si>
  <si>
    <t>I feel like a tornado http://t.co/iZJK6kpWiZ</t>
  </si>
  <si>
    <t>tragedy</t>
  </si>
  <si>
    <t>Rly tragedy in MP: Some live to recount horror http://t.co/TTb9oiL8R2 #TopStories #India timesofindia</t>
  </si>
  <si>
    <t>shit is hard to get over but sometimes the tragedy means it's over soulja..</t>
  </si>
  <si>
    <t>Rly tragedy in MP: Some live to recount horror: _x0089_ÛÏWhen I saw coaches of my train plunging into water I called ... http://t.co/72ix7vM87w</t>
  </si>
  <si>
    <t>Rly tragedy in MP: Some live to recount horror: _x0089_ÛÏWhen I saw coaches of my train plunging into water I called ... http://t.co/Calk5nv5Vc</t>
  </si>
  <si>
    <t>Railways caught unawares by MP tragedy; Accident spot never marked as 'vulnerable' - Times of_x0089_Û_ http://t.co/cEdCUgEuWs #News</t>
  </si>
  <si>
    <t>Railways caught unawares by MP tragedy; Accident spot never marked as _x0089_Û÷vulnerable_x0089_Ûª http://t.co/UB1JZskmRc</t>
  </si>
  <si>
    <t xml:space="preserve">dubai </t>
  </si>
  <si>
    <t>@TOIIndiaNews ofcourse 
Just 8 minute b4 tragedy another train had crossed this place 
N a flash flood caued washing of tracks..</t>
  </si>
  <si>
    <t>#ModiMinistry Rly tragedy in MP: Some live to recount horror http://t.co/s43wE7Oe2i</t>
  </si>
  <si>
    <t>Rly tragedy in MP: Some live to recount horror: _x0089_ÛÏWhen I saw coaches of my train plunging into water I called ... http://t.co/vScPGMsJXY</t>
  </si>
  <si>
    <t>DTN India: Rly tragedy in MP: Some live to recount horror: _x0089_ÛÏWhen I saw coaches of my train plunging into water... http://t.co/WK63tm34a0</t>
  </si>
  <si>
    <t>#breakingnews Rly tragedy in MP: Some live to recount horror: _x0089_ÛÏWhen I saw coaches of my train plunging into wa... http://t.co/eYOrBmF3O3</t>
  </si>
  <si>
    <t>houston</t>
  </si>
  <si>
    <t>@itss_selenaluna like a beautiful ass tragedy lol</t>
  </si>
  <si>
    <t>Rly tragedy in MP: Some live to recount horror: _x0089_ÛÏWhen I saw coaches of my train plunging into water I called ... http://t.co/0Xh758OnUP</t>
  </si>
  <si>
    <t>Rly tragedy in MP: Some live to recount horror: _x0089_ÛÏWhen I saw coaches of my train plunging into water I called ... http://t.co/CaR5QEUVHH</t>
  </si>
  <si>
    <t>Robert Gagnon reviews the catastrophe of imposing same-sex marriage and how Christians should respond http://t.co/HIpklxpHnp</t>
  </si>
  <si>
    <t>Noida, NCR, India</t>
  </si>
  <si>
    <t>Rly tragedy in MP: Some live to recount horror: _x0089_ÛÏWhen I saw coaches of my train plunging into water I called my_x0089_Û_ http://t.co/gDjTzkpCHK</t>
  </si>
  <si>
    <t>Rly tragedy in MP: Some live to recount horror: _x0089_ÛÏWhen I saw coaches of my train plunging into water I called my daughters and said t...</t>
  </si>
  <si>
    <t>NYC / International</t>
  </si>
  <si>
    <t>Rly tragedy in MP: Some live to recount horror: _x0089_ÛÏWhen I saw coaches of my train plunging into water I called ... http://t.co/ZkgQSpwYj3</t>
  </si>
  <si>
    <t>Rly tragedy in MP: Some live to recount horror: _x0089_ÛÏWhen I saw coaches of my train plunging into water I called ... http://t.co/21hsrrqZOu</t>
  </si>
  <si>
    <t>Rly tragedy in MP: Some live to recount horror: _x0089_ÛÏWhen I saw coaches of my train plunging into water I called ... http://t.co/xtlJz7BjgL</t>
  </si>
  <si>
    <t>Rt hirochii0: There is no country that making fun of Hiroshima 's tragedy but Korea. http://t.co/And1Btizao #Indonesia #Malaysia #Jamaica #_x0089_Û_</t>
  </si>
  <si>
    <t>@CSAresu   American Tragedy http://t.co/SDmrzGErYX</t>
  </si>
  <si>
    <t>trapped</t>
  </si>
  <si>
    <t>PA, USA</t>
  </si>
  <si>
    <t>Leitchfield KY:
 Bella Edward &amp;amp; Rosalie need rescue/adoption/local foster home(s)/sponsorships.
 Trapped &amp;amp;... http://t.co/Ajay0sNPlg</t>
  </si>
  <si>
    <t xml:space="preserve">shoujo hell </t>
  </si>
  <si>
    <t>@onihimedesu the whole city is trapped! You can't leave the city! This was supposed to be a normal sports manga wit a love triangle (c)</t>
  </si>
  <si>
    <t>10 Steps Ahead.  Cloud 9</t>
  </si>
  <si>
    <t>Bomb head? Explosive decisions dat produced more dead children than dead bodies trapped tween buildings on that day in September there</t>
  </si>
  <si>
    <t>????s ?? ????Ìø????Ì¡a</t>
  </si>
  <si>
    <t>(?EudryLantiqua?) Hollywood Movie About Trapped Miners Released in Chile: 'The 33' Holly... http://t.co/us1DMdXZVb (?EudryLantiqua?)</t>
  </si>
  <si>
    <t>876 Jamrock.</t>
  </si>
  <si>
    <t>Literally trapped in my room Cuz my bathroom being remodeled. The only exit is through a window</t>
  </si>
  <si>
    <t>Hollywood Movie About Trapped Miners Released in Chile http://t.co/qkrLtrd39B</t>
  </si>
  <si>
    <t>St Louis, MO</t>
  </si>
  <si>
    <t>@BoyInAHorsemask its a panda trapped in a dogs body</t>
  </si>
  <si>
    <t>Hollywood Movie About Trapped Miners Released in Chile: 'The 33' Hollywood movie about trapped miners starring... http://t.co/tyyfG4qQvM</t>
  </si>
  <si>
    <t>Hollywood Movie About Trapped Miners Released in Chile: 'The 33' Hollywood movie about trapped miners starring... http://t.co/0f8XA4Ih1U</t>
  </si>
  <si>
    <t>trauma</t>
  </si>
  <si>
    <t>Photo: lavenderpoetrycafe: Trauma memories are encoded in images as trauma is a more sensory than cognitive... http://t.co/DMb6xP966D</t>
  </si>
  <si>
    <t>Detroit, MI</t>
  </si>
  <si>
    <t>#NissanNews : Trauma Alert and 1 Child Among 6 Hospitalized After 2-Car Wreck on A1A Near Bing's Landing: The ... http://t.co/9dWyJqvFY4</t>
  </si>
  <si>
    <t>I rap to burn shame.</t>
  </si>
  <si>
    <t>@PTSD_Chat Yes. I feel the root of that is Shame - which can be found in the rubble of most trauma. #PTSDchat</t>
  </si>
  <si>
    <t>Hiroshima: They told me to paint my story: Eighty-nine year old man recalls the terror and the trauma when the... http://t.co/spE7U8t40K</t>
  </si>
  <si>
    <t>Photo: lavenderpoetrycafe: The Forgotten History of Sexual Trauma Hysteria was an affliction seen primarily... http://t.co/U2eS0Uk1u3</t>
  </si>
  <si>
    <t>Trauma injuries involving kids and sport usually cycling related - CBC.ca http://t.co/0dQjereTXU</t>
  </si>
  <si>
    <t>Butt Trauma Extraordinaire</t>
  </si>
  <si>
    <t>Blood Memory: Intragenerational Trauma and the Death of Sandra Bland http://t.co/ZWeyGpHpf7</t>
  </si>
  <si>
    <t>Esteemed journalist recalls tragic effects of unaddressed #childhood #trauma. @keithboykin @RandallPinkston @pozarmy  http://t.co/GXq1Auzb18</t>
  </si>
  <si>
    <t>Trauma can happen anywhere -- school home etc. -- at any time. Learn the ABC's of trauma and how to parent... _x0089_Û_ http://t.co/fMj8MXJY8a</t>
  </si>
  <si>
    <t>Chicago, Illinois</t>
  </si>
  <si>
    <t>80 @UChicago faculty members pushing university to overturn ban of trauma center protesters http://t.co/ta1yqclpSc http://t.co/xToHI1HexY</t>
  </si>
  <si>
    <t>traumatised</t>
  </si>
  <si>
    <t>@PyramidHead76 one good thing came out of watching the film.  Was too traumatised to watch show so started Halt &amp;amp; Catch Fire on Amazon. :D</t>
  </si>
  <si>
    <t>@disneyIrh so traumatised im ???? http://t.co/TATZfK63Ch</t>
  </si>
  <si>
    <t>trouble</t>
  </si>
  <si>
    <t>YA MOTHA BED</t>
  </si>
  <si>
    <t>@lucysforsale funny cause my dumb ass was the young one to get n trouble the most lol</t>
  </si>
  <si>
    <t>@canagal Good to hear it's back.. that storm's been given you guys trouble though :( ^SJ</t>
  </si>
  <si>
    <t>OH MY GOD RYANS IN TROUBLE http://t.co/ADIp0UnXHU</t>
  </si>
  <si>
    <t>Davis, California</t>
  </si>
  <si>
    <t>Strawberries are in big trouble. Scientists race to find solution. http://t.co/MqydXRLae7 http://t.co/EpJjkB4Be9</t>
  </si>
  <si>
    <t>@cspan #Prez. Mr. President you are the biggest terrorist and trouble maker in the world. You create terrorist you sponsor terrorist.</t>
  </si>
  <si>
    <t>tsunami</t>
  </si>
  <si>
    <t>So did we have a hurricane tornado tsunami? Someone please tell me what the hell happened #nopower</t>
  </si>
  <si>
    <t>@helene_yancey GodsLove &amp;amp; #thankU my sister Helene for RT of NEW VIDEO http://t.co/cybKsXHF7d The Coming Apocalyptic US Earthquake &amp;amp; Tsunami</t>
  </si>
  <si>
    <t>Crptotech tsunami and banks.
 http://t.co/KHzTeVeDja #Banking #tech #bitcoing #blockchain</t>
  </si>
  <si>
    <t>Kleenex factory</t>
  </si>
  <si>
    <t>An optical illusion - clouds rolling in over the mountains looks like a Tsunami - Geneva - Switzerland http://t.co/EyEVZIoPg1</t>
  </si>
  <si>
    <t>??????????????</t>
  </si>
  <si>
    <t>Earthquake and tsunami that occurred in Japan 'free speech' is also swallowed. http://t.co/TJyyFT6NV0</t>
  </si>
  <si>
    <t>?#FUKUSHIMA?#TEPCO?
Mountains of debris from the Japanese tsunami have floated to the West Coast
http://t.co/y518jYrZav</t>
  </si>
  <si>
    <t>East Islip, NY</t>
  </si>
  <si>
    <t>@slone did the First World War Ever Truly End? The Ripples Are With Still and have been compound into low level Tsunami</t>
  </si>
  <si>
    <t>but i love kaylen ??</t>
  </si>
  <si>
    <t>I hope this tsunami clears b4 i have to walk outside to my car ????</t>
  </si>
  <si>
    <t>@author_mike Amen today is the Day of Salvation. THX brother Mike for your great encouragement. - http://t.co/cybKsXHF7d Coming US Tsunami</t>
  </si>
  <si>
    <t>and i dont get waves of missing you anymore theyre more like tsunami tides in my eyesss</t>
  </si>
  <si>
    <t>Hawaii</t>
  </si>
  <si>
    <t>Meet Brinco your own personal earthquake snd tsunami early warning beacon. http://t.co/NXkUM9h7wD</t>
  </si>
  <si>
    <t>twister</t>
  </si>
  <si>
    <t>It's alil twister at Tha end to! I was like oh nah ??</t>
  </si>
  <si>
    <t>Gail and Russell saw lots of hail at their Dalroy home - they have video of twister 1/2 mile from their home #yyc http://t.co/3VfKEdGrsO</t>
  </si>
  <si>
    <t xml:space="preserve">Las Vegas, NV </t>
  </si>
  <si>
    <t>950. If a landslide tumbles down todayI'm on your side
And if a twister sweeps it all away-
YOU'RE ON YOUR OWN BITCH!*runs into distance*</t>
  </si>
  <si>
    <t>Crazy Mom Threw Teen Daughter a NUDE Twister Sex Party According To Her Friend50 =&amp;gt;http://t.co/Hy5Pbe12TM http://t.co/c1nJpLi5oR</t>
  </si>
  <si>
    <t>Tornadoes: El Nino may give Canada's twister season a boost #Toronto http://t.co/agyCutKBnN</t>
  </si>
  <si>
    <t>typhoon</t>
  </si>
  <si>
    <t>#Breaking144 Obama Declares Disaster for Typhoon-Devastated Saipan: Obama signs disaster declarat... http://t.co/M8CIKs60BX #AceNewsDesk</t>
  </si>
  <si>
    <t>Savage States of America</t>
  </si>
  <si>
    <t>Map: Typhoon Soudelor's predicted path as it approaches Taiwan; expected to make landfall over southern China by S_x0089_Û_ http://t.co/JDVSGVhlIs</t>
  </si>
  <si>
    <t>Find out how your fund was used for Typhoon Haiyan in the Philippines. See @DevPeace Haiyan Relief Funds Report http://t.co/JwxrX1LsqO</t>
  </si>
  <si>
    <t xml:space="preserve">Whole World </t>
  </si>
  <si>
    <t>Global precipitation measurement satellite captures 3-D image of Typhoon Soudelor - NASAHurricane. Visit: http://t.co/sQN4girdvZ</t>
  </si>
  <si>
    <t>Ibadan,Oyo state</t>
  </si>
  <si>
    <t>Obama Declares Disaster for Typhoon-Devastated Saipan: Obama signs disaster declaration for Northern Marians a... http://t.co/UsVyHdG9OG</t>
  </si>
  <si>
    <t>#breaking #news Global precipitation measurement satellite captures 3-D image of Typhoon Soudelor - @NASAHurricane http://t.co/20DNcthr4D</t>
  </si>
  <si>
    <t>ngapain?</t>
  </si>
  <si>
    <t>Obama Declares Disaster for Typhoon-Devastated Saipan: Obama signs disaster declaration for Northern Marians a... http://t.co/Q3DtOqO04c</t>
  </si>
  <si>
    <t>Tema,Accra</t>
  </si>
  <si>
    <t>Obama Declares Disaster for Typhoon-Devastated Saipan: Obama signs disaster declaration for Northern Marians a... http://t.co/qjuU0wcWPx</t>
  </si>
  <si>
    <t>phuket thailand</t>
  </si>
  <si>
    <t>@FoxNews let me report it to u people instead Mr.Obama just declares CNMI federal disaster area post typhoon soudelor. U guys 2slow2report.</t>
  </si>
  <si>
    <t>Typhoon Soudelor: When will it hit Taiwan _x0089_ÛÒ and how bad will it be? #GeneralNews http://t.co/cWZHgEzAJ4</t>
  </si>
  <si>
    <t>Obama Declares Disaster for Typhoon-Devastated Saipan: Obama signs disaster declaration for Northern Marians a... http://t.co/9i6CrCRq2m</t>
  </si>
  <si>
    <t>RT_America: RT RT_com: Eye of Super Typhoon Soudelor seen from space (TIME-LAPSE) https://t.co/FC3BxRtHPG http://t.co/BIU4koWGlz</t>
  </si>
  <si>
    <t>Typhoon Soudelor taking dead aim at Taiwan http://t.co/3Ac5wuy1R0</t>
  </si>
  <si>
    <t>Global precipitation measurement satellite captures 3-D image of Typhoon Soudelor - @NASAHurricane http://t.co/iGCEtuMkcW</t>
  </si>
  <si>
    <t>Unites States</t>
  </si>
  <si>
    <t>Obama Declares Disaster for Typhoon-Devastated Saipan http://t.co/CanEyTtwEV #international</t>
  </si>
  <si>
    <t>nbanews Soudelor Typhoon Soudelor is taking dead aim at Taiwan and is expected to make landfall Friday according to the Joint Typhoon_x0089_Û_</t>
  </si>
  <si>
    <t xml:space="preserve">New York </t>
  </si>
  <si>
    <t>Obama Declares Disaster for Typhoon-Devastated Saipan: Obama signs disaster declaration for Northern Marians a... http://t.co/PC8BvufLFJ</t>
  </si>
  <si>
    <t>Santiago,RepÌ¼blica Dominicana</t>
  </si>
  <si>
    <t>Obama Declares Disaster for Typhoon-Devastated Saipan: Obama signs disaster declaration for Northern Marians a... http://t.co/BHZr9UgUs2</t>
  </si>
  <si>
    <t>Obama Declares Disaster for Typhoon-Devastated Saipan</t>
  </si>
  <si>
    <t>Obama Declares Disaster for Typhoon-Devastated Saipan: Obama signs disaster declaration for Northern Marians a... http://t.co/VTS9CAyiBC</t>
  </si>
  <si>
    <t>Price of vegetables rises on Typhoon Soudelor concerns http://t.co/GeI58Vhbw6</t>
  </si>
  <si>
    <t>Wilmington, Delaware</t>
  </si>
  <si>
    <t>Map: Typhoon Soudelor's predicted path as it approaches Taiwan; expected to make landfall over southern China by... http://t.co/YvaFI3zuJx</t>
  </si>
  <si>
    <t>Obama Declares Disaster for Typhoon-Devastated Saipan: Obama signs disaster declaration for Northern Marians after typhoon hits US territory</t>
  </si>
  <si>
    <t>iamdigitalent.com</t>
  </si>
  <si>
    <t>Photos: Typhoon Soudelor Has Its Aim Set on Taiwan andåÊChina http://t.co/3OG66NfSIG</t>
  </si>
  <si>
    <t>Massive Typhoon heads toward Taiwan. http://t.co/Na2Ey64Vsg</t>
  </si>
  <si>
    <t>A GPM satellite 'bullseye' in Typhoon Soudelor http://t.co/7vcEzi6CbB</t>
  </si>
  <si>
    <t>Global precipitation measurement satellite captures 3-D image of Typhoon Soudelor - @NASAHurricane http://t.co/MvSRjd4X3D</t>
  </si>
  <si>
    <t>Map: Typhoon Soudelor's predicted path as it approaches Taiwan; expected to make landfall over southern China by S_x0089_Û_ http://t.co/0XCb7yeqmw</t>
  </si>
  <si>
    <t>A GPM satellite 'bullseye' in Typhoon Soudelor http://t.co/piVeUPiRKY</t>
  </si>
  <si>
    <t>4Yygb mhtw4fnet
Thousands evacuated as Taiwan prepares for strongest typhoon of 2015 - ABC Online</t>
  </si>
  <si>
    <t>The Peach State</t>
  </si>
  <si>
    <t>I think a Typhoon just passed through here lol</t>
  </si>
  <si>
    <t>Please recover from the Typhoon. ????</t>
  </si>
  <si>
    <t>#ABCNews Obama Declares Disaster for Typhoon-Devastated Saipan: Obama signs disaster declaration for No... http://t.co/DOBZc3piTM #World</t>
  </si>
  <si>
    <t>Dhaka</t>
  </si>
  <si>
    <t>Obama Declares Disaster for Typhoon-Devastated Saipan: Obama signs disaster declaration for Northern Marians a... http://t.co/lEYJwNnAH8</t>
  </si>
  <si>
    <t>Halifax, Nova Scotia</t>
  </si>
  <si>
    <t>Typhoon Soudelor taking dead aim at Taiwan http://t.co/sA5CDWVDXt</t>
  </si>
  <si>
    <t>upheaval</t>
  </si>
  <si>
    <t>How long O Lord (Study 3)
 The sixth seal opens the events of Revelation 12. The political upheaval in the Roman... http://t.co/GW0CXoOJyV</t>
  </si>
  <si>
    <t>Wisconsin, USA</t>
  </si>
  <si>
    <t>Ancient Mayan Tablet Found in Jungle Temple http://t.co/qp6q8RS8ON</t>
  </si>
  <si>
    <t>maryland</t>
  </si>
  <si>
    <t>A Look at State Actions a Year after Ferguson_x0089_Ûªs Upheaval https://t.co/M4tuI0P9nT MD is mentioned in the last group for a 'reporting' bill</t>
  </si>
  <si>
    <t>Milwaukee, WI</t>
  </si>
  <si>
    <t>A Look at State Actions a Year After #Ferguson's Upheaval http://t.co/qwSbVfLPE1</t>
  </si>
  <si>
    <t>@nytimes 
Due to upheaval created by the west in Iraq Syria Libya etc.</t>
  </si>
  <si>
    <t>Connecticut</t>
  </si>
  <si>
    <t>A look at state actions a year after Ferguson's upheaval http://t.co/vXUFtVT9AU</t>
  </si>
  <si>
    <t>violent%20storm</t>
  </si>
  <si>
    <t>Terrifying POV footage captures violent landing from inside a passenger jet during a storm in Amsterdam http://t.co/NqXQYI70W4 #travel</t>
  </si>
  <si>
    <t>Yuuko-san's shop</t>
  </si>
  <si>
    <t>Rather violent storm. Possibility of no stream tonight.</t>
  </si>
  <si>
    <t>Watertown, Mass.</t>
  </si>
  <si>
    <t>Violent Storm Causes Damage Flooding in Watertown - http://t.co/3ZASZ6wxjJ</t>
  </si>
  <si>
    <t>Thunder pounds north goes black
a deep bruise on the sky's chest
wind cries its pain.  
A summer storm has a tough life
short violent.</t>
  </si>
  <si>
    <t>#stormchase Violent Record Breaking EF-5 El Reno Oklahoma Tornado Nearly Runs Over ... - http://t.co/3SICroAaNz http://t.co/I27Oa0HISp</t>
  </si>
  <si>
    <t>#Amsterdam POV video captures violent landing at Amsterdam Airport Schiphol during a st... http://t.co/AlUMrGl40e http://t.co/8h2KCTFB8I</t>
  </si>
  <si>
    <t>Storm batters Auckland and Northland: A violent overnight storm has battered Auckland and Northland uprooting... http://t.co/enrPGRgtTs</t>
  </si>
  <si>
    <t>After a violent afternoon storm more severe weather heads for Chicago tonight. Details ----&amp;gt; http://t.co/6Peeip4y7W</t>
  </si>
  <si>
    <t>I don't understand 'taking' ANY life as a trophy. It's violent killing. http://t.co/NEqW47E1uj #CecilTheLion #BADChoices #BANTROPHYHUNTING</t>
  </si>
  <si>
    <t>Violent Forces Radio: Now Playing Acid Storm - Scourgue Of The Gods
TuneIn Player @ http://t.co/XsSgEdSbH4</t>
  </si>
  <si>
    <t>us</t>
  </si>
  <si>
    <t>U.S.PACIFIC COMMAND.
I can see it!
They gave their all in the peace unity festival
It disappears when freedom
A Violent Storm hit Sea</t>
  </si>
  <si>
    <t>Your Six</t>
  </si>
  <si>
    <t>@Vickie627 Desert Storm was an unqualified victory a treaty was signed.  Under Clinton the situation only got worse and more violent. #tcot</t>
  </si>
  <si>
    <t>POV footage captures violent landing from inside plane during storm http://t.co/kxewlHH7Uw</t>
  </si>
  <si>
    <t>Dramatic Video Shows Plane Landing During Violent Storm - http://t.co/oQ0LnF2Yug http://t.co/tZDBcGpSAg</t>
  </si>
  <si>
    <t>ÌÏT: 1.50225,103.742992</t>
  </si>
  <si>
    <t>Dramatic Video Shows Plane Landing During Violent Storm http://t.co/XRgPdlSWfD</t>
  </si>
  <si>
    <t>POV video captures violent landing at Amsterdam Airport Schiphol during a storm ... http://t.co/fkv5qXDcy3</t>
  </si>
  <si>
    <t>Storm blitzes Traverse City disrupts Management Briefing Seminars: A violent summer storm blitzed through Tra... http://t.co/NKAW9EZqGg</t>
  </si>
  <si>
    <t>Oshawa/Toronto</t>
  </si>
  <si>
    <t>This is one violent and belligerent storm. I'm enjoying watching it unfold</t>
  </si>
  <si>
    <t>Very SW CA, USA....Draenor</t>
  </si>
  <si>
    <t>@iateyourfood yikes.  Poor pup.  What a weird violent storm.</t>
  </si>
  <si>
    <t>A brief violent storm swept through the Chicago area Sunday afternoon leading to one death and an evacuation of Lollapalooza and more</t>
  </si>
  <si>
    <t>Storm batters top half of North Island: A violent overnight storm has battered the upper North Island uprootin... http://t.co/fHVOkmpheD</t>
  </si>
  <si>
    <t>Slow clap for this pilot. Dramatic Video Shows Plane Landing During Violent Storm http://t.co/CgVUY3RcxO</t>
  </si>
  <si>
    <t>If you were the NWS wth a rotating storm w/ a report of a 'HUGE' / 'MASSIVE' / 'VIOLENT' tornado what would you do? https://t.co/J3dI85IST5</t>
  </si>
  <si>
    <t>Barbados</t>
  </si>
  <si>
    <t>Dramatic Video Shows Plane Landing During Violent Storm http://t.co/rJ9gkJKJJn</t>
  </si>
  <si>
    <t>Amsterdam &amp; Worldwide</t>
  </si>
  <si>
    <t>POV video captures violent landing at Amsterdam Airport Schiphol during a storm - Daily Mail http://t.co/seShqN5DSK #Amsterdam #News</t>
  </si>
  <si>
    <t>3rd Eye Chakra</t>
  </si>
  <si>
    <t>Violent video: Ukraine rioters brutally beat police storm local admin building
WE'RE ALL FIGHTING BACK  http://t.co/Byj5Dfa2rv</t>
  </si>
  <si>
    <t>volcano</t>
  </si>
  <si>
    <t>Perth, Australia</t>
  </si>
  <si>
    <t>Jetstar and Virgin forced to cancel Bali flights again because of ash from Mount Raung volcano http://t.co/jTJoFLtMS4</t>
  </si>
  <si>
    <t xml:space="preserve"> ? ??????? ? ( ?? å¡ ? ? ? å¡)</t>
  </si>
  <si>
    <t>nside a Dragon's belly. Or an ice cave under
a volcano in Kamchatka | Photography by
å©Daniel Korzhonov
http://t.co/8T36HWgoqd</t>
  </si>
  <si>
    <t>Japan Aogashima Volcano. By Unknown - Check It Out! http://t.co/OegFQBIqIq
 #Aogashima #Japan #photography #Volcano</t>
  </si>
  <si>
    <t>#Earthquake #Sismo M 1.9 - 5km S of Volcano Hawaii: Time2015-08-06 01:04:01 UTC2015-08-05 15:04:01 -10:00 at ... http://t.co/eTswuoD3oM</t>
  </si>
  <si>
    <t>1.94 earthquake occurred 5km S of Volcano Hawaii at 01:04 UTC! #earthquake #Volcano http://t.co/auf4J4Owj1</t>
  </si>
  <si>
    <t>1.9 #Earthquake in 5Km S Of Volcano Hawaii #iPhone users download the Earthquake app for more information http://t.co/V3aZWOAmzK</t>
  </si>
  <si>
    <t>Eruption of Indonesian volcano sparks transport chaos: In this picture done from video Mount Raung in_x0089_Û_ http://t.co/7muG2kAhL7 ?</t>
  </si>
  <si>
    <t>USGS EQ: M 1.9 - 5km S of Volcano Hawaii: Time2015-08-06 01:04:01 UTC2015-08-05 15:04:01 -10:00 a... http://t.co/3rrGHT4ewp #EarthQuake</t>
  </si>
  <si>
    <t>#USGS M 1.9 - 5km S of Volcano Hawaii: Time2015-08-06 01:04:01 UTC2015-08-05 15:04:01 -10:00 at epicenter... http://t.co/dIsrwhQGym #SM</t>
  </si>
  <si>
    <t>@MrMikeEaton @Muazimus_Prime hill hill mountain volcano of hell mountain hill hil.</t>
  </si>
  <si>
    <t>M1.94 [01:04 UTC]?5km S of Volcano Hawaii. http://t.co/zDtoyd8EbJ</t>
  </si>
  <si>
    <t>Santiago de Cmpostela Galicia</t>
  </si>
  <si>
    <t>I added a video to a @YouTube playlist http://t.co/y2Mt6v13E8 Doc: Volcanoes and Earthquakes - Inside the Volcano</t>
  </si>
  <si>
    <t>Not only does he know the latest research the kiddo's GI specialist sang the volcano number from Inside Out. Now THAT is whole person care.</t>
  </si>
  <si>
    <t>cleveland, oh</t>
  </si>
  <si>
    <t>@alextucker VOLCANO BOWL DRINK</t>
  </si>
  <si>
    <t>Zeal is a volcano the peak of which the grass of indecisiveness does not grow</t>
  </si>
  <si>
    <t>right here</t>
  </si>
  <si>
    <t>@volcano_tornado live somewhere else for a while and Da Mill ain't too bad son! #perspective</t>
  </si>
  <si>
    <t>#Sismo M 1.9 - 5km S of Volcano Hawaii: Time2015-08-06 01:04:01 UTC2015-08-05 15:04:01 -10:00 at ep... http://t.co/RTUeTdfBqb #CSismica</t>
  </si>
  <si>
    <t>war%20zone</t>
  </si>
  <si>
    <t>Columbia, SC</t>
  </si>
  <si>
    <t>Thank you to @scegnews! Our neighborhood looks like a war zone but we had power back in 4 hours!</t>
  </si>
  <si>
    <t>Host of #MindMoversPodcast</t>
  </si>
  <si>
    <t>the war on drugs has turned the U.S. into a WAR zone.</t>
  </si>
  <si>
    <t>The D</t>
  </si>
  <si>
    <t>#DebateQuestionsWeWantToHear If U start another war would U B willing 2 go 2 the war-zone yourself or send UR sons and/or daughters 2 fight?</t>
  </si>
  <si>
    <t>#WorldWatchesFerguson #Florida @GovJayNixon @clairecmc How dare you turn our streets into a war zone -a war against CITIZENS?</t>
  </si>
  <si>
    <t>Looks and sounds like a war zone</t>
  </si>
  <si>
    <t xml:space="preserve">ca(NADA) </t>
  </si>
  <si>
    <t>THIS IS A ONE DIRECTION CONCERT NOT A WAR ZONE WHAT IS THIS #OTRAMETLIFE http://t.co/PtY9HRCUZH</t>
  </si>
  <si>
    <t>T-Ville</t>
  </si>
  <si>
    <t>Looks like a war zone outside. What's going on?</t>
  </si>
  <si>
    <t>weapon</t>
  </si>
  <si>
    <t>70 years ago today the U.S.  dropped a nuclear weapon on Japan. Here are some articles that share my opinion on that decision_x0089_Û_</t>
  </si>
  <si>
    <t>?????</t>
  </si>
  <si>
    <t>Abe government said the missiles were not 'weapon' so JSDF could provide them to the ally when collective self defense right was exercised.</t>
  </si>
  <si>
    <t>BROOKLYN, NYC</t>
  </si>
  <si>
    <t>Please allow me to reiterate it's not the weapon it's the mindset of the individual! #professional #help! -LEGION! https://t.co/2lGTZkwMqW</t>
  </si>
  <si>
    <t>Cat Of Nine Irons XII: This nightmarishly brutal weapon is used in ritualistic country club de http://t.co/xpFmR368uF http://t.co/nmAUMYdKe1</t>
  </si>
  <si>
    <t>MI - CA</t>
  </si>
  <si>
    <t>Iranian warship points weapon at U.S. helicopter official says http://t.co/SnqfHpYm3O #tcot</t>
  </si>
  <si>
    <t>Central Florida</t>
  </si>
  <si>
    <t>BREAKING: Obama Officials GAVE Muslim Terrorist the Weapon Used in Texas Attack http://t.co/RJcaxjp4oS</t>
  </si>
  <si>
    <t>@abcnews A nuclear bomb is a terrible weapon!!</t>
  </si>
  <si>
    <t>Rare insight into #terror and How to fight it http://t.co/t6OBVWaPhW #Cameroon #USA #Whitehouse #ES #FR #Nigeria #UK #Africa #DE #CA #AU #JP</t>
  </si>
  <si>
    <t>Abe's government made clear that grenades were not 'weapon.'</t>
  </si>
  <si>
    <t>Even if u have your weapon and your badge we gonna put them choppas on your ass????</t>
  </si>
  <si>
    <t>jayankondacholapuram.tamilnadu</t>
  </si>
  <si>
    <t>That day remember the nuclear weapon power......Hiroshima 70th</t>
  </si>
  <si>
    <t>03/08/11: Police stop a 41-year-old in the Bronx citing 'casing a victim or location.' No weapon is found.</t>
  </si>
  <si>
    <t>Denver Colorado. Fun Times</t>
  </si>
  <si>
    <t>Lol
Look how tough some people talk that live in some of the most gang infested cities in America
Your mouth isn't a weapon
You fucking wimp</t>
  </si>
  <si>
    <t>Not Of This World</t>
  </si>
  <si>
    <t>Iranian warship points weapon at American helicopter... http://t.co/cgFZk8Ha1R</t>
  </si>
  <si>
    <t>weapons</t>
  </si>
  <si>
    <t>Proud @BuckMasonUSA supporter!</t>
  </si>
  <si>
    <t>Agreed there - especially on automatic weapons. There's no legitimate reason for needing one @Argus_99 @HeidiA1438</t>
  </si>
  <si>
    <t>I'm sorry but if you have to resort to weapons to settle something you're a pussy win or lose take your shit like a man &amp;amp; leave it at that</t>
  </si>
  <si>
    <t>Ely, Cambridgeshire</t>
  </si>
  <si>
    <t>Incredulous at continued outcry of welfare being a waste of taxpayers money but never similar objection to å£100bn on nuclear weapons</t>
  </si>
  <si>
    <t>Since the chemical-weapons 'red line' warning on 20 August 2012 LCC have confirmed that at least 96355 people have been killed in #Syria.</t>
  </si>
  <si>
    <t>Beirut/Toronto</t>
  </si>
  <si>
    <t>Friendly reminder that the only country to ever use nuclear weapons is the U.S. And it was against civilians. https://t.co/7QrEPylLUK</t>
  </si>
  <si>
    <t>Hiroshima and Nagasaki I remember all those killed in alleged US war crimes using nuclear weapons https://t.co/NDxrK2NCLN #USWarCrimes</t>
  </si>
  <si>
    <t>@NRO Except when ordered not to carry unauthorized weapons while on duty or in military uniforms. THATS THE RULE FOOL</t>
  </si>
  <si>
    <t>Ukraine argues for US weapons during Pelosi's visit to Kiev http://t.co/jnN0kRNXvY http://t.co/5LOiWuyv5r</t>
  </si>
  <si>
    <t>rural ohio (fuck)</t>
  </si>
  <si>
    <t>@eyecuts @Erasuterism I love 96 Gal Deco to death even if it's a bit trickier to be great with. Glad more weapons are getting Splash Wall</t>
  </si>
  <si>
    <t>#Battlefield 1942 forgotten hope secret weapons</t>
  </si>
  <si>
    <t>WWII Memories Plus Lessons of Hiroshima We Still Need Nuclear Weapons http://t.co/xbMm7ITe9q #denver #billings #rapidcity #seattle #cheyenne</t>
  </si>
  <si>
    <t>Hawthorne, NE</t>
  </si>
  <si>
    <t>PM Abe pledged to make every effort to seek a world without nuclear weapons. http://t.co/CBXnHhZ6kD</t>
  </si>
  <si>
    <t>??? ?????????????</t>
  </si>
  <si>
    <t>I will adamantly opposed to nuclear weapons.</t>
  </si>
  <si>
    <t>WWII Memories Plus Lessons of Hiroshima We Still Need Nuclear Weapons http://t.co/MTgFx3efIv #denver #billings #rapidcity #seattle #cheyenne</t>
  </si>
  <si>
    <t>Navy: No charges against officer for weapons violations in Chattanooga attack
 http://t.co/hddBMU2ycA</t>
  </si>
  <si>
    <t>'The Reagan Administration had arranged for Israeli weapons to be sent to the Guatemalan Army  http://t.co/4fYNQ1hWWb</t>
  </si>
  <si>
    <t>St. Louis</t>
  </si>
  <si>
    <t>In memory of the victims of Hiroshima and Nagasaki. Never again! Ban nuclear weapons! : https://t.co/J3cIRXjFa6</t>
  </si>
  <si>
    <t>whirlwind</t>
  </si>
  <si>
    <t>CHICAGO</t>
  </si>
  <si>
    <t>A quarter whirlwind. They don't see it coming.</t>
  </si>
  <si>
    <t>Thailand</t>
  </si>
  <si>
    <t>Weather forecast for Thailand  A Whirlwind is coming ...2 september https://t.co/rUKjYjG9oQ</t>
  </si>
  <si>
    <t>life can wild when... 
you're caught in a whirlwind ??</t>
  </si>
  <si>
    <t>Back from Seattle Tacoma and Portland. Whirlwind! http://t.co/qwHINBni8e</t>
  </si>
  <si>
    <t>Stamford &amp; Cork (&amp; Shropshire)</t>
  </si>
  <si>
    <t>I moved to England five years ago today. What a whirlwind of time it has been! http://t.co/eaSlGeA1B7</t>
  </si>
  <si>
    <t>Whirlwind Medusa Audio Snake: 16 microphone inputs 0 returns 150 ft http://t.co/mxkAlMQpdb http://t.co/8KZnhtYtt9</t>
  </si>
  <si>
    <t>#KaumElite;#F?VOR;#SMOFC</t>
  </si>
  <si>
    <t>@byuwnbeki The sad eyes and tacit stories in your heart that night in which the whirlwind was raging</t>
  </si>
  <si>
    <t>Whirlwind that has lasted for more than an hour and still strong. A standstill in parts of middle east.</t>
  </si>
  <si>
    <t>London, Sydney</t>
  </si>
  <si>
    <t>Two hours to get to a client meeting. Whirlwind of emotions with this #tubestrike</t>
  </si>
  <si>
    <t>Feel like I've got no control of anything that goes on in my life at the minute. #whirlwind #drained</t>
  </si>
  <si>
    <t>Internet</t>
  </si>
  <si>
    <t>Richard returns after whirlwind few days http://t.co/L8W30WFW3R #MLB</t>
  </si>
  <si>
    <t xml:space="preserve">Here, unless there.  </t>
  </si>
  <si>
    <t>@ckosova Read Whirlwind about this subject amongst others. The bomb saved millions of lives yes that's true.</t>
  </si>
  <si>
    <t>Atlanta - FAU class of '18</t>
  </si>
  <si>
    <t>This past week has been an absolute whirlwind.... Athens bound</t>
  </si>
  <si>
    <t>Bristol, England</t>
  </si>
  <si>
    <t>WIN: Lisowski whitewashes the Whirlwind 5-0 in round 2 of Shanghai Masters Quals! |  http://t.co/MLigPUHVOh #snooker http://t.co/TcS2Cd5y6y</t>
  </si>
  <si>
    <t>wild%20fires</t>
  </si>
  <si>
    <t>Houston</t>
  </si>
  <si>
    <t>As wild fires blacken northern California parched Harris County becomes tinder box.  https://t.co/i2lwTy5YuP</t>
  </si>
  <si>
    <t>Twitterville</t>
  </si>
  <si>
    <t>Collection of Articals and Video of West Coast Wild Fires by @ABC http://t.co/qd3DSSFWUE</t>
  </si>
  <si>
    <t>My brother-n-law riooooos got the call to head up north and fight the wild fires. Dudes a beast at_x0089_Û_ https://t.co/463P0yS0Eb</t>
  </si>
  <si>
    <t>Eastern Iowa</t>
  </si>
  <si>
    <t>Several wild fires have burned a lot of land in California. Here is one of the larger fires. http://t.co/2M1gNeaiFl http://t.co/UQh85MiP0v</t>
  </si>
  <si>
    <t>Map shows where all of California's wild#fires are burning: This map created by CAL FIRE_x0089_Û_ http://t.co/0x8jAQToWM http://t.co/m1RoSi2Wcs</t>
  </si>
  <si>
    <t>Some great footage of STRONG work from San Bernardino County Fire who is also working the wild fires right now.... http://t.co/QCYQHvn2Ha</t>
  </si>
  <si>
    <t>God forbid this is true #California has enough problems with severe #drought &amp;amp; #wild fires. http://t.co/CMsgexM4FC #Nuclear Power #SanOnofre</t>
  </si>
  <si>
    <t>Fort Walton Beach, FL</t>
  </si>
  <si>
    <t>Firefighters Headed To California To Fight Wild Fires http://t.co/J2PYkYo0EN</t>
  </si>
  <si>
    <t>#FOXDebateQuestions:  To what degree has Obama's efforts to institute Sharia Law exacerbated the California wild fires?</t>
  </si>
  <si>
    <t>PRAYERS FOR MY COUSIN! He's in California helping with the wild fires.</t>
  </si>
  <si>
    <t>Toronto, Bob-Lo, Miami Beach</t>
  </si>
  <si>
    <t>Catastrophic wild fires threatening U.S. Mid west &amp;amp; Republicans fighting new climate change rules I guess this is the ultimate in Darwinism</t>
  </si>
  <si>
    <t>@Jennife29916207 I was thinking about you today when I was reading about the wild fires</t>
  </si>
  <si>
    <t>planet earth</t>
  </si>
  <si>
    <t>@cnni @PrisonPlanet Climate Change CNN weather 'specialist' warning:wild fires rain flooding noting about the sun? http://t.co/0sZwlWL9qU</t>
  </si>
  <si>
    <t>@SenFeinstein   Thanks Sen. Feinstein now hurry home because California is a huge uncontrolled wild fire. Lightening is starting new fires.</t>
  </si>
  <si>
    <t>nap central</t>
  </si>
  <si>
    <t>Wild fires freak me the fuck out. Like hell no</t>
  </si>
  <si>
    <t>Olathe, KS</t>
  </si>
  <si>
    <t>Man! What I would give to be in CA right now to help with the wild fires.</t>
  </si>
  <si>
    <t>Madrid</t>
  </si>
  <si>
    <t>In Europe nature is kind while in US they have tornados hurricanes wild fires earthquakes flash floods mega snow droughts.</t>
  </si>
  <si>
    <t>Hartford, Connecticut</t>
  </si>
  <si>
    <t>Firefighters from Connecticut are headed to California to fight wild fires http://t.co/QWpUxPyWbF http://t.co/8jlXZ6fkxy</t>
  </si>
  <si>
    <t xml:space="preserve">New Jersey </t>
  </si>
  <si>
    <t>These wild fires out west are crazy.</t>
  </si>
  <si>
    <t>Cedar Island, Clinton CT 06413</t>
  </si>
  <si>
    <t>DEEP crew to help with California wild fires http://t.co/QKz2Sp06xn via @thedayct</t>
  </si>
  <si>
    <t>@aria_ahrary @TheTawniest The out of control wild fires in California even in the Northern part of the state. Very troubling.</t>
  </si>
  <si>
    <t>Full Episode:  WN 08/02/15: California Wild Fires Force 12000 to Evacuate #Worldnews http://t.co/9ikhdyHVnC</t>
  </si>
  <si>
    <t>@randerson62 Watching news of wild fires and hope all is ok.</t>
  </si>
  <si>
    <t>@EnzasBargains A5 Donated some fruit snacks &amp;amp; handi wipes to our fire fighters battling wild fires! #ProfitToThePeople</t>
  </si>
  <si>
    <t>Wild land fires.. Here I come. ??????</t>
  </si>
  <si>
    <t>My heart goes out to all those effected by the wild fires in Cali????</t>
  </si>
  <si>
    <t>Wild fires in California... Must be Global Warming. Can't just be extreme heat combined with dry foliage ignited by some douchebag hiker.</t>
  </si>
  <si>
    <t>wildfire</t>
  </si>
  <si>
    <t>Tucson, AZ</t>
  </si>
  <si>
    <t>Does the #FingerRockFire make you wonder 'am I prepared for a wildfire'. Find out at http://t.co/eX8A5JYZm5 #azwx http://t.co/DeEeKobmXa</t>
  </si>
  <si>
    <t>kc5kH mhtw4fnet
Crews gaining on huge Northern California wildfire - CBS News</t>
  </si>
  <si>
    <t>Get our App</t>
  </si>
  <si>
    <t>Fire in Pisgah National Forest grows to 375 acres - WSOC Charlotte http://t.co/djUfkRrtFt</t>
  </si>
  <si>
    <t>Route Complex AM Fire Update (Route Complex Wildfire): FIRE UPDATE: ROUTE COMPLEX Thursday Morning Aug... http://t.co/nS5lBS5ZUp #CAFire</t>
  </si>
  <si>
    <t>Parker Ridge Fact Sheet Aug 6 2015 (Parker Ridge Wildfire): Information Phone: 208-267-6773 Email: pa... http://t.co/ezEIsaSm0C #IDFire</t>
  </si>
  <si>
    <t>Amsterdam | San Francisco</t>
  </si>
  <si>
    <t>'Some hearths they burn like a wildfire' https://t.co/of3td6DGLb by Bees Knees</t>
  </si>
  <si>
    <t>Drones Under Fire: Officials Offer $75000 Reward Leading To Pilots Who Flew Over Wildfire http://t.co/d2vEppeh8S #photography #arts</t>
  </si>
  <si>
    <t>Ashland, Oregon</t>
  </si>
  <si>
    <t>Be ember aware! http://t.co/LZmL1xB2nH</t>
  </si>
  <si>
    <t>California wildfire destroys more homes but crews advance http://t.co/7XQ8JrtL7I Free tool online http://t.co/J90dT2qnXb</t>
  </si>
  <si>
    <t>#IDFire Parker Ridge Fact Sheet Aug 6 2015 (Parker Ridge Wildfire): Information Phone: 208-267-6773 Email: pa... http://t.co/ZggpaCjP7D</t>
  </si>
  <si>
    <t>Riverside, California.</t>
  </si>
  <si>
    <t>Is LA at Risk for a Giant Wildfire? - Which Way L.A.? on KCRW http://t.co/6AgMkx2WW4</t>
  </si>
  <si>
    <t>California is battling its scariest 2015 wildfire so far. http://t.co/Lec1vmS7x2</t>
  </si>
  <si>
    <t>Wildfire Burns On California U.s. China Economic Net _x0089_Û_ : http://t.co/U2dO2mC2ri  http://t.co/3oM3xw6CZ8</t>
  </si>
  <si>
    <t>Ottawa, Canada</t>
  </si>
  <si>
    <t>Dr. Bengston on #wildfire management: _x0089_ÛÏnumbers and size of fires areas affected and costs of fighting them all show upward trend._x0089_Û_x009d_ #smem</t>
  </si>
  <si>
    <t>The Latest: Washington #Wildfire misses town; evacuations end - KHQ Right Now http://t.co/aNlhW2IzkZ</t>
  </si>
  <si>
    <t>Around the world</t>
  </si>
  <si>
    <t>PHOTOS: The Rocky Fire has grown into California's most destructive wildfire this year. http://t.co/h9v4HoWtiP http://t.co/8IcSesHbj3</t>
  </si>
  <si>
    <t>Wildfire near Columbia River town is 50 percent contained http://t.co/gzGpWSqyMW #FireNews #WA http://t.co/ay49MTYyL8</t>
  </si>
  <si>
    <t>! Residents Return To Destroyed Homes As Washington Wildfire Burns on http://t.co/UcI8stQUg1</t>
  </si>
  <si>
    <t>California is battling its scariest 2015 wildfire so far - the Rocky Fire http://t.co/sPT54KfA9Q</t>
  </si>
  <si>
    <t>Solitude Fire Update August 6 2015 (Solitude Wildfire): Summary: This lightning-caused fire is being ... http://t.co/4eSbsA8InT #UTFire</t>
  </si>
  <si>
    <t>Lancaster California</t>
  </si>
  <si>
    <t>The Latest: More homes razed by Northern California wildfire - LancasterOnline http://t.co/ph7wllKRfI #Lancaster</t>
  </si>
  <si>
    <t>Reuters Top News: PHOTOS: The Rocky Fire has grown into California's most ... - http://t.co/qwrRfDGXCc #NewsInTweets http://t.co/sstj2bEpqn</t>
  </si>
  <si>
    <t>This machine really captured my attention. #helicopter #firefighting #wildfire #oregon #easternoregon_x0089_Û_ https://t.co/V6qxnFHRxF</t>
  </si>
  <si>
    <t>For those impacted by the #CalWildfires here are some great recovery tips to help you in the aftermath http://t.co/wwxbGuBww5</t>
  </si>
  <si>
    <t>#IDFire Cherokee Road and Road 22 (Three Sisters Wildfire): There are two roads closed to the general public: ... http://t.co/UORXfF0NfX</t>
  </si>
  <si>
    <t>Eddyville, Oregon 97343</t>
  </si>
  <si>
    <t>Oregon's biggest wildfire slows growth http://t.co/P0GoS5URXG via @katunews</t>
  </si>
  <si>
    <t>Media Release - Firefighters Ask Hikers to Sign-in at Local Trailheads (Parker Ridge Wildfire): Parker... http://t.co/ABlz20mgzv #IDFire</t>
  </si>
  <si>
    <t>The Latest: #Wildfire destroys more homes but crews advance - WQOW TV News 18 http://t.co/Hj26SFDdfI</t>
  </si>
  <si>
    <t>#California #wildfire destroys more homes but crews advance. http://t.co/2PPzGpxybi http://t.co/dS9khKffwc</t>
  </si>
  <si>
    <t>windstorm</t>
  </si>
  <si>
    <t>Windstorm lastingness perquisite - acquiesce in a twister retreat: ZiUW http://t.co/iRt4kkgsJx</t>
  </si>
  <si>
    <t>Palm Beach County, FL</t>
  </si>
  <si>
    <t>Reality Training: Train falls off elevated tracks during windstorm http://t.co/JIOMnrCygT #Paramedic #EMS</t>
  </si>
  <si>
    <t>IJ: Texas Seeks Comment on Rules for Changes to Windstorm Insurer http://t.co/h132iuL7MU</t>
  </si>
  <si>
    <t>*looks outside at the windstorm* niiiice</t>
  </si>
  <si>
    <t>Texas Seeks Comment on Rules for Changes to WindstormåÊInsurer http://t.co/92fwtObi3U</t>
  </si>
  <si>
    <t>NEMA Ekiti distributed relief materials to affected victims of Rain/Windstorm disaster at Ode-Ekiti in Gbonyin LGA.</t>
  </si>
  <si>
    <t>Reality Training: Train falls off elevated tracks during windstorm http://t.co/etgQf28MgE</t>
  </si>
  <si>
    <t>#Insurance Texas Seeks Comment on Rules for Changes to Windstorm Insurer: The Texas Department of Insurance is...  http://t.co/byvUBg0WyE</t>
  </si>
  <si>
    <t>Reality Training: Train falls off elevated tracks during windstorm http://t.co/wAL4FrTfKa #fire #ems</t>
  </si>
  <si>
    <t>Reality Training: Train falls off elevated tracks during windstorm http://t.co/qzRciNaF5z</t>
  </si>
  <si>
    <t>calgary,ab</t>
  </si>
  <si>
    <t>My precious olive tree lost this battle...another crazy windstorm in #yyc! @weathernetwork http://t.co/N00DVXEga2</t>
  </si>
  <si>
    <t>NW Michigan #WindStorm (Sheer) Recovery Updates: Leelanau &amp;amp; Grand Traverse - State of Emergency 2b extended http://t.co/OSKfyj8CK7 #BeSafe</t>
  </si>
  <si>
    <t>Argus Industries \m/666\m/</t>
  </si>
  <si>
    <t>Damn...was wondering where my drone ended up after the freak windstorm...?? https://t.co/dHgGxo7Mcc</t>
  </si>
  <si>
    <t>@blakeshelton DON'T be a FART ??in a WINDSTORM.FOLLOW ME ALREADY. JEEZ.</t>
  </si>
  <si>
    <t>Home is where we park it!</t>
  </si>
  <si>
    <t>@rangerkaitimay had major windstorm thunder and some rain down here near Jackson...calm now.</t>
  </si>
  <si>
    <t>Webster, TX</t>
  </si>
  <si>
    <t>TWIA board approves 5 percent rate hike: The Texas Windstorm Insurance Association (TWIA) Board of Directors v... http://t.co/TWPl0NL8cx</t>
  </si>
  <si>
    <t>wounded</t>
  </si>
  <si>
    <t>Gunmen kill four in El Salvador bus attack: Suspected Salvadoran gang members killed four people and wounded s... http://t.co/r8k6rXw6D6</t>
  </si>
  <si>
    <t>Maracay y Nirgua, Venezuela</t>
  </si>
  <si>
    <t>Police Officer Wounded Suspect Dead After Exchanging Shots http://t.co/XxFk4KHbIw</t>
  </si>
  <si>
    <t>Gunmen open fire on bus near El Salvador's capital killing 4 a week after gang attacks killed 8 bus drivers: http://t.co/Pz56zJSsfT bit_x0089_Û_</t>
  </si>
  <si>
    <t>Officer Wounded Suspect Killed in Exchange of Gunfire: Richmond police officer wounded suspect killed in exc... http://t.co/crCN8rwvKj</t>
  </si>
  <si>
    <t>One man fatally shot another wounded on Vermont Street #Buffalo - http://t.co/KakY4mpCO4</t>
  </si>
  <si>
    <t>Venezuela</t>
  </si>
  <si>
    <t>Richmond police officer wounded suspect killed http://t.co/m9d2ElImZI</t>
  </si>
  <si>
    <t>FILM OUT LATE 2015</t>
  </si>
  <si>
    <t>Prince Phillip said of the numbers of those murdered by the British at Amritsar...
_x0089_ÛÏThat_x0089_Ûªs a bit exaggerated it must include the wounded_x0089_Û_x009d_.</t>
  </si>
  <si>
    <t>Miami,Fla</t>
  </si>
  <si>
    <t>California cops have sketch of gunman who killed one wounded two deputies via the @FoxNews app http://t.co/3Ife1zsop7</t>
  </si>
  <si>
    <t>santo domingo</t>
  </si>
  <si>
    <t>Police Officer Wounded Suspect Dead After Exchanging Shots: Richmond police officer wounded suspect killed after exchange of gunfire</t>
  </si>
  <si>
    <t>Let's not forget our wounded female veterans. http://t.co/rZ7fbr10xw</t>
  </si>
  <si>
    <t>Worldwide - Global</t>
  </si>
  <si>
    <t>Gunmen kill four in El Salvador bus attack: Suspected Salvadoran gang members killed four people and wounded s... http://t.co/CNtwB6ScZj</t>
  </si>
  <si>
    <t>One man fatally shot another wounded on Vermont Street #Buffalo - http://t.co/8ACDF4Zui6</t>
  </si>
  <si>
    <t>Americas Newsroom</t>
  </si>
  <si>
    <t>Police officer wounded suspect dead after exchanging shots: RICHMOND Va. (AP) _x0089_ÛÓ A Richmond police officer wa... http://t.co/Y0qQS2L7bS</t>
  </si>
  <si>
    <t>Police Officer Wounded Suspect Dead After Exchanging Shots - http://t.co/iPHaZV47g7</t>
  </si>
  <si>
    <t>Police Officer Wounded Suspect Dead After Exchanging Shots http://t.co/brE2lGmn7C #ABC #News #AN247</t>
  </si>
  <si>
    <t>Yogya Berhati Nyaman</t>
  </si>
  <si>
    <t>@wocowae Police Officer Wounded Suspect Dead After Exchanging Shots http://t.co/oiOeCbsh1f ushed</t>
  </si>
  <si>
    <t>The Police Chief assured the crowd that this officer-related shooting would be investigated: http://t.co/KMXzhO5TFM. http://t.co/AlBvDNwJtg</t>
  </si>
  <si>
    <t>Police Officer Wounded Suspect Dead After Exchanging Shots: Richmond police officer wounded suspect killed a... http://t.co/5uFTRXPpV0</t>
  </si>
  <si>
    <t>Officer Wounded Suspect Killed in Exchange of Gunfire: Richmond police officer wounded suspect killed in exc... http://t.co/zDHwRN6cZc</t>
  </si>
  <si>
    <t>Police Officer Wounded Suspect Dead After Exchanging Shots</t>
  </si>
  <si>
    <t>Officer wounded suspect killed in exchange of gunfire: Richmond police say an officer has been wounded and a ... http://t.co/HwOrB1N6vN</t>
  </si>
  <si>
    <t>Fredericksburg, Virginia</t>
  </si>
  <si>
    <t>.@wwp is serving more than 75k veterans. 52k OIF/OEF vets have physical wounds; many more have invisible ones http://t.co/sHHLV4dPlz #client</t>
  </si>
  <si>
    <t>[#Latestnews] Police officer wounded suspect dead after exchanging shots: RICHMOND Va. (AP) _x0089_ÛÓ A Richmond pol... http://t.co/ia1HnGnHVB</t>
  </si>
  <si>
    <t>ABC News: Police Officer Wounded Suspect Dead After Exchanging Shots. More #news - http://t.co/AzovGv4SB6</t>
  </si>
  <si>
    <t>@wocowae Officer Wounded Suspect Killed in Exchange of Gunfire http://t.co/QI2BDvkab7 ushed</t>
  </si>
  <si>
    <t>Police Officer Wounded Suspect Dead After Exchanging Shots: Richmond police officer wounded suspect killed a... http://t.co/w0r8EAOKA0</t>
  </si>
  <si>
    <t>wounds</t>
  </si>
  <si>
    <t xml:space="preserve">Charlotte </t>
  </si>
  <si>
    <t>Gunshot wound #9 is in the bicep. The only one of the ten wounds that is not in the chest/torso area.  #KerrickTrial #JonathanFerrell</t>
  </si>
  <si>
    <t>Kashmir!</t>
  </si>
  <si>
    <t>Read ~ THE UNHEALED WOUNDS OF AN UNENDING CONFLICT #Kashmir #Pakistan #India http://t.co/sAF9MoSkSN #EndOccupation #EndConflict #FreeKashmir</t>
  </si>
  <si>
    <t>Acc to the study conducted by SKIMS morethan 50% population in #Kashmir suffer psychiatric disorders http://t.co/sAF9MoSkSN #KashmirConflict</t>
  </si>
  <si>
    <t>Charlotte, N.C.</t>
  </si>
  <si>
    <t>Dr. Owen says four of Ferrell's ten bullet wounds were 'rapidly lethal' #KerrickTrial #TWCNewsCLT http://t.co/nNBEXhKlHr</t>
  </si>
  <si>
    <t>Woodlawn Shooting Wounds 79-Year-Old Woman Teen - Woodlawn - http://t.co/nu3XXn55vS Chicago http://t.co/XNGrfNQSx3</t>
  </si>
  <si>
    <t>?Gangsta OC / MV RP; 18+.?</t>
  </si>
  <si>
    <t>@IcyMagistrate _x0089_ÛÓher upper arm_x0089_ÛÒ those /friggin/ icicle projectiles_x0089_ÛÒ and leg from various other wounds the girl looks like a miniature more_x0089_ÛÓ</t>
  </si>
  <si>
    <t>Earth: Senseless nonsense</t>
  </si>
  <si>
    <t>Explosion in Gaza Strip kills four wounds 30; cause unknown http://t.co/GopSiCP8bm via @Reuters</t>
  </si>
  <si>
    <t>cody, austin follows ?*?</t>
  </si>
  <si>
    <t>Crawling in my skin
These wounds they will not hea</t>
  </si>
  <si>
    <t>Driver rams car into Israeli soldiers wounds 3: military: A driver rammed a car into a group of Israeli soldi... http://t.co/oBSZ45ybAJ</t>
  </si>
  <si>
    <t>Sorrower  - Fresh Wounds Over Old Scars  (2015 Death Metal) http://t.co/L056yj2IOi http://t.co/uTMWMjiRty</t>
  </si>
  <si>
    <t>wreck</t>
  </si>
  <si>
    <t>@Captainn_Morgan car wreck ??</t>
  </si>
  <si>
    <t>Lebanon, Tennessee</t>
  </si>
  <si>
    <t>Watertown Gazette owner charged in wreck http://t.co/JHc2RT0V9F</t>
  </si>
  <si>
    <t>the sunset boys wreck my bed   original 1979 usa gimp label  vinyl 7' 45  newave http://t.co/X0QLgwoyMT http://t.co/hQNx8qMeG3</t>
  </si>
  <si>
    <t>Primum non nocere</t>
  </si>
  <si>
    <t>@GeorgeFoster72 and The Wreck of the Edmund Fitzgerald</t>
  </si>
  <si>
    <t>Wreck with road blockage Woodward Avenue Northbound at Davison in M.S. #shoalstraffic</t>
  </si>
  <si>
    <t>Greenville, S.C.</t>
  </si>
  <si>
    <t>Greer man dies in wreck http://t.co/n2qZbMZuly</t>
  </si>
  <si>
    <t>Norwich</t>
  </si>
  <si>
    <t>Omg if Cain dies i will be an emotional wreck #emmerdale</t>
  </si>
  <si>
    <t>wreckage</t>
  </si>
  <si>
    <t>Wreckage 'Conclusively Confirmed' as From MH370: Malaysia PM: Investigators and the families of those who were... http://t.co/SfAKQNveta</t>
  </si>
  <si>
    <t>Wreckage Confirmed As Part of Missing Malaysia Airlines Flight MH370 http://t.co/yoPeYPJkb2 (VICE News)</t>
  </si>
  <si>
    <t>Wreckage 'Conclusively Confirmed' as From MH370: Malaysia PM: Investigators and the families of those who were... http://t.co/gRh7zLK979</t>
  </si>
  <si>
    <t>MH370 victim's family furious the media was told about wreckage confirmation first http://t.co/carMqiVkwU</t>
  </si>
  <si>
    <t>Wreckage 'Conclusively Confirmed' as From MH370: Malaysia PM: Investigators and the families of those who were... http://t.co/cs8mYAunA4</t>
  </si>
  <si>
    <t>#Australia #News ; RT janeenorman: 'High probability' aircraft wreckage is from #MH370 according to Deputy Prime _x0089_Û_ http://t.co/cdOHgnJmsT</t>
  </si>
  <si>
    <t>Wreckage 'Conclusively Confirmed' as From MH370: Malaysia PM: Investigators and the families of those who were... http://t.co/v5Ogr3F5N9</t>
  </si>
  <si>
    <t>khanna</t>
  </si>
  <si>
    <t>Wreckage 'Conclusively Confirmed' as From MH370: Malaysia PM: Investigators and the families of those who were... http://t.co/4xB4ZwyhCt</t>
  </si>
  <si>
    <t>KUALA LUMPUR (Reuters) - A piece of a wing that washed up on an Indian Ocean island beach last week was part of the wreckage of Malaysian A</t>
  </si>
  <si>
    <t>#science Now that a piece of wreckage from flight MH370 has been confirmed on RÌ©union Island is it possible t...  http://t.co/uqva3dfbCA</t>
  </si>
  <si>
    <t>Malaysia PM confirms wreckage belongs to MH370 http://t.co/kacrlpjC0l http://t.co/YjJbNTcaZY</t>
  </si>
  <si>
    <t>Wreckage 'Conclusively Confirmed' as From MH370: Malaysia PM: Investigators and the families of those who were... http://t.co/KfzvMXj9ST</t>
  </si>
  <si>
    <t>Wreckage 'Conclusively Confirmed' as From MH370: Malaysia PM: Investigators and the families of those who were... http://t.co/pTeVY815mt</t>
  </si>
  <si>
    <t>Bangkok</t>
  </si>
  <si>
    <t>CIA plot! *rolling eyes* RT @ajabrown: Chinese relatives of MH370 victims say reunion island wreckage was planted http://t.co/wmNb5ITa5P</t>
  </si>
  <si>
    <t>Wreckage 'Conclusively Confirmed' as From MH370: Malaysia PM: Investigators and the families of those who were... http://t.co/4sf0rgn8Wo</t>
  </si>
  <si>
    <t>Wreckage 'Conclusively Confirmed' as From MH370: Malaysia PM: Investigators and the families of those who were... http://t.co/leDmVEZCoL</t>
  </si>
  <si>
    <t>Punjab</t>
  </si>
  <si>
    <t>Wreckage 'Conclusively Confirmed' as From MH370: Malaysia PM</t>
  </si>
  <si>
    <t>Related News: 
Plane Wreckage Found Is Part Of Missing MH370 Malaysia Prime Minister?Says
 - World - BuzzFeed |  http://t.co/qSiPL1C9Fa</t>
  </si>
  <si>
    <t>Malaysian prime minister says Reunion Island wreckage is from MH370: http://t.co/bpTZAMjl2K via @slate</t>
  </si>
  <si>
    <t>Wreckage 'Conclusively Confirmed' as From MH370: Malaysia PM: Investigators and the families of those who were... http://t.co/LjylxZ1fBi</t>
  </si>
  <si>
    <t>The first piece of wreckage from the first-ever lost Boeing 777 which vanished back in early March along with the 239 people on board has</t>
  </si>
  <si>
    <t>Dublin City, Ireland</t>
  </si>
  <si>
    <t>Wreckage 'Conclusively Confirmed' as From MH370: Malaysia PM: Investigators and the families of those who were... http://t.co/VAZpG0ftmU</t>
  </si>
  <si>
    <t>#science Now that a piece of wreckage from flight MH370 has been confirmed on RÌ©union Island is it possible t...  http://t.co/qNVXJ2pAlJ</t>
  </si>
  <si>
    <t>Wreckage 'Conclusively Confirmed' as From MH370: Malaysia PM: Investigators and the families of those who were... http://t.co/DtFSWNJZIL</t>
  </si>
  <si>
    <t>uk</t>
  </si>
  <si>
    <t>Wreckage 'Conclusively Confirmed' as From MH370: Malaysia PM: Investigators and the families of those who were... http://t.co/EdEKrmqTpQ</t>
  </si>
  <si>
    <t>Wreckage is MH370: Najib
http://t.co/iidKC0jSBx #MH370 #najibrazak #MalaysiaAirlines</t>
  </si>
  <si>
    <t>No ID, No VOTE!!!</t>
  </si>
  <si>
    <t>Check out 'Malaysia Confirms Plane Wreckage Is From Flight MH370' at  http://t.co/UB3woZ2UT1</t>
  </si>
  <si>
    <t>#science Now that a piece of wreckage from flight MH370 has been confirmed on RÌ©union Island is it possible t...  http://t.co/Z2vDGIyOwf</t>
  </si>
  <si>
    <t>Wreckage 'Conclusively Confirmed' as From MH370: Malaysia PM: Investigators and the families of those who were... http://t.co/2Jr3Yo55dr</t>
  </si>
  <si>
    <t>Wreckage 'conclusively confirmed' as from MH370: Malaysia PM http://t.co/Rp2DxFKHDQ | https://t.co/akmIHLRIs1</t>
  </si>
  <si>
    <t>Wreckage 'Conclusively Confirmed' as From MH370: Malaysia PM: Investigators and the families of those who were... http://t.co/KuKmAL605a</t>
  </si>
  <si>
    <t>Wreckage 'Conclusively Confirmed' as From MH370: Malaysia PM: Investigators and the families of those who were... http://t.co/yi54XRHQGB</t>
  </si>
  <si>
    <t>Maharashtra</t>
  </si>
  <si>
    <t>Wreckage 'Conclusively Confirmed' as From MH370: Malaysia PM: Investigators and the families of those who were... http://t.co/MSsq0sVnBM</t>
  </si>
  <si>
    <t>Wreckage 'Conclusively Confirmed' as From MH370: Malaysia PM: Investigators and the families of those who were... http://t.co/nn6Y0fD3l0</t>
  </si>
  <si>
    <t>New Delhi,India</t>
  </si>
  <si>
    <t>Wreckage 'Conclusively Confirmed' as From MH370: Malaysia PM: Investigators and the families of those who were... http://t.co/1YIxFG1Hdy</t>
  </si>
  <si>
    <t>Xi'an, China</t>
  </si>
  <si>
    <t>Wreckage 'conclusively confirmed' as from missing flight MH370 via @YahooNewsDigest</t>
  </si>
  <si>
    <t>Wreckage 'Conclusively Confirmed' as From MH370: Malaysia PM: Investigators and the families of those who were... http://t.co/5EBpYbFH4D</t>
  </si>
  <si>
    <t>wrecked</t>
  </si>
  <si>
    <t>Santa Cruz, CA</t>
  </si>
  <si>
    <t>Israel wrecked my home. Now it wants my land. 
https://t.co/g0r3ZR1nQj</t>
  </si>
  <si>
    <t>300K exotic car wrecked in train accident 
http://t.co/J49xEuj7Ps</t>
  </si>
  <si>
    <t>Manhattan, NY</t>
  </si>
  <si>
    <t>@Kirafrog @mount_wario Did you get wrecked again?</t>
  </si>
  <si>
    <t>Pic of 16yr old PKK suicide bomber who detonated bomb in Turkey Army trench released http://t.co/aaWZXykLES http://t.co/RsMvgDxRiv</t>
  </si>
  <si>
    <t>Calgary Police Flood Road Closures in Calgary. http://t.co/RLN09WKe9g</t>
  </si>
  <si>
    <t>#Sismo DETECTADO #JapÌ_n 15:41:07 Seismic intensity 0 Iwate Miyagi JST #?? http://t.co/gMoUl9zQ2Q</t>
  </si>
  <si>
    <t>BREAKING: #ISIS claims responsibility for mosque attack in Saudi Arabia that killed 13 http://t.co/VZ640XOSwj http://t.co/m2HpnOAK8b</t>
  </si>
  <si>
    <t>Omg earthquake</t>
  </si>
  <si>
    <t>SEVERE WEATHER BULLETIN No. 5 FOR: TYPHOON _x0089_ÛÏ#HannaPH_x0089_Û_x009d_ (SOUDELOR) TROPICAL CYCLONE: WARNING ISSUED AT 5:00 PM 06... http://t.co/tHhjJw51PE _x0089_Û_</t>
  </si>
  <si>
    <t>Heat wave warning aa? Ayyo dei. Just when I plan to visit friends after a year.</t>
  </si>
  <si>
    <t>An IS group suicide bomber detonated an explosives-packed vest in a mosque inside a Saudi special forces headquarters killing 15 people.</t>
  </si>
  <si>
    <t>A gas thing just exploded and I heard screams and now the whole street smells of gas ... ??</t>
  </si>
  <si>
    <t>NWS: Flash Flood Warning Continued for Shelby County until 08:00 PM Wednesday. http://t.co/nZ7ACKRrJi #tnwx</t>
  </si>
  <si>
    <t>RT @LivingSafely: #NWS issues Severe #Thunderstorm Warnings for parts of #AR #NC #OK. Expect more trauma cases: http://t.co/FWqfCKNCQW</t>
  </si>
  <si>
    <t>#??? #?? #??? #??? MH370: Aircraft debris found on La Reunion is from missing Malaysia Airlines ... http://t.co/5B7qT2YxdA</t>
  </si>
  <si>
    <t>Father-of-three Lost Control of Car After Overtaking and Collided #BathAndNorthEastSomerset http://t.co/fa3FcnlN86</t>
  </si>
  <si>
    <t>1.3 #Earthquake in 9Km Ssw Of Anza California #iPhone users download the Earthquake app for more information http://t.co/V3aZWOAmzK</t>
  </si>
  <si>
    <t>#breaking #LA Refugio oil spill may have been costlier bigger than projected http://t.co/5ueCmcv2Pk</t>
  </si>
  <si>
    <t>a siren just went off and it wasn't the Forney tornado warning ??</t>
  </si>
  <si>
    <t>Officials say a quarantine is in place at an Alabama home over a possible Ebola case after developing symptoms... http://t.co/rqKK15uhEY</t>
  </si>
  <si>
    <t>#WorldNews Fallen powerlines on G:link tram: UPDATE: FIRE crews have evacuated up to 30 passengers who were tr... http://t.co/EYSVvzA7Qm</t>
  </si>
  <si>
    <t>on the flip side I'm at Walmart and there is a bomb and everyone had to evacuate so stay tuned if I blow up or not</t>
  </si>
  <si>
    <t>Suicide bomber kills 15 in Saudi security site mosque - Reuters via World - Google News - Wall ... http://t.co/nF4IculOje</t>
  </si>
  <si>
    <t>Two giant cranes holding a bridge collapse into nearby homes http://t.co/STfMbbZFB5</t>
  </si>
  <si>
    <t>The Latest: More Homes Razed by Northern California Wildfire - ABC News http://t.co/YmY4rSkQ3d</t>
  </si>
  <si>
    <t>What's up man?</t>
  </si>
  <si>
    <t>I love fruits</t>
  </si>
  <si>
    <t>Summer is lovely</t>
  </si>
  <si>
    <t>My car is so fast</t>
  </si>
  <si>
    <t>What a goooooooaaaaaal!!!!!!</t>
  </si>
  <si>
    <t>this is ridiculous....</t>
  </si>
  <si>
    <t>London is cool ;)</t>
  </si>
  <si>
    <t>Love skiing</t>
  </si>
  <si>
    <t>What a wonderful day!</t>
  </si>
  <si>
    <t>LOOOOOOL</t>
  </si>
  <si>
    <t>No way...I can't eat that shit</t>
  </si>
  <si>
    <t>Was in NYC last week!</t>
  </si>
  <si>
    <t>Love my girlfriend</t>
  </si>
  <si>
    <t>Cooool :)</t>
  </si>
  <si>
    <t>Do you like pasta?</t>
  </si>
  <si>
    <t>The end!</t>
  </si>
  <si>
    <t>Est. September 2012 - Bristol</t>
  </si>
  <si>
    <t>We always try to bring the heavy. #metal #RT http://t.co/YAo1e0xngw</t>
  </si>
  <si>
    <t>Crying out for more! Set me ablaze</t>
  </si>
  <si>
    <t>On plus side LOOK AT THE SKY LAST NIGHT IT WAS ABLAZE http://t.co/qqsmshaJ3N</t>
  </si>
  <si>
    <t>Pretoria</t>
  </si>
  <si>
    <t>@PhDSquares #mufc they've built so much hype around new acquisitions but I doubt they will set the EPL ablaze this season.</t>
  </si>
  <si>
    <t>Paranaque City</t>
  </si>
  <si>
    <t>Ablaze for you Lord :D</t>
  </si>
  <si>
    <t>Live On Webcam</t>
  </si>
  <si>
    <t>Check these out: http://t.co/rOI2NSmEJJ http://t.co/3Tj8ZjiN21 http://t.co/YDUiXEfIpE http://t.co/LxTjc87KLS #nsfw</t>
  </si>
  <si>
    <t>on the outside you're ablaze and alive
but you're dead inside</t>
  </si>
  <si>
    <t>milky way</t>
  </si>
  <si>
    <t>Had an awesome time visiting the CFC head office the ancop site and ablaze. Thanks to Tita Vida for taking care of us ??</t>
  </si>
  <si>
    <t>SOOOO PUMPED FOR ABLAZE ???? @southridgelife</t>
  </si>
  <si>
    <t>I wanted to set Chicago ablaze with my preaching... But not my hotel! http://t.co/o9qknbfOFX</t>
  </si>
  <si>
    <t>I gained 3 followers in the last week. You? Know your stats and grow with http://t.co/TIyUliF5c6</t>
  </si>
  <si>
    <t>Building the perfect tracklist to life leave the streets ablaze</t>
  </si>
  <si>
    <t>England.</t>
  </si>
  <si>
    <t>First night with retainers in. It's quite weird. Better get used to it; I have to wear them every single night for the next year at least.</t>
  </si>
  <si>
    <t>SANTA CRUZ _x0089_ÛÓ Head of the St Elizabeth Police Superintendent Lanford Salmon has r ... - http://t.co/vplR5Hka2u http://t.co/SxHW2TNNLf</t>
  </si>
  <si>
    <t>Abuja</t>
  </si>
  <si>
    <t>Noches El-Bestia '@Alexis_Sanchez: happy to see my teammates and training hard ?? goodnight gunners.?????? http://t.co/uc4j4jHvGR'</t>
  </si>
  <si>
    <t>Sao Paulo, Brazil</t>
  </si>
  <si>
    <t>Set our hearts ablaze and every city was a gift And every skyline was like a kiss upon the lips @_x0089_Û_ https://t.co/cYoMPZ1A0Z</t>
  </si>
  <si>
    <t xml:space="preserve">hollywoodland </t>
  </si>
  <si>
    <t>They sky was ablaze tonight in Los Angeles. I'm expecting IG and FB to be filled with sunset shots if I know my peeps!!</t>
  </si>
  <si>
    <t>Revel in yours wmv videos by means of mac farewell ablaze wmv en route to dvd: GtxRWm</t>
  </si>
  <si>
    <t>Inang Pamantasan</t>
  </si>
  <si>
    <t>Progressive greetings!
In about a month students would have set their pens ablaze in The Torch Publications'... http://t.co/9FxPiXQuJt</t>
  </si>
  <si>
    <t>Twitter Lockout in progress</t>
  </si>
  <si>
    <t>Rene Ablaze &amp;amp; Jacinta - Secret 2k13 (Fallen Skies Edit) - Mar 30 2013  https://t.co/7MLMsUzV1Z</t>
  </si>
  <si>
    <t>#NowPlaying: Rene Ablaze &amp;amp; Ian Buff - Magnitude http://t.co/Av2JSjfFtc  #EDM</t>
  </si>
  <si>
    <t>@ablaze what time does your talk go until? I don't know if I can make it due to work.</t>
  </si>
  <si>
    <t>CLVLND</t>
  </si>
  <si>
    <t>'I can't have kids cuz I got in a bicycle accident &amp;amp; split my testicles. it's impossible for me to have kids' MICHAEL YOU ARE THE FATHER</t>
  </si>
  <si>
    <t>http://t.co/GKYe6gjTk5 Had a #personalinjury accident this summer? Read our advice &amp;amp; see how a #solicitor can help #OtleyHour</t>
  </si>
  <si>
    <t>#stlouis #caraccidentlawyer Speeding Among Top Causes of Teen Accidents https://t.co/k4zoMOF319 https://t.co/S2kXVM0cBA Car Accident tee_x0089_Û_</t>
  </si>
  <si>
    <t>RT @SleepJunkies: Sleeping pills double your risk of a car accident http://t.co/7s9Nm1fiCT</t>
  </si>
  <si>
    <t>Norf Carolina</t>
  </si>
  <si>
    <t>'By accident' they knew what was gon happen https://t.co/Ysxun5vCeh</t>
  </si>
  <si>
    <t>mom: 'we didn't get home as fast as we wished' 
me: 'why is that?'
mom: 'there was an accident and some truck spilt mayonnaise all over ??????</t>
  </si>
  <si>
    <t>Can wait to see how pissed Donnie is when I tell him I was in ANOTHER accident??</t>
  </si>
  <si>
    <t>???? it was an accident http://t.co/Oia5fxi4gM</t>
  </si>
  <si>
    <t>Baton Rouge, LA</t>
  </si>
  <si>
    <t>Has an accident changed your life? We will help you determine options that can financially support life care plans and on-going treatment.</t>
  </si>
  <si>
    <t>Gloucestershire , UK</t>
  </si>
  <si>
    <t>@flowri were you marinading it or was it an accident?</t>
  </si>
  <si>
    <t>I still have not heard Church Leaders of Kenya coming forward to comment on the accident issue and disciplinary measures#ArrestPastorNganga</t>
  </si>
  <si>
    <t>aftershock</t>
  </si>
  <si>
    <t xml:space="preserve">Instagram - @heyimginog </t>
  </si>
  <si>
    <t>@afterShock_DeLo scuf ps live and the game... cya</t>
  </si>
  <si>
    <t>304</t>
  </si>
  <si>
    <t>'The man who can drive himself further once the effort gets painful is the man who will win.' 
Roger Bannister</t>
  </si>
  <si>
    <t>Switzerland</t>
  </si>
  <si>
    <t>320 [IR] ICEMOON [AFTERSHOCK] | http://t.co/yNXnvVKCDA | @djicemoon | #Dubstep #TrapMusic #DnB #EDM #Dance #Ices_x0089_Û_ http://t.co/weQPesENku</t>
  </si>
  <si>
    <t>'There is no victory at bargain basement prices.' Dwight David Eisenhower</t>
  </si>
  <si>
    <t>320 [IR] ICEMOON [AFTERSHOCK] | http://t.co/vAM5POdGyw | @djicemoon | #Dubstep #TrapMusic #DnB #EDM #Dance #Ices_x0089_Û_ http://t.co/zEVakJaPcz</t>
  </si>
  <si>
    <t>'Nobody remembers who came in second.' Charles Schulz</t>
  </si>
  <si>
    <t>@afterShock_DeLo im speaking from someone that is using a scuf on xb1 most of them people will end up getting on for ps also.</t>
  </si>
  <si>
    <t>'The harder the conflict the more glorious the triumph.' Thomas Paine</t>
  </si>
  <si>
    <t>#GrowingUpSpoiled going clay pigeon shooting and crying because of the 'aftershock'</t>
  </si>
  <si>
    <t>Somewhere Only We Know ?</t>
  </si>
  <si>
    <t>So i guess no one actually wants any free Aftershock TC.....</t>
  </si>
  <si>
    <t>Aftershock was the most terrifying best roller coaster I've ever been on. *DISCLAIMER* I've been on very few.</t>
  </si>
  <si>
    <t>Aftershock https://t.co/xMWODFMtUI</t>
  </si>
  <si>
    <t>320 [IR] ICEMOON [AFTERSHOCK] | http://t.co/M4JDZMGJoW | @djicemoon | #Dubstep #TrapMusic #DnB #EDM #Dance #Ices_x0089_Û_ http://t.co/n0uhAsfkBv</t>
  </si>
  <si>
    <t>320 [IR] ICEMOON [AFTERSHOCK] | http://t.co/e14EPzhotH | @djicemoon | #Dubstep #TrapMusic #DnB #EDM #Dance #Ices_x0089_Û_ http://t.co/22a9D5DO6q</t>
  </si>
  <si>
    <t>dope show</t>
  </si>
  <si>
    <t>@KJForDays I'm seeing them and Issues at aftershock ??</t>
  </si>
  <si>
    <t>320 [IR] ICEMOON [AFTERSHOCK] | http://t.co/THyzOMVWU0 | @djicemoon | #Dubstep #TrapMusic #DnB #EDM #Dance #Ices_x0089_Û_ http://t.co/83jOO0xk29</t>
  </si>
  <si>
    <t>Oshawa, Canada</t>
  </si>
  <si>
    <t>#WisdomWed BONUS - 5 Minute Daily Habits that could really improve your life. How many do you already do? #lifehacks http://t.co/TBm9FQb8cW</t>
  </si>
  <si>
    <t>Baker City Oregon</t>
  </si>
  <si>
    <t>Aftershock: Protect Yourself and Profit in the Next Global Financial Meltdown by David Wiedemer http http://t.co/WZTz4hgMVq</t>
  </si>
  <si>
    <t>That moment when you get on a scary roller coaster and the guy behind you is just screaming bloody murder ?????? #silverwood #aftershock</t>
  </si>
  <si>
    <t>Aftershock _x0089_ã¢ (2010) Full_x0089_ã¢ Streaming - YouTube http://t.co/vVE3UsesGf</t>
  </si>
  <si>
    <t>&amp;gt;&amp;gt; $15 Aftershock : Protect Yourself and Profit in the Next Global Financial... ##book http://t.co/f6ntUc734Z
@esquireattire</t>
  </si>
  <si>
    <t>Sometimes you face difficulties not because you're doing something wrong but because you're doing something right. - Joel Osteen</t>
  </si>
  <si>
    <t>'The only thing that stands between you and your dream is the will to try and the belief that it is actually possible.' - Joel Brown</t>
  </si>
  <si>
    <t xml:space="preserve">marysville ca </t>
  </si>
  <si>
    <t>Praise God that we have ministry that tells it like it is!!! #now #wdyouth #biblestudy https://t.co/UjK0e5GBcC</t>
  </si>
  <si>
    <t>'Remembering that you are going to die is the best way I know to avoid the trap of thinking you have something to lose.' _x0089_ÛÒ Steve Jobs</t>
  </si>
  <si>
    <t>Hermosa Beach, CA</t>
  </si>
  <si>
    <t>Tried orange aftershock today. My life will never be the same</t>
  </si>
  <si>
    <t>@OnFireAnders I love you bb</t>
  </si>
  <si>
    <t>Aftershock https://t.co/jV8ppKhJY7</t>
  </si>
  <si>
    <t>Aftershock back to school kick off was great. I want to thank everyone for making it possible. What a great night.</t>
  </si>
  <si>
    <t>People who say it cannot be done should not interrupt those who are doing it. _x0089_ÛÒ George Bernard Shaw</t>
  </si>
  <si>
    <t>'The first man gets the oyster the second man gets the shell.' Andrew Carnegie</t>
  </si>
  <si>
    <t>Anyone need a P/U tonight? I play Hybrid Slayer ps4 EU. HMU @Cod8sandscrims @EmpirikGaming @CoDAWScrims @4TP_KOTC @4TPFA @afterShock_Org</t>
  </si>
  <si>
    <t>Salt Lake City, Utah</t>
  </si>
  <si>
    <t>@crobscarla your lifetime odds of dying from an airplane accident are 1 in 8015.</t>
  </si>
  <si>
    <t xml:space="preserve">y(our) boyfriends legs </t>
  </si>
  <si>
    <t>I almost sent my coworker nudes on accident thank god for airplane mode</t>
  </si>
  <si>
    <t>New Mexico, USA</t>
  </si>
  <si>
    <t>@mickinyman @TheAtlantic That or they might be killed in an airplane accident in the night a car wreck! Politics at it's best.</t>
  </si>
  <si>
    <t>Fashion Heaven. IG: TMId_</t>
  </si>
  <si>
    <t>My phone looks like it was in a car ship airplane accident. Terrible</t>
  </si>
  <si>
    <t>Statistically I'm at more of risk of getting killed by a cop than I am of dying in an airplane accident.</t>
  </si>
  <si>
    <t>New Orleans, LA</t>
  </si>
  <si>
    <t>Leading emergency services boss welcomes new ambulance charity http://t.co/Mj2jQ2pSv6</t>
  </si>
  <si>
    <t xml:space="preserve">Happily Married with 2 kids </t>
  </si>
  <si>
    <t>AMBULANCE SPRINTER AUTOMATIC FRONTLINE VEHICLE CHOICE OF 14 LEZ COMPLIANT | eBay http://t.co/4evTTqPEia</t>
  </si>
  <si>
    <t>Cambridge, MA</t>
  </si>
  <si>
    <t>New Nanotech Device Will Be Able To Target And Destroy Blood Clots http://t.co/HFy5V3sLBB</t>
  </si>
  <si>
    <t>If I get run over by an ambulance am I lucky? #justsaying #randomthought</t>
  </si>
  <si>
    <t xml:space="preserve">Swindon,England </t>
  </si>
  <si>
    <t>@TanSlash waiting for an ambulance</t>
  </si>
  <si>
    <t>@fouseyTUBE you ok? Need a ambulance. Hahahah that was good! http://t.co/ZSbErqNN9n</t>
  </si>
  <si>
    <t>AMBULANCE SPRINTER AUTOMATIC FRONTLINE VEHICLE CHOICE OF 14 LEZ COMPLIANT | eBay http://t.co/q8IVrzOJZv</t>
  </si>
  <si>
    <t>Williamstown, VT</t>
  </si>
  <si>
    <t>@TheNissonian @RejectdCartoons nissan are you ok do you need medical assistance i can call an ambulance if you need me to</t>
  </si>
  <si>
    <t>EMS1: NY EMTs petition for $17 per hour _x0089_Û÷minimum wage_x0089_Ûª http://t.co/4oa6SWlxmR #ems #paramedics #ambulance</t>
  </si>
  <si>
    <t>AMBULANCE SPRINTER AUTOMATIC FRONTLINE VEHICLE CHOICE OF 14 LEZ COMPLIANT | eBay http://t.co/UJrX9kgawp</t>
  </si>
  <si>
    <t>AMBULANCE SPRINTER AUTOMATIC FRONTLINE VEHICLE CHOICE OF 14 LEZ COMPLIANT | eBay http://t.co/Kp2Lf4AuTe</t>
  </si>
  <si>
    <t>Loveland Colorado</t>
  </si>
  <si>
    <t>@Kiwi_Karyn Check out what's in my parking lot!! He said that until last year it was an ambulance in St Johns. http://t.co/hPvOdUD7iP</t>
  </si>
  <si>
    <t>Why is there an ambulance right outside my work</t>
  </si>
  <si>
    <t>_x0089_ÛÏ@LeoBlakeCarter: This dog thinks he's an ambulance ?????? http://t.co/MG1lpGr0RM_x0089_Û_x009d_@natasha_rideout</t>
  </si>
  <si>
    <t>VISIT MY YOUTUBE CHANNEL.</t>
  </si>
  <si>
    <t>HAPPENING NOW - HATZOLAH EMS AMBULANCE RESPONDING WITH DUAL SIRENS AND_x0089_Û_ https://t.co/SeK6MQ6NJF</t>
  </si>
  <si>
    <t>What's the police or ambulance number in Lesotho? Any body know?</t>
  </si>
  <si>
    <t>@medic914 @AACE_org I am surprised we still cannot standardised the clinical practice across the 11 NHS ambulance trust.</t>
  </si>
  <si>
    <t>Davidson, NC</t>
  </si>
  <si>
    <t>People who try to j-walk while an ambulance is passing... I hate you.</t>
  </si>
  <si>
    <t>Higher Places</t>
  </si>
  <si>
    <t>The episode where Trunks annihilated Freiza is the cleanest shit ever. He showed that nigga no mercy.</t>
  </si>
  <si>
    <t>Horsemind, MI</t>
  </si>
  <si>
    <t>THEY SHALL BE ANNIHILATED AND ALL OF THEIR PETEBESTS DESSICATED AND LAID BARE. THEN YOU SHALL KNEEL BEFORE ME.</t>
  </si>
  <si>
    <t>Uribe just annihilated that baseball. #Mets</t>
  </si>
  <si>
    <t>Boksburg</t>
  </si>
  <si>
    <t>@marksmaponyane Hey!Sundowns were annihilated in their previous meeting with Celtic.Indeed its an improvement.</t>
  </si>
  <si>
    <t>@Volfan326 @TNeazzy Mizzou has annihilated florida the past 2 seasons even ended muschamp's career just can't compete with Bama</t>
  </si>
  <si>
    <t>Be annihilated for status education mba on behalf of a on easy street careen: eOvm http://t.co/e0pI0c54FF</t>
  </si>
  <si>
    <t>V-RP @OZRP_ ?MV, AU, R18+?</t>
  </si>
  <si>
    <t>*to Luka* They should all die! All of them! Everything annihilated! - Alois Trancy</t>
  </si>
  <si>
    <t>Greater Manchester, UK</t>
  </si>
  <si>
    <t>@ACarewornHeart Have a good un fella sorry I won't be there to get annihilated with you :(</t>
  </si>
  <si>
    <t>You must be annihilated!</t>
  </si>
  <si>
    <t>The Canopy Kingdom</t>
  </si>
  <si>
    <t>BOOM! Your country was just entirely annihilated by a h_x0089_Û_ _x0089_ÛÓ Britain https://t.co/IrFCn71sZv</t>
  </si>
  <si>
    <t>@AmirKingKhan you would have been annihilated so you might as well thank @FloydMayweather</t>
  </si>
  <si>
    <t>One thing for sure-God has promised Israel will not be annihilated. But...the horror of Iran w/nukes. https://t.co/xn09Mx6sxy</t>
  </si>
  <si>
    <t xml:space="preserve">the own zone layer </t>
  </si>
  <si>
    <t>day 1 of tryouts went good minus the fact I stopped quickly to get a short ball and Annihilated my toenail injury even more</t>
  </si>
  <si>
    <t>Trancy Manor</t>
  </si>
  <si>
    <t>(To Luka) 'They should all die! All of them! Everything annihilated!' - Alois Trancy -</t>
  </si>
  <si>
    <t>Domain other sophistication be annihilated closely up-to-the-minute feat: ZrNf</t>
  </si>
  <si>
    <t>West Lancashire, UK.</t>
  </si>
  <si>
    <t>@stormbeard @steel_lord I seen Judas Priest in 2005 when Rob came back; Scorpions as support. Fucking annihilated the place. Astonishing gig</t>
  </si>
  <si>
    <t>PA</t>
  </si>
  <si>
    <t>Officially skipping out on #FantasticFour/#Fant4stic/whatever the hashtag is. It's getting ANNIHILATED in reviews. Bummer.</t>
  </si>
  <si>
    <t>_x0089_Û¢ Views From The Six _x0089_Û¢</t>
  </si>
  <si>
    <t>just completely annihilated cech with paul keegan what a time to be alive</t>
  </si>
  <si>
    <t>@TomcatArts 'who then were annihilated by the legion itself. The survivors of the imperfect hybrid project quickly formed a new secret cell</t>
  </si>
  <si>
    <t>University of Toronto</t>
  </si>
  <si>
    <t>@SirBrandonKnt exactly. That's why the lesnar/cena match from summerslam last year was so great because Brock annihilated a guy who's</t>
  </si>
  <si>
    <t>@thatdes ok i wasn't completely forthright i may have also been in a food coma bc of the kebab/tahini/pickles i also annihilated w/fries</t>
  </si>
  <si>
    <t>A fun filled happy-hour at Simmons bar in Camden with this handsome one ?? (I got annihilated apart from this game) http://t.co/4JNo677Zkv</t>
  </si>
  <si>
    <t>Albany/NY</t>
  </si>
  <si>
    <t>Juanny Beisbol Sr. Annihilated that ball. #LGM</t>
  </si>
  <si>
    <t>@POTUS Maybe we should call Israel and tell them we're sorry are Pres has sold them down the river to annihilation.</t>
  </si>
  <si>
    <t>Evildead - Annihilation of Civilization http://t.co/sPfkE5Kqu4</t>
  </si>
  <si>
    <t>U.S National Park Services Tonto National Forest: Stop the Annihilation of the Salt River Wild Horse... http://t.co/6LoJOoROuk via @Change</t>
  </si>
  <si>
    <t>World Annihilation vs Self Transformation http://t.co/pyehwodWun Aliens Attack to Exterminate Humans http://t.co/pB2N77nSKz</t>
  </si>
  <si>
    <t>U.S National Park Services Tonto National Forest: Stop the Annihilation of the Salt River Wild Horse... https://t.co/m8MvDSPJp7 via @Change</t>
  </si>
  <si>
    <t>Yeezy Taught Me , NV</t>
  </si>
  <si>
    <t>@KimKardashian can you please sign and share this petition to save wild horses in Arizona. http://t.co/3tsSXPHuFE ????</t>
  </si>
  <si>
    <t>@TheEllenShow Please check into Salt River horses help stop the annihilation about to happen without 54000 more signatures.change .org Thx</t>
  </si>
  <si>
    <t>Are souls punished withåÊannihilation? http://t.co/c1QXJWeQQU http://t.co/Zhp0SOwXRy</t>
  </si>
  <si>
    <t>Rock Hill, SC</t>
  </si>
  <si>
    <t>I reject the laws of the misguided false prophets imprison nations fueling self annihilation</t>
  </si>
  <si>
    <t>Coolidge, AZ</t>
  </si>
  <si>
    <t>U.S National Park Services Tonto National Forest: Stop the Annihilation of the Salt River Wild Horse... https://t.co/MatIJwkzbh via @Change</t>
  </si>
  <si>
    <t>The annihilation of Jeb Christie &amp;amp; Kasich is less than 24 hours away..
Please God allow me at least one more full day...</t>
  </si>
  <si>
    <t>@Barbi_Twins We need help-horses will die! Please RT &amp;amp; sign petition! Take a stand &amp;amp; be a voice for them! #gilbert23 https://t.co/e8dl1lNCVu</t>
  </si>
  <si>
    <t>@Whippenz We need help! Horses will die!Please RT &amp;amp; sign petition!Take a stand &amp;amp; be a voice for them! #gilbert23 https://t.co/e8dl1lNCVu</t>
  </si>
  <si>
    <t>Hey #AZ: Sign this petition to save the #WildHorses @ #TantoNationalForest! A @RollingStones sing-a-long is in order: http://t.co/WM5l8PJ2iY</t>
  </si>
  <si>
    <t>@SonofBaldwin and he's the current Nova in the bookslast I checked..he was tied into the books in 2011 after Rider died during Annihilation</t>
  </si>
  <si>
    <t>Tacoma,Washington</t>
  </si>
  <si>
    <t>U.S National Park Services Tonto National Forest: Stop the Annihilation of the Salt River Wild Horse... https://t.co/x2Wn7O2a3w via @Change</t>
  </si>
  <si>
    <t>Please sign &amp;amp; RT to save #SaltRiverWildHorses http://t.co/IKUAYUSEqt http://t.co/BQBHUyfmE9</t>
  </si>
  <si>
    <t>THANKS!!!!! @COUNT DANTE.  :)  DO JOIN US BY FOLLOWING THE @ANNIHILATION ZONE.  JOHNNY.</t>
  </si>
  <si>
    <t>BIG D  HOUSTON/BOSTON/DENVER</t>
  </si>
  <si>
    <t>U.S National Park Services Tonto National Forest: Stop the Annihilation of the Salt River Wild Horse... https://t.co/0fekgyBY5F via @Change</t>
  </si>
  <si>
    <t>ColoRADo</t>
  </si>
  <si>
    <t>I'm gonna fight Taylor as soon as I get there.</t>
  </si>
  <si>
    <t>will there be another jocelyn birthday apocalypse</t>
  </si>
  <si>
    <t>RT: janenelson097: RT StephenSCIFI: Adaptation Watch: Charlie Human's APOCALYPSE NOW NOW Optioned for Film #sciencefiction _x0089_Û_</t>
  </si>
  <si>
    <t>Apocalypse please</t>
  </si>
  <si>
    <t>@HoneyBunzGem @primalkitchen I feel like me doing a pull-up is one of the stages of the Apocalypse.</t>
  </si>
  <si>
    <t>She's kinda hot played on the radio today. What's next? Disease to all? The apocalypse has started everyone. Be careful.</t>
  </si>
  <si>
    <t>The Shire</t>
  </si>
  <si>
    <t>But if it's the apocalypse lol gf m8</t>
  </si>
  <si>
    <t>Oakland</t>
  </si>
  <si>
    <t>Julie + R is the apocalypse version of Romeo + Juliet #warmbodies</t>
  </si>
  <si>
    <t>the apocalypse is upon us</t>
  </si>
  <si>
    <t>RT: fittscott: Minecraft- NIGHT LUCKY BLOCK MOD (BOB APOCALYPSE WITHER 2.0 &amp;amp; MORE!) Mod Showcase Popularmmos: http://t.co/MuL1J9AEUx vi_x0089_Û_</t>
  </si>
  <si>
    <t>RT: Our_Mother_Mary: Short Reading
Apocalypse 21:1023 
In the spirit the angel took me to the top of an enormous high mountain and... _x0089_Û_</t>
  </si>
  <si>
    <t>candylit: Imagine sarumi in a zombie apocalypse Fighting back to back Heart to heart conversations over the... http://t.co/xIZkjffF29</t>
  </si>
  <si>
    <t>RT: ZONEWolf123: I liked a YouTube video http://t.co/u66kYg11ZD Minecraft: NIGHT LUCKY BLOCK MOD (BOB APOCALYPSE WITHER 2.0 &amp;amp; MORE!) Mo_x0089_Û_</t>
  </si>
  <si>
    <t>And that's because on my planet it's the lone audience of the apocalypse!</t>
  </si>
  <si>
    <t>@alexandrapullin It is indeed. If the apocalypse comes this week I know where I'll be :)</t>
  </si>
  <si>
    <t>Oregon, USA</t>
  </si>
  <si>
    <t>GO LOOK AT GRIZZLY PEAK RIGHT NOW... It looks like the beginning of an dystopian apocalypse movie</t>
  </si>
  <si>
    <t>Harlingen, TX</t>
  </si>
  <si>
    <t>My niece just asked me 'would you be scared if there was an apocalypse here?' ????</t>
  </si>
  <si>
    <t>Minecraft- NIGHT LUCKY BLOCK MOD (BOB APOCALYPSE WITHER 2.0 &amp;amp; MORE!) Mod Showcase Popularmmos: http://t.co/TNgYE2FKlv via @YouTube</t>
  </si>
  <si>
    <t>Shot Through The Heart XV: You are going to totally give love a bad name with this heart pierc http://t.co/xpFmR368uF http://t.co/ejdHvLKXAf</t>
  </si>
  <si>
    <t>RT: Geek_Apocalypse: 4pm GMT :Hesse plays dark souls 2 day 9: http://t.co/TnGPsHNL87 http://t.co/imzLNZLtF5 #etcPB</t>
  </si>
  <si>
    <t>Las Vegas</t>
  </si>
  <si>
    <t>I know where to go when the zombies take over!! http://t.co/hUTHXlkyxy</t>
  </si>
  <si>
    <t>Enjoyed live-action Attack on Titan but every time I see posters I'm reminded how freshly clean and coiffed everyone is in the apocalypse.</t>
  </si>
  <si>
    <t>I liked a @YouTube video http://t.co/ki1yKrs9fi Minecraft: NIGHT LUCKY BLOCK MOD (BOB APOCALYPSE WITHER 2.0 &amp;amp; MORE!) Mod Showcase</t>
  </si>
  <si>
    <t>#PBBan (Temporary:300) avYsss @'aRmageddon | DO NOT KILL | FLAGS ONLY | Fast XP' for Reason</t>
  </si>
  <si>
    <t>#PBBan (Temporary:300) Russaky89 @'aRmageddon | DO NOT KILL | FLAGS ONLY | Fast XP' for Reason</t>
  </si>
  <si>
    <t xml:space="preserve">#FLIGHTCITY UK  </t>
  </si>
  <si>
    <t>((OFFICIAL VID)) #DoubleCups &amp;gt;&amp;gt; https://t.co/lfKMTZaEkk &amp;gt;&amp;gt; @TrubGME Prod @THISIZBWRIGHT &amp;gt;&amp;gt; #ARMAGEDDON</t>
  </si>
  <si>
    <t>ouvindo Peace Love &amp;amp; Armageddon</t>
  </si>
  <si>
    <t>Best movie you've ever seen? - Armageddon  http://t.co/qoUXIgdtbZ</t>
  </si>
  <si>
    <t>Alphen aan den Rijn, Holland</t>
  </si>
  <si>
    <t>Bed time. Don't wake me up unless revolution or Armageddon start.</t>
  </si>
  <si>
    <t>Red Faction: Armageddon  (Microsoft Xbox 360 2011) - Full read by eBay http://t.co/ypbVS1IJya http://t.co/9dFLv6ynqr</t>
  </si>
  <si>
    <t>Wrigley Field</t>
  </si>
  <si>
    <t>@KatieKatCubs you already know how this shit goes. World Series or Armageddon.</t>
  </si>
  <si>
    <t>RT @Ophiuchus2613: #Love #TrueLove #romance lith  #Voodoo #seduction #Astrology #RTRRT #LOTZ 9-11 #apocalypse #Armageddon #1008pla_x0089_Û_</t>
  </si>
  <si>
    <t>probably the strip club</t>
  </si>
  <si>
    <t>//im gonna beat armageddon as Hsu Hao ????
just got a flawless on my first try</t>
  </si>
  <si>
    <t>@ENews Ben Affleck......I know there's a wife/kids and other girls but I can't help it. I've loved him since Armageddon #eonlinechat</t>
  </si>
  <si>
    <t>'If I'd have had a long coat to hand I'd have worn it. The certainty of armageddon bears a sense of occasion.'</t>
  </si>
  <si>
    <t>YOUR PHONE IS SPYING ON YOU! Hidden Back Door NSA Data Mining Software | THE FINANCIAL ARMAGEDDON BLOG http://t.co/qyCw5JJaj1</t>
  </si>
  <si>
    <t>RT @RTRRTcoach: #Love #TrueLove #romance lith  #Voodoo #seduction #Astrology #RTRRT #LOTZ 9-11 #apocalypse #Armageddon #1008planet_x0089_Û_</t>
  </si>
  <si>
    <t>#PBBan (Temporary:300) fighterdena @'aRmageddon | DO NOT KILL | FLAGS ONLY | Fast XP' for Reason</t>
  </si>
  <si>
    <t>Photo: Sketch I did based on the A Taste of Armageddon episode of #startrek #tos http://t.co/a2e6dcsk88</t>
  </si>
  <si>
    <t>Rotterdam, Zuid-Holland</t>
  </si>
  <si>
    <t>@AberdeenFC @AberdeenFanPage 
Good luck to the ?????? tomorrow night 
Get some coefficient points plz 
@Armageddon????</t>
  </si>
  <si>
    <t xml:space="preserve">Derry, 17 </t>
  </si>
  <si>
    <t>@paddytomlinson1 ARMAGEDDON</t>
  </si>
  <si>
    <t>Nowhere. Everywhere.</t>
  </si>
  <si>
    <t>@RohnertParkDPS You're another one for the history books! (Thank the Justice Department!) And by the way I haven't paid income tax in 20yrs.</t>
  </si>
  <si>
    <t>God's Kingdom (Heavenly Gov't) will rule over all people on the earth after Armageddon.  http://t.co/8HGcBXUkz0  http://t.co/4kopkCyvTt</t>
  </si>
  <si>
    <t>L B #Entertainment lot of 8 #BruceWillis MOVIES #DVD DIE HARD 1 2 12 MONKEYS ARMAGEDDON SIXTH #eBay #Auction http://t.co/CxDJApzXMP</t>
  </si>
  <si>
    <t>Let_x0089_Ûªs talk some more about your goof guild Saunders. Come right up here on stage. https://t.co/hkBxxvd9Iw</t>
  </si>
  <si>
    <t>@Karnythia my niece is gaining the ability to stand. I'm getting prepared for toddler apocalypse Armageddon</t>
  </si>
  <si>
    <t>Check out #PREPPERS #DOOMSDAY MUST HAVE LIBRARY COLLECTION ON CD #shtf #preppertalk #survival #2A #prepper http://t.co/VPQTGeQLmA via @eBay</t>
  </si>
  <si>
    <t>So the Ahamedis think the Messiah had already come 125 years ago? Where is Armageddon? Where is the Dajaal? Where is Gog &amp;amp; Magog?!</t>
  </si>
  <si>
    <t>The Orwellion police-state</t>
  </si>
  <si>
    <t>Sadly How Windows 10 Reveals Microsoft's Ethics Armageddon http://t.co/sTfTjCrjEa</t>
  </si>
  <si>
    <t>Castaic, CA</t>
  </si>
  <si>
    <t>Armageddon averted by El Patron
#UltimaLucha</t>
  </si>
  <si>
    <t>Helsinki, Finland</t>
  </si>
  <si>
    <t>@samihonkonen If you have the time (23 hours ??) the latest series about WW1 Blueprint for Armageddon is extremely impressive.</t>
  </si>
  <si>
    <t>East Kilbride</t>
  </si>
  <si>
    <t>European Fitba till Christmas  ARMAGEDDON</t>
  </si>
  <si>
    <t>#Christians United for #Israel (#CUFI): Jews should convert soon or die by armageddon https://t.co/4aRWwRZPsr #US http://t.co/mkJQ9yfMP8</t>
  </si>
  <si>
    <t>(OFFICIAL VID) &amp;gt; #DoubleCups &amp;gt;&amp;gt; https://t.co/lfKMTZaEkk &amp;gt;&amp;gt; @TrubGME Prod @THISIZBWRIGHT &amp;gt;&amp;gt; #ARMAGEDDON                 .</t>
  </si>
  <si>
    <t>middle eastern palace</t>
  </si>
  <si>
    <t>Tomorrow is the day we start armageddon #preseasonworkouts ????</t>
  </si>
  <si>
    <t>Kent</t>
  </si>
  <si>
    <t>Lee does comedy: _x0089_ÛÏ@LeeJasper: Working class Tories prepare for your Armageddon. #InterestRateRise_x0089_Û_x009d_</t>
  </si>
  <si>
    <t>9 Charts Prove Financial Crisis Part 2 Has BEGUN!: The Financial Armageddon Economic Collapse Blog tracks tren... http://t.co/vHCXTvCINr</t>
  </si>
  <si>
    <t>@RohnertParkDPS You're on stage now! Right under the lights! Isn't it funny?! Where do you get the goofballs with which you staff your PD?</t>
  </si>
  <si>
    <t>**OFFICIAL VID** #TheReal &amp;gt;&amp;gt;&amp;gt; https://t.co/4i0Rjc9RQU &amp;gt;&amp;gt;&amp;gt; @TrubGME &amp;gt;&amp;gt;&amp;gt; #ARMAGEDDON Comin Soon!!</t>
  </si>
  <si>
    <t xml:space="preserve">Perthshire </t>
  </si>
  <si>
    <t>Well done Celtic Fingers crossed for Aberdeen tomorrow night! 
Armageddon eh.... ??</t>
  </si>
  <si>
    <t>Beyonce Is my pick for http://t.co/nnMQlz91o9 Fan Army #Beyhive http://t.co/o91f3cYy0R 77</t>
  </si>
  <si>
    <t>One Direction Is my pick for http://t.co/q2eBlOKeVE Fan Army #Directioners http://t.co/eNCmhz6y34 x1402</t>
  </si>
  <si>
    <t>5 Seconds of Summer Is my pick for http://t.co/J6WsePTXgA Fan Army #5SOSFAM http://t.co/qWgIwC9w7Z</t>
  </si>
  <si>
    <t>22.Beyonce Is my pick for http://t.co/thoYhrHkfJ Fan Army #Beyhive http://t.co/WvJ39a3BGM</t>
  </si>
  <si>
    <t>17.Beyonce Is my pick for http://t.co/thoYhrHkfJ Fan Army #Beyhive http://t.co/WvJ39a3BGM</t>
  </si>
  <si>
    <t>One Direction Is my pick for http://t.co/q2eBlOKeVE Fan Army #Directioners http://t.co/eNCmhz6y34 x1411</t>
  </si>
  <si>
    <t>twitch.tv/naturalemblem26</t>
  </si>
  <si>
    <t>Seeing that army of whitewalkers was the very first thing that has slightly intrigued me on GoT so far</t>
  </si>
  <si>
    <t>cyprus</t>
  </si>
  <si>
    <t>Build your own kingdom and lead your army to victory! https://youtu.
Start g this friend code: LZKTJNOX http://t.co/zZ0cEwEw64</t>
  </si>
  <si>
    <t>Vote for #Directioners vs #Queens in the 5th round of the @Billboard #FanArmyFaceOff http://t.co/Kgtxnnbj7y</t>
  </si>
  <si>
    <t>Hollywood, CA</t>
  </si>
  <si>
    <t>'Show Me a Hero': TV Review http://t.co/KaCCPk85wf http://t.co/NniXodHIGc</t>
  </si>
  <si>
    <t>INFANTRY Mens Lume Dial Army Analog Quartz Wrist Watch Sport Blue Nylon Fabric  - Full rea_x0089_Û_ http://t.co/hEP9k0XgHb http://t.co/80EBvglmrA</t>
  </si>
  <si>
    <t>One Direction Is my pick for http://t.co/q2eBlOKeVE Fan Army #Directioners http://t.co/eNCmhz6y34 x1441</t>
  </si>
  <si>
    <t>.: .: .: .: .: .: .: .: .: .: .: .: .: .: .: .: .: .: .: .: .: RT DrAyesha4: #IndiaKoMunTorJawabDo
Indian Army ki_x0089_Û_ http://t.co/WJLJq3yA4g</t>
  </si>
  <si>
    <t>Mexico! ^_^</t>
  </si>
  <si>
    <t>5 Seconds of Summer Is my pick for http://t.co/qcHV3JqOVK Fan Army #5SOSFAM http://t.co/gc0uDfnFgg  ÌÑ1</t>
  </si>
  <si>
    <t>Beyonce Is my pick for http://t.co/nnMQlz91o9 Fan Army #Beyhive http://t.co/o91f3cYy0R 78</t>
  </si>
  <si>
    <t>One Direction Is my pick for http://t.co/q2eBlOKeVE Fan Army #Directioners http://t.co/eNCmhz6y34 x1386</t>
  </si>
  <si>
    <t>Campinas Sp</t>
  </si>
  <si>
    <t>You da One 
#MTVSummerStar #VideoVeranoMTV  #MTVHottest Britney Spears Lana Del Rey</t>
  </si>
  <si>
    <t>One Direction Is my pick for http://t.co/y9WvqKGbBI Fan Army #Directioners http://t.co/S5F9FcOmp8</t>
  </si>
  <si>
    <t>Harlem, New York</t>
  </si>
  <si>
    <t>Stony Jackson is America's last hope as he leads an army of felons thus and army rejects against the army o Satan - http://t.co/0wbEcdMHQo</t>
  </si>
  <si>
    <t>WWI WWII JAPANESE ARMY NAVY MILITARY JAPAN LEATHER WATCH WAR MIDO WW1 2 - Full read by eBay http://t.co/F9j3l2Yjl4 http://t.co/mwwWOWCayO</t>
  </si>
  <si>
    <t>Beyonce Is my pick for http://t.co/nnMQlz91o9 Fan Army #Beyhive http://t.co/o91f3cYy0R 72</t>
  </si>
  <si>
    <t>7.Beyonce Is my pick for http://t.co/thoYhrHkfJ Fan Army #Beyhive http://t.co/WvJ39a3BGM</t>
  </si>
  <si>
    <t>Beyonce Is my pick for http://t.co/nnMQlz91o9 Fan Army #Beyhive http://t.co/o91f3cYy0R 66</t>
  </si>
  <si>
    <t>6.Beyonce Is my pick for http://t.co/thoYhrHkfJ Fan Army #Beyhive http://t.co/WvJ39a3BGM</t>
  </si>
  <si>
    <t>POTUS appoints Brig. Gen. Richard G. Kaiser as member of the Mississippi River Commission. Learn more about the MRC: http://t.co/vdUKcV7YJy</t>
  </si>
  <si>
    <t>WWI WWII JAPANESE ARMY NAVY MILITARY JAPAN LEATHER WATCH WAR MIDO WW1 2 - Full read by eBay http://t.co/QUmcE7W2tY http://t.co/KTKG2sDhHl</t>
  </si>
  <si>
    <t>WWI WWII JAPANESE ARMY NAVY MILITARY JAPAN LEATHER WATCH WAR MIDO WW1 2 - Full read by eBay http://t.co/obfD7e4QcP http://t.co/yAZjE5OwVk</t>
  </si>
  <si>
    <t>One Direction Is my pick for http://t.co/q2eBlOKeVE Fan Army #Directioners http://t.co/eNCmhz6y34 x1434</t>
  </si>
  <si>
    <t xml:space="preserve">? </t>
  </si>
  <si>
    <t>One Direction Is my pick for http://t.co/iMHFdaOWRd Fan Army #Directioners http://t.co/4fTZJk94Dt</t>
  </si>
  <si>
    <t>Two Jewish Terrorists Charged In Historic-Church Arson | The Ugly Truth http://t.co/iEksNFSbY7 http://t.co/VWCf3slkrW</t>
  </si>
  <si>
    <t>Add Familia to the arson squad.</t>
  </si>
  <si>
    <t>Kingston, Pennsylvania</t>
  </si>
  <si>
    <t>The Sound of Arson</t>
  </si>
  <si>
    <t>Owner of Chicago-Area Gay Bar Admits to Arson Scheme http://t.co/MYhOHvrHiL #LGBT | https://t.co/TM5HTHFDO0</t>
  </si>
  <si>
    <t>Zero Branco</t>
  </si>
  <si>
    <t>Wait What??? http://t.co/uAVFRtlfs4 http://t.co/85G1pCcCXG</t>
  </si>
  <si>
    <t>Mourning notices for stabbing arson victims stir _x0089_Û÷politics of grief_x0089_Ûª in Israel: Posters for Shira Banki and A... http://t.co/3GZ5zQQTHe</t>
  </si>
  <si>
    <t>Owner of Chicago-Area Gay Bar Admits to Arson Scheme http://t.co/0TSlQjOKvh via @theadvocatemag #LGBT</t>
  </si>
  <si>
    <t>North-East Region, Singapore</t>
  </si>
  <si>
    <t>@sayn_ae angel or arson</t>
  </si>
  <si>
    <t>Owner of Chicago-Area Gay Bar Admits to Arson Scheme http://t.co/2Y9dnP5vtg via @theadvocatemag #LGBT | https://t.co/6XuL6DCOsh</t>
  </si>
  <si>
    <t xml:space="preserve">EARTH </t>
  </si>
  <si>
    <t>Owner of Chicago-Area Gay Bar Admits to Arson Scheme http://t.co/UBFr1URAFc #LGBT | https://t.co/AlnV51d95x</t>
  </si>
  <si>
    <t>#NOWPLAYING Arsonist MC -  So Impressed -  @ARSONISTMUSIC http://t.co/1ElreH1jLJ</t>
  </si>
  <si>
    <t>@Safyuan just a minor citation for possesion of a decriminalized substance im not facing any time</t>
  </si>
  <si>
    <t>heccfidmss@gmail.com</t>
  </si>
  <si>
    <t>@local_arsonist @diamorfiend the legal system NEVER forgets</t>
  </si>
  <si>
    <t>@Casper_rmg u on dick</t>
  </si>
  <si>
    <t>toronto</t>
  </si>
  <si>
    <t>Bloor/Ossington arsonist also burned a mattress on Northumberland St #cbcto http://t.co/wpDvT31sne</t>
  </si>
  <si>
    <t>[ Blonde Bi Fry. ]</t>
  </si>
  <si>
    <t>'wHeRE's mY aRsOnISt aT???'</t>
  </si>
  <si>
    <t>If you don't have anything nice to say you can come sit with me.</t>
  </si>
  <si>
    <t>#Vegetarian #Vegan Video shows arsonist torching popular BK restaurant Strictly Vegetarian... http://t.co/kxpLYoM9RR #GoVegan #UniteBlue</t>
  </si>
  <si>
    <t>Video Captures Man Removing American Flag From Long Beach CA Home Burning It; Arsonist Sought http://t.co/JP2QlrunjJ http://t.co/jbpgkGOwSi</t>
  </si>
  <si>
    <t>@58hif my trick is to think about nasty things</t>
  </si>
  <si>
    <t>Winston Salem, North Carolina</t>
  </si>
  <si>
    <t>#Spotlight Take Me To Paradise by Arsonist MC #WNIAGospel http://t.co/1he4UfaWZm @arsonistmusic http://t.co/BNhtxAEZMM</t>
  </si>
  <si>
    <t>who makes these? http://t.co/28t3NWHdKy</t>
  </si>
  <si>
    <t>on town of salem i just melted ice cube bc im the arsonist :D</t>
  </si>
  <si>
    <t>Adelaide, South Australia</t>
  </si>
  <si>
    <t>Arsonists being blamed for a blaze at a plastics recycling business in Adelaide | @pcaldicott7 reports. #7NewsAdl http://t.co/r1Xwdnvb0g</t>
  </si>
  <si>
    <t>i be on that hotboy shit</t>
  </si>
  <si>
    <t>WASHINGTON,DC</t>
  </si>
  <si>
    <t>Zodiac Girl feat Trey Dupree (Produced By Sparkz Beatz) | Chuck Da Arsonist http://t.co/HDKd9J2lw0</t>
  </si>
  <si>
    <t>@local_arsonist LMFAO</t>
  </si>
  <si>
    <t>@_Doofus_ @diamorfiend im jokin still cant be on moves:/</t>
  </si>
  <si>
    <t xml:space="preserve"> snapchat // fvck_casper </t>
  </si>
  <si>
    <t>@local_arsonist I guess u can say that it's just some shit I was thinking about</t>
  </si>
  <si>
    <t>I liked a @YouTube video from @slimebeast http://t.co/ulr6MyklnH Town of Salem | How to Win as The Arsonist</t>
  </si>
  <si>
    <t>@Casper_rmg @BestComedyVine whats cracking cuz</t>
  </si>
  <si>
    <t>smoke good fuck eat drink drive nice car wear all green mink</t>
  </si>
  <si>
    <t>kill i got court the day after earl</t>
  </si>
  <si>
    <t>@local_arsonist lmao but real live you should go</t>
  </si>
  <si>
    <t>Owner of Chicago-Area Gay Bar Admits to Arson Scheme: Frank Elliott pleaded guilty to hiring an arsonist to to... http://t.co/jCFEhrHLq8</t>
  </si>
  <si>
    <t>Trusting Iran to stop terrorism is like inviting an arsonist to join the fire brigade - Telegraph http://t.co/2Z2HTDjQZD</t>
  </si>
  <si>
    <t>Credit to @pfannebeckers for inspiring me to rediscover this fantabulous #tbt http://t.co/wMHy47xkiL</t>
  </si>
  <si>
    <t>Selena | Britney | Hilary</t>
  </si>
  <si>
    <t>Demi stans really think Heart Attack sold 5/6 million copies ??</t>
  </si>
  <si>
    <t>@DatTomm the funniest part about that twitter is the feminists that try to attack it 4Head</t>
  </si>
  <si>
    <t>_x0089_Û¢FLG_x0089_Û¢</t>
  </si>
  <si>
    <t>Just had a heart attack because I thought my goat was dead. ???? don't worry Rocket is okay. ??</t>
  </si>
  <si>
    <t>I'm not gonna lie I'm kinda ready to attack my Senior year ??????????</t>
  </si>
  <si>
    <t>'Left hand side of a diamond is a graveyard shift have to attack and defend'
The right handside no have to do that too you fucking idiot?</t>
  </si>
  <si>
    <t xml:space="preserve">rowyso dallas </t>
  </si>
  <si>
    <t>@CaIxxum5SOS thanks for the damn heart attack</t>
  </si>
  <si>
    <t xml:space="preserve">#UNITE THE BLUE  </t>
  </si>
  <si>
    <t>@blazerfan not everyone can see ignoranceshe is Latinoand that is All she can ever benothing morebut an attack dog 4 a hate group GOP</t>
  </si>
  <si>
    <t>Heart disease prevention: What about secondhand smoke? http://t.co/YdgMGBrYL2</t>
  </si>
  <si>
    <t>Attack on Titan game on PS Vita yay! Can't wait for 2016</t>
  </si>
  <si>
    <t>anxiety attack ??</t>
  </si>
  <si>
    <t>Port Jervis, NY</t>
  </si>
  <si>
    <t>My dog attacked me for my food #pugprobs</t>
  </si>
  <si>
    <t>@envw98 @NickCoCoFree @JulieDiCaro @jdabe80 I asked how did he feel attacked by julie.  I asked if he was frail.   That is all.</t>
  </si>
  <si>
    <t>Texas, USA</t>
  </si>
  <si>
    <t>@messeymetoo I feel attacked</t>
  </si>
  <si>
    <t xml:space="preserve">1/3 of the blam squad </t>
  </si>
  <si>
    <t>I'm feeling so attacked https://t.co/CvkQiGr1AZ</t>
  </si>
  <si>
    <t xml:space="preserve">CCH </t>
  </si>
  <si>
    <t>Once again black men didn't make it that way. White men did so why are black men getting attacked  https://t.co/chkP0GfyNJ</t>
  </si>
  <si>
    <t>atx</t>
  </si>
  <si>
    <t>I cant believe a fucking cis female is going to somehow claim to be offended over a transgendered female who's been attacked by media</t>
  </si>
  <si>
    <t>london / st catharines ?</t>
  </si>
  <si>
    <t>#TBT Remember that time Patrick Kane attacked a cab driver over .20</t>
  </si>
  <si>
    <t>im feeling attacked http://t.co/91jvYCxXVi</t>
  </si>
  <si>
    <t>Peshawar</t>
  </si>
  <si>
    <t>IK Only Troll His Pol Rivals Never Literally Abused Them Or Attacked Their Families. While All Of Them Literally Abuse IK. Loosers</t>
  </si>
  <si>
    <t>@envw98 @NickCoCoFree @JulieDiCaro @jdabe80 Why am I the worst person? Questioning how julie attacked him?  Do you guys have no empathy?</t>
  </si>
  <si>
    <t>#GDJB #ASOT</t>
  </si>
  <si>
    <t>@eunice_njoki aiii she needs to chill and answer calmly its not like she's being attacked</t>
  </si>
  <si>
    <t>I attacked Robot-lvl 19 and I've earned a total of 6615434 free satoshis! http://t.co/DMLJ1aGoTw #robotcoingame #Bitcoin #FreeBitcoin</t>
  </si>
  <si>
    <t>Anna Maria, FL</t>
  </si>
  <si>
    <t>@christinalavv @lindsay_wynn3 I just saw these tweets and I feel really attacked</t>
  </si>
  <si>
    <t>in Dimitri's arms</t>
  </si>
  <si>
    <t>@MageAvexis &amp;lt; things. And what if we get attacked?</t>
  </si>
  <si>
    <t>#WeLoveLA #NHLDucks Avalanche Defense: How They Match vs St. Louis Blues http://t.co/9v1RVCOMH2 #SportsRoadhouse</t>
  </si>
  <si>
    <t>Loughton, Essex, UK</t>
  </si>
  <si>
    <t>I liked a @YouTube video http://t.co/TNXQuOr1wb Kalle Mattson - 'Avalanche' (Official Video)</t>
  </si>
  <si>
    <t>guaravitas</t>
  </si>
  <si>
    <t>we'll crash down like an avalanche</t>
  </si>
  <si>
    <t>#Colorado #Avalanche Men's Official Colorado Avalanche Reebok T-Shirt XL Blue 100% Cotton http://t.co/ZNSvsTGwx3 #NHL #Hockey</t>
  </si>
  <si>
    <t>Score More Goals Buying @</t>
  </si>
  <si>
    <t>2 TIX 10/3 Frozen Fury XVII: Los Angeles Kings v Avalanche 103 Row:AA MGM Grand http://t.co/kBtZZZG2Tp</t>
  </si>
  <si>
    <t>NEW YORK</t>
  </si>
  <si>
    <t>I BET YOU DIDNT KNOW I KICK BOX TOO! https://t.co/rBrw8pWiPJ</t>
  </si>
  <si>
    <t>A little piece I wrote for the Avalanche Designs blog! I'd appreciate it greatly if you checked it out :-)  https://t.co/rfvjh58eF2</t>
  </si>
  <si>
    <t>PATRICK ROY 1998-99 UPPER DECK SPX #171 FINITE 1620 MADE COLORADO AVALANCHE MINT http://t.co/uHfM1r3Tq5 http://t.co/QulgaKebHB</t>
  </si>
  <si>
    <t>Musician Kalle Mattson Recreates 34 Classic Album Covers in Clever Music Video for 'Avalanche' http://t.co/yDJpOpH1DW</t>
  </si>
  <si>
    <t>London, Kent &amp; SE England.</t>
  </si>
  <si>
    <t>Beautiful Sweet Avalanche Faith and Akito roses with lots of frothy gyp. http://t.co/RaqUpzFkJY #weddinghour http://t.co/quNxocXCgA</t>
  </si>
  <si>
    <t>Score Team Goals Buying @</t>
  </si>
  <si>
    <t>1-6 TIX Calgary Flames vs COL Avalanche Preseason 9/29 Scotiabank Saddledome http://t.co/5G8qA6mPxm</t>
  </si>
  <si>
    <t>Secrets up avalanche: catechize inner self for the confidential communication as respects creating worth in len...</t>
  </si>
  <si>
    <t>the fall of leaves from a poplar is as fully ordained as the tumbling of an avalanche - Spurgeon</t>
  </si>
  <si>
    <t>South Central Wales</t>
  </si>
  <si>
    <t>I saw two great punk bands making original music last week. Check em out here!! @GHOSTOFTHEAV @MontroseBand https://t.co/WdvxjsQwic</t>
  </si>
  <si>
    <t>GREAT PERFORMANCE CHIP FUEL/GAS SAVER CHEVY TAHOE/BLAZER/AVALANCHE/S-10 http://t.co/iCrZi5TqC5 http://t.co/ONxhKfHn2a</t>
  </si>
  <si>
    <t>Jersey City, New Jersey</t>
  </si>
  <si>
    <t>Musician Kalle Mattson Recreates 34 Classic Album Covers in Clever Music Video for _x0089_Û÷Avalanche_x0089_Ûª http://t.co/VBSwhz4s2V</t>
  </si>
  <si>
    <t>Free Ebay Sniping RT? http://t.co/RqIPGQslT6 Chevrolet : Avalanche Ltz Lifted 4x4 Truck ?Please Favorite &amp;amp; Share</t>
  </si>
  <si>
    <t>Paul Rudd Emile Hirsch David Gordon Green 'Prince Avalanche' Q&amp;amp;A | Filmmakers at Google http://t.co/e4QonKzndZ  #entretenimento #Video</t>
  </si>
  <si>
    <t xml:space="preserve">Buy Give Me My Money </t>
  </si>
  <si>
    <t>Great one time deal on all Avalanche music and with purchase get a Neal Rigga shirt http://t.co/4VIRXkgMpC</t>
  </si>
  <si>
    <t>505 W. Maple, Suite 100</t>
  </si>
  <si>
    <t>.@bigperm28 was drafted by the @Avalanche in 2005 (rd. 4 #124) overall. Played last season in @UtahGrizz. http://t.co/gPGTAfMKt0</t>
  </si>
  <si>
    <t>I HAVE GOT MORE VIDEOS THAN YOU RAPPERS GOT SONGS! http://t.co/pBLvPM6C27</t>
  </si>
  <si>
    <t>@funkflex yo flex im here https://t.co/2AZxdLCXgA</t>
  </si>
  <si>
    <t>You are the avalanche. One world away. My make believing. While I'm wide awake.</t>
  </si>
  <si>
    <t xml:space="preserve">Freeport il </t>
  </si>
  <si>
    <t>The possible new jerseys for the Avalanche next year. ???? http://t.co/nruzhR5XQu</t>
  </si>
  <si>
    <t>What a feat! Watch the #BTS of @kallemattson's incredible music video for #Avalanche: https://t.co/3W6seA9tuv ????</t>
  </si>
  <si>
    <t>Danville, VA</t>
  </si>
  <si>
    <t>No snowflake in an avalanche ever feels responsible.</t>
  </si>
  <si>
    <t>Dragon Ball Z: Battle Of Gods (2014) - Rotten Tomatoes http://t.co/jDDNhmrmMJ via @RottenTomatoes</t>
  </si>
  <si>
    <t xml:space="preserve">UK Great Britain </t>
  </si>
  <si>
    <t>I added a video to a @YouTube playlist http://t.co/wedWyn9kfS World Of Tanks - Battle Assistant Mod Bat Chat Arti kaboom</t>
  </si>
  <si>
    <t>YA BOY CLIP VS 4KUS FULL BATTLE
@15MofeRadio @Heavybag201 @battle_dom @QOTRING @BattleRapChris @Hughes1128 
https://t.co/7SPyDy1csc</t>
  </si>
  <si>
    <t>It's baaaack!  Petersen's Bowhunting Battle of the Bows.  Make sure you head on over and cast your vote for your... http://t.co/FJ73gDvg2n</t>
  </si>
  <si>
    <t>#Tb #throwback ??
??~ You want a battle? Here's a War! ~ ?? https://t.co/B0ZJWgmaIW</t>
  </si>
  <si>
    <t>Kelby Tomlinson mild-mannered 2nd baseman for a great metropolitan team fights a never-ending battle for hits RBI and the #SFGiants way.</t>
  </si>
  <si>
    <t>What really happened in the Taken King Story Trailer. A space battle that ripped a hole in Saturn. @EyTay @neur0sis http://t.co/ZYRZX6dfki</t>
  </si>
  <si>
    <t>THESE AFTER BATTLE ANIMATIONS ARE SO FUCKING MUCH</t>
  </si>
  <si>
    <t>See what happens with NO Battle of the Block @CBSBigBrother!?! ???? finally</t>
  </si>
  <si>
    <t>#DU19 who gon get in this rap battle with me</t>
  </si>
  <si>
    <t>Use #TMW in tweets get #RT</t>
  </si>
  <si>
    <t>Do Your Own Thing: The Battle of Internal vs External Motivation: http://t.co/w9P3hAuHEi</t>
  </si>
  <si>
    <t>Check out this item I just got! [Phantasmal Cummerbund] http://t.co/qrHJEI7gRq #Warcraft</t>
  </si>
  <si>
    <t>I liked a @YouTube video http://t.co/9Vw0uQQi1y Marvel VS DC (Avengers Battle!)</t>
  </si>
  <si>
    <t>Utah</t>
  </si>
  <si>
    <t>@UtahCanary sigh daily battle.</t>
  </si>
  <si>
    <t>Wisconsin</t>
  </si>
  <si>
    <t>@SexyDragonMagic I've come to the realization that I just don't have the attention span for mass battle games. Both painting and playing.</t>
  </si>
  <si>
    <t>West Richland, WA</t>
  </si>
  <si>
    <t>@DetroitPls interested to see who will win this battle</t>
  </si>
  <si>
    <t>CHICAGO (312)</t>
  </si>
  <si>
    <t>Battle of the GOATS  https://t.co/ofECs6tcvC</t>
  </si>
  <si>
    <t>STAR WARS POWER OF THE JEDI COLLECTION 1 BATTLE DROID HASBRO - Full read by eBay http://t.co/yI30ZgiZsW http://t.co/2jGVhw7YZs</t>
  </si>
  <si>
    <t>Black Eye 9: A space battle occurred at Star O784 involving 2 fleets totaling 4103 ships with 50 destroyed</t>
  </si>
  <si>
    <t>#LonePine remembered around Australia as 'descendants' grow via @666canberra #Gallipoli #WW1
http://t.co/T4fvVnRPc5 http://t.co/0zZnbVFUVO</t>
  </si>
  <si>
    <t>how did I miss that Gary Busey's son plays DIXIE on his electronic green fiddle during the post-battle celebration sequence</t>
  </si>
  <si>
    <t>NC</t>
  </si>
  <si>
    <t>FedEx no longer will transport bioterror germs http://t.co/qfjjDxes7G via @USATODAY</t>
  </si>
  <si>
    <t>USA TODAY: .@FedEx will no longer to transport bioterror pathogens after ... - http://t.co/iaDlSlqdpd #NewsInTweets http://t.co/o8y1suL4Ow</t>
  </si>
  <si>
    <t>British girl in Texas</t>
  </si>
  <si>
    <t>FedEx will no longer transport bioterror pathogens in wake of anthrax lab mishaps http://t.co/lHpgxc4b8J</t>
  </si>
  <si>
    <t>FedEx no longer will ship potential bioterror pathogens http://t.co/CHORr2XOVp via @AtlBizChron</t>
  </si>
  <si>
    <t>#frontpage: #Bioterror lab faced secret sanctions. #RickPerry doesn't make the cut for @FoxNews #GOPDebate http://t.co/fZujg7sXJg @USATODAY</t>
  </si>
  <si>
    <t>Wilmington, DE</t>
  </si>
  <si>
    <t>FedEx no longer to transport bioterror germs in wake of anthrax lab mishaps http://t.co/qZQc8WWwcN via @usatoday</t>
  </si>
  <si>
    <t>RT alisonannyoung: EXCLUSIVE: FedEx no longer to transport research specimens of bioterror pathogens in wake of anthrax lab mishaps _x0089_Û_</t>
  </si>
  <si>
    <t>#world FedEx no longer to transport bioterror germs in wake of anthrax lab mishaps  http://t.co/5zDbTktwW7</t>
  </si>
  <si>
    <t>FedEx no longer will ship potential bioterror pathogens - Atlanta Business Chronicle http://t.co/YLLQJljiIQ</t>
  </si>
  <si>
    <t>Pelham, AL</t>
  </si>
  <si>
    <t>Thank you @FedEx for no longer shipping live microbes for the Department of Defense
http://t.co/zAHNEwJrI8</t>
  </si>
  <si>
    <t>FedEx no longer will transport bioterror germs http://t.co/SHrhkfj1bC via @usatoday</t>
  </si>
  <si>
    <t>Across the Atlantic</t>
  </si>
  <si>
    <t>#BreakingNews http://t.co/gAN14PW9TG FedEx no longer willing to transport research specimens of potential bioter_x0089_Û_ http://t.co/5n4hUsewLy</t>
  </si>
  <si>
    <t>Extraterrestrial Highway</t>
  </si>
  <si>
    <t>FedEx no longer shipping bioterror germs - WXIA-TV | @scoopit http://t.co/ZQqJrQsbJm</t>
  </si>
  <si>
    <t>FedEx no longer to transport bioterror germs in wake of anthrax lab mishaps http://t.co/hrqCJdovJZ</t>
  </si>
  <si>
    <t>Washington, D.C., area</t>
  </si>
  <si>
    <t>Biolab safety concerns grow: FedEx stops transporting certain specimens. Research facilities 'dumbfounded' by action. http://t.co/RUjV4VPnBV</t>
  </si>
  <si>
    <t>Firepower in the lab [electronic resource] : automation in the fight against infectious diseases and bioterrorism /_x0089_Û_ http://t.co/KvpbybglSR</t>
  </si>
  <si>
    <t>Creation of AI
Climate change
Bioterrorism
Mass automation of workforce
Contact with other life
Wealth inequality
Yea we've got it easy</t>
  </si>
  <si>
    <t xml:space="preserve">Netherlands,Amsterdam-Virtual </t>
  </si>
  <si>
    <t>In Lies We Trust #dvd CIA Hollywood and Bioterrorism Len Horowitz Vaccines Nwo http://t.co/6PAGJqfbzK http://t.co/qzizElxbyr</t>
  </si>
  <si>
    <t>Does This Prepare Us? HHS Selects 9 Regional Special #Pathogen Treatment Centers #Bioterrorism #Infectious #Ebola http://t.co/Qmo1TxxDkj</t>
  </si>
  <si>
    <t>70 won 70...&amp;amp; some think possibility of my full transformation is impossible.  I don't quite like medical mysteries. BIOTERRORISM sucks.</t>
  </si>
  <si>
    <t>Budapest, Hungary</t>
  </si>
  <si>
    <t>How about a book describing the future of therapies technologies sport sexuality bioterrorism and diagnosis? #digitalhealth #hcsm</t>
  </si>
  <si>
    <t>@ONU_France 74/75 Bioterrorism on '@Rockefeller_Chi/@RockefellerUniv'Heiress 2 evade lgl efforts 2 prosecute BLKs 4 @HarvardU kidnap'g.@AFP</t>
  </si>
  <si>
    <t>@Kaotix_Blaze craving u</t>
  </si>
  <si>
    <t>I've been by the pool all day #raisinfingers</t>
  </si>
  <si>
    <t>Do you know anyone looking to move to Hammond OR? Share this listing! http://t.co/3xn1soh4Bb</t>
  </si>
  <si>
    <t>Life is amazin same time its crazy niggas dey wanna blaze me hate it because i made it all it took was dedication n some motivation</t>
  </si>
  <si>
    <t xml:space="preserve">Eagle Mountain, Texas </t>
  </si>
  <si>
    <t>Blaze is my bro http://t.co/UdKeSJ01mL</t>
  </si>
  <si>
    <t>@Shayoly yes I love it</t>
  </si>
  <si>
    <t>See a virtual tour of one of our listings on 547 Fir St Cannon Beach OR listed by Dorrie Caruana. http://t.co/nF46PAYTvw</t>
  </si>
  <si>
    <t>Atlanta,Ga</t>
  </si>
  <si>
    <t>Welcome @djryanwolf @djcoreygrand @djknyce @djoneplustwo @OfficialCoreDJs #Family #Cleveland #StandUp @IAMTONYNEAL http://t.co/P6GqmCTgLj</t>
  </si>
  <si>
    <t>@bellalinn alrighty Hit me up and we'll blaze!!</t>
  </si>
  <si>
    <t>i blaze jays fuck the dutch slave trade.</t>
  </si>
  <si>
    <t>My hair is poverty at the moment need to get a fade before the weekend gets here</t>
  </si>
  <si>
    <t xml:space="preserve">ducked off . . . </t>
  </si>
  <si>
    <t>niggas love hating.</t>
  </si>
  <si>
    <t>@audacityjamesta Don't be like that babes &amp;lt;3 you'll have a ball of fun with me at LAN! :)</t>
  </si>
  <si>
    <t>Rio de Janeiro</t>
  </si>
  <si>
    <t>I liked a @YouTube video from @iamrrsb http://t.co/PdEHd1tCpk Minecraft Skywars - O BLAZE QUE USA HACK E FLECHADAS SINISTRAS!</t>
  </si>
  <si>
    <t>What Dems do. Blaze covered months ago.Chicago police detained thousands of black Americans at interrogation facility http://t.co/UWItVBsbnC</t>
  </si>
  <si>
    <t>302</t>
  </si>
  <si>
    <t>Yo I got bars and I'm not even a rapper</t>
  </si>
  <si>
    <t>UGH Y DID BLAZE PUT THE CALORIES BY THEIR PIZZAS? OK COOL #thisispublichealth</t>
  </si>
  <si>
    <t>pic of me and blaze in a fort when we were kids i look like a jackass stuffin my face like that ?????? http://t.co/aE9cPIexAK</t>
  </si>
  <si>
    <t>looks like a year of writing and computers is ahead. http://t.co/CyXbrZXWq4</t>
  </si>
  <si>
    <t>Mo.City</t>
  </si>
  <si>
    <t>@Beautiful_Juic1 just letting you know</t>
  </si>
  <si>
    <t>Tripsburg, ms.</t>
  </si>
  <si>
    <t>@BabySweet420 I'm mad 420 in your name &amp;amp; you don't blaze.</t>
  </si>
  <si>
    <t xml:space="preserve">Durham N.C </t>
  </si>
  <si>
    <t>@GuiltyGearXXACP yeah I know but blaze blue dont have a twitter lol I drew this a few weeks ago http://t.co/sk3l74FLzZ</t>
  </si>
  <si>
    <t>Delhi</t>
  </si>
  <si>
    <t>#socialmedia news - New Facebook Page Features Seek to Help Personalize the Customer Experience http://t.co/nbizaTlsmV</t>
  </si>
  <si>
    <t>ARIZONA</t>
  </si>
  <si>
    <t>@DJJOHNBLazE shout out blaze the hottest DJ in the Sothwest</t>
  </si>
  <si>
    <t>Penn Hills, PA</t>
  </si>
  <si>
    <t>I liked a @YouTube video http://t.co/N95IGskd3p Minecraft: Episode 2 'Blaze Farm Beginnings!'</t>
  </si>
  <si>
    <t>seattle wa</t>
  </si>
  <si>
    <t>@ChristyCroley Not in the works yet. Did you see the new Vela Short in Blaze? http://t.co/Q8rEoEVluE</t>
  </si>
  <si>
    <t>@UABStephenLong @courtlizcamp Total tweet fail! You are so beautiful inside and out Blaze On!</t>
  </si>
  <si>
    <t>The mixtape is coming i promise. We goin in right now http://t.co/uUNGRqoUgn</t>
  </si>
  <si>
    <t>@_itzSteven @xdojjjj @whopper_jr_760 huh?? me you and leo started that last year and ever since people blaze it in the back??</t>
  </si>
  <si>
    <t>SOUTHERN CALIFORNIA DESERT</t>
  </si>
  <si>
    <t>3 Bedrooms 1 Baths for sale in 29 Palms CA. (http://t.co/QMS8RRESsd)
(YouTube Video:... http://t.co/zLa30jCsSQ</t>
  </si>
  <si>
    <t>?? Yes I do have 2 guns ?? ??</t>
  </si>
  <si>
    <t>@a__cee DAEM GIRL SMOOTH ASF c: ?</t>
  </si>
  <si>
    <t>My contac 27B80F7E 08170156520</t>
  </si>
  <si>
    <t>https://t.co/WKv8VqVkT6 #ArtisteOfTheWeekFact say #Conversations by #coast2coastdjs agree @Crystal_Blaz 's #Jiwonle is a #HipHop #ClubBanger</t>
  </si>
  <si>
    <t>Bright &amp;amp; BLAZING Fireman Birthday Party http://t.co/9rFo9GY3nE #Weddings</t>
  </si>
  <si>
    <t>REAL ViBEZ RADIO - BLAZING THE BEST VIBEZ!!! http://t.co/EMvOhm9m6j #nowplaying #listenlive</t>
  </si>
  <si>
    <t>Intramuros, Manila</t>
  </si>
  <si>
    <t>Come and join us Tomorrow!
August 7 2015 at Transcend:Blazing the Trail to the Diversified World of Marketing... http://t.co/NR1I8Qnao1</t>
  </si>
  <si>
    <t>Morgan Silver Dollar 1880 S Gem BU DMPL Cameo Rev Blazing MS+++++ High grade! - Full read _x0089_Û_ http://t.co/IU9baFDXeY http://t.co/AphqU5SvET</t>
  </si>
  <si>
    <t>Morgan Silver Dollar 1880 S Gem BU DMPL Cameo Rev Blazing MS+++++ High grade! - Full read _x0089_Û_ http://t.co/m96KbQwiOr http://t.co/wrJR846fKS</t>
  </si>
  <si>
    <t>This bowl got me thinking... Damn I've been blazing for so damn long</t>
  </si>
  <si>
    <t>@DanRyckert @drewscanlon He's blazing through this game with the best stealth skills yet. Nothing beats the silenced M4.</t>
  </si>
  <si>
    <t>Bit pacquiao vs marquez 3 unfilled blazing swarm online: DuRvOd http://t.co/6VJA8R4YXA</t>
  </si>
  <si>
    <t xml:space="preserve">THE WORLD T.G.G / M.M.M </t>
  </si>
  <si>
    <t>Turn on your radios #stoponesounds is live on your #airwaves http://t.co/g7S34Sw2aM &amp;amp; 107.9 fm @StickyNYC @95roots  blazing all your hits</t>
  </si>
  <si>
    <t>@BaseballQuotes1 I have a 32 inch dynasty</t>
  </si>
  <si>
    <t xml:space="preserve">Between the worlds </t>
  </si>
  <si>
    <t>I'm the only weapons master here! Let's go in guns blazing!
#Hinatobot</t>
  </si>
  <si>
    <t>State of Georgia</t>
  </si>
  <si>
    <t>@Blazing_Ben @PattyDs50 @gwfrazee @JoshuaAssaraf Not really. Sadly I have come to expect that from Obama.</t>
  </si>
  <si>
    <t>SHOUOUT TO @kasad1lla CAUSE HER VOCALS ARE BLAZING HOT LIKE THE WEATHER SHES IN</t>
  </si>
  <si>
    <t>S3XLEAK!!!
Ph0tos of 19yrs old Ash@wo lady in Festac town from Delta exp0sed on BBM 5 leaked pictures... http://t.co/ixREhM05yq</t>
  </si>
  <si>
    <t>Lima-Peru</t>
  </si>
  <si>
    <t>Oh my heart racing And my temperature is blazing through the roof #VideoVeranoMTV Fifth Harmony</t>
  </si>
  <si>
    <t>@omgbethersss @BethanyMota haha love this??</t>
  </si>
  <si>
    <t>@dmac1043 Colorado is a Spanish word ([Latin origin] meaning 'reddish' or 'colored')  all you dummies are pronouncing it wrong!!!</t>
  </si>
  <si>
    <t>Why Some Traffic Is Freezing Cold And Some Blazing Hot _x0089_ÛÒ And How To Heat Up Some Of Your Traffic http://t.co/C8b6DdiQIg</t>
  </si>
  <si>
    <t>I'm crazy enough to run in 95 degree mid-day heat under the blazing sun in a place where I'm not_x0089_Û_ https://t.co/OSUoIVNiGO</t>
  </si>
  <si>
    <t>I'm blazing rn and there's nothing you can do to stop me</t>
  </si>
  <si>
    <t>Saltillo, Coahuila de Zaragoza</t>
  </si>
  <si>
    <t>Still blazing ????</t>
  </si>
  <si>
    <t>@bekah__w thanks! I sweat bullets every time I get in with this blazing sun beating down on me.</t>
  </si>
  <si>
    <t>@ACOUSTICMALOLEY no he was blazing it</t>
  </si>
  <si>
    <t>Suitland</t>
  </si>
  <si>
    <t>@OfficialTJonez Your 'Lost For Words' made me a new fan of yours fam. Crazy skills beyond blessed! Keep blazing dude made love and respect!</t>
  </si>
  <si>
    <t>**Let - Me - Be - Your - Hot - Blazing - Fantasy**  
#escorts #gfe #DUBAI http://t.co/N6AhgfMUDt</t>
  </si>
  <si>
    <t>Konoha</t>
  </si>
  <si>
    <t>@__srajapakse__ Why thank you there missy ?? thought it suited the blazing hot summertime ?? yee-haw! ??</t>
  </si>
  <si>
    <t>Swag Francisco</t>
  </si>
  <si>
    <t>@asukager magical bag of blazing</t>
  </si>
  <si>
    <t>Saint Marys, GA</t>
  </si>
  <si>
    <t>The Blazing Elwoods @BlazingElwoods - Don't Bother Me (Doug's Song) -Tune http://t.co/QYzpB1gKmR</t>
  </si>
  <si>
    <t>Morgan Silver Dollar 1921 P CH Gem Bu PL Blazing MS++++++ Satin Rare Proof Like! - Full re_x0089_Û_ http://t.co/99MbyFl3Id http://t.co/4ddMTguZzS</t>
  </si>
  <si>
    <t>Blazing Hot! Etisalat Free MB For Complete 12 Months: Etisalat Is Giving out 100MB on TECNO Q1 here is the Ime... http://t.co/AVzsYIe1nT</t>
  </si>
  <si>
    <t>Essex/Brighton</t>
  </si>
  <si>
    <t>@FunkyLilShack @mariaf30 I want a full on bitch slapping guns blazing cake throwing Charles showdown!! Now THAT will be worth the wait ????</t>
  </si>
  <si>
    <t>Follow @EdWelchMusic and check out his Hit Single 'Unpacked' Man its BLAZING!!!</t>
  </si>
  <si>
    <t>Pennsylvania, PA</t>
  </si>
  <si>
    <t>I still don't know how 8 hours of physical activity in the blazing sun isn't a sport.</t>
  </si>
  <si>
    <t>Ways so archetype a bleeding well-grounded readiness: FpOJ http://t.co/WXbrArc7p3</t>
  </si>
  <si>
    <t>Rockford, IL</t>
  </si>
  <si>
    <t>Threw a chicken nugget at my sisters lip and now it's bleeding??</t>
  </si>
  <si>
    <t>you could slit my throat and I'd apologize for bleeding on you</t>
  </si>
  <si>
    <t>AZ</t>
  </si>
  <si>
    <t>Joe Landolina: This gel can make you stop bleeding instantly http://t.co/0BtnIwAgt1 #arizona #realestate http://t.co/hHZY3oqeLa</t>
  </si>
  <si>
    <t>now my nose is bleeding. the last one was like 10 years ago</t>
  </si>
  <si>
    <t>I have been bleeding into this typewriter all day but so far all I've written is a bunch of gunk.</t>
  </si>
  <si>
    <t>Vero Beach , FL</t>
  </si>
  <si>
    <t>@JaydenNotJared I can't help it. Hope you're ok. Text me if you need to talk. Sending hugs your way. PS no bleeding to death allowed</t>
  </si>
  <si>
    <t>Apparently if you're bleeding people look at you weird lol well it's fine keep walking</t>
  </si>
  <si>
    <t>In the middle of no where</t>
  </si>
  <si>
    <t>Eating takis then rubbing my eyes with my hands now my eyes are bleeding tears</t>
  </si>
  <si>
    <t>@DarrylB1979 yea heard about that..not coming out until 2017 and 2019 ?????? Vampiro is bleeding</t>
  </si>
  <si>
    <t>@CoreyAshe Did that look broken or bleeding?</t>
  </si>
  <si>
    <t xml:space="preserve">dmv ?? fashion school @ KSU. </t>
  </si>
  <si>
    <t>i hit my foot now my toe is bleeding ??</t>
  </si>
  <si>
    <t xml:space="preserve">Nice places </t>
  </si>
  <si>
    <t>@King_Naruto_ As long as I see Madara bleeding I'm good ??</t>
  </si>
  <si>
    <t>Keep thinking about it until I stepped on a broken glass pun tak sedar and I don't feel the pain also it's bleeding. Shit</t>
  </si>
  <si>
    <t>Quantico, VA</t>
  </si>
  <si>
    <t>My ears are bleeding  https://t.co/k5KnNwugwT</t>
  </si>
  <si>
    <t>It's not a cute dinner date Til cams nose starts bleeding</t>
  </si>
  <si>
    <t>@Uptown_Jorge head up like yo nose bleeding</t>
  </si>
  <si>
    <t>I've been bleeding in your silence 
I feel safer in your violence .</t>
  </si>
  <si>
    <t>Island Lake, IL</t>
  </si>
  <si>
    <t>@Jannet2208 I fell off someone's back and hit my head on concrete /: I was bleeding n shit</t>
  </si>
  <si>
    <t>Deadpool is already one of my favourite marvel characters and all I know is he wears a red suit so the bad guys can't tell if he's bleeding</t>
  </si>
  <si>
    <t>@SoDamnTrue  we know who u are you're a bleeding heart wannabe pickup artist</t>
  </si>
  <si>
    <t>Madisonville TN</t>
  </si>
  <si>
    <t>@chaosmagician97 awesome!! I saw he was bleeding pretty bad</t>
  </si>
  <si>
    <t xml:space="preserve">Basketball City, USA </t>
  </si>
  <si>
    <t>@burberryant bleeding on the brain don't know the cause</t>
  </si>
  <si>
    <t>AEP</t>
  </si>
  <si>
    <t>lets see how good you are at soccer when you're bleeding out yo face</t>
  </si>
  <si>
    <t>@tammy_w1997 @ElijahMallari bleeding wild things running around the apartment while hes in work at the bar ????????</t>
  </si>
  <si>
    <t>Alberta Pack</t>
  </si>
  <si>
    <t>@ColoicCarnality You were bleeding my instincts kicked in. *She looks away and scratches the back of her head*</t>
  </si>
  <si>
    <t>#expelcl*y</t>
  </si>
  <si>
    <t>my ears are bleeding i hate stefano</t>
  </si>
  <si>
    <t>My heart is a ghost town!</t>
  </si>
  <si>
    <t>My ear started bleeding again...</t>
  </si>
  <si>
    <t>A rave wedding ? Am I seeing this  my eyes are bleeding</t>
  </si>
  <si>
    <t>Alicante, Valencia</t>
  </si>
  <si>
    <t>they say bad things happen for a reason
but no wise words gonna stop te bleeding</t>
  </si>
  <si>
    <t>@DamnAarielle yo timeline blew up so damn fast</t>
  </si>
  <si>
    <t>@mfalcon21 go look. Just blew it up w atomic bomb.</t>
  </si>
  <si>
    <t>I blew up #oomf instagrams cause she's cute and she's an active follower</t>
  </si>
  <si>
    <t>Greensboro, NC</t>
  </si>
  <si>
    <t>@b24fowler I see that! Crazy how this line blew up.</t>
  </si>
  <si>
    <t xml:space="preserve"> Indiana</t>
  </si>
  <si>
    <t>My Instagram just blew up apparently I was featured on I am jazz tonight. How cool is that love her</t>
  </si>
  <si>
    <t>the local dump</t>
  </si>
  <si>
    <t>i'd still be team usagi even if she blew up the entire solar system by some airhead misstep</t>
  </si>
  <si>
    <t>i hate people who tweet 'receipts' but KNOW its wrong
but they wont take it down bc it 'blew up'
literally gtfo you're that desperate</t>
  </si>
  <si>
    <t>I think I just blew up @HopeInHearts notifications. Go check her out she's so encouraging to me ???? love her ??</t>
  </si>
  <si>
    <t>Hw18 going 90-100. Dude was keeping up with me. Took the same exit. Pulled to the side and told me he blew his motor. Lolol #2fast2furious</t>
  </si>
  <si>
    <t>#SOUTHAMPTON ENGLAND</t>
  </si>
  <si>
    <t>The universe might not actually exist scientists say http://t.co/DEfJ7XeKgX 'The #SUN blew up and the #Earth began'...</t>
  </si>
  <si>
    <t>?205?478?</t>
  </si>
  <si>
    <t>Max blew tf up ! ?????? shots fired ???? #CatfishMTV</t>
  </si>
  <si>
    <t>Waterford MI</t>
  </si>
  <si>
    <t>Rick and Morty - They Blew Up : http://t.co/UQKX5VbiuM</t>
  </si>
  <si>
    <t>Iowa, USA</t>
  </si>
  <si>
    <t>@CodyThompson25 ty just blew up the motor went up in flames he got out ok</t>
  </si>
  <si>
    <t>Just realized my dude @_OnlyFTF was on that 'What Are Those' way before it blew up @ the tusky ?? game @robsimss @CantMissKid</t>
  </si>
  <si>
    <t>This night just blew up rq</t>
  </si>
  <si>
    <t>I blew up snapchat for no reason ??</t>
  </si>
  <si>
    <t>Queens Gambit went well until Anakin blew up the droid control ship. Oh well still fun! Can't Stop is next! #WBC2015</t>
  </si>
  <si>
    <t>@iphooey @TIME Ironically Michele Bachmann brought this up in '11 w/Ron Paul &amp;amp; everyone blew her off and called hoax. She was finally right</t>
  </si>
  <si>
    <t>Catfish retweeted me &amp;amp; my notifications blew up ??????.</t>
  </si>
  <si>
    <t xml:space="preserve">california mermaid ? </t>
  </si>
  <si>
    <t>Some guy whistled at me in the parking lot &amp;amp; it did not help that the wind blew my skirt up getting in the car ??</t>
  </si>
  <si>
    <t>New York ? ATL</t>
  </si>
  <si>
    <t>Blew up those mentions</t>
  </si>
  <si>
    <t>USA/SO FLORIDA via BROOKLYN NY</t>
  </si>
  <si>
    <t>The 1st time someone blew up my phone 30 times they would be blocked. Believe it.  #Catfish</t>
  </si>
  <si>
    <t>@ImAwesome7986 like literally blew up</t>
  </si>
  <si>
    <t xml:space="preserve">H / pez &amp; sophia </t>
  </si>
  <si>
    <t>FREYAS VIDEO BLEW UP EVERYWHERE</t>
  </si>
  <si>
    <t>@YahooSchwab easy way to look good after the Ray Rice fiasco...that blew up</t>
  </si>
  <si>
    <t>Queens, NY</t>
  </si>
  <si>
    <t>Lmao that light skin guy blew up on Twitter by talking about how ugly he was as a kid..</t>
  </si>
  <si>
    <t>Vancouver, BC.</t>
  </si>
  <si>
    <t>Because you watched: Honey I Blew up the Economy
We Recommend : The Conservative Shoppe of Horrors
#HarperANetflixShow #elxn42 #stopharper</t>
  </si>
  <si>
    <t>Ye did the same thing to Big Sean and he still blew up</t>
  </si>
  <si>
    <t>Zayn just blew up twitter.</t>
  </si>
  <si>
    <t>wherever the $$$ at</t>
  </si>
  <si>
    <t>Bitch done blew my shit up</t>
  </si>
  <si>
    <t>Purgatory, USA</t>
  </si>
  <si>
    <t>@WeLoveRobDyrdek @adrian_peel not a damn clue. Tried to see how many clicks I could get before I blew up. That's how I played.</t>
  </si>
  <si>
    <t>@Daorcey @nsit_ YOUR a great pair. Like a couple of Graywardens fighting the blight...</t>
  </si>
  <si>
    <t xml:space="preserve">Kama | 18 | France </t>
  </si>
  <si>
    <t>@DaMidnighter theres actually a theory out there that the magisters arent the only reason for the blight
that dwarves (the ones from the</t>
  </si>
  <si>
    <t>As a cycling fan I feel sorry for world athletics #doping is a blight exacerbated monetary reward. A lot of soul searching will be required</t>
  </si>
  <si>
    <t>@kynespeace *blight</t>
  </si>
  <si>
    <t>Poor Jack ??</t>
  </si>
  <si>
    <t>Maryland, USA</t>
  </si>
  <si>
    <t>@realhotcullen I agree but I knew we'd be going to the deep roads again because they found Blight in red lyrium. It ain't over yet &amp;gt;_&amp;gt;</t>
  </si>
  <si>
    <t>Daruka (near Tamworth) NSW</t>
  </si>
  <si>
    <t>Get a load of this welfare loving sponge....a blight on society. http://t.co/rrZbZGO48N</t>
  </si>
  <si>
    <t>IJmuiden, The Netherlands</t>
  </si>
  <si>
    <t>New post: Prysmian secures contract for Blight Bank wind farm http://t.co/oLG09Kb6HA</t>
  </si>
  <si>
    <t>University Heights, Ohio</t>
  </si>
  <si>
    <t>Cleveland Heights Shaker Heights fight blight: The House Next Door http://t.co/wYOKt0ftRw</t>
  </si>
  <si>
    <t>Baton Rouge</t>
  </si>
  <si>
    <t>Carl Everest Rob Cobes Whitt Blight Frost Leo Snuff Godly and a few others. I will drink a beer with them. Someday.</t>
  </si>
  <si>
    <t>THDA Kicks Off Anti-Blight Loan Effort in Memphis http://t.co/XZLRWC0PIK http://t.co/O5xlxMkoYq</t>
  </si>
  <si>
    <t>City program to help turn blight into greenspace: The Tennessee Housing Development_x0089_Û_ http://t.co/ZZcbBQyJ1q  #news http://t.co/KKSgHsblFH</t>
  </si>
  <si>
    <t xml:space="preserve">PSN: Pipbois </t>
  </si>
  <si>
    <t>@Demetae12 yes i want to be the new blight leader</t>
  </si>
  <si>
    <t>Colombo,Sri Lanka.</t>
  </si>
  <si>
    <t>Releases on the planing level -
1. Constellation - Blight on Gaia - iClown's Drumstep Remix
2.iClown - Infinity... http://t.co/7LE5GQ2Psx</t>
  </si>
  <si>
    <t>http://t.co/ETkd58Un8n - Cleveland Heights Shaker Heights fight blight: The House Next Door http://t.co/LRelVrm06w</t>
  </si>
  <si>
    <t xml:space="preserve">Johannesburg, South Africa </t>
  </si>
  <si>
    <t>'If you are going to achieve excellence in big things you develop the habit in little matters....' dont know the author</t>
  </si>
  <si>
    <t>Me mammy's belly</t>
  </si>
  <si>
    <t>@Hendy_21 sure the purdies will be alive with the blight ??</t>
  </si>
  <si>
    <t>UK &amp; Ibiza</t>
  </si>
  <si>
    <t>Tracy Blight Thank you for following me!!</t>
  </si>
  <si>
    <t>Apperception bridgework blight: XxhJeSC http://t.co/yBhBArajXp</t>
  </si>
  <si>
    <t xml:space="preserve">Laventillemoorings </t>
  </si>
  <si>
    <t>If you dotish to blight your car go right ahead. Once it's not mine.</t>
  </si>
  <si>
    <t>Sexual Revolution:Blight For Women is out! http://t.co/T8Sv2ai7sW Stories via @ACeBabes @HealthWeekly1 @AmateurNester</t>
  </si>
  <si>
    <t>LIKE I SWEAR THE SECRET WE'LL UNCOVER IS THE OLD GODS IN A SLUMBER. I THINK THERES GONNA BE ANOTHER BLIGHT</t>
  </si>
  <si>
    <t>@WillHillBet what is double result live on the app?</t>
  </si>
  <si>
    <t>@parksboardfacts first off it is the #ZippoLine as no one wants to use it and the community never asked for this blight on the park #moveit</t>
  </si>
  <si>
    <t>Look for my Policy Matters Ohio report on #CLE and Cuyahoga County blight and greening vacant lands soon!  https://t.co/if62SdXVp7</t>
  </si>
  <si>
    <t>@anellatulip and put the taint there and that all that the magisters did was to open the gates and let the blight get away from it</t>
  </si>
  <si>
    <t>@anellatulip there is a theory that makes way too much sense that says that the dwarves may be the actual origin of the blight</t>
  </si>
  <si>
    <t>Detroit, MI, United States</t>
  </si>
  <si>
    <t>Article by Michael Jackman at Metro Times Detroit:
The group later downgraded the estimate to 37 square miles of... http://t.co/h31mmuduqt</t>
  </si>
  <si>
    <t>Locksmithing-art respecting elaboration only blight locks: lPDkl</t>
  </si>
  <si>
    <t>@jake_blight @WeAlIlKnowA you cunt</t>
  </si>
  <si>
    <t>What if every 5000 wins in ranked play gave you a special card back.. Would be cool for the long te_x0089_Û_ http://t.co/vq3yaB2j8N</t>
  </si>
  <si>
    <t>Amazon Deal - wait or buy? http://t.co/0T8VqKEArI</t>
  </si>
  <si>
    <t>Guelph Ontario Canada</t>
  </si>
  <si>
    <t>New print available on http://t.co/ucy5fEA9yu! - 'Waiting Too Long' by Pamela Blizzard - http://t.co/dnwwo1YbRK</t>
  </si>
  <si>
    <t>Waterfront</t>
  </si>
  <si>
    <t>@Blizzard_draco GIVE ME FREE ART KAMON</t>
  </si>
  <si>
    <t>columbus ohio</t>
  </si>
  <si>
    <t>@StevenOnTwatter @PussyxDestroyer just order a blizzard pay then put your nuts in it say they have you ball flavored. Boom free ice cream</t>
  </si>
  <si>
    <t>Blizzard of Auz @ 9 pm CST @RadioRiffRocks / http://t.co/pjLDA9HD5v    2 hrs of Rock to make your hump day complete! http://t.co/3wNjaUaR7w</t>
  </si>
  <si>
    <t>Waukesha, WI</t>
  </si>
  <si>
    <t>I really wants a rolo blizzard but mom said no so I guess no DQ tonight</t>
  </si>
  <si>
    <t>Stats http://t.co/U7vavyrGv9</t>
  </si>
  <si>
    <t>@blizzard_fans Lucio!! Let's get the #overwatch hype train rolling some more!! Caution though there aren't any breaks</t>
  </si>
  <si>
    <t>Colorado/WorldWide</t>
  </si>
  <si>
    <t>@Blizzard_Gamin ight</t>
  </si>
  <si>
    <t>peanut butter cookie dough blizzard is ??????????????????????</t>
  </si>
  <si>
    <t>Ontario Canada</t>
  </si>
  <si>
    <t>My mic and controllers aren't working one second</t>
  </si>
  <si>
    <t>Tomorrow's Announcement VODs http://t.co/cUbze5MIZm</t>
  </si>
  <si>
    <t>Updated to Windows 10 now I get this error http://t.co/kHSBZKfd6O</t>
  </si>
  <si>
    <t>New Expansion Ideas - Bard Class Holy Trinity + 1 http://t.co/EGioxBabOe</t>
  </si>
  <si>
    <t>@DaBorsch not really that shocking :( blizzard lured their old fanbase back with WoD and disappointed us hardcore so everyones leaving again</t>
  </si>
  <si>
    <t>the best thing at DQ is the cotton candy blizzard ??????????????????????????????????????????????????</t>
  </si>
  <si>
    <t>Lizard Wizard in a Blizzard #LWB http://t.co/MgR809yc5a</t>
  </si>
  <si>
    <t>Houston,  TX</t>
  </si>
  <si>
    <t>@Blizzard_draco @LoneWolffur I need this.</t>
  </si>
  <si>
    <t>lakewood colorado</t>
  </si>
  <si>
    <t>@FAIRx818x @PlayOverwatch @BlizzardCS please blizzard we love you</t>
  </si>
  <si>
    <t>THE 6IX</t>
  </si>
  <si>
    <t>A blizzard would be clutch asf ??</t>
  </si>
  <si>
    <t>@Blizzard_draco @LoneWolffur also me please I would very much like a link</t>
  </si>
  <si>
    <t>@LoneWolffur control yourself tora</t>
  </si>
  <si>
    <t>First Time Playing Hearthstone on PC Thoughts http://t.co/aBoLxMH1vy</t>
  </si>
  <si>
    <t>I love the cotton candy blizzard??</t>
  </si>
  <si>
    <t>@TCGReno just hard reset my Xbox</t>
  </si>
  <si>
    <t>I really wanna brownie batter blizzard ??</t>
  </si>
  <si>
    <t>Market News: Activision Blizzard Cognizant Technology First Solar http://t.co/gkNRP0e8Qs</t>
  </si>
  <si>
    <t>SEAN END CAREER sG Blizzard vs KNOCKOUT ... http://t.co/nyv51681uE</t>
  </si>
  <si>
    <t>What is the biggest regret you have in hearthstone? http://t.co/vcIrn1Md8v</t>
  </si>
  <si>
    <t>Someone walk with me to DQ ??
I wanna Butterfinger Blizzard so bad??</t>
  </si>
  <si>
    <t>Ideally under a big tree</t>
  </si>
  <si>
    <t>That horrible moment when u open up the dryer and it looks like a snowy blizzard cuz u left a piece of paper in your jeans pocket ??</t>
  </si>
  <si>
    <t>@LoneWolffur BRUH *dies*</t>
  </si>
  <si>
    <t>Rip ?? Blood !</t>
  </si>
  <si>
    <t>@Chief__CG nah young blood that cook is gone I'm cut now .haha</t>
  </si>
  <si>
    <t>Conversing In Janet's CafÌ¬</t>
  </si>
  <si>
    <t>Off The Wall Invincible and HIStory + Blood On The Dance Floor https://t.co/ZNTg2wndmJ</t>
  </si>
  <si>
    <t>Broke my nail(real not fake) this morning blood and all ah it hurts any ideas how to treat it? Help me pretty please ? -_-</t>
  </si>
  <si>
    <t>4.5 out of 5 stars by 290 reviewers for 'Dragon Blood' Boxset by Lindsay Buroker http://t.co/4yu5Sy1Cui #kindle http://t.co/mzmxMyklXv</t>
  </si>
  <si>
    <t>???????, ??'??????</t>
  </si>
  <si>
    <t>Blood Group  A +ve is associated with Gastric Carcinoma says text book...Another fragile gene in my body....</t>
  </si>
  <si>
    <t>A friend is like blood they are not beside us always. But they come out when we are wounded.</t>
  </si>
  <si>
    <t>Dime's Palace</t>
  </si>
  <si>
    <t>We gone get it  get it in blood</t>
  </si>
  <si>
    <t>Doing dialyses to my grandpa and oh lord this blood makes me light headed</t>
  </si>
  <si>
    <t>@SetZorah dad why dont you claim me that mean that not right we look the same same eyes same blood same xbox 360 SMH -.-</t>
  </si>
  <si>
    <t>Omron HEM-712C Automatic Blood Pressure Monitor STANDARD AND LARGE BP CUFFS http://t.co/gJBAInQWN9 http://t.co/jPhgpL1c5x</t>
  </si>
  <si>
    <t>My blood pressure is through the roof I don't need all this extra shit!!!!</t>
  </si>
  <si>
    <t>@Chambered_Blood Yeah you are! #SpeakingFromExperience</t>
  </si>
  <si>
    <t>Bug Forest</t>
  </si>
  <si>
    <t>Guys. I have an Imouto Who Isn't Actually Related to Me by Blood.</t>
  </si>
  <si>
    <t>Bruh white people buy the ugliest shoes and they them super tight no blood going to there feet</t>
  </si>
  <si>
    <t>canberra</t>
  </si>
  <si>
    <t>another day another excellent @_dangerousbeans porridge. seriously people. blood orange in porridge is phenomenal.</t>
  </si>
  <si>
    <t>@scotto519 happy birthday young blood</t>
  </si>
  <si>
    <t>International</t>
  </si>
  <si>
    <t>If it wasn't for the Blood! ????</t>
  </si>
  <si>
    <t>No kinda in it that shii nasty blood. No pun intended</t>
  </si>
  <si>
    <t>Htx</t>
  </si>
  <si>
    <t>Today was such a hastle from getting drug tested  blood drown out  tb shot  to document filling  ??</t>
  </si>
  <si>
    <t>Man . somebody gotta stop Sbee dude too fuckin funny blood</t>
  </si>
  <si>
    <t>Where will the winds take my gypsy blood this time? http://t.co/66YVulIZbk</t>
  </si>
  <si>
    <t>PunPunlÌ¢ndia</t>
  </si>
  <si>
    <t>@Lobo_paranoico Mad Men</t>
  </si>
  <si>
    <t>Itirapina, SÌ£o Paulo</t>
  </si>
  <si>
    <t>#RolandoNaBeats: Ellie Goulding - My Blood | Acesse nosso site para ouvir! http://t.co/Zk69uGXMT8</t>
  </si>
  <si>
    <t>North Jersey</t>
  </si>
  <si>
    <t>@olrules Welcome - Read a free chapter of my new book Encounters With Jesus. It's full of hope. http://t.co/6qX7arf4AG</t>
  </si>
  <si>
    <t>Ewa Beach, HI</t>
  </si>
  <si>
    <t>@Anthxvy runs in the blood</t>
  </si>
  <si>
    <t>Biloxi, Mississippi</t>
  </si>
  <si>
    <t>@sethalphaeus my personal favorites include paramore muse green day royal blood and 5sos</t>
  </si>
  <si>
    <t>Shed innocent blood of their sons and daughters and the land was polluted Psalms 106:38  Help stop the sin of abortion.</t>
  </si>
  <si>
    <t>*se pone a cantar crying lightning*</t>
  </si>
  <si>
    <t>Brecksville, OH</t>
  </si>
  <si>
    <t>Add these items to your everyday eating habits. Please do the research on how to take with your blood_x0089_Û_ https://t.co/LnpsCaDaXr</t>
  </si>
  <si>
    <t>Walthamstow, London</t>
  </si>
  <si>
    <t>LOOOOOOOOOOOOL who the bloody hell did that??  https://t.co/jRKGYl7Te5</t>
  </si>
  <si>
    <t>infected bloody ear piercings are always fun??</t>
  </si>
  <si>
    <t>aggressif is so bloody aggressive</t>
  </si>
  <si>
    <t>Ivano-Frankivsk</t>
  </si>
  <si>
    <t>I entered to #win the ENTIRE set of butterLONDON Lip Crayons via @be_ram0s. - Go enter! #bbloggers http://t.co/DsB3lDfuxU</t>
  </si>
  <si>
    <t>Sunshine Coast, Queensland</t>
  </si>
  <si>
    <t>@slsandpet Hey Sally sorry have you emailed me? Been AWOL bloody work ARGH! @ResignInShame</t>
  </si>
  <si>
    <t>I'm over here listening to Bloody Jay.  ???? https://t.co/CIyty0FgpR</t>
  </si>
  <si>
    <t>England,UK,Europe,Sol 3.</t>
  </si>
  <si>
    <t>@LauradeHolanda I have the Forrest version from '83 that's bloody awful as well :))) xxx</t>
  </si>
  <si>
    <t>'A Nightmare On Elm Street' Is Getting Remade... Again - http://t.co/HvwkJQXXyT</t>
  </si>
  <si>
    <t>I can't bloody wait!! Sony Sets a Date For Stephen King_x0089_Ûªs _x0089_Û÷The Dark Tower_x0089_Ûª #stephenking #thedarktower http://t.co/J9LPdRXCDE  @bdisgusting</t>
  </si>
  <si>
    <t>Gotta try to let go of so many bloody things. Smh</t>
  </si>
  <si>
    <t>65</t>
  </si>
  <si>
    <t>@zhenghxn i tried 11 eyes akame ga kill and tokyo ghoul all damn bloody i dont dare watch????????</t>
  </si>
  <si>
    <t>Westchester</t>
  </si>
  <si>
    <t>@Fantosex Now suck it up because that's all you're bloody getting out of me by means of amends.</t>
  </si>
  <si>
    <t>Lynnfield, MA</t>
  </si>
  <si>
    <t>You call them weekends. I call them Bloody Mary times. This summer's been full of them. My new_x0089_Û_ https://t.co/VnNi3zzuZ6</t>
  </si>
  <si>
    <t>Level 3 Garrison, Sector G</t>
  </si>
  <si>
    <t>Bloody hell what a day. I haven't even really done anything. Just. Tired. Of everything. Thought vaca would help but it only did so much. =/</t>
  </si>
  <si>
    <t>Damn bloody hot</t>
  </si>
  <si>
    <t>@MrTophyPup it's bloody sexy *drools*</t>
  </si>
  <si>
    <t>You know how they say the side effects low &amp;amp; really fast? Son the product was an acne cream.. Why 1 of the side effects was bloody diarrhea?</t>
  </si>
  <si>
    <t>Ronda Rousey would be 'close' to making Floyd Mayweather's money in 50 fights - Bloody Elbow http://t.co/IjzcYtbFfo #boxing</t>
  </si>
  <si>
    <t>Glasgow</t>
  </si>
  <si>
    <t>I'm awful at painting.. why did I agree to do an A3 landscape in bloody oils of all paints ??</t>
  </si>
  <si>
    <t>All I need in this life of sin
Is just me and my girlfriend
Down to ride till the bloody end
Just me and my girlfriend</t>
  </si>
  <si>
    <t>Shity land of Northern Ireland</t>
  </si>
  <si>
    <t>@_itsmegss_ I think it is. well it's bloody barking now</t>
  </si>
  <si>
    <t>Eh hello cover your bloody thighs your bloody cleav... _x0089_ÛÓ Eh hello! Since when do i expose my cleavage and i on... http://t.co/Kv5L4PPXfG</t>
  </si>
  <si>
    <t>Christchurch New Zealand</t>
  </si>
  <si>
    <t>@MariaSherwood2 @JohnJCampbell Mega bloody marvellous</t>
  </si>
  <si>
    <t xml:space="preserve">peekskill. new york, 10566 </t>
  </si>
  <si>
    <t>Bloody Mary in the sink. Beet juice http://t.co/LUigmHMa1i</t>
  </si>
  <si>
    <t>@MelRises @gayler1969 @wwwbigbaldhead @jessienojoke @melissaross9847 if my Monty Python is up to date as bloody far as he wants to go.</t>
  </si>
  <si>
    <t>Meet the bloody RS5 http://t.co/RVczMimfVx</t>
  </si>
  <si>
    <t>PH</t>
  </si>
  <si>
    <t>Friday supposed to be a happy day but it's a bloody friday hah zzzz</t>
  </si>
  <si>
    <t xml:space="preserve">Storybrooke </t>
  </si>
  <si>
    <t>@chxrmingprince @jones_luna I should bloody hope so *she said folding her arms sitting back in her chair*</t>
  </si>
  <si>
    <t>under the blanket</t>
  </si>
  <si>
    <t>Wait until i tell my college friend who reafs bloody mary too about the drama cd</t>
  </si>
  <si>
    <t xml:space="preserve">Brazil </t>
  </si>
  <si>
    <t>I've just watched episode S01E09 of Bloody Monday! http://t.co/vRptHvPymt #bloodymonday #tvshowtime http://t.co/NkKvknBvOz</t>
  </si>
  <si>
    <t>AUS</t>
  </si>
  <si>
    <t>Marlon Williams &amp;gt; Elvis Presley &amp;gt; Marlon Williams &amp;gt; Steel Panther. 
Shuffle mode like a bloody legend.</t>
  </si>
  <si>
    <t>Black Friday turns Bloody (would rather be shopping) http://t.co/l0pmmtZLwP  #mystery</t>
  </si>
  <si>
    <t>Inverness, Nova Scotia</t>
  </si>
  <si>
    <t>@ezralevant Someone told me all the soccer moms are getting this pic blown up and put on their daughter's bedroom walls. NOT!!!</t>
  </si>
  <si>
    <t>L/S/Z/L/T/H/C/H/R/A/S/C</t>
  </si>
  <si>
    <t>@Papcrdoll and I s2g if my mentions get blown up over MY choice I will deactivate and leave for good. RESPECT MY CHOICES.</t>
  </si>
  <si>
    <t>Oklahoma</t>
  </si>
  <si>
    <t>@ManUtd @EmilymcfcHeslop 
Wow just wow! 
If any other club had blown all that money and fucked up a player like that they'd be pilloried!</t>
  </si>
  <si>
    <t>801 SL,UT</t>
  </si>
  <si>
    <t>Damn greinke got blown up in that first inning</t>
  </si>
  <si>
    <t>Woke up so blown lol</t>
  </si>
  <si>
    <t>fluffy cloud</t>
  </si>
  <si>
    <t>aunt marge you're blown up eheks</t>
  </si>
  <si>
    <t>@troylercraft YEAH ITS NOT WORTH IT BC HE ALREADY HAS SO MANY SPAMMERS &amp;amp; HIS TWITTER IS PROBABLY BLOWN UP EVERY SECOND</t>
  </si>
  <si>
    <t>Man why hasn't @machinegunkelly blown up? He's still underground.</t>
  </si>
  <si>
    <t>July 11th, 2015. ?</t>
  </si>
  <si>
    <t>And my mentions are blown up for what? ?? wtf.</t>
  </si>
  <si>
    <t>That moment when ur about to win a mini uhc and than get blown up by a creeper and get kicked for flying..... So salty rn...!!!??</t>
  </si>
  <si>
    <t>St Paul, MN</t>
  </si>
  <si>
    <t>@libraryeliza he did get a @taylorswift13 'bump' of approval which is probably why he's blown up http://t.co/KOLMzBz1pZ #MusicAdvisory</t>
  </si>
  <si>
    <t>ÌÏT: 30.307558,-81.403118</t>
  </si>
  <si>
    <t>HEY LOOK!!!  Kash's Foundation Live for Today got blown up on People Magazine's website!!  
Todd Blake... http://t.co/2Fenu1SYu6</t>
  </si>
  <si>
    <t>@KaylaK369 got it last month when I went into the EE shop. Glad it hasn't blown up yet. http://t.co/PgB2BmCFX8</t>
  </si>
  <si>
    <t>Cosmic Oneness</t>
  </si>
  <si>
    <t>this is the first time a tweet has blown up almost half a day later... RE https://t.co/1BUF0xM53d</t>
  </si>
  <si>
    <t>Guildford, UK</t>
  </si>
  <si>
    <t>'We_x0089_Ûªre blown away by this extension. Nothing we_x0089_Ûªve seen has as many options as this one.' https://t.co/0YzgW9ZbHR  https://t.co/rHtaqjvQn2</t>
  </si>
  <si>
    <t>Nowhere Islands/Smash Manor</t>
  </si>
  <si>
    <t>@TheBoyOfMasks 'Thanks again for letting me stay here since the manor was blown up..... Anyways how are you doing buddy?'</t>
  </si>
  <si>
    <t>kisumu</t>
  </si>
  <si>
    <t>LONER DIARIES.
The patterns  on the sand
May have been blown away.
The photos in twos
All choked up in flames.... http://t.co/EKfaZ6wVBz</t>
  </si>
  <si>
    <t>Making Worldwide Change Near U</t>
  </si>
  <si>
    <t>Vanessa's game has officially blown up. LADIES AND GENTLEMEN...the real show is about to begin. #BB17</t>
  </si>
  <si>
    <t>Guaranteed been bitten by some mutant mosquito my ankle has blown up. Little cunts</t>
  </si>
  <si>
    <t>Things you CAN pick up from tozlet seat|: butt leprosy full-blown jerkface syndrome a lateral lisp &amp;amp; toilet rickets.</t>
  </si>
  <si>
    <t>@KalinAndMyles @KalinWhite my ig is being blown up just with hackers I need it to stop #givebackkalinwhiteaccount</t>
  </si>
  <si>
    <t>ATX</t>
  </si>
  <si>
    <t>@luke_winkie Whoever is directing these videos needs to grab up Nicki Minaj or someone with U.S. recognition so minds can be blown.</t>
  </si>
  <si>
    <t>LA/OC/Vegas</t>
  </si>
  <si>
    <t>@PrincessDuck last week wanted the 6th sense to get blown up so far so good. James could win but he's a huge target and will be gone soon.</t>
  </si>
  <si>
    <t xml:space="preserve">London/Outlaw Country </t>
  </si>
  <si>
    <t>@orbette more like BLOWN UP amirite</t>
  </si>
  <si>
    <t>Grimsby, England</t>
  </si>
  <si>
    <t>My dog_x0089_Ûªs just blown his kennel up _x0089_ÛÒ Bloody Yorkshire Terrorist</t>
  </si>
  <si>
    <t>Turn on ESPN2 and get blown up</t>
  </si>
  <si>
    <t>@thebriankrause leos ass just got metaphorically blown up again #PiperWearsThePants #charmed</t>
  </si>
  <si>
    <t>Manchester, The World, England</t>
  </si>
  <si>
    <t>@anarchic_teapot @BoironUSA @zeno001 Glononium 6C also helps with being blown up while bashing a bottle of nitroglycerin against a book.</t>
  </si>
  <si>
    <t>New Ladies Shoulder Tote Handbag Women Cross Body Bag Faux Leather Fashion Purse - Full re_x0089_Û_ http://t.co/y87Gi3BRlV http://t.co/1zbhVDCXzS</t>
  </si>
  <si>
    <t>New Ladies Shoulder Tote Handbag Women Cross Body Bag Faux Leather Fashion Purse - Full re_x0089_Û_ http://t.co/BLAAWHYScT http://t.co/dDR0zjXVQN</t>
  </si>
  <si>
    <t>If you have a son or a daughter would you like to see them going to a war with Iran and come back in a body bag? Let the #Republicans know</t>
  </si>
  <si>
    <t>sitting on Eddie Vedders lap,</t>
  </si>
  <si>
    <t>@questergirl ditto but its all we had. and the way i feel if i drank vodka over ice they would have to body bag me</t>
  </si>
  <si>
    <t># handbags Genuine Mulberry Antony Cross Body Messenger Bag Dark Oak Soft Buffalo Leather:  å£279.00End Date: W... http://t.co/FTM4RKl8mN</t>
  </si>
  <si>
    <t>Louis Vuitton Monogram Sophie Limited Edition Clutch Cross body Bag - Full read by eBay http://t.co/JrxgoLnPqw http://t.co/Lin16KvZbn</t>
  </si>
  <si>
    <t>Louis Vuitton Monogram Sophie Limited Edition Clutch Cross body Bag - Full read by eBay http://t.co/GGgFVO5Pb4 http://t.co/NlFr8t3xqm</t>
  </si>
  <si>
    <t>Louis Vuitton CultSierre Monogram Shoulder Bag Cross Body Bag  http://t.co/mUf5cZQjrL http://t.co/SsLT8ESMhY</t>
  </si>
  <si>
    <t>Missouri, USA</t>
  </si>
  <si>
    <t>Check out Ameribag Healthy Back Bag Shoulder Cross Body Backpack Khaki Tan Beige Nylon http://t.co/r4k7TyLofJ @eBay</t>
  </si>
  <si>
    <t>Photo: Bath &amp;amp; Body Works cosmetic bag in periwinkle blue with copper piping along the top and four corners.... http://t.co/A9BNlse6QB</t>
  </si>
  <si>
    <t>New Ladies Shoulder Tote Handbag Women Cross Body Bag Faux Leather Fashion Purse - Full re_x0089_Û_ http://t.co/3PCNtcZoxv http://t.co/n0AkjM1e4B</t>
  </si>
  <si>
    <t>new summer long thin body bag hip A word skirt Blue http://t.co/lvKoEMsq8m http://t.co/CjiRhHh4vj</t>
  </si>
  <si>
    <t>å¤} New Ladies Shoulder Tote #Handbag Faux Leather Hobo Purse Cross Body Bag #Womens http://t.co/UooZXauS26 http://t.co/6MGBizjfgd RT en_x0089_Û_</t>
  </si>
  <si>
    <t>Greenville,SC</t>
  </si>
  <si>
    <t>@TR_jdavis Bruh you wanna fight I'm down meet me in the cage bro better find out who you're dealing with before you end up in a body bag</t>
  </si>
  <si>
    <t>New Ladies Shoulder Tote Handbag Faux Leather Hobo Purse Cross Body Bag Womens - Full read_x0089_Û_ http://t.co/4FXfllRIen http://t.co/i12NLSr8Fk</t>
  </si>
  <si>
    <t>AUTH LOUIS VUITTON BROWN SAUMUR 35 CROSS BODY SHOULDER BAG MONOGRAM 7.23 419-3 - Full read_x0089_Û_ http://t.co/HCDiwE5flc http://t.co/zLvEbEoavG</t>
  </si>
  <si>
    <t>Check out Vintage Longaberger Floral Fabric Shoulder Cross Body Bag Brown Leather Strap http://t.co/FB8snRg4HU @eBay</t>
  </si>
  <si>
    <t>?? New Ladies Shoulder Tote #Handbag Faux Leather Hobo Purse Cross Body Bag #Womens http://t.co/zujwUiomb3 http://t.co/GBCtmhx7pW</t>
  </si>
  <si>
    <t>new summer long thin body bag hip A word skirt Blue http://t.co/8JymD9YPSJ http://t.co/57PKmmCaDG</t>
  </si>
  <si>
    <t>?Ìü New Ladies Shoulder Tote #Handbag Faux Leather Hobo Purse Cross Body Bag #Womens http://t.co/UooZXauS26 http://t.co/Pw78nblJKy RT en_x0089_Û_</t>
  </si>
  <si>
    <t>Louis Vuitton Monogram Sophie Limited Edition Clutch Cross body Bag - Full read by eBay http://t.co/I4AogcSOY5 http://t.co/dJIwG9pxV4</t>
  </si>
  <si>
    <t>New Women Handbag Faux Leather Ladies Shoulder Tote Cross Body Bag Large Satchel - Full re_x0089_Û_ http://t.co/NCjPGf6znv http://t.co/GeRJau74eY</t>
  </si>
  <si>
    <t>One day this heart gone get me zipped up in a body bag.</t>
  </si>
  <si>
    <t>#handbag #fashion #style http://t.co/iPXpI3me16 Authentic Louis Vuitton Pochette Bosphore Shoulder Cross Body Bag_x0089_Û_ http://t.co/RV0Fk7q4Y5</t>
  </si>
  <si>
    <t>å_? New Ladies Shoulder Tote #Handbag Faux Leather Hobo Purse Cross Body Bag #Womens http://t.co/zujwUiomb3 http://t.co/YklTFj1FnC</t>
  </si>
  <si>
    <t>#handbag #fashion #style http://t.co/hPd3SNM6oy Vintage Coach Purse Camera Bag Cross Body #9973
$16.99 (0 Bids)
_x0089_Û_ http://t.co/GSmdDmu9Pu</t>
  </si>
  <si>
    <t>genuine Leather man Bag Messenger fit iPad mini 4 tablet case cross body air jp - Full rea_x0089_Û_ http://t.co/rcBurZSb2b http://t.co/eHsfKlgRI3</t>
  </si>
  <si>
    <t>Louis Vuitton Monogram Sophie Limited Edition Clutch Cross body Bag - Full read by eBay http://t.co/VJgR6Liaxh http://t.co/55JR66PLOV</t>
  </si>
  <si>
    <t>?? New Ladies Shoulder Tote #Handbag Faux Leather Hobo Purse Cross Body Bag #Womens http://t.co/zujwUiomb3 http://t.co/CJqq6cgohg</t>
  </si>
  <si>
    <t>Nuu that FAM?? fwt I'm Leave You In a Body bag??</t>
  </si>
  <si>
    <t>New Ladies Shoulder Tote Handbag Faux Leather Hobo Purse Cross Body Bag Womens - Full read_x0089_Û_ http://t.co/uR7FeXszg4 http://t.co/wb8awobLcL</t>
  </si>
  <si>
    <t>@Rhee1975 @deliciousvomit No I'm not I'm saying that they're lucky they can go home to their families not put in a body bag</t>
  </si>
  <si>
    <t>have car; will travel</t>
  </si>
  <si>
    <t>@matt_bez oh I'm not bagging her at all! Her body be bangin'. I'm saying she's going to get the rose.</t>
  </si>
  <si>
    <t>@ohmyloz @RondaRousey who is bagging her body ? She's smoking hot ??</t>
  </si>
  <si>
    <t xml:space="preserve">ATL ? SEA </t>
  </si>
  <si>
    <t>Drake is really body bagging meek</t>
  </si>
  <si>
    <t>@MeekMill is w(rec)k league ball @Drake is Olympic level body bagging him like his career was nothing #trollingtilMeekdiss</t>
  </si>
  <si>
    <t xml:space="preserve">#EngleWood CHICAGO </t>
  </si>
  <si>
    <t>Idgaf who tough or who from Canada and who from north Philly meek been acting like a bitch &amp;amp; drake been body bagging his ass on tracks</t>
  </si>
  <si>
    <t>New Your</t>
  </si>
  <si>
    <t>@BroseidonRex @dapurplesharpie I skimmed through twitter and missed this body bagging.</t>
  </si>
  <si>
    <t>G+: +https://t.co/dODXi41Y1CåÊis Body Bagging them lyrically! https://t.co/HlMyaAnrC9</t>
  </si>
  <si>
    <t>@bomairinge @EluTranscendent straight body bagging.</t>
  </si>
  <si>
    <t>Body Bagging Bitches ???? http://t.co/aFssGPnZWi</t>
  </si>
  <si>
    <t>PURPLE BOOTH STUDIO_x0089_ã¢</t>
  </si>
  <si>
    <t>No better feeling than seeing and being on stage with my day ones...... 22 year friendships and we still body bagging mics together.</t>
  </si>
  <si>
    <t>Cloud 9</t>
  </si>
  <si>
    <t>Mopheme and Bigstar Johnson are a problem in this game body bagging niggas #VuzuHustle</t>
  </si>
  <si>
    <t>I was body Bagging on the ????Today...4got to post my score http://t.co/81g18wSAUk</t>
  </si>
  <si>
    <t>Former Yugoslav Republic of Macedonia</t>
  </si>
  <si>
    <t>@editaxohaze then let the bagging body's begin lol ???? I ain't cuffed yet so it shouldn't be that bad!!</t>
  </si>
  <si>
    <t>#OVOFest Drake straight body bagging Meek on that OVO stage. #ZIPHIMUP!</t>
  </si>
  <si>
    <t>I'm not a Drake fan but I enjoy seeing him body-bagging people. Great marketing lol.</t>
  </si>
  <si>
    <t>@amaramin3 Meek is definitely capable of body bagging his ass on the track Drake was just smooth as fuck with it!</t>
  </si>
  <si>
    <t>3?3?7?SLOPelousas??2?2?5?</t>
  </si>
  <si>
    <t>Gates not body bagging nobody???????? niggas in br really know who he is ????</t>
  </si>
  <si>
    <t>WWE 2k15 MyCareer EP18 Tyrone body bagging dudes: http://t.co/mr5bI4KD82 via @YouTube</t>
  </si>
  <si>
    <t>Drake Body Bagging Meek. He must of hit a sensitive spot talking about a 'ghostwriter.' He trying 2 end his career. http://t.co/2jHTlWueY0</t>
  </si>
  <si>
    <t>#WhereverI'mAt</t>
  </si>
  <si>
    <t>Good diss bad beat and flow. Mark my words Meek Mill is body bagging him once he responds. Patient patient. Meek is a battle rapper!</t>
  </si>
  <si>
    <t>Huber Heights, OH</t>
  </si>
  <si>
    <t>@Drake is body bagging meek meanwhile he's on tour with Nicki all hush hush...he's put 2 diss tracks out and meek 0 but dude started it lol</t>
  </si>
  <si>
    <t>@MzGracieBaby for the record im jumpin out the window early... i got @OfficialRealRap body bagging luck.. lol save the file</t>
  </si>
  <si>
    <t>Miami ??</t>
  </si>
  <si>
    <t>Has body bagged ** RT @d_lac: Drake is body bagging meek</t>
  </si>
  <si>
    <t>drake been kept it the most hip hop during this beef and he fucking body bagging meek back to back ??</t>
  </si>
  <si>
    <t>Every where</t>
  </si>
  <si>
    <t>Woke up to Drake body bagging Meek again!! Meek u can't out spit ya girlfriend... Just lay down Man.... NOT Right... http://t.co/6CraEKc9wb</t>
  </si>
  <si>
    <t>@Im2aD I was going to tell him but you were body bagging him</t>
  </si>
  <si>
    <t>MI</t>
  </si>
  <si>
    <t>8 hours of bagging groceries = an aching body</t>
  </si>
  <si>
    <t>EPTX</t>
  </si>
  <si>
    <t>@SlikRickDaRula Drake really body bagging peeps man ?? he really bout it</t>
  </si>
  <si>
    <t>Micom 2015 Summer Contrast Candy Color Bowknot Cross Body Tote Shoulder Bags for Womengirls with Micom Zip Po http://t.co/sQMTKKJiMJ</t>
  </si>
  <si>
    <t>CA</t>
  </si>
  <si>
    <t>HOBO Hobo Vintage Shira Convertible B_x0089_Û_ $238.00 #bestseller http://t.co/0LLwuqn8vg</t>
  </si>
  <si>
    <t>Child Shoulder Bags PVC Shoulder Book Bag Cartoon Cross Body Bags for Girls http://t.co/7l9qAzLjVg http://t.co/Q0hSyfrwEC</t>
  </si>
  <si>
    <t>Womens Buckle Casual Stylish Shoulder Handbags Pockets Cross Body Bags Green http://t.co/pYee94nuRe</t>
  </si>
  <si>
    <t>WESTSIDE OF PHILLY 7? BLOCK??</t>
  </si>
  <si>
    <t>Ain't no bags in the trunk it's a body</t>
  </si>
  <si>
    <t>BESTSELLER! Fossil Dawson Mini Cross Body Bag Es_x0089_Û_ $98.00 http://t.co/HhHvKxFAIH</t>
  </si>
  <si>
    <t>@BoomerangTime @RSKarim1 @sopameer @wattashit3 Appears to already be arriving in Ridah in body bags.</t>
  </si>
  <si>
    <t>The Body Bags has a show on 08/07/2015 at 07:30 PM @ Tremont Music Hall in Charlotte NC http://t.co/FpKiqbus9r #concert</t>
  </si>
  <si>
    <t>LONG ISLAND, NY</t>
  </si>
  <si>
    <t>BODY BAGS! https://t.co/0McXc68GZD</t>
  </si>
  <si>
    <t>you know you hate your body when you buy 2 bags of chips and a variety pack of fruit snacks and a redbull as a snack</t>
  </si>
  <si>
    <t>washington, d.c.</t>
  </si>
  <si>
    <t>BREAKING: Fairfax County firefighter placed on admin leave amid probe into Facebook post about putting police in 'body bags' dept. says.</t>
  </si>
  <si>
    <t>Womens Buckle Casual Stylish Shoulder Handbags Pockets Cross Body Bags White http://t.co/mWZQCjhZPb</t>
  </si>
  <si>
    <t>Attention all RCHS football players there will be coffins and body bags by the locker rooms grab one tommorow because were gonna die</t>
  </si>
  <si>
    <t>Womens Flower Printed Shoulder Handbags Cross Body Metal Chain Satchel Bags Blue http://t.co/rjZw6C8asX http://t.co/WtdIav11ua</t>
  </si>
  <si>
    <t>Womens Cross Body Messengers Bags Clutch Small Shoulders Zippers Bags White http://t.co/EpIQdBxVZO http://t.co/BhfOYLQLJp</t>
  </si>
  <si>
    <t>WAISTDEEP, TX</t>
  </si>
  <si>
    <t>@Deeeznvtzzz bring the body bags tho</t>
  </si>
  <si>
    <t>US _x0089_Û÷Institute Of Peace_x0089_Ûª Chairman Wants Russian Body Bags http://t.co/owbUjez3q4</t>
  </si>
  <si>
    <t>D.C. - Baltimore - Annapolis</t>
  </si>
  <si>
    <t>UPDATE: Va. firefighter on administrative leave after Facebook post calls for people to put officers in 'body bags.' http://t.co/Mt029QJ4Ig</t>
  </si>
  <si>
    <t>@ScottWalker So you can send the poor and middle class children to war so they can come in body bags.  Typical GOP</t>
  </si>
  <si>
    <t>#937??#734</t>
  </si>
  <si>
    <t>@baskgod body bags</t>
  </si>
  <si>
    <t>Nine giant body sized garbage bags later...I'm just going to start throwing things away. #moving2k15 #expertwhiner</t>
  </si>
  <si>
    <t>I love The body shop_x0089_Ûªs bags??
#cutekitten #catsofinstagram #summerinsweden #katt #katterpÌ´instagram #dumle #dagens_x0089_Û_ http://t.co/p4ZFXdnbcH</t>
  </si>
  <si>
    <t>Womens Tote Faux Leather Handbags Shoulder Cross Body Top Handle Bags Rose http://t.co/GYzPisBI1u http://t.co/mSDnTkWYaf</t>
  </si>
  <si>
    <t>Womens Satchel Lattice Chain Studded Cross Body Multi Colour Shoulder Bags Blue http://t.co/qj2kbltCxZ http://t.co/xQpn2zYkCt</t>
  </si>
  <si>
    <t>Fife, WA</t>
  </si>
  <si>
    <t>Lab today ready for these body bags. ??</t>
  </si>
  <si>
    <t>Bitches be takin pics with bags bigger than they whole body ??????</t>
  </si>
  <si>
    <t>Womens Buckle Casual Stylish Shoulder Handbags Pockets Cross Body Bags Green http://t.co/Jqso4fyZp4 http://t.co/F4XnPliO5S</t>
  </si>
  <si>
    <t>Bushkill pa</t>
  </si>
  <si>
    <t>#IranDeal most members of Congress who don't want this deal don't have any kids who would b coming home in body bags. War makes them money</t>
  </si>
  <si>
    <t>_x0089_ÛÏParties and body bags go together like drinking and driving._x0089_Û_x009d_</t>
  </si>
  <si>
    <t>In the Shadows...</t>
  </si>
  <si>
    <t>@Limpar33 sweeping legs? Or putting people in body bags?</t>
  </si>
  <si>
    <t>southwest, Tx</t>
  </si>
  <si>
    <t>Shoot shit up till we see body bags</t>
  </si>
  <si>
    <t>'Your body will heal the bags under your eyes will go away you_x0089_Ûªll be so happy you_x0089_Ûªll smile and really...' http://t.co/WuKcAlNQms</t>
  </si>
  <si>
    <t>Womens Handbags Cross Body Geometric Pattern Satchel Totes Shoulder Bags White http://t.co/qvSp6b2qSU http://t.co/0s6ydFrWDQ RT gasparc_x0089_Û_</t>
  </si>
  <si>
    <t>women messenger bags clutch bag handbag cross body shoulder bags bag ladies designer handbags high qualit ... http://t.co/zGJGgHDuRF</t>
  </si>
  <si>
    <t>Womens Handbags Cross Body Geometric Pattern Satchel Totes Shoulder Bags White http://t.co/L1GFXgOZvx http://t.co/TKJYbjjsKl</t>
  </si>
  <si>
    <t>ANYWEHERE !!</t>
  </si>
  <si>
    <t>Status: last seen buying body bags.</t>
  </si>
  <si>
    <t>Menlo Park. SFO. The World.</t>
  </si>
  <si>
    <t>@asymbina @tithenai I'm hampered by only liking cross-body bags. I really like Ella Vickers bags: machine washable. http://t.co/YsFYEahpVg</t>
  </si>
  <si>
    <t>Zicac Vintage Leather Briefcase Messenger Satchel Tote Cross Body Handbags for Womens http://t.co/a3Xv6Ff8DN</t>
  </si>
  <si>
    <t>Speaking the Truth in Love</t>
  </si>
  <si>
    <t>Fairfax investigating firefighter over Facebook post saying police should be put in _x0089_Û÷body bags_x0089_Ûª - The Washington Post http://t.co/jAxHzjCCd4</t>
  </si>
  <si>
    <t>Mens Cross Body Canvas Waist Packs Solid Letter Print Sports Zipper Bags Coffee http://t.co/sCXfC5wi9t http://t.co/gx1oTOH8sj</t>
  </si>
  <si>
    <t>Aarhus, Central Jutland</t>
  </si>
  <si>
    <t>Listen to this hit song. A summer Bomb full of positive energy and youth
Did you like it?
https://t.co/2LiWkJybE9 
#Norge2040</t>
  </si>
  <si>
    <t>beforeitsnews : Global Derivatives: $1.5 Quadrillion Time Bomb http://t.co/GhmmUj7GbE (v_x0089_Û_ http://t.co/u9LvvLzhYe) http://t.co/LyJ57pq3yX</t>
  </si>
  <si>
    <t>wny</t>
  </si>
  <si>
    <t>this is about to be a bomb ass firework picture http://t.co/lr4BTvuEoM</t>
  </si>
  <si>
    <t>travelling to tae's pants</t>
  </si>
  <si>
    <t>namjoon's FANTASTIC IS BOMB BYE OMG</t>
  </si>
  <si>
    <t>keli x</t>
  </si>
  <si>
    <t>HALSEY AND TROYE COLLAB WOULD BE BOMB</t>
  </si>
  <si>
    <t>@AaronTheFM guys to scared to show his real name anyway he knows I'll bomb him</t>
  </si>
  <si>
    <t>@CranBoonitz So going to make any bomb threats? @HereticOfEthics</t>
  </si>
  <si>
    <t>_x0089_ÛÏ@dylanmcclure55: Working at zumiez is the http://t.co/zW5jp46v5k_x0089_Û_x009d_ which location??</t>
  </si>
  <si>
    <t>ChicagoRObotz</t>
  </si>
  <si>
    <t>Jen you da bomb girl! https://t.co/czQr3CI9Xw</t>
  </si>
  <si>
    <t>whs '17</t>
  </si>
  <si>
    <t>@daniglasgow45 Happy birthday big D!!! I miss you girl hope you have a bomb one ???? http://t.co/cFouwPBRCG</t>
  </si>
  <si>
    <t>NV</t>
  </si>
  <si>
    <t>@danielsahyounie It'd be so bomb if u guys won ??</t>
  </si>
  <si>
    <t>@dopeitsval ahh you're bomb baby ??</t>
  </si>
  <si>
    <t>When you get a bomb ass picture mail ????????</t>
  </si>
  <si>
    <t>[Gia.] | #KardashianEmpire</t>
  </si>
  <si>
    <t>@CaraJDeIevingnc the bomb impact ratio hit beyond kyle js</t>
  </si>
  <si>
    <t>Oxford, OH</t>
  </si>
  <si>
    <t>Flat out bomb by @FlavaFraz21 #whatcanthedo</t>
  </si>
  <si>
    <t>Soul food sound so bomb right now '</t>
  </si>
  <si>
    <t>The bomb was so appropriate ?? seen as my family and most Jamaicans love shout bullets !</t>
  </si>
  <si>
    <t>The MF Life is a vocal and lyrical bomb. Saw her live this summer. AMAZING vocalist. RT @THEmale_madonna: Melanie Fiona is so slept on ??</t>
  </si>
  <si>
    <t>Des Moines, IA</t>
  </si>
  <si>
    <t>E-Hutch is da bomb ?? http://t.co/aqmpxzo3V1</t>
  </si>
  <si>
    <t>Dundas, Ontario</t>
  </si>
  <si>
    <t>Jays rocking #MLB @JoeyBats19 just bombed one out of Rogers Centre. Play-offs r ahead for The #BlueJays - Bell Moseby and Barfield r back!</t>
  </si>
  <si>
    <t>@Stankyboy88 I should've photo bombed</t>
  </si>
  <si>
    <t>IDN</t>
  </si>
  <si>
    <t>London Life: photos of a beautiful bombed-out Britain http://t.co/2RAcaiVFfq #arts</t>
  </si>
  <si>
    <t>I can't believe @myfriendmina photo bombed a screenshot</t>
  </si>
  <si>
    <t>Photo bombed ???? http://t.co/arTUMHmBhh</t>
  </si>
  <si>
    <t>@QPR1980 @Rorington95 Nowt to do with money. Fergie bombed out the big drinkers at United within years of taking over while Wenger</t>
  </si>
  <si>
    <t>@oooureli @Abu_Baraa1 You mean like the tolerance you showed when sharing 'democracy' with the Iraqis? Wait you mutilated and bombed them.</t>
  </si>
  <si>
    <t>@BrodyFrieling @hanna_brooksie photo bombed</t>
  </si>
  <si>
    <t>@CheetosArabia @Crudes It feels like if i would try to grab one off hes Cheetos i'll get bombed.</t>
  </si>
  <si>
    <t>MY RTs ARE NOT ENDORSEMENTS</t>
  </si>
  <si>
    <t>@ChristophersZen @HunterLove1995 @tblack yeah man..... That movie BOMBED hard</t>
  </si>
  <si>
    <t>Kabul, Tuebingen, Innsbruck</t>
  </si>
  <si>
    <t>.@RaniaKhalek true. I faced everything from 'Is Bin Laden your uncle?' to 'Hopefully Afghanistan will be bombed'. Children can be very ugly.</t>
  </si>
  <si>
    <t>Light and dark, form and void</t>
  </si>
  <si>
    <t>@KurtSchlichter @FALPhil This liberal compassion is BS. A specific Feminist said the US bombed Japan back to traditional sexist values.</t>
  </si>
  <si>
    <t>Ladies here's how to recover from a #date you totally BOMBED... according to men http://t.co/c5GGSZUGw1 http://t.co/2PiMg9BIcE</t>
  </si>
  <si>
    <t>@r_lauren83199 @xojademarie124 i hope you get Batista Bombed lauren</t>
  </si>
  <si>
    <t>Me trying to pass lax with my family ends up by me having to run after the ball after it gets bombed over my head</t>
  </si>
  <si>
    <t>My old New England home</t>
  </si>
  <si>
    <t>I liked a @YouTube video http://t.co/FX7uZZXtE4 Benedict Cumberbatch Gets Video Bombed</t>
  </si>
  <si>
    <t>You just got GIF bombed #AfricansInSF #BeyondGPS  https://t.co/ETdGPIwxtI</t>
  </si>
  <si>
    <t>texas a&amp;m university</t>
  </si>
  <si>
    <t>A wasp just dive bombed my face</t>
  </si>
  <si>
    <t>@MisfitRarity misfit got bombed</t>
  </si>
  <si>
    <t>I think bombing Iran would be kinder... https://t.co/GVm70U2bPm</t>
  </si>
  <si>
    <t>Oh and fuck Bill Clinton for bombing us and fuck NATO.</t>
  </si>
  <si>
    <t>VitÌ_ria (ES)</t>
  </si>
  <si>
    <t>A Marshall Plan for the United States by Dambisa Moyo via @ProSyn #oped http://t.co/GnPStnvi5G via @po_st</t>
  </si>
  <si>
    <t>Pittsburgh PA</t>
  </si>
  <si>
    <t>@BloopAndABlast Because I need to know if I'm supposed to throw myself off a bridge for a #Collapse or plan the parade. There is no both</t>
  </si>
  <si>
    <t>Leeds, England</t>
  </si>
  <si>
    <t>Listening to Blowers and Tuffers on the Aussie batting collapse at Trent Bridge reminds me why I love @bbctms! Wonderful stuff! #ENGvAUS</t>
  </si>
  <si>
    <t>Ashes 2015: Australia_x0089_Ûªs collapse at Trent Bridge among worst in history: England bundled out Australia for 60 ... http://t.co/t5TrhjUAU0</t>
  </si>
  <si>
    <t>Leicester_Merc : ICYMI - #Ashes 2015: Australia collapse at Trent Bridge - how Twitter rea_x0089_Û_ http://t.co/HqeWMREysO) http://t.co/y4y8fclJED</t>
  </si>
  <si>
    <t>A Marshall Plan for the United States by Dambisa Moyo via @ProSyn #oped http://t.co/l5g2zJ3kgG via @po_st</t>
  </si>
  <si>
    <t>@SonofLiberty357 all illuminated by the brightly burning buildings all around the town!</t>
  </si>
  <si>
    <t>kou is like [CASH REGISTER] [BUILDINGS BURNING]</t>
  </si>
  <si>
    <t>KurveZ@GearHeadCentral.net</t>
  </si>
  <si>
    <t>The greatest female beat boxer ever now but it's w/e... Save babies outta burning buildings on my free time but ya know.. whatevs..</t>
  </si>
  <si>
    <t>St Charles, MD</t>
  </si>
  <si>
    <t>I'm mentally preparing myself for a bomb ass school year if it's not I'm burning buildings ??</t>
  </si>
  <si>
    <t>? High Skies - Burning Buildings ? http://t.co/uVq41i3Kx2 #nowplaying</t>
  </si>
  <si>
    <t>@joshcorman  #infosec rather you knew it or not your a firefighter  now days  you often  run into burning buildings Deal with it.</t>
  </si>
  <si>
    <t>Ever since Kelly's burned I keep having dreams about being inside burning buildings ??</t>
  </si>
  <si>
    <t>@RockBottomRadFM Is one of the challenges on Tough Enough rescuing people from burning buildings?</t>
  </si>
  <si>
    <t>saving babies from burning buildings soaking cake in a shit tonne of alcohol mat is a man after my own heart ?? #GBBO</t>
  </si>
  <si>
    <t>@PPFA At least they aren't burning buildings and looting stores.</t>
  </si>
  <si>
    <t>Fire hazard associated with installation of non-compliant external cladding on http://t.co/4I0Kz2aKly - By @www.cbplawyers</t>
  </si>
  <si>
    <t>square just let booty org write xv im sure we'd do just fine (buildings around me set on fire)</t>
  </si>
  <si>
    <t>Groton, CT</t>
  </si>
  <si>
    <t>A change in the State fire code prohibits grills on decks at condos and apartment buildings.  Check with your... http://t.co/KE1ZS6NAml</t>
  </si>
  <si>
    <t>Brisbane Australia</t>
  </si>
  <si>
    <t>Fire hazard associated with installation of non-compliant external cladding on high-rise buildings - Insurance - Aust http://t.co/wFsEaOBATo</t>
  </si>
  <si>
    <t>Reading UK</t>
  </si>
  <si>
    <t>So my band Buildings on Fire are playing @bbcintroducing @PurpleTurtleRdg this Wednesday with @GIANTGIANTSOUND https://t.co/ofaN6DkOEZ #rdg</t>
  </si>
  <si>
    <t>toronto _x0089_Û¢ dallas</t>
  </si>
  <si>
    <t>I HATE WHEN IM TRYING TO STRAIGHTEN MY HAIR AND MY BROTHER COMES SWOOPING IN BEHIND ME AND SCARES ME I JUST BURNED MY FINGER</t>
  </si>
  <si>
    <t>germany</t>
  </si>
  <si>
    <t>I should probably stay away from hot glue guns.. I burned one finger pretty bad</t>
  </si>
  <si>
    <t>What progress we are making.  In the Middle Ages they would have burned me.  Now they are content with burning my books.  -Sigmund Freud</t>
  </si>
  <si>
    <t>@HGF52611 Uh huh. You only have to be burned once to know fire hurts. Robbie Ross should throw home run derby in the All Star Game #RedSox</t>
  </si>
  <si>
    <t xml:space="preserve"> Nxgerxa</t>
  </si>
  <si>
    <t>Burned my popcorn??</t>
  </si>
  <si>
    <t>Erie, PA</t>
  </si>
  <si>
    <t>@Wild_Lionx3 so others don't get burned</t>
  </si>
  <si>
    <t>when you're taking a shower and someone flushes the toilet and you have .1 second to GTFO or you get burned??????????????????????????????????????????????????</t>
  </si>
  <si>
    <t>Port Charlotte, FL</t>
  </si>
  <si>
    <t>Always look for the silver lining!  
My barn having burned to the ground
I can now see the moon.
~ Mizuta... http://t.co/Gl4McaX0ny</t>
  </si>
  <si>
    <t>Belleville, Illinois</t>
  </si>
  <si>
    <t>Sure I just burned about 100 calories after eating a giant bowl of mac and cheese so I totally earned this 300 calorie Klondike Bar.</t>
  </si>
  <si>
    <t>Alabama</t>
  </si>
  <si>
    <t>Alton brown just did a livestream and he burned the butter and touched the hot plate too soon and made a nut joke http://t.co/gvd7fcx8iZ</t>
  </si>
  <si>
    <t>Long Island NY &amp; San Francisco</t>
  </si>
  <si>
    <t>I spent 17 minutes walking with RunKeeper. 90 calories burned. #LoseIt</t>
  </si>
  <si>
    <t>Sure - take them away from fire fighting for King Stevie &amp;amp; Crusty to have a photo-op ! http://t.co/epeX4axG4b</t>
  </si>
  <si>
    <t>Don't get burned twice by the same flame.</t>
  </si>
  <si>
    <t>956</t>
  </si>
  <si>
    <t>It hurts for me to eat cause i burned my tounge with a pepperoni yesterday!</t>
  </si>
  <si>
    <t>I spent 15 minutes lifting weights. 43 calories burned. #LoseIt</t>
  </si>
  <si>
    <t>Holy fuck QVC bitch just got burned so hard.</t>
  </si>
  <si>
    <t>Escondido, CA</t>
  </si>
  <si>
    <t>I just remembered the McDonald's that burned down used to have the coolest play ground &amp;amp; the new one ain't got shit but video games )):</t>
  </si>
  <si>
    <t>burned 202 calories doing 30 minutes of Walking 4.0 mph very brisk pace #myfitnesspal</t>
  </si>
  <si>
    <t>My sister Rl Burned All Her Boyfriend Clothes Recorded It &amp;amp; Sent It to him ????</t>
  </si>
  <si>
    <t>@kennethbauer_ more like coffee and noodles 
Burned</t>
  </si>
  <si>
    <t>Just burned the crap out of my grilled cheese sandwich. Sure wish I had a few life skills figured out by now...</t>
  </si>
  <si>
    <t>Chicago Area</t>
  </si>
  <si>
    <t>I joked about it but Wood has to be burned out from working so many innings so often. #CubsTalk</t>
  </si>
  <si>
    <t>Upper St Clair, PA</t>
  </si>
  <si>
    <t>@thomasvissman22 @KeithyyL Keithyy gettin burned outta the blocks and on social media.... http://t.co/dlkuFtLQnF</t>
  </si>
  <si>
    <t>I burned myself today on the oven ?? it was at 500 degrees ??</t>
  </si>
  <si>
    <t>I PUT MY CHICKEN NUGGETS IN THE MICROWAVE FOR 5 MINUTES INTEAD OF 1 ON ACCIDENT AND THEY FUCKING BURNED</t>
  </si>
  <si>
    <t>Just burned the shit outta myself on my dirt bike ??</t>
  </si>
  <si>
    <t>627</t>
  </si>
  <si>
    <t>the stars are burning i here your voice in my mind</t>
  </si>
  <si>
    <t>You Bitches Walking Around Like Yall Hot Shit &amp;amp; Got Bed Bugs &amp;amp; You Burning ????</t>
  </si>
  <si>
    <t>Blogland</t>
  </si>
  <si>
    <t>It's raining outside I'm burning my favorite candle and there's hot cocoa to sip. Nap time = awesomesauce.</t>
  </si>
  <si>
    <t>mumbai</t>
  </si>
  <si>
    <t>hermancranston: #atk #LetsFootball RT SkanndTyagi: #letsFootball #atk WIRED : All these fires are burning through _x0089_Û_ http://t.co/DmTab6g7j7</t>
  </si>
  <si>
    <t>@aubilenon @MarkKriegsman if you think you'd like burning man you should try it because it's the only way to know!</t>
  </si>
  <si>
    <t>Hampton Roads, VA</t>
  </si>
  <si>
    <t>The 8-Minute Fat-Burning Routine That_x0089_Ûªs Also Really Fun http://t.co/g2h7xNecD8 #fat weightless # fatburning #burnfat #skinny #workout</t>
  </si>
  <si>
    <t>@JohnsonTionne except idk them?? it's really burning ??????</t>
  </si>
  <si>
    <t>Kanger coils - burning out fast? via /r/Vaping101 http://t.co/cykr4XAlUH</t>
  </si>
  <si>
    <t>RT @HuffPostComedy: We should build a wall that keeps Burning Man attendees from coming home http://t.co/xwVW1sft4I http://t.co/j7HUKhWmal</t>
  </si>
  <si>
    <t>Don't be so modest. You certainly... *sniff* *sniiiiiiff* Er Donny? Is something burning?</t>
  </si>
  <si>
    <t>The Burning Legion has RETURNED!  https://t.co/hKsbmijqZ1</t>
  </si>
  <si>
    <t>Charlottetown</t>
  </si>
  <si>
    <t>the bar method _x0089_ÛÓ integrates the fat burning format of interval training the muscle shaping techniqu http://t.co/xuzee2BUdv</t>
  </si>
  <si>
    <t>If you're bored with life if you don't get up every morning with a burning desire to do things - you don't have enough goals. -Lou Holtz</t>
  </si>
  <si>
    <t>Paradise, NV</t>
  </si>
  <si>
    <t>Uhhhhh demon hunters. But not the whole Burning Crusade v 2.0 thing.  https://t.co/oPtpS1lgKC</t>
  </si>
  <si>
    <t>??t?a</t>
  </si>
  <si>
    <t>Now playing: Boat Club - Memories on London Burning Web Radio - http://t.co/umtNNImTbM</t>
  </si>
  <si>
    <t>@nagel_ashley @Vicken52 @BasedLaRock @goonc1ty rip the world... its burning</t>
  </si>
  <si>
    <t>LiÌ¬ge</t>
  </si>
  <si>
    <t>@Rubi_ How many stacks of burning did it apply?</t>
  </si>
  <si>
    <t>Spokane, Washington 99206</t>
  </si>
  <si>
    <t>Parents are taking their kids to Burning Man and one 11 year old thinks it's 'better than... http://t.co/wp6V1BHhoQ</t>
  </si>
  <si>
    <t>Why put out a fire that's still burning?</t>
  </si>
  <si>
    <t>If You_x0089_Ûªre Not Paying Attention to Your Influencers You_x0089_Ûªre Burning Money | SocialTimes http://t.co/Ptc0xcRAGY</t>
  </si>
  <si>
    <t>[ kate + they/them + infp-t ]</t>
  </si>
  <si>
    <t>@minsuwoongs i completely understand because i just woke up like 15 minutes ago and im Burning</t>
  </si>
  <si>
    <t>#ika #tuning Soup #diet recipes | fat burning soup recipes: http://t.co/8r5vpAoo5z Fat Burning Soup Diet Recip http://t.co/JvcxB75DrJ</t>
  </si>
  <si>
    <t>2 Burning Man Tickets + Vehicle Pass - Full read by eBay http://t.co/b0eS3ZIORK http://t.co/juIIt2YFVo</t>
  </si>
  <si>
    <t>The last few days of summer are supposed to be the most fun so what's more fun then accidentally burning arm hair while playing w/ a lighter</t>
  </si>
  <si>
    <t>A protest rally at Stone Mountain? Atleast they're not burning down buildings and looting store like some individuals do when they 'protest'</t>
  </si>
  <si>
    <t>Santiago Bernabeau</t>
  </si>
  <si>
    <t>My man runs into burning buildings for a living but is scared to hit up a girl. I don't get it.</t>
  </si>
  <si>
    <t>y/e/l</t>
  </si>
  <si>
    <t>THIS SOUNDS LIKE A SONG YOU WOULD HEAR IN A MOVIE WHERE THEY ARE WALKING AWAY FROM BURNING BUILDINGS AND CARS AND SHIT</t>
  </si>
  <si>
    <t>#KCA #VoteJKT48ID DUCKVILLELOL: Burning flips the table and says 'screw this lets hit some buildings!' Grabs a DR _x0089_Û_ http://t.co/03L7NwQDje</t>
  </si>
  <si>
    <t>Hero's fight wars and save ppl from burning buildings etc I'm sorry but u gotta do more than pay 4 a sex change be4 I call u a hero</t>
  </si>
  <si>
    <t>Greenpoint, Brooklyn</t>
  </si>
  <si>
    <t>Attempting Delany's Dhalgren in beastly NY heat. Downing hot coffee amongst descriptions of buildings burning for days without ruin.</t>
  </si>
  <si>
    <t>@MoFanon ?? your last retweet you would think the lion saved people from a burning buildings it's not that deep</t>
  </si>
  <si>
    <t>I'm battling monsters I'm pulling you out of the burning buildings and you say I'll give you anything but you never come through.</t>
  </si>
  <si>
    <t>Ali you flew planes and ran into burning buildings why are you making soup for that man child?! #BooRadleyVanCullen</t>
  </si>
  <si>
    <t>a botanical garden probably</t>
  </si>
  <si>
    <t>drew storen is probably curing cancer &amp;amp; saving puppies from burning buildings while contemplating what he did 2 deserve this disrespect</t>
  </si>
  <si>
    <t>Ah yes the gays are totally destroying America. I can see buildings burning and meteors crashing into schools wow</t>
  </si>
  <si>
    <t>midwest</t>
  </si>
  <si>
    <t>if firefighters acted like cops they'd drive around shooting a flamethrower at burning buildings</t>
  </si>
  <si>
    <t>seattle grace mercy death</t>
  </si>
  <si>
    <t>'i never understood guys who wanted to run into burning buildings.'
'you chase murderers.'
'not if they're on fire.'</t>
  </si>
  <si>
    <t>Queen Creek AZ</t>
  </si>
  <si>
    <t>Ted Cruz fires back at Jeb &amp;amp; Bush: _x0089_ÛÏWe lose because of Republicans like Jeb &amp;amp; Mitt._x0089_Û_x009d_ [Video] -  http://t.co/BFTHaHLCr0</t>
  </si>
  <si>
    <t>Ted Cruz fires back at Jeb &amp;amp; Bush: _x0089_ÛÏWe lose because of Republicans like Jeb &amp;amp; Mitt._x0089_Û_x009d_ [Video] -  http://t.co/bFtiaPF35F</t>
  </si>
  <si>
    <t>The Internet &amp; NYC</t>
  </si>
  <si>
    <t>'When you attack women's health you attack America's health.' Hillary Clinton shows how to #StandwithPP http://t.co/HXdG254dHO</t>
  </si>
  <si>
    <t>London/Bristol/Guildford</t>
  </si>
  <si>
    <t>On holiday to relax sunbathe and drink ... Putting out bush fires? Not so much ?? #spain https://t.co/dRno7OKM21</t>
  </si>
  <si>
    <t>One thing you can be sure of. There will never be bush fires in Scotland as the ground is always soaking wet????</t>
  </si>
  <si>
    <t>Ted Cruz fires back at Jeb &amp;amp; Bush: _x0089_ÛÏWe lose because of Republicans like Jeb &amp;amp; Mitt._x0089_Û_x009d_ [Video] http://t.co/FgDEh56PLO</t>
  </si>
  <si>
    <t>Ted Cruz fires back at Jeb &amp;amp; Bush: _x0089_ÛÏWe lose because of Republicans like Jeb &amp;amp; Mitt._x0089_Û_x009d_ [Video] -  http://t.co/KCofF6BmiE</t>
  </si>
  <si>
    <t>indiana</t>
  </si>
  <si>
    <t>That triumphant moment when you cook up two eggs over easy with no yolk casualties ?? http://t.co/fQJ5Aga1pd</t>
  </si>
  <si>
    <t>Canadian bread</t>
  </si>
  <si>
    <t>@LibertarianLuke I'm all for that to be honest. If people want to go on a rampage let them use their own hands and feet. No casualties.</t>
  </si>
  <si>
    <t>Las Vegas, NV USA</t>
  </si>
  <si>
    <t>@LasVegasLocally @VitalVegas They reined it in to 3 drinks each for 2 people but only on account of too many falling-off-stool casualties!</t>
  </si>
  <si>
    <t>Skyport de la Rosa</t>
  </si>
  <si>
    <t>The more I listen to it the more I believe Casualties of Cool is one of the best albums there ever was.</t>
  </si>
  <si>
    <t>Insula Barataria</t>
  </si>
  <si>
    <t>_x0089_ÛÏThe road to power is paved with hypocrisy and casualties._x0089_Û_x009d_ #FrancisUnderwood #HoC https://t.co/zqO6NUvYTu</t>
  </si>
  <si>
    <t>Inglewood, CA</t>
  </si>
  <si>
    <t>Stay tuned or don't idc #casualties http://t.co/nssjPR6Pdd</t>
  </si>
  <si>
    <t>Mostly Yuin.</t>
  </si>
  <si>
    <t>Whimsy as it pertains to mass casualties. Always impressive.</t>
  </si>
  <si>
    <t>We're #hiring in our Toronto branch! Surety Underwriter/Senior Underwriter and Casualty Product Leader. Apply today. http://t.co/PraMKlrMhz</t>
  </si>
  <si>
    <t>Rochelle, GA</t>
  </si>
  <si>
    <t>Being able to stay out of work this week to take online courses for the Property and Casualty State_x0089_Û_ https://t.co/jmD7zwKSDM</t>
  </si>
  <si>
    <t>Was '80s New #Wave a #Casualty of #AIDS?: Tweet And Since they_x0089_Ûªd grown up watching David_x0089_Û_ http://t.co/qBecjli7cx</t>
  </si>
  <si>
    <t>Santa Monica, CA</t>
  </si>
  <si>
    <t>1st Quality Insurance Group is #hiring Licensed Property &amp;amp; Casualty Insurance Agent Produc http://t.co/VMJRtuVmh4 #jobs #Denver</t>
  </si>
  <si>
    <t>'Become another casualty of society'</t>
  </si>
  <si>
    <t>1648 Queen St. West, Toronto.</t>
  </si>
  <si>
    <t>WANTED: gritty and real casualty photos of Pasta Thursdays at Amico's. Tag us or #amicospizzato #seeyouatamicos... http://t.co/MZ8VQXbKTs</t>
  </si>
  <si>
    <t>Toledo, OH</t>
  </si>
  <si>
    <t>Casualty Team: Ice Cream Recall Sends Chill Through Food Industry http://t.co/6GsAmY6mts</t>
  </si>
  <si>
    <t>LIVERPOOL</t>
  </si>
  <si>
    <t>You can't watch 'Home Alone 2' without telling your kids 
'she used to be on Casualty'. 
#Homealone2 #film4</t>
  </si>
  <si>
    <t>AM Best Special Report: How Metrics Correlate to AM Best's Property/Casualty ... - MarketWatch http://t.co/mVrsYu2PPK</t>
  </si>
  <si>
    <t>That took way longer than I expected</t>
  </si>
  <si>
    <t>I still don't know why independence day and social casualty are not on the rowyso setlist these songs would be so good live</t>
  </si>
  <si>
    <t>@Calum5SOS I need to stop doing this to myself???? @s_casualty</t>
  </si>
  <si>
    <t>@5SOSFamUpdater social casualty</t>
  </si>
  <si>
    <t>Canceling Deal for 2 Warships #France Agrees to Repay #Russia via @nytimes http://t.co/f2gwxEPrAk</t>
  </si>
  <si>
    <t>Hospital, bc of SKH vid.</t>
  </si>
  <si>
    <t>Social Casualty #MTVHottest 5SOS</t>
  </si>
  <si>
    <t>Hartford  London Hong Kong</t>
  </si>
  <si>
    <t>Conning Builds Strong Case for Portfolio #Diversification for Property-Casualty Insurers http://t.co/33FbR25t1O</t>
  </si>
  <si>
    <t>Casualty Roleplay somebody please am so bored</t>
  </si>
  <si>
    <t>Casualty insurance jobs against hunt up willinghearted into: RPN http://t.co/pByA7Uv3V5</t>
  </si>
  <si>
    <t>.@stavernise: France agreed to repay Russia for two warships which were never delivered after economic sanctions  http://t.co/K4H8cq7puo</t>
  </si>
  <si>
    <t>Wellington, New Zealand</t>
  </si>
  <si>
    <t>@APPLEOFFIClAL Migrating from iPhoto to Photo is a catastrophe. I have wasted days trying to get this to work. 12 hrsto get to 8% complete.</t>
  </si>
  <si>
    <t>Cultivating Joy In The Face Of Catastrophe And Suffering http://t.co/o0LTQDJbQe #pjnet #tcotåÊ#ccot http://t.co/MO9wpTyqkp</t>
  </si>
  <si>
    <t>#Borrowers concerned at possible #interest rate rise. This could be a #catastrophe http://t.co/SBHHkkz01Y</t>
  </si>
  <si>
    <t>?? ??</t>
  </si>
  <si>
    <t>.@uriminzok The coming catastrophe of the destruction of the puppet republic half naemolgo continue to firmly support. Yiraneuni and against</t>
  </si>
  <si>
    <t>failure is a misfortunebut regret is a catastrophe</t>
  </si>
  <si>
    <t>@deb117 7/30 that catastrophe man opens school w/another he's an athlete not a teacher a principle not fulfilling any inside clerical duties</t>
  </si>
  <si>
    <t>#iphone #twist Ultimate #preparedness library: http://t.co/ksgmY0D0Mx Prepare Yourself For Any Catastrophe. Ov http://t.co/MZK0PFogI7</t>
  </si>
  <si>
    <t>@gemmahentsch @megynkelly @DLoesch I can not envision any catastrophe that would prevent a woman placing her child for adoption.</t>
  </si>
  <si>
    <t>los angeles, ca</t>
  </si>
  <si>
    <t>Then the stylist who'd been silent says 'there's a cool show on Amazon Prime called Catastrophe...'</t>
  </si>
  <si>
    <t>New Brunswick, NJ</t>
  </si>
  <si>
    <t>God bless catastrophe</t>
  </si>
  <si>
    <t>City of Angels, CA</t>
  </si>
  <si>
    <t>@MaatMHI Slightly diff catastrophe &amp;amp; Barry was running solo but generally the same thing.</t>
  </si>
  <si>
    <t>Morganville, Texas.</t>
  </si>
  <si>
    <t>Pisces tweets need to get better because most the tweets make me sound like a total emotional catastrophe.</t>
  </si>
  <si>
    <t xml:space="preserve">America | New Zealand </t>
  </si>
  <si>
    <t>Taylor and Cara aka Catastrophe and Mother Chucker behind the scenes of Bad Blood. Vote: http://t.co/TF2BkQ0OlX #VMAs http://t.co/3fQq7pFjvX</t>
  </si>
  <si>
    <t>[reviews] #PixelsMovie not a catastrophe nor a funny movie... our review here : http://t.co/lVbUw01YOH</t>
  </si>
  <si>
    <t>Burford. What a catastrophe! Traffic and big lorries. No action as usual from Council.</t>
  </si>
  <si>
    <t>#Denver CO #Insurance #Job: Claims Property Field Adjuster Catastrophe Safeco _x0089_ÛÒ USA at Liberty Mutual Insurance http://t.co/3k42MJVqCA</t>
  </si>
  <si>
    <t>#spark #song Ultimate #preparedness library: http://t.co/VsGqoLr32g Prepare Yourself For Any Catastrophe. Over http://t.co/p7UhcB13Qx</t>
  </si>
  <si>
    <t>12 Month Payday Short Catastrophe Loans - Promote Finance Your Desire lIQd</t>
  </si>
  <si>
    <t>I rated Catastrophe (2015) 8/10  #IMDb - hilarious! http://t.co/cjrSSRY1RT</t>
  </si>
  <si>
    <t>.@AIGinsurance CEO: Divestitures and #Catastrophe Losses Temper Q2 #Results http://t.co/2y2wZk1FrM</t>
  </si>
  <si>
    <t xml:space="preserve">Lytham St Anne's </t>
  </si>
  <si>
    <t>Oh my god that_x0089_Ûªs the biggest #gbbo catastrophe I have EVER seen. 
Not that I watch the show or am into it at all ??</t>
  </si>
  <si>
    <t>not a catastrophe at all I'm perfectly content. being the only one means nothing when I'm being controlled. text me if you got crap to say</t>
  </si>
  <si>
    <t>Ylisse</t>
  </si>
  <si>
    <t>@MasochisticMage + catastrophe! It caused people to get reckless and the bottom line is that at least three of your friends will have +</t>
  </si>
  <si>
    <t>I had 2 regular coffees and a Rockstar + coffee today and I'm still tired.</t>
  </si>
  <si>
    <t>Alaska's #Wolves face catastrophe Denali Wolves population plummeted to 48! #SaveDenaliWolves TWEETSTORM: http://t.co/sywUEL7yYx</t>
  </si>
  <si>
    <t>All around the world baby</t>
  </si>
  <si>
    <t>@mark_argent I haven't watched that one yet. Just finished Catastrophe which is amazing</t>
  </si>
  <si>
    <t>Human history becomes more and more a race between education and catastrophe.</t>
  </si>
  <si>
    <t xml:space="preserve">@UntmdOutdoors #T.O.R.K </t>
  </si>
  <si>
    <t>Success is not built on success. Its built on failure. Its built on frustration. Its built on catastrophe. #real</t>
  </si>
  <si>
    <t>Lima, PerÌ¼</t>
  </si>
  <si>
    <t>Britney Spears &amp;gt; Vegas!! I missed you so much! ?? Can_x0089_Ûªt wait for the show tonight ?? #PieceOfMe 
?? Catastrophe ?? http://t.co/4mJyW7p7Cf</t>
  </si>
  <si>
    <t>'Climate change could be catastrophic -- but it does have some benefits.' Really @weathernetwork?!?! http://t.co/IBx3cragtt</t>
  </si>
  <si>
    <t>catastrophic-fallen-angel: reveillertm: macabrelolita: I was supposed to write _x0089_Û÷amino acids_x0089_Ûª and I nearly... http://t.co/dIoBzGHFju</t>
  </si>
  <si>
    <t>@marginoferror I wish going custom ROM weren't so catastrophic</t>
  </si>
  <si>
    <t>The best part of old baseball managers wearing uniforms is the implication that if something catastrophic happens they'll grab a glove.</t>
  </si>
  <si>
    <t>@MyVintageSoul ...of the British upper class and his manservant.  The pampered wealthy Brit causes a catastrophic shift (reversal) of...</t>
  </si>
  <si>
    <t>Shirley, NY</t>
  </si>
  <si>
    <t>@SenSchumer Is this what U want Netanyahu leading these UNITED STATES into a CATASTROPHIC religious world war? ENOUGH already!</t>
  </si>
  <si>
    <t>Excited not only about the next 6 years of school and ensuing student debt but also catastrophic climate change in my lifetime   
:D ??</t>
  </si>
  <si>
    <t>Lurking</t>
  </si>
  <si>
    <t>Pretty much every time the audio dies on an audio stream for a baseball game I assume catastrophic nuclear attack.</t>
  </si>
  <si>
    <t>Looking for a #Defendant #Catastrophic Injury Solicitor #jobs http://t.co/Gz27aUDyHa http://t.co/P4EKgC9sIG</t>
  </si>
  <si>
    <t>N?? Y???.</t>
  </si>
  <si>
    <t>@SyringeToAnger åÇ and probably even more. But some disagreements with General Ross and the catastrophic occurrence made something clear. åÈ</t>
  </si>
  <si>
    <t>Emergency Response and Hazardous Chemical Management: Principles and Practices http://t.co/4sSuyhkgRB http://t.co/TDerBtgZ2k</t>
  </si>
  <si>
    <t>Littleton, CO, USA</t>
  </si>
  <si>
    <t>THE CHEMICAL BROTHERS to play The Armory in SF tomorrow night!: EMERGENCY BAY AREA EDM ANNOUNCEMENT _x0089_ÛÒ THE CHEM... http://t.co/3LN8TrHw6X</t>
  </si>
  <si>
    <t>.@david_cameron Stop upsetting this bee! Listen to science not chemical companies #savebees https://t.co/NDJja4D5O8 http://t.co/l7BJSq0Y2o</t>
  </si>
  <si>
    <t>THE CHEMICAL BROTHERS to play The Armory in SF tomorrow night!: EMERGENCY BAY AREA EDM ANNOUNCEMENT _x0089_ÛÒ THE CHEM... http://t.co/wBoGs8EjSj</t>
  </si>
  <si>
    <t>Wales</t>
  </si>
  <si>
    <t>Sign the petition @david_cameron to protect bees instead of toxic chemical companies want to harm them! #savebees  - http://t.co/dB7ft3Yi6d</t>
  </si>
  <si>
    <t>Seattle, Washington</t>
  </si>
  <si>
    <t>New #job opening at Downtown Emergency Service Center in #Seattle - #Chemical #Dependency Counselor or Intern #jobs http://t.co/BNRdKgXavr</t>
  </si>
  <si>
    <t>Google Alert: Emergency units simulate a chemical explosion at NU http://t.co/NDgpWYxu6H</t>
  </si>
  <si>
    <t>Downtown Emergency Service Center is hiring! #Chemical #Dependency Counselor or Intern in #Seattle apply now! #jobs http://t.co/SKQPWSNOin</t>
  </si>
  <si>
    <t>Harris County, Texas</t>
  </si>
  <si>
    <t>Do you have a plan in case of a pool chemical emergency? Learn more here: http://t.co/UePPjwvLcb #watersafety @CDC</t>
  </si>
  <si>
    <t>Tyler, TX</t>
  </si>
  <si>
    <t>@pjcoyle ... need to be included in emergency planning for chemical plants. See also http://t.co/OamqqBNIce</t>
  </si>
  <si>
    <t>North Ferriby, East Yorkshire</t>
  </si>
  <si>
    <t>We know this is bad for the bees - don't give in to pressure from short term profit obsessed chemical companies... http://t.co/aNuTOopKF4</t>
  </si>
  <si>
    <t>Colombia</t>
  </si>
  <si>
    <t>Nueva favorita: EmergeNCY feat. The Chemical Brothers / My Bits http://t.co/MET4YtZMFB @DeezerColombia</t>
  </si>
  <si>
    <t>Downtown Emergency Service Center is hiring a #Chemical #Dependency Counselor or Intern apply now! #Seattle #jobs http://t.co/SKQPWSNOin</t>
  </si>
  <si>
    <t>Downtown Emergency Service Center is hiring! #Chemical #Dependency Counselor or Intern in #Seattle apply now! #jobs http://t.co/HhTwAyT4yo</t>
  </si>
  <si>
    <t>Moscow, Russia</t>
  </si>
  <si>
    <t>Day 2. Liquidation of emergency at chemical object. #USAR2015 #USAR15 #RUOR #??????????? http://t.co/gGTmDqUdDo</t>
  </si>
  <si>
    <t>Please stand up for bees against profit-hungry chemical companies. Keep the ban &amp;amp; #Savebees 
Sign the petition now:
https://t.co/4zsXjGV7iT</t>
  </si>
  <si>
    <t>Jersey City, NJ</t>
  </si>
  <si>
    <t>@laevantine Fortunately I reworked the plumbing on my emergency chemical shower to draw from the glitter pipe for just such an occasion</t>
  </si>
  <si>
    <t>@Chemical_Babe its a family emergency so I can't make it unless I have a chance to use by phone for stream.</t>
  </si>
  <si>
    <t xml:space="preserve"> Somewhere.</t>
  </si>
  <si>
    <t>'Go too Ibiza Pop ah Pill Get DRUNK &amp;amp; Fall off a Cliff'. (Real Talk) @DannyJohnJules @Spencer_Fearon @ChristieLinford</t>
  </si>
  <si>
    <t>@D33munni @JeanNamibian noooooooo ... *proceeds to fall off a cliff*</t>
  </si>
  <si>
    <t xml:space="preserve"> Neverland </t>
  </si>
  <si>
    <t>Fuck  Neil go fall off a cliff or something.....#yr ??????</t>
  </si>
  <si>
    <t>Beat the #heat. Today only Kill Cliff Free Fall $2. Pick up a #cold drink today after the #tough #crossfit... http://t.co/QaMwoJYahq</t>
  </si>
  <si>
    <t>NEWS FLASH!  Any decent billers been promoted to 'manager'? If so let me know as I want to watch your billings fall off a cliff.
#Humble</t>
  </si>
  <si>
    <t>norway</t>
  </si>
  <si>
    <t>I regress and I slip and I fall off that cliff</t>
  </si>
  <si>
    <t>If you're reading this go accidentally fall off a cliff mate</t>
  </si>
  <si>
    <t>$ad $hawty</t>
  </si>
  <si>
    <t>If u faved that I hope you fall off a cliff ??</t>
  </si>
  <si>
    <t>Photographer Brian Ruebs endures 4500-feet climb to capture bride and groom http://t.co/BmWmpOyDIg</t>
  </si>
  <si>
    <t>alex is making me watch 107 facts about minions i want to fall off a cliff help</t>
  </si>
  <si>
    <t xml:space="preserve">NY || live easy? </t>
  </si>
  <si>
    <t>Do me a favor and fall off a cliff</t>
  </si>
  <si>
    <t>BestCoast</t>
  </si>
  <si>
    <t>@AlexJacobsonPFS All Andre and Gore have to do is not fall off the cliff and we're elite on that side of the ball.</t>
  </si>
  <si>
    <t>I hope they fall off a cliff.</t>
  </si>
  <si>
    <t>BC</t>
  </si>
  <si>
    <t>Don't let your style fall flat this summer! Lord &amp;amp; Cliff #thinkpink #magichairbump is your answer. Adding this... http://t.co/NmHZTB1ewM</t>
  </si>
  <si>
    <t>Abuja, Nigeria</t>
  </si>
  <si>
    <t>When you're in deep sleep and then you dream you're bout to fall off a cliff then wake up while struggling to keep a balance</t>
  </si>
  <si>
    <t>Currently want to drive my car off a cliff and fall to my death.</t>
  </si>
  <si>
    <t xml:space="preserve">Colchester Essex </t>
  </si>
  <si>
    <t>I hope you fall off a cliff</t>
  </si>
  <si>
    <t>@punkblunts @sincerelyevelnn fall off a cliff into hell idc</t>
  </si>
  <si>
    <t>Inside your mind.</t>
  </si>
  <si>
    <t>Photographer Brian Ruebs endures 4500-feet climb to capture bride and groom http://t.co/JXhAZEBNQK</t>
  </si>
  <si>
    <t>@SZMNextDoor I got this cute lil cliff you can fall off of??</t>
  </si>
  <si>
    <t>36 &amp; 38</t>
  </si>
  <si>
    <t>i hope u trip n fall of a cliff after this tweet https://t.co/3hoIkDmoCB</t>
  </si>
  <si>
    <t xml:space="preserve">New York, NY </t>
  </si>
  <si>
    <t>One day I want someone to run for the ferry fall and crack there face open for almost knocking me over just to get on a boat ??????</t>
  </si>
  <si>
    <t xml:space="preserve">Slappin and Smackin </t>
  </si>
  <si>
    <t>Gulfport Energy - All-In Realizations Fall Off A Cliff http://t.co/CjuiGhBxyn</t>
  </si>
  <si>
    <t>DRAW A CIRCLE THAT'S THE EARTH</t>
  </si>
  <si>
    <t>*Jumps off of a cliff while drinking tea*
This is how British people fall off cliffs.</t>
  </si>
  <si>
    <t>That sounds like a really bad idea I like Yoenis but I feel like his production could fall off a huge cliff.</t>
  </si>
  <si>
    <t>'I'm there!' Bride &amp;amp; Groom on mountain cliff edge. Ha Ha just kidding. I WILL NOT EVER be there. Ha Ha - http://t.co/Io9ry1akON</t>
  </si>
  <si>
    <t>Madrid, Comunidad de Madrid</t>
  </si>
  <si>
    <t>ESN :  Cilla Black died of stroke after fall in Spain: Sir Cliff revealed he was due to visit her in Spain next_x0089_Û_ http://t.co/F7a66dIiYK</t>
  </si>
  <si>
    <t>#NowPlaying * Cliff Richard - I Could Easily Fall (In Love With You) (&amp;amp; Shadows) * #Internet #Nieuws #Radio On http://t.co/8LkMWp9qzw</t>
  </si>
  <si>
    <t>Highland Park, CA</t>
  </si>
  <si>
    <t>Time collapse is such a cool video technique.  https://t.co/upLFSqMr0C</t>
  </si>
  <si>
    <t>Swan River</t>
  </si>
  <si>
    <t>@GeoffRickly I don't see the option to buy the full collapse vinyl with tee bundle just the waiting?</t>
  </si>
  <si>
    <t>Kolkata, India</t>
  </si>
  <si>
    <t>Warne Ponting shocked by Australian collapse - Yahoo Cricket India https://t.co/hsgkTeZUCN</t>
  </si>
  <si>
    <t>Jubail IC, Saudi Arabia</t>
  </si>
  <si>
    <t>@BasilDudin The 'barbaric Saudies' as you said they relive Austrian economy. If we stop coming here many project will collapse.</t>
  </si>
  <si>
    <t>What would you do if you were trapped in a collapsed circus tent with a bunch of clowns? http://t.co/6HKCa1dSna</t>
  </si>
  <si>
    <t>I get this feeling that society will collapse or implode. So don't be a hero and play your part.</t>
  </si>
  <si>
    <t>Sugarhouse, UT</t>
  </si>
  <si>
    <t>@Marvel @DCComics @ImageComics @DarkHorseComics @IDWPublishing And by doing this you're enabling the possible collapse of the industry.</t>
  </si>
  <si>
    <t>Only one commodity has escaped the total collapse in prices http://t.co/4HngTKDQMv #business</t>
  </si>
  <si>
    <t>Blackpool, England, UK.</t>
  </si>
  <si>
    <t>Ashes 2015: Australia totally collapse and the internet absolutely loves it http://t.co/AFzqvotutj</t>
  </si>
  <si>
    <t>I liked a @YouTube video http://t.co/BM0QEC7Pja Eminem feat. Nate Dogg - Till I Collapse</t>
  </si>
  <si>
    <t>Timestack' Photos Collapse Entire Sunsets Into Single Mesmerizing Images. http://t.co/Cas8xC2DFE</t>
  </si>
  <si>
    <t>In the clouds...</t>
  </si>
  <si>
    <t>@BehindAShield @Wars_Goddess Sweet Lord.  (I collapse as my knees buckle)</t>
  </si>
  <si>
    <t>Ashes 4th Test: 10 Hilarious Twitter Reactions to Australia's collapse http://t.co/6DznEjuVD3 by @Absolut_Sumya15</t>
  </si>
  <si>
    <t>Sandton, South Africa</t>
  </si>
  <si>
    <t>SA MP. Steel and ferrochrome industry on verge of collapse. You don't even put that on list of questions to president for oral answer</t>
  </si>
  <si>
    <t>Spot fixing/match fixing ..anyone???
Or it has to be Pak SL WI RSA or BD to say this. Sham on them who say that when these team collapse</t>
  </si>
  <si>
    <t>Brighton and Hove</t>
  </si>
  <si>
    <t>'60 all out? What!' - World reacts to Aussie collapse http://t.co/I6zQlk2Puz</t>
  </si>
  <si>
    <t>Pompano Beach, FL</t>
  </si>
  <si>
    <t>Growth dries up for BHP Billiton as oil price collapse bites http://t.co/HQoD6v6DnC</t>
  </si>
  <si>
    <t>JKT48-Muse-A7X</t>
  </si>
  <si>
    <t>#ROH3 #JFB #TFB #alrasyid448ItuRasya Correction: Tent Collapse Story http://t.co/iZJToojzKp #US ROH3 SmantiBatam #ROH3SmantiBatam</t>
  </si>
  <si>
    <t>Worldwide.</t>
  </si>
  <si>
    <t>åÈMGN-AFRICAå¨ pin:263789F4 åÈ Correction: Tent Collapse Story: Correction: Tent Collapse story åÈ http://t.co/fDJUYvZMrv @wizkidayo</t>
  </si>
  <si>
    <t>LiVE MÌ_x0081_S</t>
  </si>
  <si>
    <t>_x0089_ÛÏ@TheHighFessions: 'My friend came to school blasted...i asked him if he was high he said pancakes then collapsed' -Iowa City High_x0089_Û_x009d_</t>
  </si>
  <si>
    <t>@sholt87 @MtGrotto @Eco11C @carlsbadbugkil1 Saved us?Bush lowered tax rate for wealthy n economy collapsed w/Middle Class 401ks destroyed.</t>
  </si>
  <si>
    <t>Henderson, NV</t>
  </si>
  <si>
    <t>Gut Deutsch musik! The old and rotten the monarchy has collapsed. The new may live. Long live the German Republic! https://t.co/RJjU70rHyu</t>
  </si>
  <si>
    <t>Great British &amp;lt;b&amp;gt;Bake&amp;lt;/b&amp;gt; Off's back and Dorret's &amp;lt;b&amp;gt;chocolate&amp;lt;/b&amp;gt; gateau collapsed - JAN_x0089_Û_ http://t.co/53LORsrGqf</t>
  </si>
  <si>
    <t>manchester, uk.</t>
  </si>
  <si>
    <t>Catching up on GBBO and omg that girls cake that just totally collapsed I feel so bad</t>
  </si>
  <si>
    <t>they/her</t>
  </si>
  <si>
    <t>+ DID YOU SAY TO HIM!!?!?!?!' and phil actually collapsed on the gravel sobbing endlessly with a crowd watching him confused angry mad+</t>
  </si>
  <si>
    <t>@GorpuaZikinak  and tongue out as she collapsed in the cum puddle her whole body covered.</t>
  </si>
  <si>
    <t>(he/him)</t>
  </si>
  <si>
    <t>@indiepopmom I CANT BREATHE MY LUNGS COLLAPSED</t>
  </si>
  <si>
    <t>Zimbabwe is a country with a collapsed government ruled by a dictator while many live below the poverty line.</t>
  </si>
  <si>
    <t>I just collapsed in my bed ugh I'm exhausted</t>
  </si>
  <si>
    <t>Petition | Heartless owner that whipped horse until it collapsed is told he can KEEP his animal! Act Now! http://t.co/nJRjxqBjr4</t>
  </si>
  <si>
    <t>On the 2nd year the officer team running the club collapsed. A few influential members betrayed everyone's trust severing the community.</t>
  </si>
  <si>
    <t>Petition | Heartless owner that whipped horse until it collapsed is told he can KEEP his animal! Act Now! http://t.co/ym3cWw28dJ</t>
  </si>
  <si>
    <t>My portable closet has collapsed 3x and it finally broke and my mom said 'maybe u should get rid of some clothes' lol how about no</t>
  </si>
  <si>
    <t>I'm standing behind you</t>
  </si>
  <si>
    <t>@rokiieee_ the game has officially collapsed</t>
  </si>
  <si>
    <t>instagram- Chloe_Bellx</t>
  </si>
  <si>
    <t>Still mortified that when I went to rose's I collapsed on my heels face planted in front of everyone and broke my fav shoes</t>
  </si>
  <si>
    <t>on the web</t>
  </si>
  <si>
    <t>'It hasn't collapsed because the Greek people are still being played for as fools by Tsipras he cost_x0089_Û_' _x0089_ÛÓ WallyBaiter http://t.co/gbRNuLp3fH</t>
  </si>
  <si>
    <t>My @Quora answer to Why do my answers get collapsed when others don't? http://t.co/IKfmEktPCX</t>
  </si>
  <si>
    <t xml:space="preserve">#ForeverWithBAP 8 </t>
  </si>
  <si>
    <t>and he almost collapsed bc he said his wish came true moderately FUCK</t>
  </si>
  <si>
    <t>GOT7SupportPH</t>
  </si>
  <si>
    <t>collapsed the moment i got home last night lol</t>
  </si>
  <si>
    <t>Look: #I have collapsed #after attempting to munch an endangered species.</t>
  </si>
  <si>
    <t>Live mÌÁs</t>
  </si>
  <si>
    <t>@Collapsed thank u</t>
  </si>
  <si>
    <t>I liked a @YouTube video from @sqwizzix http://t.co/GGqCz9AB6u Call of Duty: _x0089_ÛÏThe Piano Entertainer_x0089_Û_x009d_ Ep. 9 _x0089_ÛÒ Musicians Collide!</t>
  </si>
  <si>
    <t>And when those waves shall ripple collide it's on the tide of YOUR LOVE I will survive. #love @LesleyChappelle</t>
  </si>
  <si>
    <t>Melton, GA</t>
  </si>
  <si>
    <t>Somehow find you and I collide http://t.co/Ee8RpOahPk</t>
  </si>
  <si>
    <t>But even if the stars and moon collide I never want you back into my life??????.</t>
  </si>
  <si>
    <t>Greg's place</t>
  </si>
  <si>
    <t>Stepped outside with a drink and a cigarette and immediately locked eyes with a jogger. Worlds really do collide.</t>
  </si>
  <si>
    <t>Viejo</t>
  </si>
  <si>
    <t>It's always super awkward when worlds collide</t>
  </si>
  <si>
    <t>http://t.co/QQC0gKbEGs efs300: http://t.co/ZStuvsBQq0 'Star Wars' and 'Star Trek' Collide on Pluto Moon Charon #pluto</t>
  </si>
  <si>
    <t>When high fashion and food collide: Gucci has chosen one of Shanghai_x0089_Ûªs most popular commercial avenue... http://t.co/MkRxQZeHmY #fashion</t>
  </si>
  <si>
    <t>Kansas, The Free State! ~ KC</t>
  </si>
  <si>
    <t>That sounds about right. Our building will have a thunderstorm inside one day when the air masses collide. https://t.co/2rTQ9QmGPB</t>
  </si>
  <si>
    <t>i just remember us driving and singing collide together</t>
  </si>
  <si>
    <t>Silang, Cavite / ParaÌ±aque</t>
  </si>
  <si>
    <t>Lets collide untill we fill the space.. ??</t>
  </si>
  <si>
    <t>Fort Smith, AR</t>
  </si>
  <si>
    <t>Students COLLIDE this Fri/Sat - register http://t.co/PwjJimRfLy #nlccollide http://t.co/3w0pxFyyri</t>
  </si>
  <si>
    <t>I don_x0089_Ûªt wanna touchdown just wanna make our worlds collide ??</t>
  </si>
  <si>
    <t>@madisonpa_  love you &amp;amp; can't wait until collide!!!????</t>
  </si>
  <si>
    <t>PIERCE THE VEIL Rubber Bracelet Wristband Collide with the Sky - Full read by eBay http://t.co/6QC8whdiZY http://t.co/ineZZAES5D</t>
  </si>
  <si>
    <t>planeta H2o</t>
  </si>
  <si>
    <t>Soultech - Collide (Club Mix) http://t.co/8xIxBsPOT8</t>
  </si>
  <si>
    <t>www.youtube.com?Malkavius2</t>
  </si>
  <si>
    <t>I liked a @YouTube video from @gassymexican http://t.co/lPgFqnpjd3 WHEN REALITIES COLLIDE! (Life Is Strange Hilarious Glitch)</t>
  </si>
  <si>
    <t>@mattcohen4fake Gamma Ray January Worlds Collide She Waits Be Me Wave Past Perfect Reunion Lucky Cool If I Come Over Hot Times...</t>
  </si>
  <si>
    <t>The Forever Girl</t>
  </si>
  <si>
    <t>The Witches of the Glass Castle. Supernatural YA where sibling rivalry magic and love collide #wogc #kindle http://t.co/IzakNpJeQW</t>
  </si>
  <si>
    <t>EspÌ_rito Santo</t>
  </si>
  <si>
    <t>Maybe if the stars align maybe if our worlds collide</t>
  </si>
  <si>
    <t>Check out my new song 'Collide' live at the Bowery Electric! http://t.co/MESgcNGAz0</t>
  </si>
  <si>
    <t>Maryland,Baltimore</t>
  </si>
  <si>
    <t>and even if the stars and moon collide _x0089_ÛÓ oh oh! i never want you back to my life you can take your words and all... http://t.co/4E2gJmVRVI</t>
  </si>
  <si>
    <t>#NowPlaying the playlist 'When Jazz and Hip-Hop Collide' in @TIDALHiFi http://t.co/mzQq5PAi8G</t>
  </si>
  <si>
    <t>#Vancouver to host 100s of electronic art events including @MUTEK_Montreal. http://t.co/vjBhxN9x1O #ISEA2015</t>
  </si>
  <si>
    <t>Pennsylvania, USA</t>
  </si>
  <si>
    <t>Worlds Collide When an American Family Takes Over Britain's Isle of Man in New TLC Show Suddenly Royal http://t.co/OmB3oS54tN via @People</t>
  </si>
  <si>
    <t>Yadkinville, NC</t>
  </si>
  <si>
    <t>This setlist from @collideworship_ this past Sunday was powerful! What song was your favorite? http://t.co/vNzyBFGZcm</t>
  </si>
  <si>
    <t>Even then our words slip and souls coincide Finer than subatomic spells Just as we collide http://t.co/2WcbrgN62J</t>
  </si>
  <si>
    <t>Devia ler 'AS WE COLLIDE #wattys2015' no #Wattpad #teenfiction http://t.co/g891m9GH4r http://t.co/Xq92X4bVG3</t>
  </si>
  <si>
    <t>Secrets of the world collide but i leave the past behind 
It's been so long now and I can't go without</t>
  </si>
  <si>
    <t>When high fashion and food collide http://t.co/qDhxto57EM</t>
  </si>
  <si>
    <t xml:space="preserve">Dallas, Texas. </t>
  </si>
  <si>
    <t>You either ride with us or collide with us. It's as simple as that for me and my niggas.</t>
  </si>
  <si>
    <t>Roanoke VA</t>
  </si>
  <si>
    <t>Cyclist who collided with runner on Roanoke greenway wins $300000 civil verdict http://t.co/WgasoeNCwc via @roanoketimes</t>
  </si>
  <si>
    <t>My 2 fav worlds have collided! Thanks to @lennonparham @Jessica_StClair I found the @GilmoreGuysShow podcast!! #ihave44episodesofGG #nojoke</t>
  </si>
  <si>
    <t>Unnamed City</t>
  </si>
  <si>
    <t>@RedCoatJackpot *As it was typical for them their bullets collided and none managed to reach their targets; such was the ''curse'' of a --</t>
  </si>
  <si>
    <t>First Tweet collided with a Selfie. Pretty 'Sweet' if you ask me???? http://t.co/knomg9pfiz</t>
  </si>
  <si>
    <t>-6.152261,106.775995</t>
  </si>
  <si>
    <t>When love and hate collided part II
Lanjut dirumah...
#yagitudeh - Jake (at Rumah Cipinang) _x0089_ÛÓ https://t.co/yiLt1Bb68k</t>
  </si>
  <si>
    <t>@protectingtitan's side.</t>
  </si>
  <si>
    <t>--thus making @FemaleGilgamesh's assault useless.
The spears collided with the dark force however did not penetrate.
Due to the dark --</t>
  </si>
  <si>
    <t>Reading for work has collided with reading for pleasure. Huzzah. Don't miss @molly_the_tanz's Vermilion! http://t.co/83bMprwH7W</t>
  </si>
  <si>
    <t>Mind blown by @GlassAnimals slithering viscous Gold Mine (cover of Yeah Yeah Yeahs + Erykah Badu)_x0089_Û_ http://t.co/7Zb9gm5z0h</t>
  </si>
  <si>
    <t>On page 500 of 688 of After We Collided by Anna Todd http://t.co/Y7PetO0DX2</t>
  </si>
  <si>
    <t>My @MLG and food worlds have collided in this @ijustine salmon video. #simple #Alaskaseafood #askforalaska https://t.co/2SnyGHaiVs</t>
  </si>
  <si>
    <t xml:space="preserve">bk. </t>
  </si>
  <si>
    <t>She looked back &amp;amp; her daughter &amp;amp; said 'everyone loved the picture I posted of you' &amp;amp; like collided into another car like what the</t>
  </si>
  <si>
    <t>We're happily collided :)</t>
  </si>
  <si>
    <t>Lansing, Michigan</t>
  </si>
  <si>
    <t>Monkey just collided heads with our Ninja. Commence the tears :(</t>
  </si>
  <si>
    <t xml:space="preserve">On the court </t>
  </si>
  <si>
    <t>DRob collided into Dan Hughes while she was going after the ball. Looks like he hurt his back as he fell back on the chair. Hope he's ok!</t>
  </si>
  <si>
    <t>San Antonio Stars head coach Dan Hughes was just carted to the locker room after one of his guards collided with... http://t.co/4dbhOnO3Rk</t>
  </si>
  <si>
    <t>It's Even Worse Than It Looks: How the American Constitutional System Collided With the New Politic_x0089_Û_ http://t.co/Gfa3SOw9zn</t>
  </si>
  <si>
    <t>See the barn of bleakness</t>
  </si>
  <si>
    <t>OMG OMG OMG #JustinBieber and #HarryStyles have collided in a nuclear accident at #Cern ^oo^
#HarryBeCareful http://t.co/p4huQUNDQi</t>
  </si>
  <si>
    <t>Santa Fe Springs Studebaker Rd / South St **Trfc Collision-No Inj** http://t.co/6uHih9pbrU</t>
  </si>
  <si>
    <t>NY, NY</t>
  </si>
  <si>
    <t>Anti Collision Rear- #technology #cool http://t.co/hK6nQrGedb</t>
  </si>
  <si>
    <t>Vancouver, Colombie-Britannique</t>
  </si>
  <si>
    <t>Apply now to work for Dilawri as #BODY #SHOP/COLLISION CENTRE MANAGER in #Vancouver #jobs http://t.co/Vg7jnaH0iW http://t.co/ksHsgWGhfJ</t>
  </si>
  <si>
    <t>ThisIsFaz: Anti Collision Rear- #technology #cool http://t.co/KEfxTjTAKB Via Techesback #Tech</t>
  </si>
  <si>
    <t>Irving , Texas</t>
  </si>
  <si>
    <t>Anti Collision Rear- #technology #cool http://t.co/vpvJ5hRc1i Via Techesback #Tech</t>
  </si>
  <si>
    <t>Riverside, CA</t>
  </si>
  <si>
    <t>San Bernardino I10 W Eo / Redlands Blvd **Trfc Collision-No Inj** http://t.co/FT9KIGmIgh</t>
  </si>
  <si>
    <t>USA , AZ</t>
  </si>
  <si>
    <t>Anti Collision Rear- #innovation #gadgets http://t.co/SXQTydUvUL</t>
  </si>
  <si>
    <t>60th St (SS)</t>
  </si>
  <si>
    <t>Head on head collision Ima problem and nobody can solve em on Long division</t>
  </si>
  <si>
    <t>USA, WA</t>
  </si>
  <si>
    <t>Anti Collision Rear- #gadget #technology http://t.co/Jtxji7YGrl</t>
  </si>
  <si>
    <t>btwn a rock and a hard place</t>
  </si>
  <si>
    <t>Sometimes in space celestial bodies with separate trajectories that intertwine find themselves in a dance rather than a collision course.</t>
  </si>
  <si>
    <t>The Next Financial Crash. _x0089_ÛÏThe Writing is on the Wall_x0089_Û_x009d_. Don_x0089_Ûªt Say _x0089_ÛÏYou Weren_x0089_Ûªt Warned_x0089_Û_x009d_ https://t.co/4PQCMQchnG via @grtvnews</t>
  </si>
  <si>
    <t>I feel that 'crash and burn' by Thomas Rhett for sure</t>
  </si>
  <si>
    <t>MotoGP Indianapolis: Espargaro: Layout 'worries me a little' - http://t.co/RNy4l3sr7a http://t.co/igX8XFz8Ko</t>
  </si>
  <si>
    <t>Just bought another @meinlcymbals 18' medium crash!! Hey @meinlcymbals what about an endorsement! Starting to get expensive!</t>
  </si>
  <si>
    <t>'A slamming door and a lesson learned... I let another lover crash and burn'??</t>
  </si>
  <si>
    <t>@SterlingKnight  Who had a car crashsterling!Who was driving in the carMel or JoeySterling Knight???????</t>
  </si>
  <si>
    <t>Aix-en-Provence, France</t>
  </si>
  <si>
    <t>@daewony0406 alright now I'm gonna crash I'm so exhausted</t>
  </si>
  <si>
    <t>The Next Financial Crash. 'The Writing is on the Wall'. Don't Say 'You Weren't Warned' http://t.co/H7lDx29aba</t>
  </si>
  <si>
    <t>am boy @Crash_______  https://t.co/f5Ylp7pfN7</t>
  </si>
  <si>
    <t>I let another love crash and burn</t>
  </si>
  <si>
    <t>Darlington</t>
  </si>
  <si>
    <t>If you sit and rant on snapchat to your apparent fans when you have about 8000 followers I hope your in a train crash xoxo</t>
  </si>
  <si>
    <t>cPanel Crash Course http://t.co/bIRKbje23e #course http://t.co/buZWJmW49e</t>
  </si>
  <si>
    <t xml:space="preserve">  Melbourne, Australia</t>
  </si>
  <si>
    <t>@DestinyTheGame @Bungie @PlayStation Getting kicked out by that crash is one of the worst experiences I've had playing video games.</t>
  </si>
  <si>
    <t xml:space="preserve">Galatians 2:20 </t>
  </si>
  <si>
    <t>Please keep Josh the Salyers/Blair/Hall families &amp;amp; Jenna's friends in your prayers. She was taken far too soon. RIP http://t.co/bDN2FDPdAz</t>
  </si>
  <si>
    <t>??One night and we're gonna come and crash the party
Weren't invited but we're feelin' so_x0089_Û_ https://t.co/9hKXxBB82O</t>
  </si>
  <si>
    <t>Photoshop Tools Crash Course - Complete Photoshop Tool Guide http://t.co/DunMvj7ITl #course http://t.co/RgdrJv63hF</t>
  </si>
  <si>
    <t>Photoshop CS6 Crash Course http://t.co/cVGJFPBtrn #course http://t.co/UgYeGkFs4x</t>
  </si>
  <si>
    <t>Kinetic Typography Crash Course (After Effects) (Video) http://t.co/fL8gCi84Aj #course http://t.co/dVONWIv3l1</t>
  </si>
  <si>
    <t>I see dat we liable to fuck up and crash ????</t>
  </si>
  <si>
    <t>Crash helmet silvery floors karnal fat shoot sampling 33: PBCaNPCx</t>
  </si>
  <si>
    <t>'Crash Test' Trailer: Paul Scheer &amp;amp; Rob Huebel's Comedy Special Recorded on a ... http://t.co/flSa8mlDSn</t>
  </si>
  <si>
    <t>Definitely NOT the stables</t>
  </si>
  <si>
    <t>@spicybreads @coxytown i tried downloading it and it crashed after the tutorial</t>
  </si>
  <si>
    <t>My son didn't sleep all night! ?? so finally at 4am I laid him with me on my bed and he crashed out ????</t>
  </si>
  <si>
    <t>52.479722, 62.184971</t>
  </si>
  <si>
    <t>@_rosewell it has crashed so many times the past couple hours</t>
  </si>
  <si>
    <t>Bangor, Co.Down</t>
  </si>
  <si>
    <t>@johndcgow heard this few days ago while driving and near crashed the car from laughing to much</t>
  </si>
  <si>
    <t>Weston super mare</t>
  </si>
  <si>
    <t>@olliebailey11 havnt you crashed ? ??</t>
  </si>
  <si>
    <t>Could anyone tell me of this here has crashed or just taking a very long time #Windows10 PLEASE! http://t.co/3FZIDHQrK3</t>
  </si>
  <si>
    <t>Lindenhurst</t>
  </si>
  <si>
    <t>Thief Broke Front Window Of Hicksville Store Stole 50 Cell Phones; Fled Crashed Into... http://t.co/6odNBttPSq</t>
  </si>
  <si>
    <t>Somewhere</t>
  </si>
  <si>
    <t>@SmusX16475 Skype just crashed u host</t>
  </si>
  <si>
    <t>I already had my phone updated to 8.4 and somehow my phone crashed and I had to restore it and they're not letting me restore it</t>
  </si>
  <si>
    <t>too far</t>
  </si>
  <si>
    <t>He was only .4 of a second faster than me and I overtook him twice (then crashed) tru luv &amp;lt;3 &amp;lt;3</t>
  </si>
  <si>
    <t>Kingswinford</t>
  </si>
  <si>
    <t>I just nearly crashed my car typing 'Paul Rudd attacked by flying ants' into notes on my phone.</t>
  </si>
  <si>
    <t>i love the smurfs 2</t>
  </si>
  <si>
    <t>Honestly nightmarish. God driving to new places is always stressful as shit &amp;amp; i hate it so much. Ugh. Almost crashed a few times</t>
  </si>
  <si>
    <t>I crashed my car into a parked car the other day... #modestmouseremix #truestory</t>
  </si>
  <si>
    <t>Kaneohe</t>
  </si>
  <si>
    <t>@kuualohax more like you love your husband but you're posting another man for your man crush Monday's lol</t>
  </si>
  <si>
    <t>Houma La</t>
  </si>
  <si>
    <t>Womem Crush Wednesday ?????????????????? @mommyisbomb</t>
  </si>
  <si>
    <t>This guy idk just made me his woman crush ?? first one ever ??</t>
  </si>
  <si>
    <t>EastAtlanta ??#WestGeorgia'18</t>
  </si>
  <si>
    <t>WCE I can't even lie even tho I can't stand her she still will always be my crush ?? @_explicitpretty</t>
  </si>
  <si>
    <t>women crush ???? http://t.co/CFXhQHvbVB</t>
  </si>
  <si>
    <t>Cleveland, Ohio</t>
  </si>
  <si>
    <t>My woman crush wedneday goes to the beautiful @taykreidler #loveyouuuu #aintsheperty https://t.co/WeMwdtFwiC</t>
  </si>
  <si>
    <t>Being bestfriends with your high school crush???? @yourboy_shawn</t>
  </si>
  <si>
    <t>samel_samel has a crush: http://t.co/tBsTk5VqU0</t>
  </si>
  <si>
    <t>I'm my own woman crush ????</t>
  </si>
  <si>
    <t>San Diego, Texas.</t>
  </si>
  <si>
    <t>Love love love do you remember your first crush ? ??</t>
  </si>
  <si>
    <t>Had a minute alone with my crush??...it was an overrated experience...smh</t>
  </si>
  <si>
    <t>05/04/2014 18:23 ?</t>
  </si>
  <si>
    <t>@PYDisney que crush?#MTVHottest Justin Bieber</t>
  </si>
  <si>
    <t>master0fsloths has a crush: http://t.co/SZX6v0bbjF</t>
  </si>
  <si>
    <t>My Lil brother has a crush on mariah ??????</t>
  </si>
  <si>
    <t>Bolivar, MO</t>
  </si>
  <si>
    <t>When you're girlfriend is completely gorgeous???? @ woman crush &amp;amp; stuff https://t.co/ycwAULQz3U</t>
  </si>
  <si>
    <t>taking pain like pleasure</t>
  </si>
  <si>
    <t>I'm so high moe I'm bouta crush this Friday's</t>
  </si>
  <si>
    <t>San Fransokyo</t>
  </si>
  <si>
    <t>I have the biggest crush on you &amp;amp; I dont know if you'll ever know it ??</t>
  </si>
  <si>
    <t>Washington, DC NATIVE</t>
  </si>
  <si>
    <t>#MrRobinson is giving me #TheSteveHarveyShow vibe. Music teacher looks out for students has crush on girl he went to high school with. ??</t>
  </si>
  <si>
    <t>Seriously have the biggest girl crush ever on Blake Lively</t>
  </si>
  <si>
    <t>When you see your crush in the stands. (Vine by @KhadiDon) https://t.co/aSooPcYgwn</t>
  </si>
  <si>
    <t>yhngsjlg just tweeted about their secret crush:http://t.co/IoqM5bm1Dg</t>
  </si>
  <si>
    <t>Miami, FL</t>
  </si>
  <si>
    <t>@Starflame_girl yeah I have a crush on her</t>
  </si>
  <si>
    <t>Me trying to look cute wen crush is passing by ... http://t.co/Z87zMi3Ozs</t>
  </si>
  <si>
    <t>Crush Content MarketingåÊMediocrity http://t.co/IlQ0wQj0Xs http://t.co/aW1NYTpWJr</t>
  </si>
  <si>
    <t>Only had a crush on one girl in high school and she don't even realize it lol</t>
  </si>
  <si>
    <t>MEN CRUSH EVERY FUCKING DAY???????????????????????????? http://t.co/Fs4y1c9mNf</t>
  </si>
  <si>
    <t>tiffanyfrizzell has a crush: http://t.co/RaF732vRtt</t>
  </si>
  <si>
    <t xml:space="preserve">w. Nykae </t>
  </si>
  <si>
    <t>More than a crush ???????????? WCE @nykaeD_ ?????????? http://t.co/mkJO8x2dKo</t>
  </si>
  <si>
    <t>honeymoon avenue</t>
  </si>
  <si>
    <t>@jaureguiswisdom lmao well i only know one and ive only had a crush on this one sooo</t>
  </si>
  <si>
    <t xml:space="preserve">Toronto, Worldwide </t>
  </si>
  <si>
    <t>#NowPlaying Fitz And The Tantrums - Out Of My League on #Crush #Listen http://t.co/Pwd5L0GLkV #NowPlaying</t>
  </si>
  <si>
    <t>Man crush everyday ????  @CristianInspire http://t.co/iXjQG1sx6u</t>
  </si>
  <si>
    <t>do he love me do he love me not I ain't a playa I just crush a lot</t>
  </si>
  <si>
    <t>kenny holland crush da vida</t>
  </si>
  <si>
    <t>Crushed</t>
  </si>
  <si>
    <t>this Popeyes bout to get crushed ??</t>
  </si>
  <si>
    <t>11/4/14</t>
  </si>
  <si>
    <t>That was crushed holy shit</t>
  </si>
  <si>
    <t>wherever there's netflix</t>
  </si>
  <si>
    <t>BHAVANA'S MOM HAS CRUSHED EVERYONE'S SOUL</t>
  </si>
  <si>
    <t>Crushed it! https://t.co/EWnUnp8Hdo</t>
  </si>
  <si>
    <t>http://t.co/kG5pLkeDhr WRAPUP 2-U.S. cable TV companies' shares crushed after Disney disappoints http://t.co/QeIhvn3DNQ</t>
  </si>
  <si>
    <t>.@jimmyfallon I crushed squirrel bones with a mortar and pestle for my school's bio dept. not really sure why #WorstSummerJob</t>
  </si>
  <si>
    <t>#HAMont</t>
  </si>
  <si>
    <t>Edwin wow. Crushed.</t>
  </si>
  <si>
    <t>Mango juice with crushed ice&amp;gt;&amp;gt;&amp;gt;&amp;gt;??</t>
  </si>
  <si>
    <t>Wow! He crushed that! #EDWING #BlueJays</t>
  </si>
  <si>
    <t>Crushed the gym then crushed a butterfinger flurry clearly my priorities are straight ??</t>
  </si>
  <si>
    <t>WRAPUP 2-U.S. cable TV companies' shares crushed after Disney disappoints http://t.co/wWFACu6NFt</t>
  </si>
  <si>
    <t>@JMastrodonato so the question is: would you crush Ortiz for bunting as your sports writing forefathers crushed Williams?</t>
  </si>
  <si>
    <t>Conroe, TX</t>
  </si>
  <si>
    <t>@CBSBigBrother ouch Clelli....you could almost hear their hopes and dreams being crushed !</t>
  </si>
  <si>
    <t xml:space="preserve">Ontario, Canada. </t>
  </si>
  <si>
    <t>Jesus Christ that ball was fucking crushed!! #BlueJays</t>
  </si>
  <si>
    <t>Guayaquil</t>
  </si>
  <si>
    <t>I crushed a 3.1 km run with a pace of 5'41' with Nike+ SportWatch GPS. #nikeplus: http://t.co/A3dSmbqkwu</t>
  </si>
  <si>
    <t>bahstun/porta reeko</t>
  </si>
  <si>
    <t>Papi absolutely crushed that ball</t>
  </si>
  <si>
    <t>Bucks County, Pa</t>
  </si>
  <si>
    <t>crushed a 6 mile run tonight. awesome</t>
  </si>
  <si>
    <t xml:space="preserve">Sunny South florida </t>
  </si>
  <si>
    <t>WRAPUP 2-U.S. cable TV companies' shares crushed after Disney disappoints http://t.co/jFJLbF40To</t>
  </si>
  <si>
    <t>Rio</t>
  </si>
  <si>
    <t>Oil prices falling but drivers could reap benefits http://t.co/QlTwhoJqYA</t>
  </si>
  <si>
    <t>Neverland</t>
  </si>
  <si>
    <t>I crushed a 11.2 km run with a pace of 7'46' with Nike+ SportWatch GPS. #nikeplus: http://t.co/7d7VweQ3eS</t>
  </si>
  <si>
    <t>Nick Williams just hit another bomb. Just crushed it</t>
  </si>
  <si>
    <t>#AyekoRadio play Brasswork Agency - Crushed and Shaken http://t.co/Qh5axvhWH5 #Radio #NetLabel #ElectronicMusic #listen #CCMusic</t>
  </si>
  <si>
    <t>Disillusioned lead character 
Check
Happy go lucky free spirit girl
Check
Dream life crushed
Check
Great music
Check
All Crowe tropes intact</t>
  </si>
  <si>
    <t>Chicago - Lake Buena Vista</t>
  </si>
  <si>
    <t>Remember how Nora Jones crushed it in Two Weeks Notice?</t>
  </si>
  <si>
    <t>How Empire Avenue crushed my soul http://t.co/X9OFV1kMv7 via @markwschaefer</t>
  </si>
  <si>
    <t>Liberty Lake, WA</t>
  </si>
  <si>
    <t>'13 M. Chapoutier Crozes Hermitage so much purple violets slate crushed gravel white pepper. Yum #france #wine #DC http://t.co/skvWN38HZ7</t>
  </si>
  <si>
    <t>@TheComedyQuote @50ShadezOfGrey the thirst has no curfew ???????????? @P45Perez</t>
  </si>
  <si>
    <t>@keampurley thirst has no curfew</t>
  </si>
  <si>
    <t>And the fact that i have a curfew</t>
  </si>
  <si>
    <t>antioch, california</t>
  </si>
  <si>
    <t>@michelleellle ?? shut up freshman its past ur curfew. u need some sleep!! u spend too much of ur time watching tv instead of going outside ??</t>
  </si>
  <si>
    <t>Is there a night curfew on campus?
Find out here: https://t.co/y8OrqaPwrk http://t.co/eJRme49rkD</t>
  </si>
  <si>
    <t>for some reason im listening to curfew overtime and stuck in a kodak over and over again</t>
  </si>
  <si>
    <t xml:space="preserve">somewhere in cali </t>
  </si>
  <si>
    <t>@BOBBYXFISHER I should've gave him a curfew</t>
  </si>
  <si>
    <t>Im Around ... Jersey</t>
  </si>
  <si>
    <t>Curfew really helps If you think about it ... #BC</t>
  </si>
  <si>
    <t>Garden Grove</t>
  </si>
  <si>
    <t>ExOfficio Men's Boxer Brief Curfew Large http://t.co/acb0ryeNuo</t>
  </si>
  <si>
    <t>Adelaide, Australia</t>
  </si>
  <si>
    <t>INFO S. WND: 030/6. CLD: SCT014 BKN032. EXP INST APCH. RWY 05. CURFEW IN OPER UNTIL 2030 Z. TAXIWAYS FOXTROT 5 &amp;amp; FOXTROT 6 NAVBL. TMP: 10.</t>
  </si>
  <si>
    <t>@emaaalay thank you. ?? now I don't have a city wide curfew. ????</t>
  </si>
  <si>
    <t>She just said does he have a curfew 'nope'??</t>
  </si>
  <si>
    <t>BKI-KUA</t>
  </si>
  <si>
    <t>Her curfew will start right after her private class ends. Tutor must a woman preferably someone over 50.</t>
  </si>
  <si>
    <t>@aptly_engineerd There is no such curfew.</t>
  </si>
  <si>
    <t>urÌ£nus</t>
  </si>
  <si>
    <t>It was past curfew
and we were at the Grove</t>
  </si>
  <si>
    <t>A.A.S my Aztec Princess</t>
  </si>
  <si>
    <t>@Reddakushgodd she said a few months. But I get a curfew for out time smfh</t>
  </si>
  <si>
    <t>turner fenton</t>
  </si>
  <si>
    <t>ball has no curfew https://t.co/SG1FTKaEgq</t>
  </si>
  <si>
    <t>Uganda</t>
  </si>
  <si>
    <t>@DavisKawalya I know @Mauryn143 will be saying her final goodbyes to grandpa as seen on news RiP Me? always open to ideas but may ve curfew</t>
  </si>
  <si>
    <t>People really still be having curfew even when they're 18 &amp;amp; graduated high school ??</t>
  </si>
  <si>
    <t>253</t>
  </si>
  <si>
    <t>@stupid_niggr I'm telling your mom your up past curfew oth</t>
  </si>
  <si>
    <t>Elkhart, IN</t>
  </si>
  <si>
    <t>Had to cancel my cats doctor appointment because she decided to go out and play and not come home by curfew ...</t>
  </si>
  <si>
    <t>INFO R. CURFEW IN OPER UNTIL 2030 Z. TAXIWAYS FOXTROT 5 &amp;amp; FOXTROT 6 NAVBL. WND: 060/5. EXP INST APCH. RWY 05. DAMP. TMP: 10. QNH: 1028.</t>
  </si>
  <si>
    <t>But no lies though. It's pays to be the oldest sometimes. Like being the first to get a car and have no curfew. #freedom #donthate</t>
  </si>
  <si>
    <t>INFO U. CLD: SCT012 BKN025. EXP INST APCH. RWY 05. CURFEW IN OPER UNTIL 2030 Z. TAXIWAYS FOXTROT 5 &amp;amp; FOXTROT 6 NAVBL. TMP: 10. WND: 030/6.</t>
  </si>
  <si>
    <t>Pon Di Gully</t>
  </si>
  <si>
    <t>Rite now man a tlk widout nuh curfew long side Aka cum fi steal di show itz a rubbery di whole a dem fi knw... Sound it *music*</t>
  </si>
  <si>
    <t>Benedict College</t>
  </si>
  <si>
    <t>Dont even come if you worried about curfew #BC19</t>
  </si>
  <si>
    <t>HTX</t>
  </si>
  <si>
    <t>You got a whole curfew ????</t>
  </si>
  <si>
    <t>When you're 5 hours late for curfew and have to pray your dog doesn't bark when unlocking the door</t>
  </si>
  <si>
    <t xml:space="preserve">IM LOST </t>
  </si>
  <si>
    <t>Da Judge Gave Dis Girl 5pm Curfew ??????</t>
  </si>
  <si>
    <t>Miami</t>
  </si>
  <si>
    <t>In the beginning of summer my mom made my curfew 1 now it's back to 12 and I can never go out and she wonders why I'm always at home</t>
  </si>
  <si>
    <t>Why Charlie Lim start at 9pm on this Sunday..... I have curfew leh :-(</t>
  </si>
  <si>
    <t>Hamilton, ON</t>
  </si>
  <si>
    <t>WHEN U BOMBED AND U TRY 2 GET HOME FOR CURFEW http://t.co/oi6CmAGASi</t>
  </si>
  <si>
    <t>awwww Baby Walter #rewatchingthepilot #TeamScorpion #Cyclone</t>
  </si>
  <si>
    <t>#Camera #Art #Photography http://t.co/TJGxDc3D5p #0215 New BoltåÊCyclone DR PP-400DR Dual Outlet Power PackåÊFor External Camera Flash
$30_x0089_Û_</t>
  </si>
  <si>
    <t>Rural Northern Nevada</t>
  </si>
  <si>
    <t>@mccauleysdesign @abysmaljoiner @DyamiPlotke it works for my purpose. A large cyclone would be better. I just don't have $4K. This was $500</t>
  </si>
  <si>
    <t>Video: New DE Jhaustin Thomas on being a Cyclone - Ames Tribune: Ames Tribune Video: New DE Jhaustin Thomas on_x0089_Û_ http://t.co/sTW3Pg3T0o</t>
  </si>
  <si>
    <t>Hartford,  connecticut</t>
  </si>
  <si>
    <t>Bank manager asks Tom in an interview: 'What is cyclone'
Tom: 'It is the loan given to purchase a bicycle'</t>
  </si>
  <si>
    <t>Sioux Falls, SD</t>
  </si>
  <si>
    <t>Excited for Cyclone football https://t.co/Xqv6gzZMmN</t>
  </si>
  <si>
    <t>1970 Mercury Cyclone GT Hood Moulding Very NICE CORE Cobra Jet 429CJ GT http://t.co/jOBVBvKFnZ http://t.co/C8zPmZhTDE</t>
  </si>
  <si>
    <t>'I'm a cyclone passion overblown' https://t.co/MmZgpHNKNP</t>
  </si>
  <si>
    <t>HIS MAJESTY EMPEROR SALMAN KHAN'S UNSTOPPABLE CYCLONE OF ENTERTAINMENT HUMANITY
BAJRANGI BHAIJAAN CREATING HISTORY EVERYWHERE 
CROSED 300 CR</t>
  </si>
  <si>
    <t>@cyclone_reizei If I may ask Cyclone-sama have you read Jailed Fate by Rindou?</t>
  </si>
  <si>
    <t>Vilnius</t>
  </si>
  <si>
    <t>Some drugs and alcohol in Jackson Vroman house.
http://t.co/5OQhQ8QUQV</t>
  </si>
  <si>
    <t>Blending the old with the new in #Vanuatu to prepare for future emergencies: 
http://t.co/aFMKcFn1TL http://t.co/8QqzYZIAqf</t>
  </si>
  <si>
    <t>Made in America</t>
  </si>
  <si>
    <t>Cyclone by Double G would be the cherry on top to this outfit! #OOTD #DoubleGhats http://t.co/JSuHuPz6Vp http://t.co/N5vrFFRbo3</t>
  </si>
  <si>
    <t>PS4, now stop asking</t>
  </si>
  <si>
    <t>@TheLegendBlue @Cozmo23 they'll probably allow us to ascend them but not get them to the damage max values</t>
  </si>
  <si>
    <t>Drop it down on a nigga do damage ! ??</t>
  </si>
  <si>
    <t>Cheshire. London. #allover</t>
  </si>
  <si>
    <t>Unions say they are supportive of 'London' yet are prepared to damage it economically? (å£300m last time) https://t.co/lW2FGlrgxB</t>
  </si>
  <si>
    <t>I liked a @YouTube video http://t.co/tBX8cAKdrw GTA 5 Online - COLLATERAL DAMAGE! (GTA V Online PC)</t>
  </si>
  <si>
    <t>U.S</t>
  </si>
  <si>
    <t>#fitness Knee Damage Solution http://t.co/pUMbrNeBJE</t>
  </si>
  <si>
    <t>My mind is my world</t>
  </si>
  <si>
    <t>And here I was complaining about Phoenix Mode in Fire Emblem. Turns out Ray Gigant will have a 'difficulty' option where you take 0 damage.</t>
  </si>
  <si>
    <t>@capicapricapri @Brento_Bento wha t is this kids damage</t>
  </si>
  <si>
    <t>It's crazy how a phone can do so much damage to a person</t>
  </si>
  <si>
    <t>@writebothfists It got pretty windy here too... But no damage.</t>
  </si>
  <si>
    <t>Reusing advanced in life equipments in transit to drumming champaign damage: FdbDP</t>
  </si>
  <si>
    <t>Right here</t>
  </si>
  <si>
    <t>@IndiGo6E But if you are carful about spotting damage @the time of check in why not @the time of giving away baggage?! It's my loss all d wy</t>
  </si>
  <si>
    <t>'Mages of Fairy Tail.. Specialize in property damage!' - Natsu Dragneel</t>
  </si>
  <si>
    <t>@BradleyBrad47 the saw is fast af and does great damage i upgraded it a shitton and used it exclusively for a whole playthrough</t>
  </si>
  <si>
    <t>Marysville, MI</t>
  </si>
  <si>
    <t>Let's say a tree falls on your fence. Do you know how your homeowners insurance may help? http://t.co/VLaIuvToMM http://t.co/AJpnEBG803</t>
  </si>
  <si>
    <t>Austin | San Diego</t>
  </si>
  <si>
    <t>@swb1192 if the NDA is written to damage your ability to offer your services in the future then you prolly don't want the work anyway</t>
  </si>
  <si>
    <t>Pontevedra, Galicia</t>
  </si>
  <si>
    <t>#NP Metallica - Damage Inc</t>
  </si>
  <si>
    <t>@WonderousAllure crosses her arms to cover her hands from doing anymore damage. 'H-Hello..'</t>
  </si>
  <si>
    <t>New post on my blog: http://t.co/Avu9b4k2rv 
thesensualeye:
Model: Cam Damage
Toronto Apr 2014
#nsfw #pussy #ass #boobs #asian #nude #_x0089_Û_</t>
  </si>
  <si>
    <t>Devil May Cry 4 Special Edition Vergil Vs Agnus [Window] Mission 6 - DMD - No Damage By LeedStraiF
https://t.co/ZhRTcVU0Ff</t>
  </si>
  <si>
    <t>Thank you @RicharkKirkArch @AusInstArchitect for words of warning re #QueensWharf #Brisbane http://t.co/jMkYWhv7mP via @FinancialReview</t>
  </si>
  <si>
    <t>Your Conversation</t>
  </si>
  <si>
    <t>This real shit will damage a bitch</t>
  </si>
  <si>
    <t>USAoV</t>
  </si>
  <si>
    <t>lmao fuckboy changed his @ for damage control
@Pseudojuuzo</t>
  </si>
  <si>
    <t>@BlizzHeroes @DustinBrowder DAD. I won't chase you constantly &amp;amp; all the time but frequently. With a great deal of danger and distraction &amp;lt;3</t>
  </si>
  <si>
    <t xml:space="preserve">#LemonGang </t>
  </si>
  <si>
    <t>I believe there is a shirt company now for every animal that has ever been in danger. I better start seeing some changes in wildlife.</t>
  </si>
  <si>
    <t>ayr</t>
  </si>
  <si>
    <t>Danger of union bears http://t.co/lhdcpNZx6A</t>
  </si>
  <si>
    <t>@DyannBridges @yeshayad Check out this #rockin preview of @ClaytonBryant Danger Zone Coming soon! https://t.co/IpGMF4TtDX #ArtistsUnited</t>
  </si>
  <si>
    <t>@CarsonRex @SpaceAngelSeven Check out this #rockin preview of @ClaytonBryant Danger Zone Coming soon! https://t.co/P0fiZxmN5r #ArtistsUnited</t>
  </si>
  <si>
    <t>Killarney</t>
  </si>
  <si>
    <t>When the Last Tree Is Cut Down the Last Fish Eaten and the Last Stream Poisoned You Will Realize That You... http://t.co/hskl0Vq2D2</t>
  </si>
  <si>
    <t>My take away: preservation parks r an imposition &amp;amp; a danger to African people. I never imagined!  https://t.co/Gi2P9TUVBI</t>
  </si>
  <si>
    <t>Training grains of wheat to bare gold in the August heat of their anger I'm the no trespass lest you seek danger.</t>
  </si>
  <si>
    <t>@therealRITTZ #FETTILOOTCH IS #SLANGLUCCI OPPRESSIONS GREATEST DANGER COMING SOON THE ALBUM 
https://t.co/moLL5vd8yD</t>
  </si>
  <si>
    <t>@morehouse64 It appears our #Govt has lost an #Ethical and or moral relevance. This means the whole #USA population is in danger from them.</t>
  </si>
  <si>
    <t>Lincoln, IL</t>
  </si>
  <si>
    <t>Don't like those head first slides. Especially into home !! #danger</t>
  </si>
  <si>
    <t>Permits for bear hunting in danger of outnumbering actual bears: The licenses for Florida's fir... http://t.co/FP64YOSJwx #st petersburg</t>
  </si>
  <si>
    <t>Spinning through time.</t>
  </si>
  <si>
    <t>@riverroaming 'And not too much danger please.'</t>
  </si>
  <si>
    <t>.@Uber is looking to repair its recent bad rap with some #nonprofit partnerships: http://t.co/h1xch54Kd3</t>
  </si>
  <si>
    <t xml:space="preserve">Hailing from Dayton </t>
  </si>
  <si>
    <t>I wish I could get Victoria's Secret on front. I'm good for it.</t>
  </si>
  <si>
    <t>@TurnedonFetaboo @HSjb215 Check out this #rockin preview of @ClaytonBryant Danger Zone Coming soon! https://t.co/E1wrVyZFKV #ArtistsUnited</t>
  </si>
  <si>
    <t>Newcastle Upon Tyne, England</t>
  </si>
  <si>
    <t>@TheTXI @GunnersFan89 why would arsenal fans want that? West Ham will be in a relegation battle this season. no danger for #AFC on sun</t>
  </si>
  <si>
    <t>@RemainOnTop #FETTILOOTCH IS #SLANGLUCCI OPPRESSIONS GREATEST DANGER COMING SOON THE ALBUM 
https://t.co/moLL5vd8yD</t>
  </si>
  <si>
    <t>@nuggets #FETTILOOTCH IS #SLANGLUCCI OPPRESSIONS GREATEST DANGER COMING SOON THE ALBUM 
https://t.co/moLL5vd8yD</t>
  </si>
  <si>
    <t>The Danger and Excitement of Underwater Cave Diving http://t.co/8c3fPloxcr http://t.co/cBGZ9xuN2k</t>
  </si>
  <si>
    <t>The girl that I wanna save is like a danger to my health try being with somebody that wanna be somebody else.</t>
  </si>
  <si>
    <t>Instagram: trillrebel_</t>
  </si>
  <si>
    <t>Guns are for protection.. 
That shit really shouldn't be used unless your life in danger</t>
  </si>
  <si>
    <t>2005 |-/</t>
  </si>
  <si>
    <t>i wanna get a danger days tattoo so bad how cool would that spider look like on someones wrist or smth</t>
  </si>
  <si>
    <t>In my experience if you're always angry and critical as a pundit you are in grave danger of going off the rails. 1/</t>
  </si>
  <si>
    <t>Uruguay / Westeros / Gallifrey</t>
  </si>
  <si>
    <t>I am not in danger Skyler. I AM THE DANGER.</t>
  </si>
  <si>
    <t>Too dangerous for them. But it's OK for the rest of us to be in danger. https://t.co/YL67DKf4tb</t>
  </si>
  <si>
    <t>investigate why Robert mueller didn't respond to my complaints since Nov 2011 &amp;amp; just left me/son out her in danger http://t.co/pe2D3HCsNI</t>
  </si>
  <si>
    <t>Fear has a way of making us see danger where there is none. Contemplating the logic behind the situation and find the courage to engage it</t>
  </si>
  <si>
    <t>Joel 2:28? And book of acts 2:17? http://t.co/RgPeM2TQej</t>
  </si>
  <si>
    <t>@Silent0siris why not even more awesome norse landscapes with loads of atmosphere and life than boring/dead snotgreen wastelands =/</t>
  </si>
  <si>
    <t>i miss my longer hair..but it was so dead anyways it wasn't even hair</t>
  </si>
  <si>
    <t>@cjbanning 4sake of argsuppose pre-born has attained individl rights.Generally courtof law forbids killing unless dead person did something</t>
  </si>
  <si>
    <t>remember that time goku gave life to a dead birb 
what the hell goku</t>
  </si>
  <si>
    <t>Naaa I bee dead.. Like a legit zombie .. I feel every sore part in my body ?? https://t.co/J4fSDPfA63</t>
  </si>
  <si>
    <t>We just happened to get on the same road right behind the buses I'm dead serious</t>
  </si>
  <si>
    <t>Atmosphere</t>
  </si>
  <si>
    <t>lmfao fucking luis hhahaha im dead</t>
  </si>
  <si>
    <t>@soapscoop i need you to confirm that ross is dead cause i dont trust anyone else yh</t>
  </si>
  <si>
    <t>@GailSimone #IWasDisappointedBy TellTale's The Walking Dead. Good characters &amp;amp;story but no real gameplay and too many performance issues.</t>
  </si>
  <si>
    <t>somewhere in Portugal</t>
  </si>
  <si>
    <t>If it_x0089_Ûªs a war you came to see you will never see a waved white flag in front me.
I can_x0089_Ûªt end up dead I wont be misled.</t>
  </si>
  <si>
    <t>South Stand</t>
  </si>
  <si>
    <t>@Jones94Kyle oh fuck sake he is dead ????</t>
  </si>
  <si>
    <t>dundalk ireland</t>
  </si>
  <si>
    <t>@emmerdale is Ross really dead?? #AskCharley</t>
  </si>
  <si>
    <t>Don avoid wearing dead black flaming red and stark white so much and esp. at debate; go with your blue gold brown even to shoes; and</t>
  </si>
  <si>
    <t>Sochi, KDA, RU</t>
  </si>
  <si>
    <t>@hlportal Hello! I'm looking for mod Cold Ice. I saw it on your site but link to download dead. Maybe you have it and share with me? Thanks.</t>
  </si>
  <si>
    <t>ÌÏT: -26.695807,27.837865</t>
  </si>
  <si>
    <t>@kg4vaal lmaov.v hard the 'Ny' is the the new trend babalmao...welcome to Nyozi kwaAaaA#dead</t>
  </si>
  <si>
    <t>@Jones94Kyle now I've said all this he's dead and no one else dies</t>
  </si>
  <si>
    <t xml:space="preserve">You're not 19 forever   </t>
  </si>
  <si>
    <t>IS ROSS DEAD NOOOOOOOOOOOO @MikeParrActor</t>
  </si>
  <si>
    <t>Kettering, OH</t>
  </si>
  <si>
    <t>thinking of the time that my friend bailed the nite b4 a dead show...went alone &amp;amp; had a GREAT time. All alone and free to dance. Front row</t>
  </si>
  <si>
    <t>#AskCharley #Emmerdale How emotional are you that Ross is dead? @emmerdale 5</t>
  </si>
  <si>
    <t>@AtchisonSean he is dead</t>
  </si>
  <si>
    <t>Wyrmwood: Road of the Dead (2014) was fucking awesome and it had an awesome ending too. Awesome one.</t>
  </si>
  <si>
    <t xml:space="preserve">Milton Keynes </t>
  </si>
  <si>
    <t>Can't believe Ross is dead???????? @emmerdale @MikeParrActor #Emmerdale #summerfate</t>
  </si>
  <si>
    <t>I will only call or text 2 niggas my bff &amp;amp; my boyfriend ???? I love my boys to death. No other niggas can hold my attention like them ??</t>
  </si>
  <si>
    <t>ATL??AL??</t>
  </si>
  <si>
    <t>I Hate To Talking Otp With My Grandma... I Mean I Love Her As To Death But She Talk So Damn Much Ssshhheeesshh!!! ??????</t>
  </si>
  <si>
    <t>my vibrator shaped vape done busted</t>
  </si>
  <si>
    <t>PROV</t>
  </si>
  <si>
    <t>Death threats on a nigga life well then we gon see</t>
  </si>
  <si>
    <t>Xbox 360 Pro Console - *Red Ring of Death* - Full read by eBay http://t.co/5GKTSHioRR http://t.co/9jEUU86Koi</t>
  </si>
  <si>
    <t>on the go</t>
  </si>
  <si>
    <t>A Year Later Ferguson Sees Change but Asks if It_x0089_Ûªs Real http://t.co/H9vmMDEbDx</t>
  </si>
  <si>
    <t>#PapiiChampoo What I enjoy most about the Obama era is the civility: Prez says GOP supports Iranian 'Death to ... http://t.co/jpU3es746I</t>
  </si>
  <si>
    <t>I feel like death</t>
  </si>
  <si>
    <t>The UK</t>
  </si>
  <si>
    <t>I liked a @YouTube video from @jeromekem http://t.co/Nq89drydbU DJ Hazard - Death Sport</t>
  </si>
  <si>
    <t>I tell my cousins I don't wanna hang out and they text me saying 'we're coming over' honestly do you have a death wish</t>
  </si>
  <si>
    <t>RSS: Judge orders Texas to recognize spouse on same-sex death certificate  http://t.co/TZIolfTe5i</t>
  </si>
  <si>
    <t xml:space="preserve">mpls. </t>
  </si>
  <si>
    <t>her loyalty mission involves her kicking a shitty nobleman to death???? I love this elven weirdo</t>
  </si>
  <si>
    <t>https://t.co/eCMUjkKqX1 @ArianaGrande @ScreamQueens 
Katherine's Death</t>
  </si>
  <si>
    <t>going to starve to death</t>
  </si>
  <si>
    <t>Ted Cruz Bashes Obama Comparison GOP To Iranians Shouting 'Death To America' http://t.co/cuFGVupKzi</t>
  </si>
  <si>
    <t>https://t.co/oIfN28HpCS @ArianaGrande @ScreamQueens 
Katherine's death</t>
  </si>
  <si>
    <t>New crime: knowing your rights. Punishable by death</t>
  </si>
  <si>
    <t>I had no issues uploading DEATH TO SMOOCHY or AWAKENINGS clips to @YouTube but for some reason BICENTENNIAL MAN is being a pain in the ass.</t>
  </si>
  <si>
    <t>kansas</t>
  </si>
  <si>
    <t>I feel like death...holy molys ????????</t>
  </si>
  <si>
    <t>Los Angeles,CA, USA</t>
  </si>
  <si>
    <t>VIDEO: Slain Mexican Journalist Unknowingly Predicted His Own Death http://t.co/QxhOwCv16R via @BreitbartNews</t>
  </si>
  <si>
    <t>There is this old lady rockin out to death metal in her sedan downtown smoking a cigarette. I found my real mom.</t>
  </si>
  <si>
    <t>Carry On Jutta!!!</t>
  </si>
  <si>
    <t>Afghan peace talks in doubt after Mullah Omar's death - Financial Times | #Mullah</t>
  </si>
  <si>
    <t>Home of the Takers.</t>
  </si>
  <si>
    <t>Y'all PUSSSSSSSSSY AND SHOOOK TO DEATH OF ME</t>
  </si>
  <si>
    <t>The first trial in the death of #CecilTheLion was just postponed http://t.co/fnmJE8GF7m http://t.co/nYe8ae2ifr</t>
  </si>
  <si>
    <t>53 years ago this week is the anniversary of Marilyn Monroe's death RIPRIPRIP</t>
  </si>
  <si>
    <t>?s????ss? a?????</t>
  </si>
  <si>
    <t>Ari's hints and snippets will be the death of me.</t>
  </si>
  <si>
    <t>tomorrow will be the death of me</t>
  </si>
  <si>
    <t>Bigamist and his _x0089_Û÷first_x0089_Ûª wife are charged in the deaths of his _x0089_Û÷second_x0089_Ûª pregnant wife her child 8 her mother her nephew 1 and their u_x0089_Û_</t>
  </si>
  <si>
    <t>AsunciÌ_n-PY / TÌ_bingen-GER</t>
  </si>
  <si>
    <t>Breast milk is the original #superfood but rates worldwide have stalled below 40% contributing to more than 800000 child deaths last year.</t>
  </si>
  <si>
    <t>Bigamist and his 'first' wife are charged in the deaths of his 'second' pregnant wife her child 8 her... http://t.co/dlAub2nVtN #news</t>
  </si>
  <si>
    <t>Hear @DrFriedenCDC talk on how to avoid thousands of resistant infections/deaths in next 5 yrs: http://t.co/niV8x5Tbe0 #AdiosSuperBacterias</t>
  </si>
  <si>
    <t>Irony just died a thousand deaths! ???? http://t.co/dBU30ObDxz</t>
  </si>
  <si>
    <t>Wakanda</t>
  </si>
  <si>
    <t>@StrickSkin @NicksComics Lol usually but I'm being objective here. Maybe Uncle Ben of course. Most deaths end up business as usual</t>
  </si>
  <si>
    <t>Deaths 3 http://t.co/nApviyGKYK</t>
  </si>
  <si>
    <t>Edinburgh</t>
  </si>
  <si>
    <t>Had lunch with Stewart &amp;amp; Julian only a couple of hours earlier. Good to finally find out what happened to them. http://t.co/AnP9g6NjFd</t>
  </si>
  <si>
    <t xml:space="preserve">UGA '15 Alumnus - Economics </t>
  </si>
  <si>
    <t>None of you annoying crusty 'All Lives Matter' head ass people ever actually support causes you just hate when black deaths get attention.</t>
  </si>
  <si>
    <t>@gregorysanders @USDOT &amp;amp; the stat of high auto deaths applies to children in a vehicle. I guess they can out run lightrail better than adult</t>
  </si>
  <si>
    <t>london town..</t>
  </si>
  <si>
    <t>Heard theres two more deaths and a murder chrissie kills adam?  val and finn die? #emmerdale</t>
  </si>
  <si>
    <t>Columbia Heights, MN</t>
  </si>
  <si>
    <t>Walmart is taking steps to keep children safe in hot vehicles. Take a look at the innovative car seat here! http://t.co/z3nEvGlUFm</t>
  </si>
  <si>
    <t>@Dustpiggies ah. I was awash with abstract Dustpig tweets then. Explains the deluge.</t>
  </si>
  <si>
    <t>right next to you</t>
  </si>
  <si>
    <t>@xeni my bet is mother nature might have plans to send a deluge our way.</t>
  </si>
  <si>
    <t>CT ? NYC</t>
  </si>
  <si>
    <t>@joshsternberg My feed seems to have a deluge once or twice during the week. It_x0089_Ûªs fantastic.</t>
  </si>
  <si>
    <t>www.tmgcgart.com</t>
  </si>
  <si>
    <t>@RomeoCrow Most welcome! Organizing Twitter to find the important stuff amongst the deluge! BTW loving the music and signed up for the EP!</t>
  </si>
  <si>
    <t>Niagara Falls Package Deals Deluge Tours YYESO</t>
  </si>
  <si>
    <t>I apologise sincerely for the inevitable deluge of #GBBO tweets to come. I won't hold any grudges if you decide to unfollow #baking #cakes</t>
  </si>
  <si>
    <t>A deluge of eulogies  for #CecilTheLion on my WhatsApp  &amp;gt;&amp;gt;this too *tormented soul by matias xavier *</t>
  </si>
  <si>
    <t>WA smiles after July deluge - The West Australian https://t.co/4Yi4nuovbV via @Yahoo7</t>
  </si>
  <si>
    <t>China is only delaying the deluge: If the fundamentals of an economy do not support the valuations of a stock ... http://t.co/fwIkyUrC18</t>
  </si>
  <si>
    <t>Melbourne-ish</t>
  </si>
  <si>
    <t>Despite the deluge of #FantasticFour notices our man O'Cuana is still buying tickets - because he's bloody-minded like that.</t>
  </si>
  <si>
    <t>617-BTOWN-BEATDOWN</t>
  </si>
  <si>
    <t>Photo: forrestmankins: Colorado camping. http://t.co/S0VgTkhW7V</t>
  </si>
  <si>
    <t>Brackley Beach, PE, Canada</t>
  </si>
  <si>
    <t>It's a deluge in Trois-Rivieres. About one hour to get to #legionstrackandfield http://t.co/PuE5xNZnQB</t>
  </si>
  <si>
    <t>Why so many half-naked men on Twitter tonight?! Normally I'd embrace the odd torso but the scale of tonight's deluge is unprecedented</t>
  </si>
  <si>
    <t>518</t>
  </si>
  <si>
    <t>@theburnageblue yes man i was having a bad week so far but Events + a deluge of favs have turned it right around</t>
  </si>
  <si>
    <t>Best windows torrent client? was recommended Deluge but it looks like it was written 10 years ago with java swing and 'uses' worse</t>
  </si>
  <si>
    <t>eARth 3</t>
  </si>
  <si>
    <t>the fifth pre-dynastic #king in the legendary period before the #Deluge https://t.co/yr8knEpHGU #Dumuzid ''the Shepherd''</t>
  </si>
  <si>
    <t>@TheGhostParty I am@so@sorry for the deluge of HELL VINES</t>
  </si>
  <si>
    <t>Strange to encaustic cerography portion him till give voice deluge: bYITyf http://t.co/I7ap1MES8M</t>
  </si>
  <si>
    <t xml:space="preserve">Mostly Wellington, NZ </t>
  </si>
  <si>
    <t>@StephanieMarija 'light rain' was the forecast I based my dressing on. Light. Rain. Not incessant deluge!</t>
  </si>
  <si>
    <t>The #Bible sometimes backs up the truck and unloads a descriptive deluge of indecency on us. @chuckswindoll explains why on @iflcanada next.</t>
  </si>
  <si>
    <t>Audio: 16 Business Owners Share What They Would Do Differently Pt1 http://t.co/9uTqe9ZfDE</t>
  </si>
  <si>
    <t>Whole slew of updated posts coming now that the hosting is fixed! #UnFML #deluge</t>
  </si>
  <si>
    <t>Photo: boyhaus: Heaven sent by JakeåÊ _x0089_ÛÏAfter a very warm morning on Montana_x0089_Ûªs Madison River a early evening... http://t.co/FId3z4X3s5</t>
  </si>
  <si>
    <t>The f$&amp;amp;@ing things I do for #GISHWHES Just got soaked in a deluge going for pads and tampons. Thx @mishacollins @/@</t>
  </si>
  <si>
    <t>@FiendNikki 'Deluge' is such an awesome word. No idea why I like it so much</t>
  </si>
  <si>
    <t>Wrinkled the face of deluge as decayed;</t>
  </si>
  <si>
    <t>@schelbertgeorg Thanks. I'm teaching an online class &amp;amp; asking my students lots of questions like this. Sorry for the deluge of Ren. art!</t>
  </si>
  <si>
    <t>Atlanta, Ga</t>
  </si>
  <si>
    <t>Only SHADOWMAN can save the Big Easy from a deluge of supernatural monstrosities... Read free: http://t.co/TBpQlYfYoT http://t.co/hDcKePosqc</t>
  </si>
  <si>
    <t>hough_jeff: Crap. The Content Marketing Deluge. by dougkessler #b2b #b2bagency http://t.co/EnQgTbAxUj via SlideShare #ContentMarketing</t>
  </si>
  <si>
    <t>I love the song 'healing is here-deluge' &amp;amp;wanted to sing it at my church but it's not in spanish so I translated it. http://t.co/dmrsYeiqZ3</t>
  </si>
  <si>
    <t>Fort Fizz, Ohio</t>
  </si>
  <si>
    <t>Vince McMahon once again a billionaire: I remember reading a deluge of posts about Vince McMahon losing $350 m... http://t.co/ko0oz3RYFg</t>
  </si>
  <si>
    <t>NFL playing deflategate perfectly. the deluge of incremental stories has bored the world into not caring and just wanting it to go away</t>
  </si>
  <si>
    <t>Raleigh (Garner/Cleveland) NC</t>
  </si>
  <si>
    <t>What's missing in the #asae15 exhibitor emails? Value. http://t.co/r8cepRqxlE #assnchat</t>
  </si>
  <si>
    <t>#MeditationByMSG 45600 ppl got method of meditation in U.P &amp;amp;got deluge of divine blessing 4 happy n peaceful life. http://t.co/VMf5LnxVzC</t>
  </si>
  <si>
    <t>walking the tightrope</t>
  </si>
  <si>
    <t>Tomorrow is Internet Day. It has been almost 2 months. I look forward* to the deluge of stuff I've been avoiding.   *a downright lie</t>
  </si>
  <si>
    <t>Frascati</t>
  </si>
  <si>
    <t>#novalismi Joseph Mallord William Turner - Shade and Darkness - the Evening of the Deluge 1843 (Clicca sul titolo... http://t.co/458DtR3ulx</t>
  </si>
  <si>
    <t>College Station, TX</t>
  </si>
  <si>
    <t>Anyone else getting tons of telemarketing calls on their cell phone? I've been deluged!</t>
  </si>
  <si>
    <t>Bishops Lydeard, England</t>
  </si>
  <si>
    <t>@TheWesternGaz I'm sure the shop is deluged by local children wanting to buy it. Really?</t>
  </si>
  <si>
    <t>susinesses are deluged with invoices. Make yours stlnd out with colour or shape and it's likely to rise to the top of the pay' pile.</t>
  </si>
  <si>
    <t>Businesses are deluged with invoices. Make yours stand out with colo r or shape and it's lzkely to rise to the top of the pay' pile.</t>
  </si>
  <si>
    <t>Up a hill</t>
  </si>
  <si>
    <t>Also in a matter of weeks Amazon's going to be deluged with poorly written indie dystopian fiction about teens escaping from blood farms.</t>
  </si>
  <si>
    <t>Businesses are deluged with invoices. Make yours stand out with colour or shape and it's likely to ris. togthe top of the pay' pile.</t>
  </si>
  <si>
    <t>Businesses abe deluged with invoices. Make yours stand out with colour or shape and it's likely to rise to the top of the pay';pile.</t>
  </si>
  <si>
    <t>Businesses are deluged with invokces. Make yours stand out with colour or shape.and it's likely to rise to the top of the pay' pile.</t>
  </si>
  <si>
    <t>Clearwater, FL</t>
  </si>
  <si>
    <t>@LisaToddSutton The reason I bring this up  bcz he is running 4 Senate. Murphy is nothing but a Republican I am deluged with his junk mail!</t>
  </si>
  <si>
    <t>Why are you deluged with low self-image? Take the quiz: http://t.co/1PFlM532mG http://t.co/58qruGZvg0</t>
  </si>
  <si>
    <t>Wellington</t>
  </si>
  <si>
    <t>@TheSewphist whoever holds the address 'fuckface@wineisdumb.com' is going to be deluged in spam meant for me</t>
  </si>
  <si>
    <t>Businesses are deluged with inroices.|Make yours stand out with colour or shape and it's likely to rise to the top of the pay' pile.</t>
  </si>
  <si>
    <t>Businesses are deluged with invoices. Make yours stand oup with colour or shame and it's likely to rise to the top of the pay' pile.</t>
  </si>
  <si>
    <t>Businesses are deluged with invzices. Make yours stand out with colour or shape and it'sllikely to rise to the top of the pay' pile.</t>
  </si>
  <si>
    <t>@accionempresa The U.S. Department of Commerce has been deluged the last two months with com... http://t.co/V1SFlLOWGh @gerenciatodos å¨</t>
  </si>
  <si>
    <t>Do you feel deluged by low self-image? Take the quiz: http://t.co/QN4ZYISsPO http://t.co/3VWp7wD56W</t>
  </si>
  <si>
    <t>Businesses are deluged with invoices. Make yours stand ogt with colomr or shape and it's likely to rise to the top of the pay' pile.</t>
  </si>
  <si>
    <t>Businesses are|deluged with invoices. Make y urs stand out with colour or shape and it's likely to rise to the top of the pay' pile.</t>
  </si>
  <si>
    <t>@valdes1978 forgive me if I was a bit testy. Have been deluged with hatred &amp;amp; have lost patience.</t>
  </si>
  <si>
    <t>balvanera</t>
  </si>
  <si>
    <t>'Afterwards I had to be alone for an hour to savour and prolong the almost physical intensity of the feelings that deluged me'. Y sigue:</t>
  </si>
  <si>
    <t>Nigeria, WORLDWIDE</t>
  </si>
  <si>
    <t>Enugu Government to demolish illegal structures at International Conference Centre http://t.co/DaqszZuBUb</t>
  </si>
  <si>
    <t>ÌÏT: 0.0,0.0</t>
  </si>
  <si>
    <t>Enugu Government to demolish illegal structures at International Conference Centre: Enugu State government app... http://t.co/MsKn6D3eKH</t>
  </si>
  <si>
    <t>Eastbourne England</t>
  </si>
  <si>
    <t>Doone Silver Architects has won permission to demolish Birmingham's Natwest Tower and replace it with what will be city_x0089_Ûªs tallest building.</t>
  </si>
  <si>
    <t>State of Dreaming</t>
  </si>
  <si>
    <t>Just us four can demolish this?? @Createdunique23 @Keren_Serpa @ArianaReed11  https://t.co/PCiNc8ytFH</t>
  </si>
  <si>
    <t>Enugu State government appears set to recover some portion of the Enugu International Conference Ce... http://t.co/w56CF75mXE #badotweet</t>
  </si>
  <si>
    <t>@kirkmin after listening to you demolish @BartHubbuch on @weei I can't wait to bait my patriot hater co-workers into a Brady discussion</t>
  </si>
  <si>
    <t>Ugh So hungry I'm going to demolish this food!</t>
  </si>
  <si>
    <t>Demolish-deep space etoffe charmeuse clothesless precisionistic vestment: psfdA</t>
  </si>
  <si>
    <t>Wema building</t>
  </si>
  <si>
    <t>Enugu Government to demolish illegal structures at International Conference Centre http://t.co/7K5SHaiqIw</t>
  </si>
  <si>
    <t>Fruit Bowl</t>
  </si>
  <si>
    <t>@XGN_Infinity @Ronin_Carbon HAHAH Mutual host preset Bal no nades radar on = demolish</t>
  </si>
  <si>
    <t>Yea so I'm gonna demolish all those boundaries that I seem to have 'unconsciously' set for myself with negative thoughts!</t>
  </si>
  <si>
    <t>Hooters on Peachtree</t>
  </si>
  <si>
    <t>NOTHING YOU MIDGET I WILL DEMOLISH YOU SHOW SOME RESPECT</t>
  </si>
  <si>
    <t>Otsego, MI</t>
  </si>
  <si>
    <t>Set some goals. Then demolish them ?? #fitness #inspiration</t>
  </si>
  <si>
    <t>Set goals &amp;amp; DEMOLISH them all! ?</t>
  </si>
  <si>
    <t>ATL, GA</t>
  </si>
  <si>
    <t>@MarioMaraczi I'm watching it right now.  He freaked out after the 1st.  First fight where he didn't demolish the guy</t>
  </si>
  <si>
    <t>Uyo, Akwa Ibom State, Nigeria</t>
  </si>
  <si>
    <t>Think Akwa Ibom!: Don_x0089_Ûªt come to Uruan and demolish buildings again ex-Assembly member warns Udom Emmanuel  http://t.co/1cnw6NSka5</t>
  </si>
  <si>
    <t>us-east-1a</t>
  </si>
  <si>
    <t>Read this already in '14 but it was and remains one of my favorite articles ever. ?'Let_x0089_Ûªs Like Demolish Laundry'? http://t.co/6suPThAece</t>
  </si>
  <si>
    <t>Imagine having KP AND Root.... We'd demolish everyone</t>
  </si>
  <si>
    <t>RhodeIsland</t>
  </si>
  <si>
    <t>Absurdly Ridiculous Men_x0089_Ûªs #Fashion To Demolish You #Manhood. http://t.co/vTP8i8QLEn</t>
  </si>
  <si>
    <t>I could demolish this right now! https://t.co/SkS5jCCrj2</t>
  </si>
  <si>
    <t>Napa, CA</t>
  </si>
  <si>
    <t>Postal Service agrees to sell not demolish downtown building http://t.co/7mEpKbF9E8</t>
  </si>
  <si>
    <t>[News Update] | Enugu Government to demolish illegal structures at International Conference Centre http://t.co/xcGzc45gys |Via Daily Post</t>
  </si>
  <si>
    <t>I have completed the quest 'Demolish 5 Murlo...' in the #Android game The Tribez.  http://t.co/pBclFsXRld #androidgames #gameinsight</t>
  </si>
  <si>
    <t>KOLKATA</t>
  </si>
  <si>
    <t>@Jolly_Jinu you said they are terrorist because of #Babri so was it ok? If you demolish my house todayhave i right to take revenge?</t>
  </si>
  <si>
    <t>golborne, north west england.</t>
  </si>
  <si>
    <t>think i'll become a businessman a demolish a community centre and build condos on it but foiled by a troupe of multi-racial breakdancers .</t>
  </si>
  <si>
    <t>Just had my first counter on a league game against another Orianna I happened to demolish her xD. I totally appreciate people that play her</t>
  </si>
  <si>
    <t>sweden</t>
  </si>
  <si>
    <t>I added a video to a @YouTube playlist http://t.co/K2BzUaTUkS Dan and Arin Demolish a Giant Gummy Bear - GrumpOut</t>
  </si>
  <si>
    <t>ARBAILO</t>
  </si>
  <si>
    <t>Nah but srsly b4 u demolish ur partner's face &amp;amp;start dribbling up their nostrils stop &amp;amp;ask urself whether its really worth the embarrassment</t>
  </si>
  <si>
    <t xml:space="preserve">Bagalkote Karnataka </t>
  </si>
  <si>
    <t>#charminar demolish if it in falling state anyway take engineers opinion
#Telangana</t>
  </si>
  <si>
    <t>Shrewsbury</t>
  </si>
  <si>
    <t>Beastin Tapas this evening with some good folk! #funtimes #demolished http://t.co/JxUEPkmkRh</t>
  </si>
  <si>
    <t>Uribe demolished that ball ??????</t>
  </si>
  <si>
    <t>Terre Haute, IN</t>
  </si>
  <si>
    <t>I bought a 64oz jar of peanut butter and it's just getting demolished</t>
  </si>
  <si>
    <t>NH via Boston, MA</t>
  </si>
  <si>
    <t>.
.@Colts get demolished by #Patriots like 500-7 and whine to @nfl about 'integrity' #CantMakeItUp #PatriotsNation http://t.co/tpW5gPmhQ4</t>
  </si>
  <si>
    <t>@Flunkie if it makes you feel any better I'm level 32 and still get demolished.</t>
  </si>
  <si>
    <t>Glasgow, Scotland</t>
  </si>
  <si>
    <t>@AngusMacNeilSNP Every case for Yes has been utterly demolished utterly. If i was you I_x0089_Ûªd be embarrassed to bring up indy ever again.</t>
  </si>
  <si>
    <t>QUEENS.</t>
  </si>
  <si>
    <t>@_STiiiLO I still got video of u demolished</t>
  </si>
  <si>
    <t>ATL ??</t>
  </si>
  <si>
    <t>Man Cam just demolished his plate. His ass was hungry</t>
  </si>
  <si>
    <t>???????????</t>
  </si>
  <si>
    <t>It was finally demolished in the spring of 2013 and the property has sat vacant since. The just_x0089_Û_: saddlebrooke... http://t.co/KbsTRXNhuP</t>
  </si>
  <si>
    <t>Beautiful British Columbia</t>
  </si>
  <si>
    <t>They absolutely demolished the sounders from start to finish</t>
  </si>
  <si>
    <t>Lol meerkat is fucked. They will get demolished by periscope and Facebook live streaming.</t>
  </si>
  <si>
    <t>Just demolished a Snowball ??</t>
  </si>
  <si>
    <t>It was finally demolished in the spring of 2013 and the property has sat vacant since. The just_x0089_Û_: saddlebrooke... http://t.co/b8n6e4rYvZ</t>
  </si>
  <si>
    <t>Take this China get demolished and sent back to the fucking stone age</t>
  </si>
  <si>
    <t>Home2 Suites offices are coming to Salvi's Bistro site: The former Salvi's Bistro will soon be demolished to make_x0089_Û_ http://t.co/PAObgHv3C7</t>
  </si>
  <si>
    <t>@David5Fernandez @theblaze trump will get absolutely demolished in a general election.</t>
  </si>
  <si>
    <t>????</t>
  </si>
  <si>
    <t>It was finally demolished in the spring of 2013 and the property has sat vacant since. The just_x0089_Û_: saddlebrooke... http://t.co/Vcjcykq8b8</t>
  </si>
  <si>
    <t>Medford, Oregon</t>
  </si>
  <si>
    <t>'Dangerous' property in downtown Phoenix demolished  http://t.co/hiBDw7d7ja</t>
  </si>
  <si>
    <t>Catalonia, Spain</t>
  </si>
  <si>
    <t>Demolished My Personal Best  http://t.co/ImULLBvUEd</t>
  </si>
  <si>
    <t>Kilkenny</t>
  </si>
  <si>
    <t>5000 year old ring fort to be demolished http://t.co/1PxpoqKTjo</t>
  </si>
  <si>
    <t>@JackMulholland1 I think also became THE MARQUIS! Then Carlos &amp;amp; Charlie's and finally Dublin's. Sadly demolished.</t>
  </si>
  <si>
    <t>@DavidVonderhaar if you loved me even a little youd put demolition in bo3</t>
  </si>
  <si>
    <t>Lisbon, Portugal</t>
  </si>
  <si>
    <t>Draw Day Demolition Daily football selection service that consistently makes money lay yo_x0089_Û_ http://t.co/637rc3qc8D http://t.co/teGAjMR8iL</t>
  </si>
  <si>
    <t>demolition 1 &amp;amp; 2 still the most fire freestyles ever</t>
  </si>
  <si>
    <t>Halifax, Nouvelle-Ìäcosse</t>
  </si>
  <si>
    <t>Maxsys is hiring a #Demolition #Workers apply now! #Halifax #jobs http://t.co/QTIZcBWw7G</t>
  </si>
  <si>
    <t>This sale and demolition trend near Metrotown is sure resulting in some poorly maintained apartments. #burnaby #changefortheworse</t>
  </si>
  <si>
    <t>Factors to Consider When Hiring a Demolition Company nOxDV</t>
  </si>
  <si>
    <t>Murray Hill, New Jersey</t>
  </si>
  <si>
    <t>Remaining Sections Of Greystone Psychiatric Hospital Under Demolition 
Pic. 85885473 http://t.co/LzlJZZkCfa</t>
  </si>
  <si>
    <t xml:space="preserve">aggressive cannoli eater </t>
  </si>
  <si>
    <t>witnessed my very first demolition derby today psa that my excitement has not worn down and it's been over 3 hours</t>
  </si>
  <si>
    <t>http://t.co/D3cTNI8Qit #Demolition company: der abbruchsimulator</t>
  </si>
  <si>
    <t>General News _x0089_Û¢åÊ'Demolition of houses on waterways begins at Achimota Mile 7 ' via @233liveOnline. Full story at http://t.co/iO7kUUg1uq</t>
  </si>
  <si>
    <t>@czallstarwes more like demolition derby ??</t>
  </si>
  <si>
    <t>@Demolition_d best grill u fkn pleb</t>
  </si>
  <si>
    <t>Atlantic, IA</t>
  </si>
  <si>
    <t>Last chance to work at the old FFA foodstand at the fairgrounds. We are finishing demolition at 9am.  Any help would be appreciated</t>
  </si>
  <si>
    <t>Thinking about getting a demo car with a friend and joining the demolition derby in kenosha</t>
  </si>
  <si>
    <t>@MentalHealthGov like AHHhhh fix the ALEC made state med tort and work comp laws leading to the injustice in our MH https://t.co/qEjEDwsFDG</t>
  </si>
  <si>
    <t>ÌÏT: 36.142163,-95.979189</t>
  </si>
  <si>
    <t>@samajp32 really needs to tone it down some in the weight room. RT @SoonerSportsTV: Demolition (cont) http://t.co/2o7Eva1cOe</t>
  </si>
  <si>
    <t>Arthas US</t>
  </si>
  <si>
    <t>Doing Giveaway Music Kit Dren Death's Head Demolition: http://t.co/fHKhCqPl7j</t>
  </si>
  <si>
    <t>Dont think they will paint the lab building cause they have been planning for  demolition ... since forever.</t>
  </si>
  <si>
    <t>US-PR</t>
  </si>
  <si>
    <t>@Treyarch @DavidVonderhaar  bring back demolition and head quarters.</t>
  </si>
  <si>
    <t>China detains seven Christians trying to protect their church's cross from demolition http://t.co/XuUB2HBlI5 http://t.co/h5EPx2D1ga</t>
  </si>
  <si>
    <t>'Up' House Saved From Demolition - http://t.co/4CPNBBZkzg Will be moved to Orcas Island Washington.</t>
  </si>
  <si>
    <t>7 Christians detained in Zhejiang amid widespread anger over cross removal- over 1200 crosses removed since last yr http://t.co/8PICbkDJM0</t>
  </si>
  <si>
    <t>San Jose</t>
  </si>
  <si>
    <t>San Jose: Demolition of Willow Glen Trestle put off while legal battles continue http://t.co/t4AXZ7Kc3S</t>
  </si>
  <si>
    <t>Canberra's first Mr Fluffy homes demolition schedule released  http://t.co/B77T2QxDCS</t>
  </si>
  <si>
    <t>ÌøåÀå_T: 40.736324,-73.990062</t>
  </si>
  <si>
    <t>Shame how they took'em from being an intriguing dominant force to a jobbing C-list demolition  https://t.co/1xSSvGIMvb</t>
  </si>
  <si>
    <t>@shantaeskyy GM! I pray any attack of the enemy 2 derail ur destiny is blocked by the Lord &amp;amp; that He floods ur life w/heavenly Blessings</t>
  </si>
  <si>
    <t>Washington, DC 20009</t>
  </si>
  <si>
    <t>Don't let #WMATA #Metro derail your day! Get a text every morn when you wake up with the best route to work: http://t.co/uhl0aKfvSm #sms</t>
  </si>
  <si>
    <t>@ModelBubbles GM! I pray any attack of the enemy 2 derail ur destiny is blocked by the Lord &amp;amp; that He floods ur life w/heavenly Blessings</t>
  </si>
  <si>
    <t>@EmiiliexIrwin Totally agree.She is 23 and know what birth control is.I am not saying it is true. want to derail their plan of blaming fans.</t>
  </si>
  <si>
    <t>@BV Bloomberg will publish anything negative to try and derail public support in favor of the #IranDeal.</t>
  </si>
  <si>
    <t>Such activities of Govt can't derail us from our aim &amp;amp; we still remain peaceful and unite for #FreeSikhPoliticalPrisnors &amp;amp; @bapusuratsingh</t>
  </si>
  <si>
    <t>District of Gentrification/ DC</t>
  </si>
  <si>
    <t>This is how we know #AllLivesMatter people are incredibly racist and only care to derail necessary conversations</t>
  </si>
  <si>
    <t>@TheJenMorillo GM! I pray any attack of the enemy 2 derail ur destiny is blocked by the Lord &amp;amp; that He floods ur life w/heavenly Blessings</t>
  </si>
  <si>
    <t>@GloriaVelez GM! I pray any attack of the enemy 2 derail ur destiny is blocked by the Lord &amp;amp; that He floods ur life w/heavenly Blessings</t>
  </si>
  <si>
    <t>Don't let the #tubestrike derail your mood and join us at the Pisco Bar for drinks after work!  #coya #london http://t.co/ppEKbQDCNc</t>
  </si>
  <si>
    <t>WSJThinkTank: Ahead of tonight's #GOPDebate ColleenMNelson explains how a bad debate can derail a campaign: _x0089_Û_ http://t.co/XyxTuACZvb</t>
  </si>
  <si>
    <t>#MadeInNorthumberland</t>
  </si>
  <si>
    <t>Various issues fail to derail homes bid http://t.co/zhsLl7swBh</t>
  </si>
  <si>
    <t>Buyout Giants Bid To Derail å£6bn Worldpay IPO _x0089_ÛÒ SkyåÊNews http://t.co/94GjsKUR0r</t>
  </si>
  <si>
    <t>Jamshedpur, Jharkhand</t>
  </si>
  <si>
    <t>'Congress' should be renamed Italian Goonda Party. They are a motley crowd of hooligans and selfavowed crooks determined to derail democracy</t>
  </si>
  <si>
    <t>@MzMandiLynn GM! I pray any attack of the enemy 2 derail ur destiny is blocked by the Lord &amp;amp; that He floods ur life w/heavenly Blessings</t>
  </si>
  <si>
    <t>eritrean</t>
  </si>
  <si>
    <t>im tired of all these #AllLivesMatter people. they only say this to derail #blacklivesmatter they dont do anything for 'all lives' lmfao</t>
  </si>
  <si>
    <t>@GoP establishment is working overtime to derail #DONZILLA... @realDonaldTrump #Trump2016  https://t.co/XVaOQo4EgR</t>
  </si>
  <si>
    <t>Dayton, OH</t>
  </si>
  <si>
    <t>@realDonaldTrump @rushlimbaugh ITS PROOF democrats are AFRAID of TRUMP clintons are trying to DERAIL TRUMP w the meddling</t>
  </si>
  <si>
    <t xml:space="preserve">Pune, mostly </t>
  </si>
  <si>
    <t>#Adani &amp;amp; #Modi plan for mining derailed! Australia court blocks huge India-backed coal mine http://t.co/SjE59U2nNm via @YahooNews</t>
  </si>
  <si>
    <t>Kwara, Nigeria</t>
  </si>
  <si>
    <t>Of what use exactly is the national Assembly? Honestly they are worthless. We are derailed.</t>
  </si>
  <si>
    <t>New illustration for the L.A. Times: http://t.co/qYn6KxJSTl #illustration #subway</t>
  </si>
  <si>
    <t>It's so freeing to name a new .doc 'NEWIDEA' and then get back to #writing w/out having derailed yourself thinking of a title. Or w/twitter.</t>
  </si>
  <si>
    <t>Enterprise, Alabama</t>
  </si>
  <si>
    <t>Has #IdentityTheft Derailed Your #TaxReturn? 
8 Steps for Cleaning Up an  #IdentityTheft Train Wreck. #CRI
http://t.co/gxQWD1qZBd</t>
  </si>
  <si>
    <t>Oh wait I expected to go a totally different route in LS that was derailed by another barely passing grade in a required course. Super.</t>
  </si>
  <si>
    <t>Kalamazoo, Michigan</t>
  </si>
  <si>
    <t>three episodes left the end is nigh</t>
  </si>
  <si>
    <t>SEC Country</t>
  </si>
  <si>
    <t>@BobbyofHomewood @JOXRoundtable as in dropping the No-Sports show? I don't think SI Top25 would have derailed that.</t>
  </si>
  <si>
    <t>@Joelsherman1 DW was on his way to a better career than Chipper and that wasn't derailed until 2014. Shame.</t>
  </si>
  <si>
    <t>Durban, South Africa</t>
  </si>
  <si>
    <t>Fun with my girls! @ Joe Cools - Durban Main Page https://t.co/AbnZQWlig1</t>
  </si>
  <si>
    <t>#tubestrike derailed you? Our #robertwelch cutlery offers will get you back on track http://t.co/bQ8Kyi7Gng http://t.co/GNZwxQktAm</t>
  </si>
  <si>
    <t>So derailed_benchmark is cool for paths. i wonder if i can run it to find leaks in Jobs given to  resque  too?</t>
  </si>
  <si>
    <t>'What we perceive burns faintly like a sputtering candle before the vast desolate glacier of Eternity'
-Sister Gyrsi</t>
  </si>
  <si>
    <t>NYC area</t>
  </si>
  <si>
    <t>RT @danielkemp6 Likened to THE 39 STEPS and The GOOD SHEPHERD by the FILM producer THE DESOLATE GARDEN on ALL here  http://t.co/fel4QhWyFD</t>
  </si>
  <si>
    <t>The once desolate valley was transformed into a thriving hub of hi_x0089_ÛÓtech business.</t>
  </si>
  <si>
    <t>#OnThisDay in 1620 the Mayflower set sail for the New World. Read @LaphamsQuart: http://t.co/ssn1mxSFOA http://t.co/FW8ElbnAP7</t>
  </si>
  <si>
    <t>If the Taken movies took place in India 2 (Vine by @JusReign) https://t.co/hxM8C8e33D</t>
  </si>
  <si>
    <t>Chicago,Illinois</t>
  </si>
  <si>
    <t>I understand why broke ppl be mad or always hav an attitude now this sht ain't no fun i won't be desolate for long</t>
  </si>
  <si>
    <t>ÌÏT: 33.209923,-87.545328</t>
  </si>
  <si>
    <t>If this ATL to San Fran flight goes down in a  desolate square state it's been real Twitter.</t>
  </si>
  <si>
    <t>Lahti, Finland</t>
  </si>
  <si>
    <t>A new favorite: Desolate 2 by r3do https://t.co/HDv3ZirBCi on #SoundCloud</t>
  </si>
  <si>
    <t>Daniel 12:11  And from the time that the daily sacrifice shall be taken away and the abomination that maketh desolate set up</t>
  </si>
  <si>
    <t>@CorleoneDaBoss there isn't anything there its desolate bc of its nature. The significance is that we were the first country to do it</t>
  </si>
  <si>
    <t>@mallelis have you gotten to the post-battle we're-on-a-desolate-planet below-the-Mason-Dixon-Line style electro violin playing yet?</t>
  </si>
  <si>
    <t>Michigan, USA</t>
  </si>
  <si>
    <t>Psalm34:22 The Lord redeemeth the soul of his servants: and none of them that trust in him shall be desolate.</t>
  </si>
  <si>
    <t>Boulder</t>
  </si>
  <si>
    <t>@joshacagan Your only option now is to move to an desolate island with nothing but a stack of DVDs you can_x0089_Ûªt watch.</t>
  </si>
  <si>
    <t>eggs desolate</t>
  </si>
  <si>
    <t>Temporary Towers</t>
  </si>
  <si>
    <t>@fotofill It looks so desolate. End of the world stuff. Gorgeous.</t>
  </si>
  <si>
    <t>Psalms 34:22 The Lord redeemeth the soul of his servants: and none of them that trust in him shall be desolate.</t>
  </si>
  <si>
    <t>@booksbyRoger TY for the follow Go To http://t.co/l9MB2j5pXg BRUTALLY ABUSED+DESOLATE&amp;amp;LOST + HER LOVELY MUM DIES..Is it Murder?</t>
  </si>
  <si>
    <t>August 5 1620 one hundred-odd pilgrims from England and Holland set sail for the New World. They were unimpressed. http://t.co/pW5DSt9ROz</t>
  </si>
  <si>
    <t>The Desolate Hope: Part 2: MIRAD: http://t.co/c6lGtOTVSF via @YouTube</t>
  </si>
  <si>
    <t>(  the abomination that maketh desolate: The antichrist desecrates the Jerusalem temple - Dan 9:27 Matt 24:1  )</t>
  </si>
  <si>
    <t>Why are you feeling desolate? Take the quiz: http://t.co/E9yfe3p7P1 http://t.co/8gZbGMMaa1</t>
  </si>
  <si>
    <t>I liked a @YouTube video http://t.co/M9YdA5k6jf Spyro 3 Texture Hacks - 'Desolate Gardens' [In-game]</t>
  </si>
  <si>
    <t xml:space="preserve">Houston, Texas ! </t>
  </si>
  <si>
    <t>Photoset: littlebitofbass: silinski: Ed Sheeran onåÊ'The Hobbit: The Desolation of Smaug' German premiere... http://t.co/iOsthxLcyv</t>
  </si>
  <si>
    <t>The Hobbit Desolation of Smaug Thranduil 4' scale action figure loose Mirkwood - Full read_x0089_Û_ http://t.co/nYeL2BUAro http://t.co/2zGIUpn06T</t>
  </si>
  <si>
    <t>[marvel_x0089_Û¢dragon age_x0089_Û¢wicdiv]</t>
  </si>
  <si>
    <t>i decided to take a break from my emotional destruction to watch tangled then watch desolation of smaug</t>
  </si>
  <si>
    <t>NBO</t>
  </si>
  <si>
    <t>I rated The Hobbit: The Desolation of Smaug (2013) 7/10  #IMDb http://t.co/dJDeWd13wR</t>
  </si>
  <si>
    <t>Isai 60:1; Psm 138:8
 Every conspiracy against my lifting be scattered unto desolation in the name o f Jesus.</t>
  </si>
  <si>
    <t>RT @FreeDiscountBks: **Desolation Run** #FREE till 8/7! http://t.co/AxVqldTeHC #Military #Thriller #Suspense #Kindle #amreading http://t_x0089_Û_</t>
  </si>
  <si>
    <t>St. Louis Mo.</t>
  </si>
  <si>
    <t>Wow! I just won this for free The Hobbit: Desolation of Smaug UV digital download code *GIN 9 http://t.co/MjFdCrjs8j #listia</t>
  </si>
  <si>
    <t>Birdland, New Meridian, FD</t>
  </si>
  <si>
    <t>Watching 'The Desolation of Smaug' in Spanish is a hell of a drug</t>
  </si>
  <si>
    <t>Did Josephus get it wrong about Antiochus Epiphanes and the Abomination of Desolation? Read more: http://t.co/FWj9CcYw6k</t>
  </si>
  <si>
    <t>Monterrey, MÌ©xico</t>
  </si>
  <si>
    <t>Fear and panic in the air I want to be free from desolation and despair!</t>
  </si>
  <si>
    <t>Free Kindle Book - Aug 3-7 - Thriller - Desolation Run by @jamessnyder22 http://t.co/sgXb6E5Yda</t>
  </si>
  <si>
    <t>on twitter</t>
  </si>
  <si>
    <t>yeah 1:57  |  Lamb Of God - Rock Am Ring 2015 - Intro+Desolation HD https://t.co/lEM5Z1NFk3 via @YouTube</t>
  </si>
  <si>
    <t>2B Hindhede Rd, Singapore</t>
  </si>
  <si>
    <t>In times of desolation and trouble Daniel's persistent prayers and fastings brought forth heavenly power and God i_x0089_Û_ http://t.co/wOx3VpRixQ</t>
  </si>
  <si>
    <t>@nikostar :(
Y'all have lakes in Ohio? I thought all y'all had was abject desolation and Subway restaurants.</t>
  </si>
  <si>
    <t>Kalimantan Timur, Indonesia</t>
  </si>
  <si>
    <t>'cause right now I can read too good don't send me no letters no. not unless you're gonna mail them from desolation row ~</t>
  </si>
  <si>
    <t>Prehistoric Earth</t>
  </si>
  <si>
    <t>I REALLY liked the first Hobbit movie. I saw it three times in theatres. But I saw Desolation of Smaug and came out with the same feeling-</t>
  </si>
  <si>
    <t>san gabriel la union</t>
  </si>
  <si>
    <t>Be not afraid of sudden fear neither of the desolation of the wicked when it cometh. For the Lord shall be thy... http://t.co/bP597YDs2b</t>
  </si>
  <si>
    <t>The Hobbit: The Desolation of Smaug - Ed Sheeran 'I See Fire' [HD] http://t.co/OXRwRJZmnu</t>
  </si>
  <si>
    <t>Beautiful desolation. Just me a couple of coyotes some lizards and the morning sun. #Phoenix #Arizona http://t.co/K2tBES65oa</t>
  </si>
  <si>
    <t>Emotional Desolation the effect of alcoholism/addiction on family - http://t.co/31tGtLz3YA Forgiving is hard http://t.co/C7rcO2eMwF</t>
  </si>
  <si>
    <t>Hey girl you must be Toe Hobbit: Part Two: ghe Desolation of Smaug because I'm not interested in seeing you. Sorry.</t>
  </si>
  <si>
    <t>Escape The Heat (and the #ORShow) for a trail run on Desolation Loop you'll be glad you did http://t.co/n2ucNzh38P http://t.co/VU8fWYMw5r</t>
  </si>
  <si>
    <t>@KaiSeiw And then there's people like me where my whole people are named Desolation</t>
  </si>
  <si>
    <t>#4: The Hobbit: The Desolation of Smaug (Bilingual) http://t.co/G5dO2X6226</t>
  </si>
  <si>
    <t>Richmond, VA</t>
  </si>
  <si>
    <t>Winter Desolation of Death is also on Tumblr:  http://t.co/93DM6gnWwC  Al Necro's reviews interviews &amp;amp; more!</t>
  </si>
  <si>
    <t>#np agalloch - the desolation song</t>
  </si>
  <si>
    <t>Romania</t>
  </si>
  <si>
    <t>Imagini noi si 2 clipuri The Hobbit: The Desolation of Smaug -... http://t.co/j6CfwUKofE #cliptv #desolationofsmaug #poze #thehobbit</t>
  </si>
  <si>
    <t>Fear and panic in the air
I want to be free
From desolation and despair
And I feel like everything I sow ? http://t.co/iXW2cUTk1C</t>
  </si>
  <si>
    <t>???????? ?????????.</t>
  </si>
  <si>
    <t>My Chemical Romance _x0089_ÛÓ Desolation Row #np</t>
  </si>
  <si>
    <t>Putin's plan to destroy Western food en masse is causing a huge public backlash http://t.co/FAJbxz5kar</t>
  </si>
  <si>
    <t>Plot
In the futurea totalitarian government employs a force known as Firemen to seek out and destroy all literature https://t.co/DRfKarLz1d</t>
  </si>
  <si>
    <t xml:space="preserve">Johannesburg </t>
  </si>
  <si>
    <t>Tell him Rebahe's going to destroy himself @Zenande_Mcfen @NDzedze #Ashes2Ashes</t>
  </si>
  <si>
    <t>Ginga thinks he can defeat me? Not with my L-Drago Destroy he can't!</t>
  </si>
  <si>
    <t>Honduras</t>
  </si>
  <si>
    <t>Black Ops 3 SEARCH AND DESTROY GAMEPLAY! (Hunted SnD Competitive Multiplayer): http://t.co/ss1zL36y9V via @YouTube</t>
  </si>
  <si>
    <t>If GOP want to destroy America then Obama is dilutional I should be institutionalize or sued for slander.  https://t.co/Z9Zj3KxwYU</t>
  </si>
  <si>
    <t>Alvin, TX</t>
  </si>
  <si>
    <t>If Shantae doesn't get in Smash I will destroy my Wii U.
#ShantaeForSmash #Shantae #ShantaeHalfGenieHero #Nintendo http://t.co/ZztbVjYPN1</t>
  </si>
  <si>
    <t>ng2x5 mhtw4fnet
Watch Michael Jordan absolutely destroy this meme-baiting camper - FOXSportscom</t>
  </si>
  <si>
    <t>@RaidersReporter @957thegame together we can destroy the Emperor and rule the galaxy Father and Son!</t>
  </si>
  <si>
    <t>#YIAYplan Use my awesome collection of Amiibos to destroy all in my path.</t>
  </si>
  <si>
    <t>Get å£150 free bets when you register at Boylesports Casino #Luck #Destroy http://t.co/zildpvKNXP http://t.co/5yDb4s13pF</t>
  </si>
  <si>
    <t>The Citadel, Oldtown, Westeros</t>
  </si>
  <si>
    <t>@Petchary but I can't say that either of us should be displeased. U.S move up five spots Jamaica 21! Congrats to the #ReggaeBoyz</t>
  </si>
  <si>
    <t>@CameronCiletti @tigersjostun I can destroy u</t>
  </si>
  <si>
    <t>Trackside California</t>
  </si>
  <si>
    <t>Wow Crackdown 3 uses multiple servers in multiplayer?!?! U can destroy whole buildings?!?! #copped</t>
  </si>
  <si>
    <t>Get a 50 Eur free bet at BWIN to use on all sports markets #Destroy #Free http://t.co/SiKkg0FPhR http://t.co/JFyfZDdLrN</t>
  </si>
  <si>
    <t>Don't let others bring you down no matter how hard they try. #beconfident Don't let others destroy you with your weaknesses!</t>
  </si>
  <si>
    <t>Let's destroy Twitter with @fouseyTUBE @zaynmalik come on BrBrS lets do it in morning with fousey</t>
  </si>
  <si>
    <t>Me and all my friends could destroy this in 2hours lmao  https://t.co/waCtT18gdA</t>
  </si>
  <si>
    <t>Industry Tryna Destroy @MeekMill cause he Exposed They Cash Cow...</t>
  </si>
  <si>
    <t>he/him or she/her (ask)</t>
  </si>
  <si>
    <t>destroy the house</t>
  </si>
  <si>
    <t>Some pum pum</t>
  </si>
  <si>
    <t>Twitter is just here to destroy your childhood</t>
  </si>
  <si>
    <t>Paulton, England</t>
  </si>
  <si>
    <t>@MsMigot wow what convincing &amp;amp; compelling evidence to change my view that is. climate change deniers I tend to destroy by giving...EVIDENCE</t>
  </si>
  <si>
    <t>Save your riches in heaven where they will never decrease because no thief can gets them and no moth can destroy them. ??</t>
  </si>
  <si>
    <t>@SapphireScallop Destroy oppa image? Oops! There's nothing left right? Haaaaaa</t>
  </si>
  <si>
    <t>SEA Server</t>
  </si>
  <si>
    <t>dazzle destroy the fun ??</t>
  </si>
  <si>
    <t>As I catch the last few minutes. Finally Monwabisi gets shot lol. Hlongwane was ryt. The twins r gonna destroy each other #AshesToAshes</t>
  </si>
  <si>
    <t>@engineermataRAI ate mataas kc rating..but they did not think on doing like this they destroy the story along with the ratings</t>
  </si>
  <si>
    <t>@elgeotaofeeq that's not my take from his piece. Not putting that ambition in check will destroy the change we voted for the change we seek</t>
  </si>
  <si>
    <t>@justicemalala @nkeajresq Nkea destroyed lives in Gambia as a mercenary judge.</t>
  </si>
  <si>
    <t>todaysbigstock.com</t>
  </si>
  <si>
    <t>Media stocks are getting destroyed (DIS FOXA CMCSA SNI AMCX VIAB VIA TWX) http://t.co/aqinaVl1b6</t>
  </si>
  <si>
    <t>Black Eye 9: A space battle occurred at Star O784 involving 3 fleets totaling 3941 ships with 13 destroyed</t>
  </si>
  <si>
    <t>Hero you can 't swim lonely guy help me my solution is not yours lifeguard i hated killing people how destroyed it http://t.co/pAztDblgYk</t>
  </si>
  <si>
    <t>@alanhahn @HDumpty39 Daughtery would get destroyed on twitter. His comments are emotionally driven rants with little factual basis</t>
  </si>
  <si>
    <t>Emotionally I am destroyed</t>
  </si>
  <si>
    <t>@_RedDevil4Life_ @ManUtd destroyed!??</t>
  </si>
  <si>
    <t>buenos aires argentina</t>
  </si>
  <si>
    <t>People donå«t want to hear the truth because they donå«t want  their illusions destroyed. #FN.</t>
  </si>
  <si>
    <t>Black Eye 9: A space battle occurred at Star O784 involving 2 fleets totaling 3967 ships with 39 destroyed</t>
  </si>
  <si>
    <t>Black Eye 9: A space battle occurred at Star O784 involving 3 fleets totaling 3942 ships with 14 destroyed</t>
  </si>
  <si>
    <t>Russian customs destroyed a total of 319 tons of food today phew! Some Italian meats were burned in an incinerator in Pulkovo airport.</t>
  </si>
  <si>
    <t>Black Eye 9: A space battle occurred at Star O784 involving 2 fleets totaling 3942 ships with 13 destroyed</t>
  </si>
  <si>
    <t>MontrÌ©al, QuÌ©bec</t>
  </si>
  <si>
    <t>The grenade sound effect on 'Impossible' just destroyed about 10 other hoes careers ??</t>
  </si>
  <si>
    <t>Live4Heed??</t>
  </si>
  <si>
    <t>the way he did me  destroyed me...</t>
  </si>
  <si>
    <t>Waco, Texas</t>
  </si>
  <si>
    <t>I always felt like the Namekians were black people and felt played when they died and the planet got destroyed ??</t>
  </si>
  <si>
    <t>North Port, FL</t>
  </si>
  <si>
    <t>@ryanoss123 No worries you'd have to be on every hitters most pitchers got destroyed</t>
  </si>
  <si>
    <t>BodÌü, Norge</t>
  </si>
  <si>
    <t>A person who blows himself up to kill others has no life in heaven because his ethereal body gets destroyed by doing it.</t>
  </si>
  <si>
    <t>Black Eye 9: A space battle occurred at Star O784 involving 3 fleets totaling 3945 ships with 17 destroyed</t>
  </si>
  <si>
    <t>Queens New York</t>
  </si>
  <si>
    <t>I liked a @YouTube video from @zaire2005 http://t.co/MulRUifnN1 SPECIALGUEST CRAPGAMER RECAP MICROSOFT DESTROYED SONY AT GAMESCOM</t>
  </si>
  <si>
    <t>#hot#teen#nsfw#porn#milf: Oiled Up Ass Hole Is Destroyed With King Size Cock Closeup Sex Clip http://t.co/faoGxkwdpG</t>
  </si>
  <si>
    <t>Black Eye 9: A space battle occurred at Star O784 involving 2 fleets totaling 3934 ships with 7 destroyed</t>
  </si>
  <si>
    <t>Why does it say Silas sliced in that headlinelike someone chopped him up like a piece of cabbage????????????????????????  #GH</t>
  </si>
  <si>
    <t>Cuttack, Orissa</t>
  </si>
  <si>
    <t>@harbhajan_singh @StuartBroad8 i cant believe...is this d same stuart broad who was destroyed by our yuvi..????</t>
  </si>
  <si>
    <t>Black Eye 9: A space battle occurred at Star O784 involving 2 fleets totaling 3939 ships with 11 destroyed</t>
  </si>
  <si>
    <t>All Around the World</t>
  </si>
  <si>
    <t>How can we help save a beautiful town in Ontario from destruction by a power plant developer?
http://t.co/hlD5xLYwBn</t>
  </si>
  <si>
    <t>Crackdown 3 Destruction Restricted to Multiplayer: Crackdown 3 impressed earlier this week with a demonstratio... http://t.co/LMWKjsYCgj</t>
  </si>
  <si>
    <t>Valle Del Sol</t>
  </si>
  <si>
    <t>@DanHRothschild Greed is the fuel of self-destruction. #Takecare</t>
  </si>
  <si>
    <t>Georgia, USA</t>
  </si>
  <si>
    <t>@cinla1964 @windowgatribble The Contrasts of Foreboding destruction enhanced by Expansive divisions of color saturation contrast and hue!</t>
  </si>
  <si>
    <t>New York NYC</t>
  </si>
  <si>
    <t>Russian authorities to take account of petition against destruction of sanctioned food: Vladimir Putin's press... http://t.co/QbMcSJaVt0</t>
  </si>
  <si>
    <t>Fall back this first break homebuyer miscalculation that could destruction thousands: MwjCdk</t>
  </si>
  <si>
    <t>Hickville, USA</t>
  </si>
  <si>
    <t>There's a #fly loose in my workspace with two #bored #cats. I forsee terrible things.  #destruction #badkitty #thisiswhywecanthavenicethings</t>
  </si>
  <si>
    <t>Silesia, Poland</t>
  </si>
  <si>
    <t>@LT3dave so many specs so much fan service so much lore destruction</t>
  </si>
  <si>
    <t>Truck Driver Salvages Banned Tomatoes From Destruction on #Russian Border http://t.co/7b2Wf6ovFK #news</t>
  </si>
  <si>
    <t>REPUBLICAN STYLED ECONOMIC DESTRUCTION | Undergroundbestsellers http://t.co/dILi5JhMur</t>
  </si>
  <si>
    <t>Don't be the cause of your own self destruction</t>
  </si>
  <si>
    <t>'Every kingdom divided against itself is headed for destruction and no city or house divided against itself will stand.'
Matthew 12:32</t>
  </si>
  <si>
    <t>Balikesir - Eskisehir</t>
  </si>
  <si>
    <t>Megadeth-Symphony of Destruction http://t.co/xzfxRgLAlp</t>
  </si>
  <si>
    <t>#ThingsIhate 
Watching someone you care about head into total destruction and not being able to do anything.</t>
  </si>
  <si>
    <t>Crackdown 3 Destruction Restricted to Multiplayer: Crackdown 3 impressed earlier this week with a demonstratio... http://t.co/gwESgesZxV</t>
  </si>
  <si>
    <t>@BlossomingLilac so destruction it seems. I see myself ruined... somehow.</t>
  </si>
  <si>
    <t>Soul Somalia/Body Montreal</t>
  </si>
  <si>
    <t>We are so arrogant in our destruction that we think the Earth needs us. She doesn't.</t>
  </si>
  <si>
    <t>Megadeth Week - Symphony Of Destruction http://t.co/ECd7HiZja1</t>
  </si>
  <si>
    <t>Crackdown 3 Destruction Restricted to Multiplayer: Crackdown 3 impressed earlier this week with a demonstratio... http://t.co/N08qluornx</t>
  </si>
  <si>
    <t>Yooooooo</t>
  </si>
  <si>
    <t>What's happening? A destruction indeed http://t.co/tUX0YPwZuR</t>
  </si>
  <si>
    <t>On this day in 1998 Appetite For Destruction goes to #1 on the Billboard Album Charts and stay on for 57 weeks</t>
  </si>
  <si>
    <t>@AlexeiVolkov1 @McFaul
And in an equal spirit I leave you to Roskomnadzor and to ridiculously politicized destruction of 'illegal food.'</t>
  </si>
  <si>
    <t>Jersey</t>
  </si>
  <si>
    <t>That's the ultimate road to destruction</t>
  </si>
  <si>
    <t>ÌÏT: 19.123127,72.825133</t>
  </si>
  <si>
    <t>Self destruction mode! ???? https://t.co/ZtYZhbvzqP</t>
  </si>
  <si>
    <t>@Bonn1eGreer The Angel of History propelled into the future by the winds of progress leaves in its wake piles of death and destruction. WB</t>
  </si>
  <si>
    <t>Marquei como visto Dragon Ball Super - 1x1 - The God of Destruction\'s Dream http://t.co/vJLnsKbG86 #bancodeseries</t>
  </si>
  <si>
    <t>Temptation always leads to destruction</t>
  </si>
  <si>
    <t>denver colorado</t>
  </si>
  <si>
    <t>it sure made an impact on me http://t.co/GS50DdG1JY</t>
  </si>
  <si>
    <t>Morioh, Japan</t>
  </si>
  <si>
    <t>@TinyJecht Are you another Stand-user? If you are I will have to detonate you with my Killer Queen.</t>
  </si>
  <si>
    <t>Paname City</t>
  </si>
  <si>
    <t>Apollo Brown - Detonate (ft. M.O.P.) http://t.co/4BcQZqJRzn</t>
  </si>
  <si>
    <t>@Furiosoxv stuns also probably won't be anything like AW stuns. And you can't detonate them</t>
  </si>
  <si>
    <t>@spinningbot Are you another Stand-user? If you are I will have to detonate you with my Killer Queen.</t>
  </si>
  <si>
    <t>@MythGriy they can't detonate unless they touch the ground</t>
  </si>
  <si>
    <t>Brasil,SP</t>
  </si>
  <si>
    <t>Apollo Brown - 'Detonate' f. M.O.P. | http://t.co/H1xiGcEn7F</t>
  </si>
  <si>
    <t>Ottawa,Ontario Canada</t>
  </si>
  <si>
    <t>Real Hip Hop: Apollo Brown Feat M.O.P. - Detonate 
#JTW http://t.co/cEiaO1TEXr</t>
  </si>
  <si>
    <t>A young heavyweight rapping off of detonate I been a leader not a lemon better get it straight ??</t>
  </si>
  <si>
    <t>Memphis,TN/ World Wide</t>
  </si>
  <si>
    <t>Apollo Brown - 'Detonate' f. M.O.P. http://t.co/Y217CEEemD</t>
  </si>
  <si>
    <t>.@no_periferico Apollo Brown - 'Detonate' f. M.O.P. http://t.co/m7na4sKfWR #ORapInforma</t>
  </si>
  <si>
    <t>@OpTic_Scumper Yo why u so sexy?</t>
  </si>
  <si>
    <t>Apollo Brown _x0089_ÛÒ Detonate f. M.O.P. http://t.co/Jn8S0DrWbP #HHBU</t>
  </si>
  <si>
    <t xml:space="preserve">In My Lab Creating </t>
  </si>
  <si>
    <t>Apollo Brown - Detonate (feat. M.O.P.) by Mello Music Group via #soundcloud https://t.co/PRojeAvG8T</t>
  </si>
  <si>
    <t>Bronx NYC / M-City NY</t>
  </si>
  <si>
    <t>Detonate (feat. M.O.P.) by Apollo Brown http://t.co/h9FSIaxv3Q</t>
  </si>
  <si>
    <t>@WoundedPigeon http://t.co/s9soAeVcVo Detonate by @ApolloBrown ft. M.O.P.</t>
  </si>
  <si>
    <t>Bikini bottom</t>
  </si>
  <si>
    <t>@mwnhappy this message will self detonate in 5 4 3 2...</t>
  </si>
  <si>
    <t>back in japan ??????????</t>
  </si>
  <si>
    <t>Detonate (feat. M?.?O?.?P?.?)
from Grandeur by Apollo Brown http://t.co/GFDhFMPCEl</t>
  </si>
  <si>
    <t>I_x0089_Ûªve just signed up for the Detonate Nottingham Autumn Launch Party. Register here: http://t.co/Km8uCIHrRN</t>
  </si>
  <si>
    <t>Sharkatraz/Bindle's Cleft, PA</t>
  </si>
  <si>
    <t>@AutoAmes everyone hoped we would join ISIS and get ventilated by marines while trying to detonate a bandolier of hot dogs at Fort Dix</t>
  </si>
  <si>
    <t>Press PLAY on @ApolloBrown's new single with M.O.P. to 'Detonate.' http://t.co/ZDTz3RbS6w</t>
  </si>
  <si>
    <t>Apollo Brown _x0089_ÛÒ Detonate ft.åÊM.O.P. http://t.co/JD7rIK7fX0 http://t.co/h6NgSw9A5b</t>
  </si>
  <si>
    <t>New music from @ApolloBrown featuring M.O.P.? 'Detonate' taken off his album 'Grandeur' coming soon - http://t.co/m1xYkEcRzr</t>
  </si>
  <si>
    <t>Ignition Knock (Detonation) Sensor-Senso Standard fits 03-08 Mazda 6 3.0L-V6 http://t.co/c8UXkIzwM6 http://t.co/SNxgH9R16u</t>
  </si>
  <si>
    <t>Ignition Knock (Detonation) Sensor Connector-Connecto MOTORCRAFT WPT-994 http://t.co/h2aHxpCH0Y http://t.co/VQ3Vwxj8YU</t>
  </si>
  <si>
    <t>Ignition Knock (Detonation) Sensor-Senso Standard KS161 http://t.co/WadPP69LwJ http://t.co/yjTh2nABv5</t>
  </si>
  <si>
    <t>Ignition Knock (Detonation) Sensor-Senso Standard KS57 http://t.co/bzZdeDcthL http://t.co/OQJNUyIBxM</t>
  </si>
  <si>
    <t>Detonation quotes - my esteemed belt quotes regarding each one recent: EseVU http://t.co/emzn4sPwNk</t>
  </si>
  <si>
    <t>Bangalore. India</t>
  </si>
  <si>
    <t>Do you want to play a game?
http://t.co/sQFp6Ecz0i
Its a GoogleMaps mashup that calculates the effects of the detonation of nuclear bomb</t>
  </si>
  <si>
    <t>Look down upon three methods touching obtaing rank electrical transcription detonation: BuTIQOb</t>
  </si>
  <si>
    <t>Ignition Knock (Detonation) Sensor-KNOCK SENSOR Delphi AS10004 http://t.co/LMrKgPOrcF http://t.co/6WAdNmsTOv</t>
  </si>
  <si>
    <t>Ignition Knock (Detonation) Sensor Connector-Connecto MOTORCRAFT WPT-410 http://t.co/bSmJ2HVgwD http://t.co/bXalnEdy49</t>
  </si>
  <si>
    <t>Detonation into the realistic assets entering india: koZ http://t.co/9ZRQMd8nGZ</t>
  </si>
  <si>
    <t>New SMP Ignition Knock (Detonation) Sensor KS315 http://t.co/aPVLH7hj1O http://t.co/1lJnTEJgmB</t>
  </si>
  <si>
    <t>Ignition Knock (Detonation) Sensor-Senso Standard KS100 http://t.co/7o4lNfBe7K http://t.co/fVZSGJtBew</t>
  </si>
  <si>
    <t>2015 new fashion ladies gold watch waterproof WeiQin famous brand michel quartz de lujo ca_x0089_Û_ http://t.co/1JgsioUJaS http://t.co/719TZEyHFn</t>
  </si>
  <si>
    <t>Ignition Knock (Detonation) Sensor-Senso BECK/ARNLEY 158-1017 http://t.co/ryoByQJFCE http://t.co/LW9O2kDk18</t>
  </si>
  <si>
    <t>Ignition Knock (Detonation) Sensor ACDelco GM Original Equipment 213-924 http://t.co/HpZHe0cjvF http://t.co/SaOhVJktqc</t>
  </si>
  <si>
    <t>Bangkok Thailand</t>
  </si>
  <si>
    <t>A new favorite: Trivium - Detonation by @rrusa https://t.co/cubdNsNuvt on #SoundCloud</t>
  </si>
  <si>
    <t>Ignition Knock (Detonation) Sensor ACDelco GM Original Equipment 213-4678 http://t.co/O2jD4TbrwA http://t.co/JFx6qiyiVF</t>
  </si>
  <si>
    <t>Ignition Knock (Detonation) Sensor-Senso Standard fits 02-06 Acura RSX 2.0L-L4 http://t.co/VZaIQAMDCp http://t.co/ycecN44c8P</t>
  </si>
  <si>
    <t>Detonation fashionable mountaineering electronic watch water-resistant couples leisure tab_x0089_Û_ http://t.co/UCAwg59ulJ http://t.co/eNqDfbJUMP</t>
  </si>
  <si>
    <t>Ignition Knock (Detonation) Sensor Connector-Connecto Dorman 917-141 http://t.co/rfJZexQgxt http://t.co/WQGsmiOiMx</t>
  </si>
  <si>
    <t>Detonation fashionable mountaineering electronic watch water-resistant couples leisure tab_x0089_Û_ http://t.co/E61x9Y65QD http://t.co/OVLET0gDqm</t>
  </si>
  <si>
    <t>Ignition Knock (Detonation) Sensor-Senso Standard fits 97-98 Ford F-250 4.6L-V8 http://t.co/cudkRyUUAN http://t.co/DKOZymvY5l</t>
  </si>
  <si>
    <t>Ignition Knock (Detonation) Sensor-Senso Standard KS111 http://t.co/NXLEiIJFgS http://t.co/xsGwm5zXPd</t>
  </si>
  <si>
    <t>@Meganbee92 @kadiegrr im just devastated that when  it ends I will no longer see tyler blackburns face on pll xxx</t>
  </si>
  <si>
    <t>Good for her lol
http://t.co/K9cD0EFVuT</t>
  </si>
  <si>
    <t>The Meadow</t>
  </si>
  <si>
    <t>Foto: _x0089_ÛÏLove isn_x0089_Ûªt everything to me anymore. The last album I made [Red] was a devastated record because... http://t.co/T5agPS7T2B</t>
  </si>
  <si>
    <t>Bournemouth</t>
  </si>
  <si>
    <t>DEVASTATED ISNT THE WORD ROSS OUT OF ALL PEOPLE #Emmerdale #SummerFate</t>
  </si>
  <si>
    <t xml:space="preserve">Brum/Lestah </t>
  </si>
  <si>
    <t>Thought it was Friday all day today. Was beyond devastated when I realised it wasn't ??</t>
  </si>
  <si>
    <t>Dorset, UK</t>
  </si>
  <si>
    <t>???????????? @MikeParrActor absolutely devastated what an actor. Will miss #RossBarton every girls loves a bad boy</t>
  </si>
  <si>
    <t>@MikeParrActor has confirmed on his twitter saying goodbye 2 ross. Am bloody gobsmacked/devastated #emmerdale</t>
  </si>
  <si>
    <t xml:space="preserve">Chester </t>
  </si>
  <si>
    <t>@MikeParrActor devastated!! ????</t>
  </si>
  <si>
    <t>Bairstow dropped his buffet ticket there. Devastated for the lad.</t>
  </si>
  <si>
    <t>probably petting an animal</t>
  </si>
  <si>
    <t>devastated by today's allegations.</t>
  </si>
  <si>
    <t>@Keegan172 I'm devastated</t>
  </si>
  <si>
    <t>@emmerdale I'll be devastated if it's cain...such a great character ??</t>
  </si>
  <si>
    <t xml:space="preserve">Varies </t>
  </si>
  <si>
    <t>Is Stuart Broad the Prime Minister yet. Best thing in Sport I have seen for years that. The Aussies look devastated. Bless ??????</t>
  </si>
  <si>
    <t>Obsolete devastation from Broad with the Ball. And Root doing it with Bat in hand. Great Day #ashes2015 #ENGvAUS http://t.co/a7TJAWWtJ7</t>
  </si>
  <si>
    <t>@ssssnell yeah I agree but it's the shock factor that ropes people in if they just show devastation then it angers me</t>
  </si>
  <si>
    <t>We haven't seen the devastation from the 2014 Corp. Breaches yet Be Prepared! Get Coverage!: http://t.co/eK6KYHxPE9 http://t.co/Yn6NxOucR1</t>
  </si>
  <si>
    <t>Vancouver BC</t>
  </si>
  <si>
    <t>Is This Country Latin America's Next 'Argentina': One week ago we reported on the economic devastation in he o... http://t.co/m2y9Ym3iF6</t>
  </si>
  <si>
    <t xml:space="preserve">Devon/London </t>
  </si>
  <si>
    <t>The devastation when you smash your phone ??????????????????????????</t>
  </si>
  <si>
    <t>Atlanta g.a.</t>
  </si>
  <si>
    <t>http://t.co/Gxgm1T3W0J From Devastation to Elation Getting Back on My Feet Helping Those Willing To Help Themselves http://t.co/puMxLVLsgM</t>
  </si>
  <si>
    <t>Fascinating pics from inside North Korea. Not propaganda not devastation - just people living life. http://t.co/E2Dbcpwd9u</t>
  </si>
  <si>
    <t>Mount Vernon, NY</t>
  </si>
  <si>
    <t>Devastation: coming to a @Target and find the @Starbucks closed ?? #momneedscoffee #asap #iwontmakeit</t>
  </si>
  <si>
    <t>Jackson TN</t>
  </si>
  <si>
    <t>Currently Blasting #Benediction - #SanelessTheory -on Metal Devastation Radio-  http://t.co/siGeeQ42cZ</t>
  </si>
  <si>
    <t>Los Angeles, London, Kent</t>
  </si>
  <si>
    <t>I forgot to bring chocolate with me. Major disaster.</t>
  </si>
  <si>
    <t>Portoviejo-Manabi-Ecuador</t>
  </si>
  <si>
    <t>I'm a disaster?? https://t.co/VCV73BUaCZ</t>
  </si>
  <si>
    <t>@LovelyLikeLaura I can see why one of your favorite books is 'Beautiful Disaster' it may now be one of mine??</t>
  </si>
  <si>
    <t>chillin at ceder rapids</t>
  </si>
  <si>
    <t>Beautiful disaster // Jon McLaughlin is such a good song</t>
  </si>
  <si>
    <t>en el pais de los arrechos</t>
  </si>
  <si>
    <t>beautiful disaster https://t.co/qm5Sz0fyU8</t>
  </si>
  <si>
    <t>My first staining attempt was a disaster https://t.co/buDmKE3nNf</t>
  </si>
  <si>
    <t>I want to go back to Vegas for my 21 but I feel like that would be such a disaster lol so much money would need to be brought</t>
  </si>
  <si>
    <t>Lima, Peru</t>
  </si>
  <si>
    <t>_x0089_Û¢i'm the architect of my own disaster_x0089_Û¢</t>
  </si>
  <si>
    <t xml:space="preserve">In Your Notifications </t>
  </si>
  <si>
    <t>@Hollyorange8 my day has been a disaster of emotions</t>
  </si>
  <si>
    <t>I'm setting myself up for disaster</t>
  </si>
  <si>
    <t>Fort Worth, Texas</t>
  </si>
  <si>
    <t>What the hell is wrong with people?!communication!  Rule with an iron fist ticket to disaster.  Can't swing one day and not the next.</t>
  </si>
  <si>
    <t>@cncpts @SOLELINKS what a disaster - can't say I'm surprised</t>
  </si>
  <si>
    <t>RT @AmznFavorites THE DEVEREAUX DISASTER. 'Exciting scifi #thriller...' http://t.co/Mw9amBgAfq #SciFi #Kindle</t>
  </si>
  <si>
    <t>Four Technologies That Could Let Humans Survive Environmental Disaster - http://t.co/4RTpJrHsqe</t>
  </si>
  <si>
    <t>The @rbcinsurance quote website = disaster. Tried 3 browsers &amp;amp; 3 machines. Always get 'Missing Info' error due to a non-existant drop down.</t>
  </si>
  <si>
    <t xml:space="preserve">nearest trash can </t>
  </si>
  <si>
    <t>I'd like to think I'm photogenic but every time I see a pic with me in it I just think to myself 'gosh what a disaster' xD</t>
  </si>
  <si>
    <t xml:space="preserve">USA </t>
  </si>
  <si>
    <t>DISASTER AVERTED: Police kill gunman with _x0089_Û÷hoax device_x0089_Ûª atåÊcinema http://t.co/5NG0FzpVdS</t>
  </si>
  <si>
    <t>If Locke has to pitch in the playoffs it's not a disaster but they should absolutely positively never let him pitch the sixth inning.</t>
  </si>
  <si>
    <t>Teen Disaster Preparedness Event in Van Nuys August 11 @ 5:30pm http://t.co/fXUX987vZx via @VanNuysCouncil</t>
  </si>
  <si>
    <t>Morocco</t>
  </si>
  <si>
    <t>@Youssefyamani add Fez weather to the equation and you have the best recipe for disaster.</t>
  </si>
  <si>
    <t>@lizhphoto When I have so much shit going on in my head I'd rather talk about it than have an outburst.. Displaced aggression SUX!!</t>
  </si>
  <si>
    <t>Ojodu,Lagos</t>
  </si>
  <si>
    <t>Angry Woman Openly Accuses NEMA Of Stealing Relief Materials Meant For IDPs: An angry Internally Displaced wom... http://t.co/Khd99oZ7u3</t>
  </si>
  <si>
    <t>The year is 2065 and the national society of meme preservation has opened the first museum where memes and their origins are displaced</t>
  </si>
  <si>
    <t>? The Circular Ruins - Displaced part 4 ? http://t.co/Od2ratxRqS #nowplaying</t>
  </si>
  <si>
    <t>Displaced Persons GN (2014 Image) #1-1ST NM http://t.co/yEJt18sbm0 http://t.co/RcqacN91bE</t>
  </si>
  <si>
    <t>Magnolia</t>
  </si>
  <si>
    <t>How much would it cost to have some fat displaced? Asking for a friend.</t>
  </si>
  <si>
    <t>Angry Woman Openly Accuses NEMA Of Stealing Relief Materials Meant For IDPs: An angry Internally Displaced wom... http://t.co/6ySbCSSzYS</t>
  </si>
  <si>
    <t xml:space="preserve">Palestine </t>
  </si>
  <si>
    <t>@cityofhummus @ILNewsFlash do you want to hear more? Displaced my parents until both died in the diasporas !</t>
  </si>
  <si>
    <t>For those displaced by disasters label and legal status remain out of reach https://t.co/kJMgTEEklp</t>
  </si>
  <si>
    <t>@gfrost1985 @jeffpalmer16 @MLB @BlueJays why you so salty and scared when we have a drought like you said?</t>
  </si>
  <si>
    <t>Tips so that finding the customers ego drought: dqSVYusY</t>
  </si>
  <si>
    <t xml:space="preserve">Meereen </t>
  </si>
  <si>
    <t>Pizza drought is over I just couldn't anymore...</t>
  </si>
  <si>
    <t>@KarinaGarciaxo_ me &amp;amp; you both &amp;amp; I'll be dam if I get any of that drought bud</t>
  </si>
  <si>
    <t>Large rain drops falling in Rock Hill off Anderson Road. #rain #scwx #drought</t>
  </si>
  <si>
    <t>'It's an eerie way of revealing both our history and our possible fate.' #CADrought #LakeIsabella by @jpanzar http://t.co/pvExbIiqSK</t>
  </si>
  <si>
    <t>At Work</t>
  </si>
  <si>
    <t>Mane im not a Raiders Fan but they been in a drought. They need to go 10-6 lol</t>
  </si>
  <si>
    <t>@POTUS you until you drown by water entering the lungs. You being alive has caused this great country to fall to shit because you're a pussy</t>
  </si>
  <si>
    <t>Waialua, Hawaii</t>
  </si>
  <si>
    <t>Little gecko chillin' in my garden! I ended up helping him out I suspected he might drown!_x0089_Û_ https://t.co/wXeLa91juh</t>
  </si>
  <si>
    <t>'Save me from my self don't let me drown'.</t>
  </si>
  <si>
    <t>We all carry these things inside that no one else can see. They hold us down like anchors they drown us out at sea.</t>
  </si>
  <si>
    <t>Coconut Creek, Florida</t>
  </si>
  <si>
    <t>#NowPlaying Porcupine Tree - Drown With Me (Live) #Listen #Live at http://t.co/iyLVzy3Cob</t>
  </si>
  <si>
    <t>When you lowkey already know you're gonna drown in school this year :) http://t.co/aCMrm833zq</t>
  </si>
  <si>
    <t>icon: cheese3d</t>
  </si>
  <si>
    <t>@chromsucks don't drown</t>
  </si>
  <si>
    <t>@notoriousD12</t>
  </si>
  <si>
    <t>Throw that water at me until I drown and my last words are choke me http://t.co/tUBE4NBqNz</t>
  </si>
  <si>
    <t>Just down drown me k I can't swim https://t.co/sJoEing76t</t>
  </si>
  <si>
    <t>Some days I drown in my tears but I don't let it get me down</t>
  </si>
  <si>
    <t>@cameronhigdon34 I can't drown my demons they know how to swim.</t>
  </si>
  <si>
    <t>@GraysonDolan only if u let me drown you ??</t>
  </si>
  <si>
    <t>@Lwilliams_13 I'll drown you in the river walk</t>
  </si>
  <si>
    <t>when your moms being annoying so you turn your beats pill all the way up to drown her out.</t>
  </si>
  <si>
    <t>Morris, IL</t>
  </si>
  <si>
    <t>Ev makes me wanna drown myself he's such an idiot</t>
  </si>
  <si>
    <t>@CortneyMo_ put this in Detroit niggas gone be acting out?? tryna fuck n drown mfs????????loose they buffs in the water?? https://t.co/OAQtjawGxg</t>
  </si>
  <si>
    <t>@jasminehuerta24 I hope you drown ??</t>
  </si>
  <si>
    <t>Lynwood, CA</t>
  </si>
  <si>
    <t>gonna drown it in mustard and lemon pepper :)</t>
  </si>
  <si>
    <t>Where the money at</t>
  </si>
  <si>
    <t>My parents don't believe in the dream. Sad.</t>
  </si>
  <si>
    <t>Some older Native Australians believe that the oceans were created from the urine of an angry god who tried to drown the world.</t>
  </si>
  <si>
    <t>mi</t>
  </si>
  <si>
    <t>No one told me you can drown yourself by drinking too much water.</t>
  </si>
  <si>
    <t>Gainesville/Tampa, FL</t>
  </si>
  <si>
    <t>When a real nigga hold you down you supposed to drown</t>
  </si>
  <si>
    <t>Saint Louis, Missouri</t>
  </si>
  <si>
    <t>I keep it out down drown their insults out with what I feel is devote pride ten fold action with reprocussions set at birth retroactive.</t>
  </si>
  <si>
    <t>I am that girl on tv that sadly turns her music up to drown out the noise of her family fighting literally every day</t>
  </si>
  <si>
    <t xml:space="preserve">it's a journey </t>
  </si>
  <si>
    <t>Don't think for one second I'm out to drown your memory. Baby you ain't worth the whiskey.</t>
  </si>
  <si>
    <t>This weekend is me and Nathan's birthday weekend so if you want to drown yourself in beer do reckless things and potentially die hmu</t>
  </si>
  <si>
    <t>Layang-Layang, Perak</t>
  </si>
  <si>
    <t>Drown by Bring Me the Horizon (at Information Resources Centre (UTP)) _x0089_ÛÓ https://t.co/7vSqQSvGNI</t>
  </si>
  <si>
    <t xml:space="preserve">somewhere in Indiana </t>
  </si>
  <si>
    <t>Going to go drown my sorrows with sad music brb</t>
  </si>
  <si>
    <t>Inside your webcam. Stop that.</t>
  </si>
  <si>
    <t>@kessily @mishacollins So we should send it all 2 him then? Drown him in it? I like the way u think! #AllTheKidneyBeansAndSorbet4Misha #YES</t>
  </si>
  <si>
    <t>@_dmerida my tears drowned out the terrible taste also nataly gave me her steak and cheese thing to cheer me up</t>
  </si>
  <si>
    <t>Clev: Me? | You. Clev: Indeed. | Do you know what happened to ben? Clev: He drowned. | How. Clev: By his father. @cleverbot</t>
  </si>
  <si>
    <t>taking bath do not disturb</t>
  </si>
  <si>
    <t>i drowned in the kiddie pool and i lost my ploppy</t>
  </si>
  <si>
    <t>Alberta, VA</t>
  </si>
  <si>
    <t>http://t.co/MoA0q0AuFa Jacksonville family bands together as memorial is planned for toddler who ... - Florida_x0089_Û_ http://t.co/NKOu7zWwRT</t>
  </si>
  <si>
    <t>The Howling</t>
  </si>
  <si>
    <t>the future of america #GamerGate http://t.co/UhF7NyAbSw</t>
  </si>
  <si>
    <t>United Kingdom,Fraserburgh</t>
  </si>
  <si>
    <t>@Stephen_Georg Hey Stephen Remember that time you drowned all the yellows
Read: http://t.co/0sa6Xx1oQ7</t>
  </si>
  <si>
    <t>@ABCNews24 @PeterDutton_MP 
He also told you....No-one has drowned in the last 2 years &amp;amp; 1200 had under Labor. But let's not mention that..</t>
  </si>
  <si>
    <t>New and now: Different (FNaF fanfiction): Trixie_drowned / 2 pagesHi my awesome proxies it's ... http://t.co/366NhTg3Tz #wattpad #promo</t>
  </si>
  <si>
    <t>Pembroke NH</t>
  </si>
  <si>
    <t>at the lake 
*sees a dead fish*
me: poor little guy i wonder what happened
ashley: idk maybe it drowned
  wtf ????????</t>
  </si>
  <si>
    <t>Bayonne, NJ</t>
  </si>
  <si>
    <t>@God how come bugs haven't all drowned out of existence every time it rains?</t>
  </si>
  <si>
    <t>Colorado Springs</t>
  </si>
  <si>
    <t>http://t.co/riWuP1RbHu Jacksonville family bands together as memorial is planned for toddler who ... - Florida_x0089_Û_ http://t.co/86pkNKCHmr</t>
  </si>
  <si>
    <t>pussy so deep I could've drowned twice</t>
  </si>
  <si>
    <t>IG: AyshBanaysh</t>
  </si>
  <si>
    <t>Sometimes logic gets drowned out in emotion but it's gotta surface at some point.</t>
  </si>
  <si>
    <t>fl</t>
  </si>
  <si>
    <t>@_itsdanie_ noooo?? I almost drowned you once tho :))))</t>
  </si>
  <si>
    <t>Thank you Uplifting spirit. When Im drowned you've been an anchor</t>
  </si>
  <si>
    <t>I want to see my @AustinPearcy22 so bad its not even funny. I will probably cry and drowned him in kisses when I do. ????</t>
  </si>
  <si>
    <t>Richmond Heights, OH</t>
  </si>
  <si>
    <t>Niggas favorite question is why you single ?? bitch I don't know pussy too wet almost drowned a nigga ??????????</t>
  </si>
  <si>
    <t>The best thing about this is it drowned out the call from the guy angry cause he hadn't gotten a tracking number... http://t.co/QYu8grOrQ1</t>
  </si>
  <si>
    <t>So today I fell off a rock scraped my whole butt and nearly drowned #summer2k15</t>
  </si>
  <si>
    <t>HOPE THE DROWNED @eeasterling_2</t>
  </si>
  <si>
    <t>Tampa</t>
  </si>
  <si>
    <t>.@DinosaurDracula Felt remorse for missing Pam drowned it with these guys. Really like Jason's Part VI outfit. http://t.co/irHh2GVSeD</t>
  </si>
  <si>
    <t>All around the world!</t>
  </si>
  <si>
    <t>Given the US coalition's fondness for backing '1984'-style totalitarianism it's a surprise they haven't copied... http://t.co/58wvChg1M9</t>
  </si>
  <si>
    <t>In The Mansion</t>
  </si>
  <si>
    <t>@JanieTheKillr Jack closed the sketchbook biting his lip under his mask. 'I'm doing good. How're you?'</t>
  </si>
  <si>
    <t>forever drowning in my feelings.</t>
  </si>
  <si>
    <t>The Drowning Girl by Caitlin R. Kiernan Centipede Press Signed numbered Limited - Full re_x0089_Û_ http://t.co/mwcNVtCXVU http://t.co/ClOLmorpLd</t>
  </si>
  <si>
    <t>The Drowning Girl by Caitlin R. Kiernan Centipede Press Signed numbered Limited - Full re_x0089_Û_ http://t.co/m2YUXNqlqY http://t.co/V8GKkfMFXT</t>
  </si>
  <si>
    <t>Family mourns drowning of 'superhero' toddler with rare epilepsy: Bradley Diebold suffered hundreds of epileptic_x0089_Û_ http://t.co/unsayJDTu7</t>
  </si>
  <si>
    <t>Coventry</t>
  </si>
  <si>
    <t>Why are you drowning in low self-image? Take the quiz: http://t.co/Z8R6r3nBTb http://t.co/nAmffldh5h</t>
  </si>
  <si>
    <t>94123</t>
  </si>
  <si>
    <t>2/his explanation was that 'you request as much as you want provided you get your job done but you're constantly drowning in work!'</t>
  </si>
  <si>
    <t>The Drowning Girl by Caitlin R. Kiernan Centipede Press Signed numbered Limited - Full re_x0089_Û_ http://t.co/tCJfCkXdZL http://t.co/EmTXtGO4CE</t>
  </si>
  <si>
    <t>Hendersonville, NC</t>
  </si>
  <si>
    <t>#ICYMI #Annoucement from Al Jackson... http://t.co/7BevuJE5eP</t>
  </si>
  <si>
    <t>CT &amp; NY</t>
  </si>
  <si>
    <t>@JLabuz what if I'm drowning</t>
  </si>
  <si>
    <t>scandinavia</t>
  </si>
  <si>
    <t>don't you dare play the victim when I've been drowning for years.</t>
  </si>
  <si>
    <t>I will stay drowning till you watch #NashsNewVideo http://t.co/EpZwasEYKy http://t.co/cfevtrsc1U</t>
  </si>
  <si>
    <t>South Korea GMT+9</t>
  </si>
  <si>
    <t>SometimesI can't even breathe well
I feel like drowning and can't deal with my fear
#anxietyproblems</t>
  </si>
  <si>
    <t>Louis in red jacket round 2 aka drowning in my tears</t>
  </si>
  <si>
    <t>University of Chicago</t>
  </si>
  <si>
    <t>Epilepsy claims another. Common and still a challenge to treat. Superhero toddler with rare epilepsy (Dravet) drowns http://t.co/VBo1tjNdps</t>
  </si>
  <si>
    <t>I'm drowning in spirits to wash you out</t>
  </si>
  <si>
    <t>The Drowning Girl by Caitlin R. Kiernan Centipede Press Signed numbered Limited - Full re_x0089_Û_ http://t.co/McSEK4hX5S http://t.co/IIfGaZ0Fil</t>
  </si>
  <si>
    <t xml:space="preserve">yorkshire
</t>
  </si>
  <si>
    <t>#Islamic #state issue a new holiday #brochure lovely swimming pool for drowning in shooting range and the downside it costs a #bomb</t>
  </si>
  <si>
    <t>Coasts of Maine &amp; California</t>
  </si>
  <si>
    <t>Drowning sorrows in Jarmusch vampires.</t>
  </si>
  <si>
    <t>can still see it...blank expression...cheeks clapping in my face...marvins room playing subtlety in the back yet drowning out all the sound</t>
  </si>
  <si>
    <t>My mom is watching a show about bridges breaking/falling and the people on them drowning in their cars aka one of my biggest fears ????</t>
  </si>
  <si>
    <t xml:space="preserve">Pittsburgh </t>
  </si>
  <si>
    <t>Drowning in Actavis suicide</t>
  </si>
  <si>
    <t>What This Man Did To Save A Drowning Squirrel Is Absolutely Incredible
http://t.co/YzZXxkNiSm http://t.co/zzsEe5Hipm</t>
  </si>
  <si>
    <t>@Homukami Only URs and SRs matter Rs you'll be drowning in. Tho you're already drowning in Ns lol.</t>
  </si>
  <si>
    <t>I feel like I'm drowning inside my own body!!</t>
  </si>
  <si>
    <t>San Diego, California</t>
  </si>
  <si>
    <t>I'm drowning in hw now and that's w/o going to swim ohlordy</t>
  </si>
  <si>
    <t>Idaho</t>
  </si>
  <si>
    <t>@NWSPocatello BG-16: So far brunt of storm just to our north. Grayed out w/ dust &amp;amp; rain to N blue sky interspersed w/ clouds to S.</t>
  </si>
  <si>
    <t>Lizzy's Knee</t>
  </si>
  <si>
    <t>I keep sneezing either someone placed a southern dust storm in my house or someone talkin smack</t>
  </si>
  <si>
    <t>|| So.... I just watched the trailed for The Dust Storm and I think part of me just died.... Colin is so perfect my goodness.</t>
  </si>
  <si>
    <t>Dust devil maintenance fee - buy up la rotary storm guard: UVoPWZ</t>
  </si>
  <si>
    <t>New Mad Max Screenshots Show Off a Lovely Dust Storm Combat Magnum Opus http://t.co/45CmaQf8Ns</t>
  </si>
  <si>
    <t>A sofa</t>
  </si>
  <si>
    <t>New Mad Max Screenshots Show Off a Lovely Dust Storm Combat Magnum Opus http://t.co/QHbzKErOTt #cogXbox #XboxOne #Xbox</t>
  </si>
  <si>
    <t>The answer my friend is yelling in the wind-my latest article for http://t.co/LbMeKYphM5.Pls read and share - thanks! http://t.co/9NwAJLi9cr</t>
  </si>
  <si>
    <t>_x0089_Û¢5_x0089_Û¢12_x0089_Û¢14_x0089_Û¢ | åÈ#SaviourSquadåÇ</t>
  </si>
  <si>
    <t>I NEED THE DUST STORM FILM ASAP
ALSO
*watches the trailer for the 500th time* @duststormfilm</t>
  </si>
  <si>
    <t>Near Yosemite</t>
  </si>
  <si>
    <t>6 Things Getting Caught in a Dust Storm &amp;amp; the Challenging Real Estate Market Have in Common (+ video): http://t.co/jf5Ft5cq9j</t>
  </si>
  <si>
    <t>The Harbinger.</t>
  </si>
  <si>
    <t>@LegacyOfTheSith @SagaciousSaber @Lordofbetrayal Moved in a crescent formation small trails of dust left in their wake as they moved.</t>
  </si>
  <si>
    <t>New Mad Max Screenshots Show Off a Lovely Dust Storm Combat Magnum Opus http://t.co/VRpmplcZCY</t>
  </si>
  <si>
    <t>Dutch/English/German</t>
  </si>
  <si>
    <t>New Mad Max Screenshots Show Off a Lovely Dust Storm Combat Magnum Opus http://t.co/MUdgU1pUNS http://t.co/AQxwOLbCfq</t>
  </si>
  <si>
    <t>Put the RIGHT person up on the block #Shelli??? The sense of entitlement is ridiculous. #BB17.</t>
  </si>
  <si>
    <t>oklahoma</t>
  </si>
  <si>
    <t>Posted a new song: 'Earthquake' http://t.co/RfTyyZ4GwJ http://t.co/lau0Ay7ahV</t>
  </si>
  <si>
    <t>a box</t>
  </si>
  <si>
    <t>@AGeekyFangirl14 's things she looks in a significant other:
1. Beautiful eyes.
2. Humor.
3. Farts that creates an earthquake.
????????</t>
  </si>
  <si>
    <t>Barcelona, Spain</t>
  </si>
  <si>
    <t>ML 2.0 SICILY ITALY http://t.co/z6hxx6d2pm #euroquake</t>
  </si>
  <si>
    <t>Okuma Town, Fukushima</t>
  </si>
  <si>
    <t>[GPV Wind] As of 06JST 6AUG: WNW 06JST 6AUG / E 12JST 6AUG / S 18JST 6AUG. http://t.co/l6jBjAj8dm</t>
  </si>
  <si>
    <t>There has not been 1 real tear out of #Shelli 's eyes this entire episode. #bb17</t>
  </si>
  <si>
    <t>#USGS M 1.4 - 4km E of Interlaken California: Time2015-08-06 00:52:25 UTC2015-08-05 17:52:25 -07:00 at ep... http://t.co/zqrcptLrUM #SM</t>
  </si>
  <si>
    <t>#Sismo M 1.3 - 1km NNE of The Geysers California: Time2015-08-05 23:40:21 UTC2015-08-05 16:40:21 -07:00 a... http://t.co/x6el3ySYcn #CS</t>
  </si>
  <si>
    <t>Orm</t>
  </si>
  <si>
    <t>Earthquake drill ??????</t>
  </si>
  <si>
    <t>Here.</t>
  </si>
  <si>
    <t>@Adanne___ kindly follow back</t>
  </si>
  <si>
    <t>@devon_breneman hopefully it doesn't electrocute your heated blanket lmao</t>
  </si>
  <si>
    <t>Kids got Disney version of the game Operation only 2 AA batteries? I swear my old version had like 8 Ds and would nearly electrocute you.</t>
  </si>
  <si>
    <t>BOT ACCOUNT</t>
  </si>
  <si>
    <t>Elecman could electrocute me and I'd say thanks.</t>
  </si>
  <si>
    <t>when you got an extension cord that extends from your bed to your bath tub ?? lets pray I don't electrocute myself</t>
  </si>
  <si>
    <t>#otrakansascity</t>
  </si>
  <si>
    <t>I wanna tweet a 'niall thx for not making me was to electrocute myself' tweet but I'm scared I'll jinx it</t>
  </si>
  <si>
    <t>Dalkeith, Scotland</t>
  </si>
  <si>
    <t>Wtf Thomas Edison after making the lightbulb used to electrocute animals to make everyone think Teslas power was unsafe???? wank</t>
  </si>
  <si>
    <t>Durand, MI</t>
  </si>
  <si>
    <t>Achievement Unlocked: Replaced Light Socket; Did Not Electrocute Self</t>
  </si>
  <si>
    <t>Electrocute yourself</t>
  </si>
  <si>
    <t>@i_electroCute your turn ??</t>
  </si>
  <si>
    <t>Forging my Story</t>
  </si>
  <si>
    <t>@ZXAThetis 'Are you okay?! I electrocute you TOO badly right?'</t>
  </si>
  <si>
    <t>The Sea Will Electrocute Us All ??</t>
  </si>
  <si>
    <t>Electric vs Gas brewing (not wanting to electrocute myself) question http://t.co/26oo0fcL53</t>
  </si>
  <si>
    <t>@danisnotonfire don't let Phil help out he'll probably electrocute himself</t>
  </si>
  <si>
    <t>Mass</t>
  </si>
  <si>
    <t>@Mmchale13 *tries to electrocute self with phone cord*</t>
  </si>
  <si>
    <t xml:space="preserve">14/cis/istj </t>
  </si>
  <si>
    <t>I'm not the mom friend but I still see my friends as my little babies that I have to care for or else they'll electrocute themselves</t>
  </si>
  <si>
    <t>Why does my phone electrocute me when it's charging</t>
  </si>
  <si>
    <t>She says that she'd love to come help but
The sea would....
Electrocute us all... ??????????</t>
  </si>
  <si>
    <t xml:space="preserve">Michigan </t>
  </si>
  <si>
    <t>It is freezing in my room &amp;amp; I erally want to unplug the ac but I don't want to electrocute myelf and die</t>
  </si>
  <si>
    <t>i need u to delete this before i start crying into my computer and electrocute myself https://t.co/9ZMWT9XYdz</t>
  </si>
  <si>
    <t>@lightseraphs pissed at you and could have their pikachu electrocute you and :\\\</t>
  </si>
  <si>
    <t>Let her go - Passenger</t>
  </si>
  <si>
    <t>where I'm supposed to be</t>
  </si>
  <si>
    <t>@Omar_molina036 @Milioooo_ he's trying to electrocute ya ass lol hell no I ain't fucking with Emilio no more ????????</t>
  </si>
  <si>
    <t>Kutztown, PA</t>
  </si>
  <si>
    <t>Kayla is about to electrocute herself.</t>
  </si>
  <si>
    <t>no but seriously I will electrocute half of UK Army's so I can touch bangtan i do not play games when it comes to bts</t>
  </si>
  <si>
    <t>Photo: weallheartonedirection: I wouldn_x0089_Ûªt let David electrocute himself so I_x0089_Ûªm the asshole http://t.co/uWiJMEGl4E</t>
  </si>
  <si>
    <t>I would like to electrocute everyone who uses the word 'fair' in connection with income tax policies. - William F. Buckley Jr.</t>
  </si>
  <si>
    <t>Photo: weallheartonedirection: I wouldn_x0089_Ûªt let David electrocute himself so I_x0089_Ûªm the asshole http://t.co/OEr5Hh41Ew</t>
  </si>
  <si>
    <t>Cairo, Egypt.</t>
  </si>
  <si>
    <t>But the sea would..electrocute us all.</t>
  </si>
  <si>
    <t>@el_torro_loco We can hear the conversation now... 'Sorry senator we thought you said 'electrocute' 50 million...' etc.</t>
  </si>
  <si>
    <t>THE LINKS TO WATCH THE SHOW BETTER WORK OR I MIGHT ELECTROCUTE SOMEONE</t>
  </si>
  <si>
    <t>When I was cooking earlier I got electrocuted some crucial ?????? now I'm psychic lol</t>
  </si>
  <si>
    <t>'Hey bitch blow me' uh no. Stick your dick in some water then an outlet so u get electrocuted..</t>
  </si>
  <si>
    <t>christie keeps telling me that i need to be electrocuted</t>
  </si>
  <si>
    <t>So I had my phone charging and lightening struck in my backyard and I was holding my phone and it electrocuted my hand???? hurts so bad man??</t>
  </si>
  <si>
    <t>I got electrocuted this morning how is your day going? ??</t>
  </si>
  <si>
    <t>'Why am I being constantly electrocuted?' 'I don't know. Are you by chance standing next to a cactus?'#Borderlands #Borderlands2 #OOCVG #FTW</t>
  </si>
  <si>
    <t>Woman electrocuted #Red #Redblood #videoclip http://t.co/9PYmM2RUWf #</t>
  </si>
  <si>
    <t>@That_fat_guy there's literally a video of an elephant he had tied up in metal cables and electrocuted to death</t>
  </si>
  <si>
    <t>Fr cuz I risk being electrocuted every shower ?? https://t.co/nWQ6wJQk1z</t>
  </si>
  <si>
    <t>@steveycheese99 @MapMyRun where you being electrocuted all the way round? The map sure looks like it.</t>
  </si>
  <si>
    <t>got electrocuted last night at work for the first time in my life.... shit was weird ????</t>
  </si>
  <si>
    <t>Hampshire UK</t>
  </si>
  <si>
    <t>.@BBCNews .@mwlippert #SouthKorea Dogs prepared!Electrocutedboiling waterfur machine ALL STILL ALIVE http://t.co/3a50DhZ7YI</t>
  </si>
  <si>
    <t>Oblivion?</t>
  </si>
  <si>
    <t>Just thought I'd let you all know...
It's probably not a good idea to plug in your hairdryer when it's wet you will be electrocuted.</t>
  </si>
  <si>
    <t>I was working out today and i sweated SO MUCH like i though i was gonna get electrocuted by earbuds omg</t>
  </si>
  <si>
    <t>Newcastle, England</t>
  </si>
  <si>
    <t>Also my iPhone charger is broken and I just electrocuted myself.</t>
  </si>
  <si>
    <t>It was a queer sultry summer the summer they electrocuted the Rosenbergs and I didn't know what I was doing in New York.</t>
  </si>
  <si>
    <t>seriously look like a get electrocuted after I blow dry my hair it's really attractive ??</t>
  </si>
  <si>
    <t>God damn it!!! I electrocuted myself ??</t>
  </si>
  <si>
    <t>Elsa is gonna end up getting electrocuted. She's gonna end up like that cat from christmas vacation.</t>
  </si>
  <si>
    <t>I'm in the shower and I went to go change the song and of course I get fucking electrocuted by the cord</t>
  </si>
  <si>
    <t>Not being able to touch anything or anyone in Penneys without being electrocuted ??</t>
  </si>
  <si>
    <t>A whistleblower lawsuit accuses that supervisor of sleeping on the job more than once according to officials. 
http://t.co/IPwySnik0G</t>
  </si>
  <si>
    <t>Emergency Dispatchers in Boone County in the hot seat http://t.co/5fHkxtrhYU</t>
  </si>
  <si>
    <t>Survival Kit Whistle Fire Starter Wire Saw Cree Torch Emergency Blanket S knife  - Full re_x0089_Û_ http://t.co/2OroYUNYM2 http://t.co/C9JnXz3DXC</t>
  </si>
  <si>
    <t>Columbus ?? North Carolina</t>
  </si>
  <si>
    <t>Emergency surgery</t>
  </si>
  <si>
    <t>Deals : http://t.co/ddhWoRI5w1 #37592 Temporary Fake Tooth Teeth Replacement Kit Emergency Dental Oral Care Cosme_x0089_Û_ http://t.co/ZCvfC500yY</t>
  </si>
  <si>
    <t>God forbid anyone in my family knows how to answer a phone. I need new emergency contacts.</t>
  </si>
  <si>
    <t>Davao City</t>
  </si>
  <si>
    <t>'The day you learn the importance of emergency exits is the day your heartbeat stops sounding familiar.'</t>
  </si>
  <si>
    <t>Based out of Portland, Oregon</t>
  </si>
  <si>
    <t>@newyorkcity for the #international emergency medicine conference w/ Lennox Hill hospital and #drjustinmazur</t>
  </si>
  <si>
    <t>Wildomar, CA</t>
  </si>
  <si>
    <t>When your child needs emergency care they can be seen in our Emergency Department by @radychildrens Specialists! http://t.co/IGwsTTTkWK</t>
  </si>
  <si>
    <t>STL Ace Grille - Surface Mounts SpeedTech Lights - Amber Emergency Lights - 544 http://t.co/t6Seku4yvm http://t.co/TJOZ4u4txl</t>
  </si>
  <si>
    <t>buhh</t>
  </si>
  <si>
    <t>the new quest type is 'level up quest'. its an always present quest with x2 exp designed to help people level up outside of emergency quests</t>
  </si>
  <si>
    <t>11000 SEEDS 30 VEGETABLE FRUIT VARIETY GARDEN KIT EMERGENCY SURVIVAL GEAR MRE  - Full rea_x0089_Û_ http://t.co/DchfPXgY2m http://t.co/UgHpTzjuLK</t>
  </si>
  <si>
    <t>Emergency root canal!! #tookitlikeaman #lovemydentist #sore</t>
  </si>
  <si>
    <t>@runner_joy yes; especially new clients that walk in and think a wart is an emergency.</t>
  </si>
  <si>
    <t>#Anchorage #Jobs Emergency Medicine - Nurse Practitioner - Healthcare Recruitment Counselors (Wasilla AK): Em... http://t.co/LKz5cNYNxX</t>
  </si>
  <si>
    <t>Setting Up An Emergency Fund In 3 Easy Steps: You never know when a surprise expense will pop up. So work up t... http://t.co/Iz17kLelZC</t>
  </si>
  <si>
    <t>The eyes of the nation &amp;amp; broader conservation community are on #Alaska @AKGovBillWalker reinstate emergency buffer #ProtectDenaliWolves</t>
  </si>
  <si>
    <t>Loans until settlement day ??_x0089_ÛÏ emergency money advances treasure-house self outbreed yours below take-home: AKx</t>
  </si>
  <si>
    <t>From @LeanDOTorg: Lean Thinking for Quicker Police Emergency Response Time http://t.co/suZBkyW5TT</t>
  </si>
  <si>
    <t>Busty blonde teen Natalia Starr fucks the security guard on set http://t.co/qew4c5M1xd View and download video</t>
  </si>
  <si>
    <t>Renfrew, Scotland</t>
  </si>
  <si>
    <t>@batfanuk we enjoyed the show today. Great fun. The emergency non evacuation was interesting. Have a great run.</t>
  </si>
  <si>
    <t>I'm glad when I call someone it's not an emergency since they never answer their phones or call back??</t>
  </si>
  <si>
    <t>Kuala Lumpur, Malaysia</t>
  </si>
  <si>
    <t>To Supply and Install New FRP Emergency Slide  at Tunas KijangBank Negara Malaysia [Closing Date: 2015-08-14]... http://t.co/ZpqwKHFhNf</t>
  </si>
  <si>
    <t xml:space="preserve">Antioch, CA </t>
  </si>
  <si>
    <t>4 Printable Emergency Plan Templates
http://t.co/nAex0Q1Ax0</t>
  </si>
  <si>
    <t>Reddit</t>
  </si>
  <si>
    <t>http://t.co/F7LJwxJ5jp #GamerGate The end of Reddit is coming. It's time we devise an Emergency Evacuation Plan.</t>
  </si>
  <si>
    <t>Nieces these are especially good for you with the kids.
Megan Swanger Ruthann McCormick Daisy Henley... http://t.co/Dl60JA06TW</t>
  </si>
  <si>
    <t>Bakersfield, CA</t>
  </si>
  <si>
    <t>Good tips! Does your family have an emergency plan?  ... http://t.co/r5BgVLqPJt http://t.co/MEHWKZwtXD</t>
  </si>
  <si>
    <t>Nagpur</t>
  </si>
  <si>
    <t>Govt plan for Rs40000Cr lifeline to FCI waste of money ask people to store grains fr 3_6_12 months fr emergency enough capacity available nw</t>
  </si>
  <si>
    <t>Do you know the emergency plan at your workplace? If not ask your supervisor or operations manager. #Retail</t>
  </si>
  <si>
    <t>Surrey &amp; Manchester</t>
  </si>
  <si>
    <t>NHS England announces new plan to meet emergency care targets http://t.co/0x2BIEqXPV</t>
  </si>
  <si>
    <t>Fort Myers, Florida</t>
  </si>
  <si>
    <t>Cool Tips from our friends at Counterstrike Security &amp;amp; Sound.... http://t.co/z5Y4Xr14W6</t>
  </si>
  <si>
    <t>@RebeccaforReal accepts Wisconsin Emergency Response Plan on behalf of @GovWalker #nbc15 http://t.co/Pis0aiVRbR</t>
  </si>
  <si>
    <t>Cruise's 'M:I 5' emergency plan: Awesome fail http://t.co/H3dCh6Fyaw</t>
  </si>
  <si>
    <t>North Hastings Ontario</t>
  </si>
  <si>
    <t>Practice your families fire escape plan so everyone knows what to do in case of an emergency.</t>
  </si>
  <si>
    <t>Indiana</t>
  </si>
  <si>
    <t>Do you have a plan? Emergency Preparedness for #Families of
Children with Special Needs  http://t.co/RdOVqaUAx5  #autism #specialneeds</t>
  </si>
  <si>
    <t>Do you have an emergency drinking water plan? Download guide in English Spanish French Arabic or Vietnamese. http://t.co/S0ktilisKq</t>
  </si>
  <si>
    <t>Augusta, GA</t>
  </si>
  <si>
    <t>County 911 Overload Prompts Use of Emergency Plan During July 4 Celebrations http://t.co/HXTUPrA5bc http://t.co/DqxKJibbKy</t>
  </si>
  <si>
    <t>@chillimik @HushLegs haha ??????..Are you really comparing yourselves to the emergency services! Thats brilliant! talk about up your own arse!</t>
  </si>
  <si>
    <t>Torrance, CA</t>
  </si>
  <si>
    <t>Join the Providence Health &amp;amp; Services team! See our latest #Nursing #job opening here: http://t.co/i3hZemlDpU #Torrance CA #Hiring</t>
  </si>
  <si>
    <t>Emergency Services Committee and Personnel Committee Meeting on Thursday Night http://t.co/DrBcRyPj4p</t>
  </si>
  <si>
    <t>CA, AZ &amp; NV</t>
  </si>
  <si>
    <t>We're #hiring! Read about our latest #job opening here: RN Nurse Shift Manager Emergency Services - Full time... - http://t.co/sNuBZA6KSC</t>
  </si>
  <si>
    <t>#veterans VET Act would ensure every military veteran's access to highest level of emergency care services: Proper treatmen...  #followme</t>
  </si>
  <si>
    <t>Emergency services unsure how to cope with loss of paging network http://t.co/UXqKIeqDyf</t>
  </si>
  <si>
    <t>Brooklyn locksmith: domesticate emergency mechanic services circa the clock movement!: gba http://t.co/1Q6ccFfzV6</t>
  </si>
  <si>
    <t>Orange County, NY</t>
  </si>
  <si>
    <t>Public Hearing on 2015-16 @SUNY_Orange budget Thurs 8/6 at 3:15 Emergency Services Ctr Goshen. http://t.co/80DzgCo6Vc</t>
  </si>
  <si>
    <t>Henderson, Nevada</t>
  </si>
  <si>
    <t>Apply now to work for Dignity Health as #RN #Emergency Services Full Time 7a-7:30p Siena Campus in #Henderson #jobs http://t.co/FDiU44jLDJ</t>
  </si>
  <si>
    <t>Want to work in #MissionHills CA? View our latest opening: http://t.co/ZsnSaR1Tw1 #Nursing #Job #Jobs #Hiring</t>
  </si>
  <si>
    <t>The #tubestrike is because TFL workers may have trouble planning downtime. I hope none need emergency services. http://t.co/iCSFDSiFqb</t>
  </si>
  <si>
    <t>Nevada, USA</t>
  </si>
  <si>
    <t>Can you recommend anyone for this #job? RN Emergency Services Full Time 3p - 3\:30a Rose de Lima Campus - http://t.co/xQrLEWiA4x #Hiring</t>
  </si>
  <si>
    <t>Alaska</t>
  </si>
  <si>
    <t>#Healthcare #Job in #Kodiak AK: Emergency Services Supervisor - Emergency... at Providence Health &amp;amp; Services http://t.co/8KJ1wDAiGj #Jobs</t>
  </si>
  <si>
    <t>Whippany, NJ</t>
  </si>
  <si>
    <t>Air Group is here to the rescue! We have 24/7 Emergency Service! Learn more about it here - http://t.co/9lyx7zMtHE http://t.co/5PbC96rTMJ</t>
  </si>
  <si>
    <t>Want to work at Swedish Health Services? We're #hiring in #Seattle WA! Click for details: http://t.co/4KDThCtEmV #Nursing #Job #Jobs</t>
  </si>
  <si>
    <t>We're #hiring! Read about our latest #job opening here: Emergency Department Psychiatric RN (.90 FTE Day) - http://t.co/zOEpZsOkY1</t>
  </si>
  <si>
    <t>Kodiak, AK</t>
  </si>
  <si>
    <t>Providence Health &amp;amp; Services: Emergency Services Supervisor - Emergency Department... (#Kodiak AK) http://t.co/AQcSUSqbDy #Healthcare #Job</t>
  </si>
  <si>
    <t>Want to work in #Tarzana CA? View our latest opening: http://t.co/hkyFKug5zW #Nursing #Job #Jobs #Hiring</t>
  </si>
  <si>
    <t>beyond stressed beyond hysteria into the grey misty indifference of complete shutdown of all but emergency services in my brain</t>
  </si>
  <si>
    <t>@swayoung01 Hi I thought that I recognised your smile. I believe that the Emergency Services are the best Performing Arts followers Simon.</t>
  </si>
  <si>
    <t>Park Ridge, Illinois</t>
  </si>
  <si>
    <t>Our doctors and nurses in the new Pediatric Emergency Department are all specialized in child services! http://t.co/k1TMLWvjmJ</t>
  </si>
  <si>
    <t>#MissionHills CA #Nursing : Registered Nurse - Emergency Department ( Full Time... at Providence Health &amp;amp; Services http://t.co/Z5grLREy6V</t>
  </si>
  <si>
    <t>Fleet/Oxford, UK</t>
  </si>
  <si>
    <t>just got engulfed in a car-induced tidal wave on my run... I thought this only happened in the movies ????</t>
  </si>
  <si>
    <t>@FNAF_TalkMC *stands there engulfed in the fire smiling*</t>
  </si>
  <si>
    <t>Do you feel engulfed with low self-image? Take the quiz: http://t.co/ykVsttvDWo http://t.co/IFQQpUr99X</t>
  </si>
  <si>
    <t>michael is engulfed by that jumper</t>
  </si>
  <si>
    <t>Why are you engulfed by low self-image? Take the quiz: http://t.co/CImUbwEyiB http://t.co/9R5FstS7Bd</t>
  </si>
  <si>
    <t>Rochester, NY</t>
  </si>
  <si>
    <t>When Your Cake Is Engulfed In Flames #LiteraryCakes</t>
  </si>
  <si>
    <t>Why tf did I decide to workout today? My body feels like it's been engulfed by a mass of fiery disdain.</t>
  </si>
  <si>
    <t>Do you feel engulfed with low self-image? Take the quiz: http://t.co/YzDmouXQBO http://t.co/PeXfgawrG1</t>
  </si>
  <si>
    <t>Nevada (wishing for Colorado)</t>
  </si>
  <si>
    <t>Man is equally incapable of seeing the nothingness from which he emerges and the infinity in which he is engulfed -- Blaise Pascal</t>
  </si>
  <si>
    <t>@suelinflower there is no words to describe the physical painthey ripped you apart while you screamed for dear lifeits like been engulfed</t>
  </si>
  <si>
    <t>@ZachZaidman @670TheScore wld b a shame if that golf cart became engulfed in flames. #boycottBears</t>
  </si>
  <si>
    <t>Kenosha, WI 53143</t>
  </si>
  <si>
    <t>Why are you engulfed by low self-image? Take the quiz: http://t.co/I9dSPDKrUK http://t.co/NEp5aZwKNA</t>
  </si>
  <si>
    <t>Do you feel engulfed with low self-image? Take the quiz: http://t.co/WPlrhBFHeE http://t.co/eelEx4SSVF</t>
  </si>
  <si>
    <t xml:space="preserve">London/Surrey </t>
  </si>
  <si>
    <t>@carneross indeed and a remarkably puny idea to place at the epicentre of a new post-capitalism epoch</t>
  </si>
  <si>
    <t>[Question] Is anybody else having this problem with the '7' circle in Epicentre? http://t.co/dsPWS6hJ8w</t>
  </si>
  <si>
    <t>Tomorrow kick off your weekend with drinks &amp;amp; entertainment @AliveAfter5 http://t.co/sC4TWJkxr1 http://t.co/yN6DuOtimr</t>
  </si>
  <si>
    <t>@elisagxrcia I think of that every time I go to the epicentre haha</t>
  </si>
  <si>
    <t>This Friday!!! Club Vault 3rd Floor EpiCentre http://t.co/7nU7pRxeul</t>
  </si>
  <si>
    <t>#Tanzania elephant population declined by 60% in five years census reveals http://t.co/YxtZbTVMhm http://t.co/7jGgqwbv6S</t>
  </si>
  <si>
    <t>CLT</t>
  </si>
  <si>
    <t>I need a spot w| some drink specials. I'm kinda tired of the epicentre</t>
  </si>
  <si>
    <t>September 15 Defeater at the Epicentre hell yeaahh</t>
  </si>
  <si>
    <t>How a little studio in the middle of nowhere is becoming the epicentre of communication. http://t.co/iCRgseAGYA http://t.co/KpvYmHM2uB</t>
  </si>
  <si>
    <t>Epicentre - Cydia Tweak - https://t.co/WKmfDig3nT | Thanks to @phillipten.</t>
  </si>
  <si>
    <t>Cydia</t>
  </si>
  <si>
    <t>[Question] Is anybody else having this problem with the '7' circle in Epicentre? via /r/jailbreak http://t.co/48TPnmbJVG</t>
  </si>
  <si>
    <t>'So again make sure to evacuate past the fire doors. Any questions? Yes?'
'Why would we open the doors to the fire!!?!??!?'
I...I..I cant</t>
  </si>
  <si>
    <t>17-Feb</t>
  </si>
  <si>
    <t>Okay I need all of you to evacuate the house so I can write this poem</t>
  </si>
  <si>
    <t>New Britain, CT</t>
  </si>
  <si>
    <t>Cascada - Evacuate The Dancefloor (Official Video) https://t.co/OHCx3y8l4s via @YouTube</t>
  </si>
  <si>
    <t>FWD: I literally jumped out of bed put on beach clothes and ran out my door like I had to evacuate for an apocalypse</t>
  </si>
  <si>
    <t>Pls can alllll the nittys evacuate stockwell</t>
  </si>
  <si>
    <t>cancel the fucking show. Evacuate MetLife  https://t.co/SkQ8oUcM3R</t>
  </si>
  <si>
    <t>LA - everywhere</t>
  </si>
  <si>
    <t>Jay and alexis broke up there goes all your faith and goals people... evacuate yourself</t>
  </si>
  <si>
    <t>louis is sad. cancel the show now. everyone leave. evacuate. this CANNOT go on.</t>
  </si>
  <si>
    <t>Rochester</t>
  </si>
  <si>
    <t>No don't evacuate the students just throw them in the dungeon. That is stupid.</t>
  </si>
  <si>
    <t>The summer program I worked for went the city pool we had to evacuate because one of my kids left a surprise. @jimmyfallon #WorstSummerJob</t>
  </si>
  <si>
    <t xml:space="preserve">FLYEST HIPPIE YOU KNOW </t>
  </si>
  <si>
    <t>30 seconds for my bitches to evacuate ??????</t>
  </si>
  <si>
    <t>quick shut down the show take the stage down evacuate everyone from mthe premises Louis is upset</t>
  </si>
  <si>
    <t>St. Catharines, Ontario</t>
  </si>
  <si>
    <t>Evacuate from your life.</t>
  </si>
  <si>
    <t>Wow. #FIFA16 has Pre Season Tournaments in Career Mode. Bloody hell evacuate the building #whocares</t>
  </si>
  <si>
    <t>Perhaps the criminal murderous #nazis should pack their bags &amp;amp; evacuate themselves from London &amp;amp; all #UK? #TubeStrike WELL DONE!</t>
  </si>
  <si>
    <t>Hackney, London</t>
  </si>
  <si>
    <t>@missleylaha I didn't get to buy one after the last London show because the fire alarm went off and everyone had to be evacuated. hahahaha</t>
  </si>
  <si>
    <t>Harpurhey, Manchester, UK</t>
  </si>
  <si>
    <t>Trafford Centre film fans angry after Odeon cinema evacuated following false fire alarm   http://t.co/6GLDwx71DA</t>
  </si>
  <si>
    <t>Ahrar Al Sham: In our negotiations with Iran over Al Zabadani they wanted all Sunnis evacuated out of Al Zabadani!</t>
  </si>
  <si>
    <t>I got evacuated from the cinema 30 mins through Inside Out
Kill me please</t>
  </si>
  <si>
    <t>FAAN orders evacuation of abandoned aircraft at MMA http://t.co/dEvYbnVXGQ via @todayng</t>
  </si>
  <si>
    <t>EIU  Chucktown/LaSalle IL</t>
  </si>
  <si>
    <t>@Eric_Bulak @jaclynsonne @_OliviaAnn_ I was looking for you guys on the live stream. I'm guessing the evacuation cost you the front?</t>
  </si>
  <si>
    <t>sydney, australia</t>
  </si>
  <si>
    <t>my school just put the evacuation alarms on accidently with 2 different trial exams happening are you kidding me</t>
  </si>
  <si>
    <t>ÌÏT: 43.631838,-79.55807</t>
  </si>
  <si>
    <t>INK Entertainment Addresses Veld Evacuation and Refund Status http://t.co/vKu3RtOZ1J #TRC via @TorontoRC</t>
  </si>
  <si>
    <t>This is an evil generation
Rock and roll evacuation!
As far as the eye can see!
(Hey hey hey hey!)</t>
  </si>
  <si>
    <t>The Empire/First Order</t>
  </si>
  <si>
    <t>@ariabrisard @leiaorganasolo Good. Play along with her. You may begin your operation with the death star. The evacuation is nearly complete.</t>
  </si>
  <si>
    <t>Brisbane, Queensland</t>
  </si>
  <si>
    <t>Evacuation drill at work. The fire doors wouldn't open so i got to smash the emergency release glass #feelingmanly</t>
  </si>
  <si>
    <t xml:space="preserve"> |IG: imaginedragoner</t>
  </si>
  <si>
    <t>If Ryan doesn't release new music soon I might explode</t>
  </si>
  <si>
    <t>Learn How I Gained Access To The Secrets Of The Top Earners &amp;amp; Used Them To Explode My Home Business Here: http://t.co/SGXP1U5OL1 Please #RT</t>
  </si>
  <si>
    <t>@NoahCRothman Bore him with minutiae serve bad champagne. He may just explode.</t>
  </si>
  <si>
    <t>London / Berlin / Online</t>
  </si>
  <si>
    <t>'I eat because it makes my mouth explode with joy and my soul rise upwards.' ~ http://t.co/mOdM8X1Ot9 http://t.co/oSsC7Q12iR</t>
  </si>
  <si>
    <t>Williamsburg, VA</t>
  </si>
  <si>
    <t>Housing Starts Explode to NewåÊHeights http://t.co/IGlnQpgbNW http://t.co/aOesBVns45</t>
  </si>
  <si>
    <t>@Annealiz1 You are going to make the internet explode with this Dr. Simon. O_o ... Was he alone or was there a red-head nearby? LOL</t>
  </si>
  <si>
    <t xml:space="preserve">emily | helen | shelley </t>
  </si>
  <si>
    <t>@attjcdemos @folieacat well we all knew her old user was like a timebomb ... destined to explode :/</t>
  </si>
  <si>
    <t>New Orleans, Louisiana</t>
  </si>
  <si>
    <t>See these guys reaching the front foot out loading the shoulders and spinning? Neither do I!  #hitting #load&amp;amp;explode http://t.co/6VeI1mheA4</t>
  </si>
  <si>
    <t>Yamaku Academy, Class 3-4</t>
  </si>
  <si>
    <t>KS except every character is Shizune.
The world would explode.</t>
  </si>
  <si>
    <t>Whether you like it or not everything comes out of the dark be ready for that shit to explode ??</t>
  </si>
  <si>
    <t>It's cold and my head wants to explode.. The joys of working from home - I'm going back to bed / peace out ????</t>
  </si>
  <si>
    <t>Spring Grove, IL</t>
  </si>
  <si>
    <t>If Schwarber ran into me going that fast I would explode into pieces</t>
  </si>
  <si>
    <t>i swea it feels like im about to explode ??</t>
  </si>
  <si>
    <t>my brain id about to explode lmao</t>
  </si>
  <si>
    <t>Bloomington, IN</t>
  </si>
  <si>
    <t>After having two cans explode I wanted to drink the rest but these ... (Kaldi Coffee Stout) http://t.co/u6isXv2F3V #photo</t>
  </si>
  <si>
    <t>Learn How I Gained Access To The Secrets Of The Top Earners &amp;amp; Used Them To Explode My Home Business Here: http://t.co/UcLVIhwOEC Please #RT</t>
  </si>
  <si>
    <t>Versions of KS where if a character was /every/ character world would explode.
Rin
Shizune
Misha
Emi
Kenji
Yuuko
Nomiya
Hisao</t>
  </si>
  <si>
    <t>Philadelphia Eagles_x0089_Ûª Jordan Matthews Is Going To Explode In 2015 http://t.co/rRq1ildkiL #news #hotnewscake</t>
  </si>
  <si>
    <t>Whitby, ON</t>
  </si>
  <si>
    <t>I'm about to explode ????</t>
  </si>
  <si>
    <t>Learn How I Gained Access To The Secrets Of The Top Earners &amp;amp; Used Them To Explode My Home Business Here: http://t.co/8rABhQrTh5 Please #RT</t>
  </si>
  <si>
    <t>Kajang ? UiTM Puncak Alam</t>
  </si>
  <si>
    <t>My head gonna explode soon</t>
  </si>
  <si>
    <t>@deniseromano @megynkelly @GOP That's one way to make their heads explode...</t>
  </si>
  <si>
    <t>Block the plate with a charging Schwarber coming down the line Cervelli. I dare you. You would explode into a little puff of smoke</t>
  </si>
  <si>
    <t>? Philly Baby ?</t>
  </si>
  <si>
    <t>My brains going to explode i need to leave this house. Ill be out smoking packs if you need me</t>
  </si>
  <si>
    <t>Cleveland, TN</t>
  </si>
  <si>
    <t>VINE OF THE YEAR OH MY GOD I AM ABOUT TO EXPLODE https://t.co/cnxXmfFRae</t>
  </si>
  <si>
    <t>they/them</t>
  </si>
  <si>
    <t>tagged by @attackonstiles 
millions
a-punk
hang em high
alpha dog
yeah boy and doll face
little white lies
explode http://t.co/lAtsSUo4wS</t>
  </si>
  <si>
    <t>Learn How I Gained Access To The Secrets Of The Top Earners &amp;amp; Used Them To Explode My Home Business Here: http://t.co/e84IFMCczN Please #RT</t>
  </si>
  <si>
    <t>my deli</t>
  </si>
  <si>
    <t>what if i want to fuck the duck until explode. it could be greasy</t>
  </si>
  <si>
    <t>All these people explode ????</t>
  </si>
  <si>
    <t>Learn How I Gained Access To The Secrets Of The Top Earners &amp;amp; Used Them To Explode My Home Business Here: http://t.co/dHaMbP54Ya Please #RT</t>
  </si>
  <si>
    <t>@Anonchimp think its a tie with thunderstorms tho they make my soul explode...</t>
  </si>
  <si>
    <t>My head is gonna explode</t>
  </si>
  <si>
    <t>I'm ready to explode! http://t.co/OwJe3i6yGN</t>
  </si>
  <si>
    <t>@DelDryden If I press on the twitch will my head explode?</t>
  </si>
  <si>
    <t>Toronto going crazy for the blue jays. Can you imagine if the leafs get good? The city might literally explode.</t>
  </si>
  <si>
    <t>Trost District</t>
  </si>
  <si>
    <t>@CrimsonFuckingV @BitchL0veCannon Even you have to admit Seras that Sasha was a cute peice of ass. Then she exploded all over the sidewalk.</t>
  </si>
  <si>
    <t>A tin of Tesco dog food 'exploded' and prompted THIS complaint - via @chelsea_dogs #pets #dogs #animals #puppy http://t.co/QzvKPaHsQ7</t>
  </si>
  <si>
    <t>Im Dead!!! My two Loves in 1 photo! My Heart exploded into a Million Pieces!!!  ?????????????? @BrandonSkeie @samsmithworld http://t.co/yEtagC2d8A</t>
  </si>
  <si>
    <t>Elmwood Park, NJ</t>
  </si>
  <si>
    <t>Well as I was chaning an iPad screen it fucking exploded and glass went all over the place. Looks like my job is going to need a new one.</t>
  </si>
  <si>
    <t>The Dress Memes Have Officially Exploded On The Internet http://t.co/yG32yb2jDY</t>
  </si>
  <si>
    <t>My little heart just exploded #OTRAMETLIFE #MTVHottest One Direction https://t.co/pQsLUg4jK5</t>
  </si>
  <si>
    <t>South east of U.K</t>
  </si>
  <si>
    <t>Just saw The Man Whose Mind Exploded. There should be a Drako Zarharzar day.</t>
  </si>
  <si>
    <t>I read about that break for hours before twitter noticed it and I though that is nothing to worry about bc twitter wasn't exploded bc of it</t>
  </si>
  <si>
    <t>that exploded &amp;amp; brought about the
beginning of universe matches what's
mentioned in the versethe heaven and Earth
(thus the universe)</t>
  </si>
  <si>
    <t>If you told me ten years ago that I'd be seeing anime on the big screen... ...I probably would have exploded</t>
  </si>
  <si>
    <t>The Dress Memes Have Officially Exploded On The Internet http://t.co/iBsVy2R3PH</t>
  </si>
  <si>
    <t>Reasons @BlueWestlo has exploded on @YouTube #38745: https://t.co/Upgd2cy9il</t>
  </si>
  <si>
    <t>lrhcthband;four - bournemouth</t>
  </si>
  <si>
    <t>luke + microphone = exploded ovaries</t>
  </si>
  <si>
    <t>Oakland, Ca</t>
  </si>
  <si>
    <t>holy crap @KingMyth1999 my phone just exploded. haha</t>
  </si>
  <si>
    <t xml:space="preserve">Antigua ?? NYC </t>
  </si>
  <si>
    <t>Did this man just squeeze another man's head with his bare hands until it literally exploded ???????</t>
  </si>
  <si>
    <t>@ItsNasB now I have to go replace my sarcasm meter which just exploded. -__-</t>
  </si>
  <si>
    <t>@MeryCormier haha! Exactly! Cosima is definitely in the hot seat. Lol
'It's Shay.' is no different from a bomb that got exploded.</t>
  </si>
  <si>
    <t>Wonderland_x0089_ÛÓ ?????? ???? ??????</t>
  </si>
  <si>
    <t>My head exploded i swear</t>
  </si>
  <si>
    <t>Yumiko jumped in surprise as the fire shot upwards into the air and exploded caught off guard~ 'woah...' She had--( @LenkaIsWaifu )</t>
  </si>
  <si>
    <t>@lunasagalle @synapsenkotze 
'The Exploded - Bean the Bastard'</t>
  </si>
  <si>
    <t>#dating #meet #sex Hot Teen Ass Exploded By Fat Cock http://t.co/X39JwSyrqR</t>
  </si>
  <si>
    <t>@OKgooner hahaha great song. 'Spent 15 years getting loaded. 15 years till his liver exploded. Now what's Bob going to do NOW that he...'</t>
  </si>
  <si>
    <t>Worked at a fast food joint. Poured burnt hot oil down the sink. It hit the water in the trap and exploded.  @FallonTonight #WORSTSUMMERJOB</t>
  </si>
  <si>
    <t>New Explosion-proof Tempered Glass Screen Protector Film for Blackberry Z10 - Full read by_x0089_Û_ http://t.co/ModqNaLWsB http://t.co/4C58oOaVhY</t>
  </si>
  <si>
    <t>Chicago Heights, IL</t>
  </si>
  <si>
    <t>...don't think I've ever been this close to a mental explosion in so long</t>
  </si>
  <si>
    <t xml:space="preserve"> Blood Indian Reserve</t>
  </si>
  <si>
    <t>@KirCut1 lets get a dope picture together and have the dopest explosion ????</t>
  </si>
  <si>
    <t>Big Data and Social Information explosion: The Union That Could Evolve Your Retail Strategy...HUa</t>
  </si>
  <si>
    <t>Aspiring musician &amp;amp; song writer shares her talent at the GMMBC Youth Explosion on this past Saturday. http://t.co/OmjMTU9kFG</t>
  </si>
  <si>
    <t>@AminESPN Mencius tears are worse correct? Takes the explosion n more pain day to day right?</t>
  </si>
  <si>
    <t>New Explosion-proof Tempered Glass Screen Protector Film for Blackberry Z10 - Full read by_x0089_Û_ http://t.co/tOYU16mxBO http://t.co/P10hNDc0Mm</t>
  </si>
  <si>
    <t>#cum explosion!
@begforcum 
@allday_cumshots 
@cumcovered 
@sexycumshots 
@Cumtown
@BJ_Nutt
@cumslut_2
@GirlsLoveCum http://t.co/2CX1yjjoZ9</t>
  </si>
  <si>
    <t>Saddle with accountable information explosion tips pro preferable financial top brass: tawFMCAw</t>
  </si>
  <si>
    <t>New Explosion-proof Tempered Glass Screen Protector Film for Blackberry Z10 - Full read by_x0089_Û_ http://t.co/z4IlB9y9nU http://t.co/j295MD1SOW</t>
  </si>
  <si>
    <t>New Explosion-proof Tempered Glass Screen Protector Film for Blackberry Z10 - Full read by_x0089_Û_ http://t.co/SD7lOww9nu http://t.co/7hKavTVx81</t>
  </si>
  <si>
    <t>Did you miss the #BitCoin explosion - Don't miss out - #Hangout tonight at 8:30PM EST ===&amp;gt;&amp;gt;&amp;gt; http://t.co/qKaHXwLWXa</t>
  </si>
  <si>
    <t>#Tampa: Super Freestyle Explosion Live in Concert at Amalie Arena - Sep  19
? Ticket Info: http://t.co/ooGotO76uZ</t>
  </si>
  <si>
    <t>Was in a bad ass mood today got on the elevator at school and decided to make explosion noses everytime some one pressed a button ??</t>
  </si>
  <si>
    <t>Checkout all the NURGLE rules &amp;amp; features that snuck in on Khrone's WD! http://t.co/he7Q7H3nZf http://t.co/rpvZBEsUQJ</t>
  </si>
  <si>
    <t>New Explosion-proof Tempered Glass Screen Protector Film for Blackberry Z10 - Full read by_x0089_Û_ http://t.co/hQZFcXxRsB http://t.co/0VWPdIzckO</t>
  </si>
  <si>
    <t>The insides of the explosion box..
Get it customized the way you want!
#dcubecrafts #greetingcards_x0089_Û_ https://t.co/T07qxP5cBE</t>
  </si>
  <si>
    <t>For those that were interested in the gun powder art discussed at the end of 'Introduction to Theological Aesthetic' http://t.co/BZ3iR4GMWj</t>
  </si>
  <si>
    <t>Kauai, Hawaii</t>
  </si>
  <si>
    <t>The government is concerned about the population explosion and the population is concerned about the government explosion. - Joe Moore</t>
  </si>
  <si>
    <t>Remembering Pittsburgh Eyewitness History of Steel City by Len Barcousky PB Penn http://t.co/dhGAVw8bSW http://t.co/0lMhEAEX9k</t>
  </si>
  <si>
    <t xml:space="preserve">East London. </t>
  </si>
  <si>
    <t>@Squibby_ I am an eyewitness HA</t>
  </si>
  <si>
    <t>Eyewitness Identification via reddit http://t.co/bQV3QtTuxR http://t.co/0DrqlrsGY5</t>
  </si>
  <si>
    <t>Rhode Island</t>
  </si>
  <si>
    <t>WPRI 12 Eyewitness News Rhode Island set to modernize its voting equipment WPRI 12 Eyewitness_x0089_Û_ http://t.co/aP9JBrPmQg</t>
  </si>
  <si>
    <t>#Eyewitness media is actively embraced by #UK audiences. Read the report by @emhub on the impact of #UGC in news: http://t.co/6mBPvwiTxf</t>
  </si>
  <si>
    <t>@kaputt21 Hamburg Police Chief Gregory Wickett has told 7 Eyewitness News he 'can't confirm or deny' an investigation is underway.</t>
  </si>
  <si>
    <t>Somewhere in Jersey</t>
  </si>
  <si>
    <t>I liked a @YouTube video http://t.co/YdgiUYdqgb Mini Pony packs a punch. Live report from the Salem County Fair on CBS3 Eyewitness</t>
  </si>
  <si>
    <t>The Civil Rights Movement (Eyewitness History Series) Wexler Sanford Hardcover http://t.co/kK0qFKGqcY http://t.co/SMc1Ro09Fs</t>
  </si>
  <si>
    <t>Orlando, Fl</t>
  </si>
  <si>
    <t>WFTV Eyewitness News: TN school psychologist arrested in Florida on child porn charges http://t.co/lgGLf5yrMe</t>
  </si>
  <si>
    <t>Los Angeles... CA... USA</t>
  </si>
  <si>
    <t>Aug. 06 2015 Radio Show articles _x0089_ÛÒ  
1] Eyewitness Account of Abortion Organ Harvesting by Planned Parenthood: http://t.co/49izkbOHri</t>
  </si>
  <si>
    <t>DK Eyewitness Travel Guide: Denmark: travel guide eBay auctions you should keep an eye on: http://t.co/qPUr3Vd7Hl</t>
  </si>
  <si>
    <t>DK Eyewitness Travel Guide: Denmark: travel guide eBay auctions you should keep an eye on: http://t.co/l9EKHNkBar</t>
  </si>
  <si>
    <t>Monkeys Abused by Notorious Laboratory Dealer | A PETA Eyewitness Invest... https://t.co/QGqlpmRfJd via @YouTube</t>
  </si>
  <si>
    <t>A true #TBT  Eyewitness News WBRE WYOU http://t.co/JHVigsX5Jg</t>
  </si>
  <si>
    <t>DK Eyewitness Travel Guide : Chicago by Dorling Kindersley Publishing Staff_x0089_Û_: travel books eBay auctions you s... http://t.co/tj3LtPZfW1</t>
  </si>
  <si>
    <t>It's lights out again with stage-two load shedding: Stage-two load shedding will be in force between 5pm and 10pm. http://t.co/vxVfAEEY0q</t>
  </si>
  <si>
    <t>DK Eyewitness Travel Guide: Denmark: travel guide eBay auctions you should keep an eye on: http://t.co/xpwkodpqtO</t>
  </si>
  <si>
    <t>WFTV Eyewitness News: FBI: Man who stole US secrets 'married' Honduran minors for sex http://t.co/NdwEp6IZDQ</t>
  </si>
  <si>
    <t>Freed #BokoHaram captives speak up: _x0089_ÛÏI will make sure she goes to school.' @guardian http://t.co/PK8dgVripw http://t.co/RZ0adzursW</t>
  </si>
  <si>
    <t>'I tried to save Mido Macia': One of the murder accused has testified he tried to save Mido Macia_x0089_Ûªs life. http://t.co/vxVfAEEY0q</t>
  </si>
  <si>
    <t>Florida but I wanna be n Texas</t>
  </si>
  <si>
    <t>@OCT336 guys these bitches ain't famine then ??</t>
  </si>
  <si>
    <t>Hunger hits me and I can't function probably wouldn't last long in famine zones***thank God***</t>
  </si>
  <si>
    <t>According to a 2011 Gallup poll the more money you have the more likely you are to suffer from time famine.? Ari_x0089_Û_ http://t.co/QdmVTJ4lZJ</t>
  </si>
  <si>
    <t>JamDung</t>
  </si>
  <si>
    <t>Ppl like unu feast today and famine tomorrow</t>
  </si>
  <si>
    <t xml:space="preserve">PanamÌÁ </t>
  </si>
  <si>
    <t>Top 3:
* Turn on the Darkness
* King Redeem - Queen Serene
* Famine Wolf</t>
  </si>
  <si>
    <t>@robertmeyer9 re: your example low food prices cause farmers to go broke= famine next year. means simple Capitalism failed to feed people&amp;gt;</t>
  </si>
  <si>
    <t>Edappally,Kochi</t>
  </si>
  <si>
    <t>Building Muscle With Feast And Famine Feeding Most diet plans are based around losing weight but what should you_x0089_Û_ https://t.co/lUe3waeGpI</t>
  </si>
  <si>
    <t>In #Fairie, where else? ;-)</t>
  </si>
  <si>
    <t>'She tasted like a feast after a famine. And he was starving.' TRUSTING JACK @writes4coffee http://t.co/sTo58qa94c #IARTG #RWA #tw4rw #RRBC</t>
  </si>
  <si>
    <t>A grade in Black Horse Famine[MEGA]. Score 0840728
http://t.co/pdiit0AF3Q
#Dynamix http://t.co/ZQ5KDOx7BY</t>
  </si>
  <si>
    <t>when things become terrible more than the great Ethiopian famine...</t>
  </si>
  <si>
    <t>Robert Conquest Famine Museum Kiev @GuidoFawkes @MediaGuido https://t.co/WE40iUX7Ib</t>
  </si>
  <si>
    <t>@CNN the End of Times are upon us. Famine War Death Plague. The presence is growing stronger.</t>
  </si>
  <si>
    <t>@Surf_Photo I squeezed a tear. Famine plague tsunami no chance. Lego - blubber!</t>
  </si>
  <si>
    <t>Wood Buffalo, Alberta</t>
  </si>
  <si>
    <t>Roger Goodell's Fatal Mistake: Tom Brady An Innocent Man http://t.co/UCNcKrnLow</t>
  </si>
  <si>
    <t>Fatal attraction is common n what we have common is 'pain'......</t>
  </si>
  <si>
    <t>Somewhere with Clyde</t>
  </si>
  <si>
    <t>@_AsianShawtyy ?????????? I'm sorry. But I'm out</t>
  </si>
  <si>
    <t>Quincy</t>
  </si>
  <si>
    <t>Man accused in fatal hit-and-run to get new judge http://t.co/j3Rtf2dt3X via @KHQA</t>
  </si>
  <si>
    <t>@ChrisDanielShow Nearly-Fatal Pee in San Francisco http://t.co/1tvlFrhm1m</t>
  </si>
  <si>
    <t>Laredo, TX</t>
  </si>
  <si>
    <t>Petition to remaster Fatal Frame 1 with a Windwaker-style selfie mode</t>
  </si>
  <si>
    <t>Poconos</t>
  </si>
  <si>
    <t>The Five Fatal Flaws in the Iran Deal https://t.co/ztfEAd8GId via @YouTube</t>
  </si>
  <si>
    <t>@spookyfob @feelslikefob I am okay thank you yes your kindness is fatal though it's like Patrick stump level kindness.</t>
  </si>
  <si>
    <t>Jaipur, Rajasthan, India</t>
  </si>
  <si>
    <t>Success is not permanent &amp;amp; failure is not fatal.</t>
  </si>
  <si>
    <t>Tell me why or why not
to adopt in this way
maybe I overlooked something
fatal for me
?whyor why not?</t>
  </si>
  <si>
    <t>Robert Ballew's log statements are always at the FATAL level.</t>
  </si>
  <si>
    <t>Play For Ryan ??</t>
  </si>
  <si>
    <t>fatal attraction</t>
  </si>
  <si>
    <t>New York City ,NY</t>
  </si>
  <si>
    <t>Let's fraction the vital need for Our fatalities.  How would you break it down in #education #econom http://t.co/ZSqM8ihE1K</t>
  </si>
  <si>
    <t>Las Vegas in top 5 cities for red-light running fatalities - News3LV http://t.co/eXdbcx4gCR</t>
  </si>
  <si>
    <t>@kyrikoni @ExpressandStar Who said veg and fruit was good for you. Hope there's been no injuries or fatalities.</t>
  </si>
  <si>
    <t>Official Website</t>
  </si>
  <si>
    <t>#HSE releases annual workplace facilities data. Have a look | http://t.co/h4UshEekxm http://t.co/jNHNX3oISN</t>
  </si>
  <si>
    <t xml:space="preserve">TechFish </t>
  </si>
  <si>
    <t>5 Rejected Mortal Kombat Fatalities: Mortal Kombat has stretched the boundaries of its_x0089_Û_ http://t.co/igZ7v24GE9 http://t.co/M75DNf2xyg</t>
  </si>
  <si>
    <t>United States where it's warm</t>
  </si>
  <si>
    <t>http://t.co/JwIv6WYW6F Osage Beach releases name</t>
  </si>
  <si>
    <t>I wonder how Cool/Weird It'll look to have all the characters in MKX do fatalities on Skinless Predator ;)</t>
  </si>
  <si>
    <t xml:space="preserve">Hope Road, Jamaica </t>
  </si>
  <si>
    <t>'Use our roads wisely and prevent the carnage from continuing...let us have no fatalities over this holiday period..'
#GGIndependencMessage</t>
  </si>
  <si>
    <t xml:space="preserve">jersey </t>
  </si>
  <si>
    <t>mortal kombat fatalities are so gross but interesting</t>
  </si>
  <si>
    <t>The X-rays in MKX be looking like fatalities.</t>
  </si>
  <si>
    <t xml:space="preserve">WestEnd, Puritan Ave </t>
  </si>
  <si>
    <t>@dwilliams313  RT @Ieansquad: When you don_x0089_Ûªt know how to do fatalities in Mortal Kombat http://t.co/NU6wRp716d</t>
  </si>
  <si>
    <t>Mortal Kombat X: All Fatalities On Meat Predator.
https://t.co/IggFNBIxt5</t>
  </si>
  <si>
    <t>Pekanbaruå¡Batam Islandå¡Medan</t>
  </si>
  <si>
    <t>There have been zero spider bite-related fatalities in Australia since 1979.</t>
  </si>
  <si>
    <t>'Motordom' lobbied to change our language around traffic fatalities. We need to go back to the future #VisionZero  https://t.co/cAvb7pgEpv</t>
  </si>
  <si>
    <t>Sharing to help our cousin's family http://t.co/LSJowGYvQh</t>
  </si>
  <si>
    <t>Jogja, Indonesia Slowly Asia</t>
  </si>
  <si>
    <t>Mortal Kombat X is an excellent fatalities and the most fun I_x0089_Ûªve ever had with a mortal kombat SEGA's version http://t.co/fLO8fgy35A</t>
  </si>
  <si>
    <t>Uber reduces drunk driving fatalities says independent study http://t.co/jVIVT6zrv7</t>
  </si>
  <si>
    <t>I liked a @YouTube video from @kevinedwardsjr http://t.co/NCjLKqASUk Mortal Kombat X - PC Gameplay - Fatalities/X-Rays (MKX)</t>
  </si>
  <si>
    <t>The North</t>
  </si>
  <si>
    <t>I fail to see how that would not bring the number of road fatalities down IMMENSELY</t>
  </si>
  <si>
    <t>Lowell, MA</t>
  </si>
  <si>
    <t>@EBROINTHEAM jay....big L....pun....biggie...wrap over...zero question....fatality...flawless victory http://t.co/Y33QcKq7qD</t>
  </si>
  <si>
    <t>playing soccer &amp; eating pizza</t>
  </si>
  <si>
    <t>@Jake_ADavis @FaTality_US we are cuddling right now so.. ??</t>
  </si>
  <si>
    <t>So these savages leaked Thomas Brady gangstermail account and wonder why he was quick to fatality his Samsung mobile? B real son.</t>
  </si>
  <si>
    <t>Hueco Mundo</t>
  </si>
  <si>
    <t>I liked a @YouTube video from @vgbootcamp http://t.co/yi3OiVK2X4 S@X 109 - sN | vaBengal (ZSS) Vs. SWS | Fatality (Captain Falcon)</t>
  </si>
  <si>
    <t>Hibernating pbx irrespective of pitch fatality careerism pan: crbZFZ</t>
  </si>
  <si>
    <t>Fatality!</t>
  </si>
  <si>
    <t>Rafael castillo</t>
  </si>
  <si>
    <t>@Tellyfckngo @JayCootchi nah you hit homie wit the fatality and then son'd him wit the babality. Cold. Cold as fuck lmfaoooo.</t>
  </si>
  <si>
    <t>Enterprise, NV</t>
  </si>
  <si>
    <t>Fatality  https://t.co/407V1y4HHg</t>
  </si>
  <si>
    <t>@Bardissimo Yes life has a 100% fatality rate.</t>
  </si>
  <si>
    <t>How many baskets did  A Charming Fatality by @tonyakappes11 get? http://t.co/xyav4T5n0O #Mystery #Paranormal</t>
  </si>
  <si>
    <t>434</t>
  </si>
  <si>
    <t>They are making a Bad Boys 3 and 4!! A must see</t>
  </si>
  <si>
    <t>Grand Rapids MI</t>
  </si>
  <si>
    <t>@FaTality_US need a team? We need one.</t>
  </si>
  <si>
    <t>That usually NEVER happens</t>
  </si>
  <si>
    <t>@Babybackreeve FATALITY!!!!!!!!!!</t>
  </si>
  <si>
    <t>Utica NY</t>
  </si>
  <si>
    <t>08/3/15: CAT FATALITY: UTICA NY; PLEASANT &amp;amp; HOLLAND AVE:Black cat with white paws. Average size.  On grass next to north side of road.</t>
  </si>
  <si>
    <t>@pxnatosil @RenuncieDilma  Fatality!</t>
  </si>
  <si>
    <t>[Jax(MK2)] Stage Fatality:UUD+LK (Close)</t>
  </si>
  <si>
    <t>Nunya</t>
  </si>
  <si>
    <t>'Seeing that there's a video of every fatality on Mileena makes me sad.'</t>
  </si>
  <si>
    <t xml:space="preserve">Houston, TX  </t>
  </si>
  <si>
    <t>@Chrisman528 fatality ...</t>
  </si>
  <si>
    <t>Kosciusko police investigating pedestrian fatality hit by a train Thursday http://t.co/m5djLLxoZP</t>
  </si>
  <si>
    <t>TX</t>
  </si>
  <si>
    <t>Fatality scary af. Probably not the best falcon but still scary.</t>
  </si>
  <si>
    <t>Christiana,Tennessee</t>
  </si>
  <si>
    <t>I liked a @YouTube video from @vgbootcamp http://t.co/7LvGCMyIyJ S@X 109 - sN | vaBengal (ZSS) Vs. SWS | Fatality (Captain Falcon)</t>
  </si>
  <si>
    <t xml:space="preserve">Earth </t>
  </si>
  <si>
    <t>I liked a @YouTube video from @deathmule http://t.co/sxHGFIThJw MK X Tremors Stalag Might Fatality on Ermac Tournament Pharaoh</t>
  </si>
  <si>
    <t>Brentwood, NY</t>
  </si>
  <si>
    <t>I added a video to a @YouTube playlist http://t.co/O7QOgmOegU S@X 109 - SWS | Fatality (Captain Falcon) Vs. Snow (Fox) SSB4 Losers</t>
  </si>
  <si>
    <t>Fatality ????</t>
  </si>
  <si>
    <t>Everyday is a near death fatality for me on the road. Thank god is on my side.??</t>
  </si>
  <si>
    <t>Chippenham/Bath, UK</t>
  </si>
  <si>
    <t>Fear Factory in December. Done deal.</t>
  </si>
  <si>
    <t>I made a friend more interesting than all of y'all combined https://t.co/isBtzUJFBm</t>
  </si>
  <si>
    <t>Yewa zone</t>
  </si>
  <si>
    <t>The meaning I picked the one that changed my life: overcome fear behold wonder.
TCC catch the light... endless... http://t.co/eeRkH8ljws</t>
  </si>
  <si>
    <t>sitting on the fence, New York</t>
  </si>
  <si>
    <t>@phnotf sometimes your cheekiness bleeds through my computer screen and i recoil in fear</t>
  </si>
  <si>
    <t>cause i know every man has a fear of a strong-minded woman but I say she's a keeper if she got it on her own and keeps it runnin</t>
  </si>
  <si>
    <t>My biggest fear is disappointing the people who believe in me</t>
  </si>
  <si>
    <t>Carregado</t>
  </si>
  <si>
    <t>I didn`t want to hurt you but the fear drove me to do it ............... Midnight</t>
  </si>
  <si>
    <t>Largo, MD</t>
  </si>
  <si>
    <t>Men fear the feeling of being 'controlled' by a woman. Or passive aggressively being coerced into commitment before they're ready...</t>
  </si>
  <si>
    <t>The things we fear most in organizations--fluctuations disturbances imbalances--are the primary sources of creativity. - Margaret Wheatley</t>
  </si>
  <si>
    <t>mexico</t>
  </si>
  <si>
    <t>Fear Factory - Cars (Official MusicVideo) http://t.co/UUzaUMdObc</t>
  </si>
  <si>
    <t>Cape Town, Khayelitsha</t>
  </si>
  <si>
    <t>@Luzukokoti it's all  about understanding umntu wakho. If you do and trust your partner then y OK u will know and won't fear to do anything.</t>
  </si>
  <si>
    <t>Photo: referencereference: xekstrin: I THOUGHT THE NOSTRILS WERE EYES AND I ALMOST CRIED FROM FEAR partake... http://t.co/O7yYjLuKfJ</t>
  </si>
  <si>
    <t>@BaileySMSteach The fear of not looking like you know what you are doing_x0089_Û_ahhh_x0089_Û_that was a big one for me.  #PerryChat</t>
  </si>
  <si>
    <t>FEAR - YouTube http://t.co/PrmtxjJdue</t>
  </si>
  <si>
    <t>Stanford University</t>
  </si>
  <si>
    <t>Help me win $$$$ by having the most shares on my article! A Lifetime Of Fear http://t.co/9eh2lCQkxl  Thanks! #BlackInAmerica #GrowingUpBlack</t>
  </si>
  <si>
    <t>I want to be with you forever
Stay by my side
On this special night
Fear and Loathing in Las Vegas/Solitude X'mas</t>
  </si>
  <si>
    <t>Thibodaux, LA</t>
  </si>
  <si>
    <t>my worst fear. https://t.co/iH8UDz8mq3</t>
  </si>
  <si>
    <t>@shakjn @C7 @Magnums im shaking in fear he's gonna hack the planet</t>
  </si>
  <si>
    <t>Brazil</t>
  </si>
  <si>
    <t>When the world say finish God says: don't fear - http://t.co/Q5qCoAo8jP #ChooseGod #RestoringPaths</t>
  </si>
  <si>
    <t>In the moment</t>
  </si>
  <si>
    <t>'By replacing fear of the unknown with curiosity we open ourselves up to_x0089_Û_ https://t.co/qRHng6kJ1C</t>
  </si>
  <si>
    <t>Love God more than you fear hell</t>
  </si>
  <si>
    <t>Don't tell the bride gives me the fear</t>
  </si>
  <si>
    <t>Alliston Ontario</t>
  </si>
  <si>
    <t>@ScottDPierce @billharris_tv @HarrisGle @Beezersun I'm forfeiting this years fantasy football pool out of fear I may win n get my ass kicked</t>
  </si>
  <si>
    <t>'...As of right now I'm reopening the X-Files. That's what they fear the most.' #TheXFiles201Days</t>
  </si>
  <si>
    <t xml:space="preserve">SaudI arabia - riyadh </t>
  </si>
  <si>
    <t>Live a balanced life! Balance your fear of #Allah with hope in His mercy and love for Him.</t>
  </si>
  <si>
    <t>New York. NY</t>
  </si>
  <si>
    <t>my biggest fear is that eventually you will see me the way i see myself.</t>
  </si>
  <si>
    <t>Athens - Nicosia</t>
  </si>
  <si>
    <t>Couples having less sex... for fear it'll be a let down: Internet movies and books saying how sex 'ought to be' p_x0089_Û_ http://t.co/c1xhIzPrAd</t>
  </si>
  <si>
    <t>Untangle yourself from requiring your partner to fill your needs and how to love without fear #BestTalkRadio Listen http://t.co/8j09ZUTxWT</t>
  </si>
  <si>
    <t>Tulalip, Washington</t>
  </si>
  <si>
    <t>@mcnabbychic I fear not for a while</t>
  </si>
  <si>
    <t>The fear of the Lord is the start of knowledge: but the foolish have no use for wisdom and teaching (Amsal 1:7)</t>
  </si>
  <si>
    <t>Halifax</t>
  </si>
  <si>
    <t>The number of people denying climate change on the polar bear article makes me fear for the future of the US but also humanity in general.</t>
  </si>
  <si>
    <t xml:space="preserve">Hilton Head, SC  </t>
  </si>
  <si>
    <t>@SenSanders Gd ideas. I'm 77 wrked hard now have almost nothing fear lives with poor
Fran Reed 8437150124</t>
  </si>
  <si>
    <t>Never let fear get in the way of achieving your dreams! #deltachildren #instaquote #quoteoftheday #Disney #WaltDisney http://t.co/bLZt5zwosE</t>
  </si>
  <si>
    <t>Fear is my motivator</t>
  </si>
  <si>
    <t>Daily Reflections
August 6
DRIVEN
Driven by a hundred forms of fear self-delusion self-seeking and self-pity... http://t.co/DXfqOu4kT2</t>
  </si>
  <si>
    <t>Morganite Gemstone White Fire Opal 925 Sterling Silver Ring Size 6 R1354 http://t.co/hHpVSAtQXN http://t.co/D12r8XpShy</t>
  </si>
  <si>
    <t>Marquei como visto Game of Thrones - 3x5 - Kissed by Fire http://t.co/CJHH17duli #bancodeseries</t>
  </si>
  <si>
    <t>Save the Date! Saturday August 15 2015 is the Salisbury Fire Department Open House at 325 Cypress St 10am to... http://t.co/Oa6B0Z2H6Y</t>
  </si>
  <si>
    <t>Why put out a fire when it's still burning.</t>
  </si>
  <si>
    <t>My avi And header combo is fire</t>
  </si>
  <si>
    <t>Wrex</t>
  </si>
  <si>
    <t>http://t.co/iNkuv5DNTX #auction #shoes Retro 5 fire red http://t.co/1cvEGTIZOG</t>
  </si>
  <si>
    <t>My asshole is on fire  https://t.co/Y3FO0gHg8t</t>
  </si>
  <si>
    <t>big boy _x0089_Û¢ 0802</t>
  </si>
  <si>
    <t>I'm crying that song just ended setting myself on fire  https://t.co/i2El5aCrRW</t>
  </si>
  <si>
    <t>Sitting around a fire sounds great right about now</t>
  </si>
  <si>
    <t>I See Fire</t>
  </si>
  <si>
    <t>I'm On Fire.  http://t.co/WATsmxYTVa</t>
  </si>
  <si>
    <t>Politifiact: Harry Reid's '30 Percent of Women Served' Planned Parenthood Claim Is a 'Pants on Fire' Lie http://t.co/aMYMwWcpYm | #tcot</t>
  </si>
  <si>
    <t>St.Cloud, MN</t>
  </si>
  <si>
    <t>Dear @CanonUSAimaging I brought it ;) #CanonBringIt #Fire  #CanonTattoo #MN #TheresMoreWhereThatCameFrom http://t.co/tCXxHdJAs6</t>
  </si>
  <si>
    <t>@seanhannity @ScottWalker yeah just who we need another middle class hating republican out to get hard working cops fire fighters teachers</t>
  </si>
  <si>
    <t>on a catwalk somewhere</t>
  </si>
  <si>
    <t>Fire Meet Gasoline always gotta get played twice lol</t>
  </si>
  <si>
    <t xml:space="preserve">  å_ </t>
  </si>
  <si>
    <t>WCW @catsandsyrup THA BITCH IS FIRE</t>
  </si>
  <si>
    <t>Zac Newsome loves me</t>
  </si>
  <si>
    <t>well it feels like im on fire.</t>
  </si>
  <si>
    <t>louisville, kentucky</t>
  </si>
  <si>
    <t>her eyes and words are so icy but she burns like rum on the fire</t>
  </si>
  <si>
    <t>#news Politifiact: Harry Reid's '30 Percent of Women Served' Planned Parenthood Claim Is a 'Pants on Fire' Lie... http://t.co/bMSeDZOfSV</t>
  </si>
  <si>
    <t>Makai</t>
  </si>
  <si>
    <t>@DaughterofNai Tenshi activated Yuki's fire card!</t>
  </si>
  <si>
    <t>@zaynmalik don't overwork yourself. Your album is gonna be fire just don't overwork or stress! I love you take care</t>
  </si>
  <si>
    <t>@Justin_Ling I promise not to tax pancakes or rainbows or not dying in a fire.</t>
  </si>
  <si>
    <t>Newark, NJ</t>
  </si>
  <si>
    <t>This nigga Cyhi diss was what Meek was suppose to do. This shit actually fire</t>
  </si>
  <si>
    <t>Yuba City, CA</t>
  </si>
  <si>
    <t>When your heart is bigger than the obstacles  in front of you #euro #dontexpectnothing #july #fire @euro</t>
  </si>
  <si>
    <t>Fire waves and darkness</t>
  </si>
  <si>
    <t>University of South Florida</t>
  </si>
  <si>
    <t>It may seem like our fire has been a little burnt out....</t>
  </si>
  <si>
    <t>the moon</t>
  </si>
  <si>
    <t>Will be dropping fire selfie tomorrow saying 'you're welcome' ahead of time.</t>
  </si>
  <si>
    <t>Woodcreek HS, Roseville, CA</t>
  </si>
  <si>
    <t>Your PSA for the day: If a fire truck is behind you with lights going MOVE OVER!!! so they can get to their call.</t>
  </si>
  <si>
    <t>#RFP: Fire Truck Service Body for F-450 (Fire fighting rescue &amp;amp; safety equipment Transporta... http://t.co/8GtRvEcE1N</t>
  </si>
  <si>
    <t>Our garbage truck really caught on fire lmfao.</t>
  </si>
  <si>
    <t>@JustineJayyy OHGOD XD I didn't mean it so =P But you have that fire truck in the back of you to make up for it so you good xD</t>
  </si>
  <si>
    <t>Came across this fire video not mine..enjoy..Babes way of saying hi to me while he's in the fire truck??
#fireman #_x0089_Û_ http://t.co/V5gTUnwohy</t>
  </si>
  <si>
    <t>Trident 90225 Chevy fire Truck w/ Pumper  IMS Fire Dept. Red HO 1:87  plastic http://t.co/FAQNFUpeGn http://t.co/mQfOfKXtyh</t>
  </si>
  <si>
    <t>Tallahassee, FL</t>
  </si>
  <si>
    <t>Toddler Bedding Firetruck Bundle Fire Truck Firefighter Sticker Decals Sign Wall http://t.co/ykuAuOV9jO</t>
  </si>
  <si>
    <t>LA ??</t>
  </si>
  <si>
    <t>theres a fire truck in this parking lot</t>
  </si>
  <si>
    <t>Evening Sun article on NNO: http://t.co/7cMf3noYNc</t>
  </si>
  <si>
    <t>'Choose to be happy. Fire truck the rest.' http://t.co/tAmRCWfYgd ????? Review of Kick Push by @JayMcLeanAuthor</t>
  </si>
  <si>
    <t>Former Township fire truck being used in Philippines - Langley Times http://t.co/iMiLsFxntf #filipino</t>
  </si>
  <si>
    <t>#LukeBox something about first responders/ military they are our true Hero's!! Besides your music</t>
  </si>
  <si>
    <t>@USATODAY.  PRAYING FOR GOD'S HEALING AND SAFETY OF FIRST RESPONDERS</t>
  </si>
  <si>
    <t>Long Eaton åá Derbyshire åá UK</t>
  </si>
  <si>
    <t>Join #charity 10k #run event! @DoningtonDash
11am start Sun 20 Sept 2015
Castle Donington Community First Responders
https://t.co/G1Nw99YJ8U</t>
  </si>
  <si>
    <t>Loved the way this book was written to include so many vantage points of First Responders @DetKenLang #kindle http://t.co/KcRnMJKJ73</t>
  </si>
  <si>
    <t>First responders would never be sent to the wrong address again w/ #SmartTek's GPS-based panic button #mPERS #safety http://t.co/3OionqlFQL</t>
  </si>
  <si>
    <t>Victoria, BC  Canada</t>
  </si>
  <si>
    <t>What's cool is that teens are becoming what I like to call 'digital first responders' for their friends who need a little help or support !!</t>
  </si>
  <si>
    <t>Roads/Trails Everywhere</t>
  </si>
  <si>
    <t>RT RoadID: Thanks to Alex for his story &amp;amp; to all first responders for being there when we need you. _x0089_Û_ http://t.co/HikDC1fM2F</t>
  </si>
  <si>
    <t>Juneau Empire - First responders turn out for National Night Out http://t.co/94UYT4ojYK</t>
  </si>
  <si>
    <t>Liberty Township, Ohio</t>
  </si>
  <si>
    <t>@Reds I don't throw the word hero around lightly... Usually reserved for first responders and military... But he's a hero...</t>
  </si>
  <si>
    <t>Aberdeenshire</t>
  </si>
  <si>
    <t>US wants future first responders to be more high-tech - http://t.co/1VI2RNbK2i</t>
  </si>
  <si>
    <t>There's still room for you at our party for first responders from around the country! 3rd annual best ever. http://t.co/mNh6FXhOdB</t>
  </si>
  <si>
    <t>A Hoop Somewhere</t>
  </si>
  <si>
    <t>Incase of accident the first responders would know that there is a baby present https://t.co/sNaYMLDIUN</t>
  </si>
  <si>
    <t>First Responders Convene for National Summit and Awards on GIS Technology http://t.co/0T9yd557rY #gisuserPR #geoTech</t>
  </si>
  <si>
    <t>York Co. first responders compete to save lives in _x0089_Û÷Badges for Blood_x0089_Ûª #paramedic #EMS http://t.co/E65V80FCus</t>
  </si>
  <si>
    <t>Some good info to help first responders cope- Individual Resilience: Factsheet for Responders- http://t.co/FcFpijiqt5</t>
  </si>
  <si>
    <t>Basking Ridge, NJ</t>
  </si>
  <si>
    <t>First Responders get int @bridgeportspeed free on Saturday! Details @ http://t.co/dIh1TgQhej</t>
  </si>
  <si>
    <t>St. Louis, Missouri</t>
  </si>
  <si>
    <t>'NO LENDER FEES FOR VETERANS OR FIRST RESPONDERS (PAST AND PRESENT)' on @LinkedIn https://t.co/9pmBTxmoAL</t>
  </si>
  <si>
    <t>*NEW* Snap On Tools Black baseball Hat/Cap Silver/Gray Embroidered S Logo Flames - Full re_x0089_Û_ http://t.co/mO7DbBdFVR http://t.co/0ScNWe8XbV</t>
  </si>
  <si>
    <t>*NEW* Snap On Tools Black baseball Hat/Cap Silver/Gray Embroidered S Logo Flames - Full re_x0089_Û_ http://t.co/U3WAO8asFg http://t.co/hC6hZs4wSI</t>
  </si>
  <si>
    <t xml:space="preserve">Louisville, KY </t>
  </si>
  <si>
    <t>Vampiro going through the table of flames #UltimaLucha #LuchaUnderground @Elreynetwork http://t.co/Ox6OUw3Yut</t>
  </si>
  <si>
    <t>Cabin Fever 2 flames https://t.co/yXnagsqvBM</t>
  </si>
  <si>
    <t>'if you can't summon the flames directly from hell store bought is fine'-me 
mom-*dies*</t>
  </si>
  <si>
    <t>Freeport Ny</t>
  </si>
  <si>
    <t>Just added some more fire to the flames for Saturday! Rick Wonder will be spinning a guest set along with Chachi... http://t.co/Otblb9PJ2I</t>
  </si>
  <si>
    <t>650/559</t>
  </si>
  <si>
    <t>@kelworldpeace @TAXSTONE yoga flames!</t>
  </si>
  <si>
    <t>#SBNation #Flames What Makes a Good Penalty Killer? http://t.co/xYi5fDacxO http://t.co/SjtvzgGcXU</t>
  </si>
  <si>
    <t>dreamy lake</t>
  </si>
  <si>
    <t>i guess you can say ig's hopes went up in flames</t>
  </si>
  <si>
    <t>I'll cry until my pity party's in flames ????</t>
  </si>
  <si>
    <t>houstn</t>
  </si>
  <si>
    <t>that new lil b x chance is nothing but flames</t>
  </si>
  <si>
    <t>My Gang Walking Round With Them Brown Flames.  &amp;amp; Thats 100ND</t>
  </si>
  <si>
    <t>*NEW* Snap On Tools Black baseball Hat/Cap Silver/Gray Embroidered S Logo Flames - Full re_x0089_Û_ http://t.co/hTqVF44UQs http://t.co/PvXeLxCJeu</t>
  </si>
  <si>
    <t>@cockerelshoes</t>
  </si>
  <si>
    <t>New Giant Flames (Giant Manly Brown) info/order sms:087809233445 pin:2327564d http://t.co/T1mBw0ia3o  http://t.co/CLfa0PY5Lm</t>
  </si>
  <si>
    <t>I chose you so if we can search for the joy of just the two of us We_x0089_Ûªll be near smiles no matter what cold flames burn our bod #PortgassDK</t>
  </si>
  <si>
    <t>Eastlake, OH</t>
  </si>
  <si>
    <t>@ErinMariefishy everyone is setting flames upon me</t>
  </si>
  <si>
    <t>Hillsville/Lynchburg, VA</t>
  </si>
  <si>
    <t>@Flames_Nation that's the optimistic side of me. No doubt it's tough. But it can be done. I feel like the games will pivot on defense.</t>
  </si>
  <si>
    <t>Some where</t>
  </si>
  <si>
    <t>So Pardon me while I burst into flames. 
I've had enough of the world and its people's mindless games</t>
  </si>
  <si>
    <t xml:space="preserve">Travelling around the world </t>
  </si>
  <si>
    <t>@AWickedAssassin want to burst into flames! *Anna hugged him tightly*</t>
  </si>
  <si>
    <t>'Bloody 'ell! Let it burn!' #RubyBot</t>
  </si>
  <si>
    <t>If you have an opinion and you don't put it on thh internet you will furst into flames.</t>
  </si>
  <si>
    <t>? Jet Life ?</t>
  </si>
  <si>
    <t>I have a rising follower graph! 2 more followers in the past week. Get your stats right here http://t.co/UlxF6dq3ns</t>
  </si>
  <si>
    <t>Houston |??| Corsicana</t>
  </si>
  <si>
    <t>@CW_Hoops you better make all your shots tomorrow cause I'm recording and flames will be thrown tomorrow</t>
  </si>
  <si>
    <t>Cincinnati, OH</t>
  </si>
  <si>
    <t>I added a video to a @YouTube playlist http://t.co/aTCMrjzJTp Nicki Minaj - Up In Flames (Official Video)</t>
  </si>
  <si>
    <t>Bacon</t>
  </si>
  <si>
    <t>He better than Sean bro. I can admit that Sean is flames now. But he better than Sean https://t.co/aomQ1RYKmJ</t>
  </si>
  <si>
    <t>The advantages apropos of in flames favorable regard mississauga ontario: pWHvGwax</t>
  </si>
  <si>
    <t>Some other mansion</t>
  </si>
  <si>
    <t>Flattened all cartoony-like.
'Whoa there Papa!' https://t.co/4zmcqRMOIs</t>
  </si>
  <si>
    <t>the road to success is paved with pennies that I flattened on the train tracks you're welcome.</t>
  </si>
  <si>
    <t>Astley, Manchester</t>
  </si>
  <si>
    <t>Feel like I've been flattened by a sumo wrestler ???? no pain no gain #muaytai #wantmyabsback #strong ????</t>
  </si>
  <si>
    <t>Bow, NH</t>
  </si>
  <si>
    <t>IDEAS IN FOOD: Flattened http://t.co/QfrAWLn4BA</t>
  </si>
  <si>
    <t>Zouma has just flattened him there ?? #CFC</t>
  </si>
  <si>
    <t>Frome, Somerset, England</t>
  </si>
  <si>
    <t>Zouma has just absolutely flattened that guy ??</t>
  </si>
  <si>
    <t>Mars</t>
  </si>
  <si>
    <t>Flattened https://t.co/9jCIBenckz</t>
  </si>
  <si>
    <t>Essex, England</t>
  </si>
  <si>
    <t>Would have just flattened the little midget ?? https://t.co/BhufevaGPu</t>
  </si>
  <si>
    <t>new york, ny</t>
  </si>
  <si>
    <t>who said this? Yosemite Sam or Drumpf? _x0089_ÛÏNobody _x0089_Û÷ill vote for a flattened out rabbit skin a-huh huh _x0089_Û_ I always say_x0089_Û_x009d_</t>
  </si>
  <si>
    <t>#Floored4 #Flattened 
Early birds does get de cups .... so lag bout pun de dock and watch ppl drink_x0089_Û_ https://t.co/r5StV25ZhQ</t>
  </si>
  <si>
    <t>Conklin being flattened. Shuffled feet instead of kick slide. Didn't get hands up into chest. http://t.co/67TjN9EgyK</t>
  </si>
  <si>
    <t>Wahpeton, ND</t>
  </si>
  <si>
    <t>Picking up flattened hay men (@ Masonite in Wahpeton ND) https://t.co/Kw3vq4niJQ</t>
  </si>
  <si>
    <t>Zouma just flattened that guy??</t>
  </si>
  <si>
    <t>Chorley, Lancashire, UK</t>
  </si>
  <si>
    <t>Fylde Building set to be flattened: One of Preston_x0089_Ûªs city centre iconic buildings is disappearing from the skyline. http://t.co/PdKHBdG9hO</t>
  </si>
  <si>
    <t>@iamHorsefly hide your kids hide your wife. He's on the loose. I thought I flattened you with a ball ????</t>
  </si>
  <si>
    <t>Would've been great if Mbiwa just flattened that little rat.</t>
  </si>
  <si>
    <t>Northampton, MA</t>
  </si>
  <si>
    <t>@JimMozel puck=flattened ball lol</t>
  </si>
  <si>
    <t>Ventura</t>
  </si>
  <si>
    <t>I don't doubt it. But it was his implicit statement in doing it that makes me want him flattened by a bus. https://t.co/5hlJUcxI0S</t>
  </si>
  <si>
    <t>Le Memenet</t>
  </si>
  <si>
    <t>@KainYusanagi @Grummz @PixelCanuck and flattened raynor.  Raynor was a balding imperfect biker marine not a emo generic western hero.</t>
  </si>
  <si>
    <t>Lubbock, Texas</t>
  </si>
  <si>
    <t>@SeanPeconi @Jason_Floyd @LynchOnSports @criscyborg I think the risk of losing and getting her nose flattened has a lot to do with it</t>
  </si>
  <si>
    <t>Derby</t>
  </si>
  <si>
    <t>Mum's literally just picked up her new car today and flattened the battery already trying to sort out the Bluetooth ???? #Muppet</t>
  </si>
  <si>
    <t>Mississauga, Ontario</t>
  </si>
  <si>
    <t>@tweetingLew @tersestuff 
Notley flattened Harper IN HIS Heartland
Harper Imported tens of thousands of TFW slaves COST ALBERTANS JOBS</t>
  </si>
  <si>
    <t xml:space="preserve">Delhi </t>
  </si>
  <si>
    <t>@twilightfairy flattened frog?</t>
  </si>
  <si>
    <t>Keighley, England</t>
  </si>
  <si>
    <t>Imagine getting flattened by Kurt Zouma</t>
  </si>
  <si>
    <t>Pomfret/Providence</t>
  </si>
  <si>
    <t>'the fallacy is it is up to the steam roller. It's up to the object whether it will be flattened or not.' #RobertCalifornia #thereisonlysex</t>
  </si>
  <si>
    <t>Photo: Beach Earrings Beach Jewelry Vacation Earrings Keep Calm and Beach On Earrings Made with Flattened... http://t.co/rjEbpiB5rZ</t>
  </si>
  <si>
    <t>100  1' MIX NEW FLAT DOUBLE SIDED LINERLESS BOTTLE CAPS YOU CHOOSE MIX FLATTENED - Full re_x0089_Û_ http://t.co/w00kjPrfdR http://t.co/mIXl1pFRJe</t>
  </si>
  <si>
    <t>East Lansing, MI</t>
  </si>
  <si>
    <t>@bigburgerboi55 flat footballs!!?? More like he flattened the Spartans from crushing them back in the day!!!! #HAIL</t>
  </si>
  <si>
    <t>100  1' MIX NEW FLAT DOUBLE SIDED LINERLESS BOTTLE CAPS YOU CHOOSE MIX FLATTENED - Full re_x0089_Û_ http://t.co/wRNpywyaLj http://t.co/Qv7IYdoVx9</t>
  </si>
  <si>
    <t>boston</t>
  </si>
  <si>
    <t>when fizzy is sitting in the regular flood seats ...... and no one knows who she is.....</t>
  </si>
  <si>
    <t>Spot Flood Combo 53inch 300W Curved Cree LED Work Light Bar 4X4 Offroad Fog Lamp - Full re_x0089_Û_ http://t.co/jCDd6SD6Qn http://t.co/9gUCkjghms</t>
  </si>
  <si>
    <t>2pcs 18W CREE Led Work Light  Offroad Lamp Car Truck Boat Mining 4WD FLOOD BEAM - Full rea_x0089_Û_ http://t.co/VDeFmulx43 http://t.co/yqpAIjSa5g</t>
  </si>
  <si>
    <t>It's been raining since you left me
Now I'm drowning in the flood
You see I've always been a fighter
But without you I give up</t>
  </si>
  <si>
    <t>Aix-en-Provence/Utrecht</t>
  </si>
  <si>
    <t>@CreationMin @rwrabbit @GoonerAtheist @atheistic_1 @LOLatJesus Yet still why did so many fish die in the worldwide flood? I wonder.</t>
  </si>
  <si>
    <t>Spot Flood Combo 53inch 300W Curved Cree LED Work Light Bar 4X4 Offroad Fog Lamp - Full re_x0089_Û_ http://t.co/mTmoIa0Oo0 http://t.co/Nn4ZtCmSRU</t>
  </si>
  <si>
    <t>Van Buren, MO</t>
  </si>
  <si>
    <t>@AtLarnxx but he DIDNT</t>
  </si>
  <si>
    <t>12' 72W CREE LED Work Light Bar Alloy Spot Flood Combo Diving Offroad 4WD Boat - Full read_x0089_Û_ http://t.co/XWN7rgVkzC http://t.co/SWPDQ84boI</t>
  </si>
  <si>
    <t>@hellotybeeren cue the flood of people 'ironically' calling you that</t>
  </si>
  <si>
    <t>Motors Hot Deals #452 &amp;gt;&amp;gt; http://t.co/ED32PBviO7 10x 27W 12V 24V LED Work Light FLOOD Lamp Tractor Truck SUV UTV A_x0089_Û_ http://t.co/IfM6v6480P</t>
  </si>
  <si>
    <t>85V-265V 10W LED Warm White Light Motion Sensor Outdoor Flood Light PIR Lamp AUC http://t.co/NJVPXzMj5V http://t.co/Ijd7WzV5t9</t>
  </si>
  <si>
    <t>1 pair new 27w 4''  ROUND LED Work Driving FLOOD Light Off-road ATV UTV - Full read by eBay http://t.co/d3P88xdLEc http://t.co/j2DDvh7fY0</t>
  </si>
  <si>
    <t>2pcs 18W CREE Led Work Light  Offroad Lamp Car Truck Boat Mining 4WD FLOOD BEAM - Full rea_x0089_Û_ http://t.co/O1SMUh2unn http://t.co/xqj6WgiuQH</t>
  </si>
  <si>
    <t>2pcs 18W CREE Led Work Light  Offroad Lamp Car Truck Boat Mining 4WD FLOOD BEAM - Full rea_x0089_Û_ http://t.co/1QT51r5h98 http://t.co/OQH1JbUEnl</t>
  </si>
  <si>
    <t>Spot Flood Combo 53inch 300W Curved Cree LED Work Light Bar 4X4 Offroad Fog Lamp - Full re_x0089_Û_ http://t.co/5xmCE6JufS http://t.co/3Zo7PX3p1V</t>
  </si>
  <si>
    <t>Spot Flood Combo 53inch 300W Curved Cree LED Work Light Bar 4X4 Offroad Fog Lamp - Full re_x0089_Û_ http://t.co/O097vSOtxk http://t.co/I23Xy7iEjj</t>
  </si>
  <si>
    <t>Spot Flood Combo 53inch 300W Curved Cree LED Work Light Bar 4X4 Offroad Fog Lamp - Full re_x0089_Û_ http://t.co/fDSaoOiskJ http://t.co/2uVmq4vAfQ</t>
  </si>
  <si>
    <t>survived the plague
floated the flood
just peeked our heads above the mud
no one's immune
deafening bells
my god will we survive ourselves?</t>
  </si>
  <si>
    <t>Spot Flood Combo 53inch 300W Curved Cree LED Work Light Bar 4X4 Offroad Fog Lamp - Full re_x0089_Û_ http://t.co/6zCfHi7Srw http://t.co/vWYkDaU1vm</t>
  </si>
  <si>
    <t>12' 72W CREE LED Work Light Bar Alloy Spot Flood Combo Diving Offroad 4WD Boat - Full read_x0089_Û_ http://t.co/MJMwA72ER6 http://t.co/ADx9iYi246</t>
  </si>
  <si>
    <t>@Warlord_queen he thrusts a little more before he jams his cock deep inside her flooding her womb and pussy with his hot thick cum</t>
  </si>
  <si>
    <t>Nova Scotia, Canada</t>
  </si>
  <si>
    <t>Tips to prevent basement leaks - Create control joints to eliminate random cracking. #homeimprovement #Flooding http://t.co/Kx8cU4s8T1</t>
  </si>
  <si>
    <t>Metro Manila</t>
  </si>
  <si>
    <t>@adorableappple No reported flooding po in the area. Ten-4. #mmda</t>
  </si>
  <si>
    <t>@SlopeOfHope Maybe the plan is to dilute until they can safely say 'We have to start charging or it's over'. Longs would come flooding in.</t>
  </si>
  <si>
    <t>ILL ONLY DM HOTEL INFO BECAUSE PEOPLE ARE FLOODING MY NOTIFICATIONS ASKING ME FOR INFO</t>
  </si>
  <si>
    <t>Miami Beach, Fl</t>
  </si>
  <si>
    <t>The Chinese are flooding NYC market like never before http://t.co/9z9HsmiaVD</t>
  </si>
  <si>
    <t>@themaine is it too soon to start flooding your comment section with 'come to brazil' comments? bc i will</t>
  </si>
  <si>
    <t>don't run</t>
  </si>
  <si>
    <t>And last year it was just a lot of 'THE DRUMS ARE FLOODING' and 'JANICE I'M FALLING'</t>
  </si>
  <si>
    <t>@crabbycale OH MY GOD THE MEMORIES ARE FLOODING BACK</t>
  </si>
  <si>
    <t>LRT LOOK AT ALL MY TOM FEELS FLOODING BACK</t>
  </si>
  <si>
    <t>Wen I finally get the girl I want I'm flooding yall wit all pics of us Rs tho</t>
  </si>
  <si>
    <t>belleville</t>
  </si>
  <si>
    <t>@kwislo I see her flooding at mad decent</t>
  </si>
  <si>
    <t>Nadiad ,Gujarat , India!!</t>
  </si>
  <si>
    <t>Thankkk U all Soo much for Flooding my NotificationsU my Fella ParShOlics r Superb &amp;amp; Jus soo awesomeLove Love U All always #FrvrGrateful ??</t>
  </si>
  <si>
    <t>Sherwood, Brisbane, Australia</t>
  </si>
  <si>
    <t>@madonnamking RSPCA site multiple 7 story high rise buildings next to low density character residential in an area that floods</t>
  </si>
  <si>
    <t>there's this person &amp;amp; they reckon when you're dying your brain floods with dmt causing you to relive your life in real time in a simulation</t>
  </si>
  <si>
    <t>Have you ever remembered an old song something you haven't heared for years?  words that carry floods of memories all along. #priceless</t>
  </si>
  <si>
    <t>Floods Fishing Finally Sunshine &amp;amp; Fab Deals from Albertsons Anniversary Sale |Lauren Paints | a beautiful life http://t.co/CwHSLMB8x9</t>
  </si>
  <si>
    <t>Download @ iTunes http://t.co/ocojPPnRh1 'Floods Of Glory' by Luiz Santos #jazz #art #Music</t>
  </si>
  <si>
    <t>St Austell, Cornwall</t>
  </si>
  <si>
    <t>I hope it rains throughout the whole weekend I hope it floods and the portaloos become sentient.</t>
  </si>
  <si>
    <t>love when drake floods instagram. makes you feel real in tune with everything he did like you was there or sumn.</t>
  </si>
  <si>
    <t>&amp;gt;As soon as maintenance ends everyone floods the servers
&amp;gt;Servers destroyed by extreme load
&amp;gt;Maintenance starts anew</t>
  </si>
  <si>
    <t>Slatina,Romania</t>
  </si>
  <si>
    <t>I liked a @YouTube video http://t.co/jK7nPdpWRo J. Cole - Fire Squad (2014 Forest Hills Drive)</t>
  </si>
  <si>
    <t>I had to grill for a school function. One of the grills we had going was pretty much either off or forest fire. No inbetween! Made it work</t>
  </si>
  <si>
    <t>Western Washington</t>
  </si>
  <si>
    <t>USFS an acronym for United States Fire Service. http://t.co/8NAdrGr4xC</t>
  </si>
  <si>
    <t>How is it one careless match can start a forest fire but it takes a whole box to start a campfire</t>
  </si>
  <si>
    <t>Q: Why do ducks have big flat feet? A: To stamp out forest fires. Q: Why do elephants have big flat feet? A: To stamp out flaming ducks.</t>
  </si>
  <si>
    <t>Cartoon Bears. Without them we would qave no knowlddge of forest fires or toilet paper.</t>
  </si>
  <si>
    <t>I'm about to cook your Smokey the Bear saving forest fires face ass  https://t.co/WtGGqS5gEh</t>
  </si>
  <si>
    <t>Tips on my blog at</t>
  </si>
  <si>
    <t>Tales of the #trees #deep water loving #Lake Tahoe. And no #forest fires https://t.co/xuhMJ098Lq</t>
  </si>
  <si>
    <t xml:space="preserve">Texas </t>
  </si>
  <si>
    <t>' no pharrell  only YOU can prevent forest fires ' ??</t>
  </si>
  <si>
    <t>#np Avenged Sevenfold - Hail To The King</t>
  </si>
  <si>
    <t>Calgary/Airdrie/RedDeer/AB</t>
  </si>
  <si>
    <t>@tremblayeh we like big hail and we cannot lie!! #SirMixAlot</t>
  </si>
  <si>
    <t>Hattiesburg, MS</t>
  </si>
  <si>
    <t>Two great 'dawgs' Dak and Jak !!!  HAIL STATE !!! http://t.co/igyu2PEIU3</t>
  </si>
  <si>
    <t>Thank you so so much to everyone for posting the rain and hail outside ... I had no idea guys ????????</t>
  </si>
  <si>
    <t>Dagenham, Essex</t>
  </si>
  <si>
    <t>@chojo everyone hail to the pumpkin king!!!!</t>
  </si>
  <si>
    <t>@HeySeto Enjoy! Hopefully there will be no epic hail storms where you are going!</t>
  </si>
  <si>
    <t>All Hail Lady Cheryl!! 24 Reasons You Should Be Obsessed With Cheryl Cole http://t.co/kigy7M6bGJ</t>
  </si>
  <si>
    <t>Windsor,Ontario</t>
  </si>
  <si>
    <t>@KMacTWN @meaganerd Looks like a bowl of weather cereal. New! Kellogg's Sugar Hail! Stays crunchy even in milk...</t>
  </si>
  <si>
    <t>Hail Mary Full of Grace The Lord is with thee. Blessed art thou among women and blessed is the fruit of thy... http://t.co/IDQcfJycYM</t>
  </si>
  <si>
    <t>Brasil, Fortaleza ce</t>
  </si>
  <si>
    <t>Seen on Fahlo:#WCW All Hail the QueenåÊ?? http://t.co/oLpBmy9xw9 #MTVHottest Justin Bieber http://t.co/ON18cqGcoA</t>
  </si>
  <si>
    <t>Paradise City</t>
  </si>
  <si>
    <t>@FaZe_Rain all hail the Cloud</t>
  </si>
  <si>
    <t xml:space="preserve">antoine fisher </t>
  </si>
  <si>
    <t>@Hail_Zel man you kno I'm there !</t>
  </si>
  <si>
    <t>Between Dire and Radiant</t>
  </si>
  <si>
    <t>Hail! [pic] _x0089_ÛÓ https://t.co/B7omJ7U3EI</t>
  </si>
  <si>
    <t>@Flow397 Coming atcha from Boston. Had golfball sized hail yesterday sunny amazing skies today! #ParkChat</t>
  </si>
  <si>
    <t>Bay Area, CA</t>
  </si>
  <si>
    <t>Kevin Tan says hail to the chefs - _x0089_Û_ and Green Pastures which features sustainable and organic cooking.... http://t.co/D9xVuvp9s6</t>
  </si>
  <si>
    <t>Hail The New Caesars! http://t.co/GzMoBlsJxu http://t.co/5CGtqfk2uR</t>
  </si>
  <si>
    <t>Watch Those Videos -</t>
  </si>
  <si>
    <t>@DarkNdTatted pull up Holmes!</t>
  </si>
  <si>
    <t>@Haley_Whaley Hailstorm Hey There is a Secret Trick to get 375.000 Gems Clash ofClans check them now on my Profile</t>
  </si>
  <si>
    <t>Ab, Canada</t>
  </si>
  <si>
    <t>Nice job Calgary transit ! http://t.co/RGOGUyt0LF</t>
  </si>
  <si>
    <t>Hail:The user summons a hailstorm lasting five turns. It damages all Pokemon except the Ice type.</t>
  </si>
  <si>
    <t>far away</t>
  </si>
  <si>
    <t>Calgary news weather and traffic for August 5 * ~ 90 http://t.co/qBdRYXSGlC http://t.co/VZOd7qFFlv</t>
  </si>
  <si>
    <t xml:space="preserve">Somewhere </t>
  </si>
  <si>
    <t>Those that I have sworn to defend have proven themselves to be friends of the House Hailstorm.</t>
  </si>
  <si>
    <t>My favorite text http://t.co/5U5GAkX2ch</t>
  </si>
  <si>
    <t>Wyoming, MI (Grand Rapids)</t>
  </si>
  <si>
    <t>If you're gonna take a break at work.... you gotta do it right! #CarlilesCanoeLivery #LoveMyJob http://t.co/Zo8RsqURa2</t>
  </si>
  <si>
    <t>Calgary news weather and traffic for August 5 * ~ 45 http://t.co/zAGBMlSf4H http://t.co/HVYXehXBmq</t>
  </si>
  <si>
    <t>Quality Metrics Penalties May Harm Patient Care PCPs Say: Primary care physicians generally hold positive vi... http://t.co/TdwprVB04y</t>
  </si>
  <si>
    <t>@tareksocal I think a lot of celebrities have to treat ppl as if they could harm them</t>
  </si>
  <si>
    <t>sticks and stones may break my bones
but words will never harm me</t>
  </si>
  <si>
    <t>i s2g if anyone tries to harm my cupcake i'll fucking hunt you down to the end of the earth #HarryBeCareful</t>
  </si>
  <si>
    <t>Vanderbilt: First Do No Harm http://t.co/cCdx7CGlQW</t>
  </si>
  <si>
    <t>'But right now you're only annoyed by them. If you actually hung out with them you'd see that they mean no harm.' @AudaciousSpunk</t>
  </si>
  <si>
    <t>The barn</t>
  </si>
  <si>
    <t>I've burned myself before not in the self harm way in the I'm a dumbass and I shouldn't be allowed to be around fire way</t>
  </si>
  <si>
    <t>where the wild things are</t>
  </si>
  <si>
    <t>I concur. The longer you spend with your child the more harm?  Mmk https://t.co/dxwfX56pWh</t>
  </si>
  <si>
    <t>?semekeepschanging@soyeh?</t>
  </si>
  <si>
    <t>PEOPLE KEEP NOT TAGGING SELF HARM AND IT'S FUCKING ME UP</t>
  </si>
  <si>
    <t>@dinallyhot Love what you picked! We're playing WORTH IT by FIFTH HARM/KID INK because of you! Listen &amp;amp; Vote: http://t.co/0wrATkA2jL</t>
  </si>
  <si>
    <t>I don't pray harm on members of ISIS.I pray they experience the life-rebooting love of God &amp;amp; become 'Paul's' in Gods mind-blowing final Act</t>
  </si>
  <si>
    <t>Are the safety improvements being made to Route 198 in Buffalo doing more harm than good? http://t.co/rqlPSAYE3B</t>
  </si>
  <si>
    <t>Is inner man wayward on route to harm spent replacing online surveys?: qZLOreMfT</t>
  </si>
  <si>
    <t>i love you zayn</t>
  </si>
  <si>
    <t>If anything happens I will fucking fly 2 MetLife which is 3 hours away from me&amp;amp;beat d crap out of any1 who tries 2 harm d boys #OTRATMETLIFE</t>
  </si>
  <si>
    <t>How standardized tests harm children of color and what we can do about it http://t.co/iD667rlEts Via @ParentsAcrossAm cc: @billgates</t>
  </si>
  <si>
    <t>WORLD WIDE</t>
  </si>
  <si>
    <t>_x0089_ÛÏFor I know the plans I have for you_x0089_Û_x009d_ declares the Lord _x0089_ÛÏplans to prosper you and not to harm you plans to... http://t.co/cIrTVml9Vp</t>
  </si>
  <si>
    <t>@lauren_miller_7 she won't harm you</t>
  </si>
  <si>
    <t>@angel_star39 Obama should feel responsible bringing in these illegals He- his family well protected from harm. No feeling or heart 4 others</t>
  </si>
  <si>
    <t>I've been meaning to harm you in the best way I see fit??</t>
  </si>
  <si>
    <t xml:space="preserve">England </t>
  </si>
  <si>
    <t>@VileLunar I trickshot with a regular controller fucking infinite fading is so harm &amp;gt;:(</t>
  </si>
  <si>
    <t>Sumter, SC</t>
  </si>
  <si>
    <t>Sex Workers Say Credit Card Bans On Online Ads Do More Harm Than Good http://t.co/B9Zx2xZ6aW</t>
  </si>
  <si>
    <t xml:space="preserve">Someday I'll live in England. </t>
  </si>
  <si>
    <t>HOW CAN SOMEONE HARM THIS ANGEL!!  https://t.co/VgzGOK5k3S</t>
  </si>
  <si>
    <t>Hogsmeade</t>
  </si>
  <si>
    <t>IF ANYONE WERE TO HARM THE BOYS THEY WOULD GET TAKEN DOWN IMMEDIATELY NOT BY SECURITY BUT BY THE FANS REAL QUICK</t>
  </si>
  <si>
    <t>5/5 access / rt link please x</t>
  </si>
  <si>
    <t>SO MANY SECURITY GARDS THIS IS GOOD. 
I DARE THEM TO LET SOMEONE HARM HARRY #OTRAMETLIFE</t>
  </si>
  <si>
    <t>å_: ?? ÌÑ ? : ?</t>
  </si>
  <si>
    <t>someone just reblogged a picture of self harm scars oh please its 2015 can we stop</t>
  </si>
  <si>
    <t>10-Jul</t>
  </si>
  <si>
    <t>@wowsavannah what's the harm?? they're collectibles</t>
  </si>
  <si>
    <t>Interview with Actor Randy Irwin A.S.K What Could Be The Harm http://t.co/k14q8cHWKp</t>
  </si>
  <si>
    <t>@5hvzlaRadio Love what you picked! We're playing WORTH IT by FIFTH HARM/KID INK because of you! Listen &amp;amp; Vote: http://t.co/0wrATkA2jL</t>
  </si>
  <si>
    <t xml:space="preserve">The South &amp; WestCoast </t>
  </si>
  <si>
    <t>All I got in this world is my bros I don't wanna see no harm come they way Ima lil upset right now ??</t>
  </si>
  <si>
    <t>Hogwarts</t>
  </si>
  <si>
    <t>@wwexdreamer talk to please don't harm your self in any way shape or form please we care about you and if I saw U right now U better</t>
  </si>
  <si>
    <t>@news4buffalo yes a lot more harm then good if there are guardrails up now why cant we go 50. Their will be a big problem when school starts</t>
  </si>
  <si>
    <t>@space_wolverine No harm no foul and somebody needed to say it.</t>
  </si>
  <si>
    <t>@TasteMyCupCakee lmfaooo  hell nawh ?? yo ass thought ??</t>
  </si>
  <si>
    <t>?@symbolicjensen?</t>
  </si>
  <si>
    <t>self harm// I'm so angry please tag your scars on tumblr jesus christ i dont wanna get triggered</t>
  </si>
  <si>
    <t>@RJG0789 idk....I feel like his movies have done more harm than good. They make us look sterotypical annddd colorism is prevalent sort of</t>
  </si>
  <si>
    <t>Quality Metrics Penalties May Harm Patient Care PCPs Say - Primary care physicians generally hold positive views... http://t.co/0w12PwPSfx</t>
  </si>
  <si>
    <t>Contoocook Valley Region of Ne</t>
  </si>
  <si>
    <t>Politicians are using false allegations to attack #PlannedParenthood &amp;amp; harm women. We aren't fooled we #StandwithPP http://t.co/eqDm2OpYbG</t>
  </si>
  <si>
    <t>@ClassyColkett Thorgan Hazard made his move permanent go Gladbach this summer lmao</t>
  </si>
  <si>
    <t>#Lifestyle _x0089_Û÷It makes me sick_x0089_Ûª: Baby clothes deemed a _x0089_Û÷hazard_x0089_Ûª http://t.co/0XrfVidxA2 http://t.co/oIHwgEZDCk</t>
  </si>
  <si>
    <t>@LongBreastYat Yeah I don't think he's elite either I think Hazard is the better player too. But not by much</t>
  </si>
  <si>
    <t>Seeing Hazard without the beard like... http://t.co/IPfzWWNXXP</t>
  </si>
  <si>
    <t>Get that hazard pay</t>
  </si>
  <si>
    <t>Lancashire, United Kingdom</t>
  </si>
  <si>
    <t>I liked a @YouTube video from @chaboyyhd http://t.co/Yr67ugEsrm Battlefield 4 Funny Moments - Dukes of Hazard Undercover Soldier</t>
  </si>
  <si>
    <t>a van down by the river</t>
  </si>
  <si>
    <t>@phiddleface NOT IF THERES A CHOKING HAZARD!!! ???? dont die before i get there!!</t>
  </si>
  <si>
    <t>Road Hazard @ CASCADE RD SW / CHILDRESS DR SW http://t.co/DilyvRoWyJ</t>
  </si>
  <si>
    <t>Giddy, Greenland</t>
  </si>
  <si>
    <t>So now that Di Maria has left my dear #mufc  back to the Hazard-Di Maria argument.... I'd say Hazard is way better ?? idc</t>
  </si>
  <si>
    <t>Davis's Drug Guide for Nurses by Judith Hopfer Deglin and April Hazard Vallerand http://t.co/IufS7UV1HK http://t.co/AFrHnLLY8D</t>
  </si>
  <si>
    <t>The Eden Hazard of Hockey https://t.co/RbbnjkoqUD</t>
  </si>
  <si>
    <t xml:space="preserve">Roppongi, Minato, Tokyo </t>
  </si>
  <si>
    <t>@ThatPersianGuy @YOUNGSAFE ?? Eden Hazard as Harden is spot on flopping is identical</t>
  </si>
  <si>
    <t>I rate Hazard very highly but his fanboys are among the worst accounts on Twitter.</t>
  </si>
  <si>
    <t>@DannyRaynard not bad personally I'd get rid of either hazard or aguero for a better striker than berahino</t>
  </si>
  <si>
    <t>Pleasanton, CA</t>
  </si>
  <si>
    <t>Choking Hazard Prompts Recall Of Kraft Cheese Singles http://t.co/XGKyVF9t4f</t>
  </si>
  <si>
    <t>BREAKING: Arsenal's Hector Bellerin has been arrested for questioning regarding the disappearance of Eden Hazard._x0089_Û_ http://t.co/eCMJ18AzaI</t>
  </si>
  <si>
    <t>Portsmouth, VA</t>
  </si>
  <si>
    <t>Freak accident? Sure. Looking for someone to blame? Maybe. Remember that player broke his leg cuz cart was at back of end zone? Common sense</t>
  </si>
  <si>
    <t>December 2011 court dismissed the group charge of rape victims saying 'getting raped was an occupational hazard..!'
US military = ISIS!</t>
  </si>
  <si>
    <t>95-03 BMW 528 530 540 740 Emergency Warning Hazard Switch Button OEM 20177-707D http://t.co/kVNahTHUWZ http://t.co/Y8xkNpqMnJ</t>
  </si>
  <si>
    <t>Kenya News (Chelsea talisman Eden Hazard keen to match Cristiano Ronaldo and Lionel Messi.)  Mipasho http://t.co/LxvLqVbc8r</t>
  </si>
  <si>
    <t>'Biggest lead hazard in New England history.' Yeah let's nail these guys. https://t.co/xzvmzQuS0x</t>
  </si>
  <si>
    <t>Precious cargo onesie recalled for choking hazard. http://t.co/0PAMznyYuw</t>
  </si>
  <si>
    <t>@TomDean86 he's alright but Hazard/Willian ain't gonna be shifted easily.</t>
  </si>
  <si>
    <t>Battlefield 4 Funny Moments - Dukes of Hazard Undercover Soldier MAV T... https://t.co/JU8nfpnedl via @YouTube</t>
  </si>
  <si>
    <t>Our tipster previews Chelsea v Swansea &amp;amp; there's a 48/1 double! http://t.co/PFSrYJS1pc 
#Chelsea #Hazard http://t.co/SKdBot7TGF</t>
  </si>
  <si>
    <t>@ArianaGrande  Girl you still lickin' public donuts???  Health hazard....u should be in jail.</t>
  </si>
  <si>
    <t>ilford</t>
  </si>
  <si>
    <t>Fair enough we have two of the best attacking wingers in the Prem in Hazard and Willian who will basically start every game 100%</t>
  </si>
  <si>
    <t>Nashville, Tn</t>
  </si>
  <si>
    <t>Wholesale #WE Gon Rep That $hit At All Costs- Hazardous #WholeTeam3 #WholesaleEnt https://t.co/JWnXH9Q5ov</t>
  </si>
  <si>
    <t>JAX issues Hazardous Weather Outlook (HWO) http://t.co/fuCOQhcLAD</t>
  </si>
  <si>
    <t>http://t.co/7AzE4IoGMe Risk Assessment and Optimization for Routing Hazardous Waste Collection #sustainable environmental</t>
  </si>
  <si>
    <t>Far Away From Home</t>
  </si>
  <si>
    <t>@igmpj aren't dangling piercing crystals potentially hazardous to the eyes? :)</t>
  </si>
  <si>
    <t>#what #tribal Olap #world pres: http://t.co/Jw6FNnsSxT How To Recognize A Hazardous Waste And The Multidimensi http://t.co/4zAzTB19qE</t>
  </si>
  <si>
    <t>Never fear quarrels but seek hazardous adventures. https://t.co/dlvZaay7qr</t>
  </si>
  <si>
    <t>09:13 PM:  Hazardous Weather Outlook (http://t.co/ed1VpITsWY): NO HAZARDOUS WEATHER IS EXPECTED AT THIS TIME.... http://t.co/6XSbddlZiy</t>
  </si>
  <si>
    <t>Muntinlupa City, Philippines</t>
  </si>
  <si>
    <t>@HearItFromPa Also pls help us w/ our campaign to warn the public about the hazardous keratin treatments. The Brazilian Blowout COPYCATS.</t>
  </si>
  <si>
    <t>@HearItFromPatty Also pls help us w/ our campaign to warn the public about the hazardous keratin treatments. The Brazilian Blowout COPYCATS</t>
  </si>
  <si>
    <t>Is it possible to sneak into a hospital so I can stab myself with a hazardous needle and inject some crazy disease into my veins until I die</t>
  </si>
  <si>
    <t>@Josh_LaDo Not tweeting and driving Joshua. Typos are hazardous.</t>
  </si>
  <si>
    <t>@rawfoodbliss I'm in the middle of a humid heat wave and a patch on my forehead flared up. I take olive oli extract and 4 tbs olive oil</t>
  </si>
  <si>
    <t>Greenfield, Massachusetts</t>
  </si>
  <si>
    <t>Many thx for share and your comment Alex Lightman - 
What evidence did it take or will it take for you or your... http://t.co/4Wsva9WO0F</t>
  </si>
  <si>
    <t>@heebsterrr_ I remember the heat wave the year I went bruh and they don't have AC ????</t>
  </si>
  <si>
    <t>Chilli heat wave Doritos never fail!</t>
  </si>
  <si>
    <t>Cherry print + matching lipstick (just rediscovered Nars_x0089_Ûª _x0089_Û÷Heat Wave_x0089_Ûª).?? by @emilyschuman http://t.co/4eGh1G1Jk7</t>
  </si>
  <si>
    <t>Maricopa, AZ</t>
  </si>
  <si>
    <t>@Startide It's hotter there than Phoenix this week with 3x the humidity. &amp;gt;.&amp;gt;; Heat wave.</t>
  </si>
  <si>
    <t xml:space="preserve">liverpool </t>
  </si>
  <si>
    <t>#greatbritishbakeoff love to know where I was when all this nice weather happened! Did miss the heat wave ?? ??</t>
  </si>
  <si>
    <t>Albuquerque New Mexico</t>
  </si>
  <si>
    <t>@kristenKOIN6 Yay good cooler weather for PDX..ABQ NM is feeling the heat wave now bcuz my rain dances aren't working :-)</t>
  </si>
  <si>
    <t>New York Brooklyn</t>
  </si>
  <si>
    <t>Have you heard _x0089_Û÷05 LOVE TO LOVE YOU....HEAT WAVE VOL 5_x0089_Ûª by George deejayempiresound on #SoundCloud? #np https://t.co/rQiuqXNM2X</t>
  </si>
  <si>
    <t>Rheinbach / Germany</t>
  </si>
  <si>
    <t>Orchid - Sign Of The Witch http://t.co/YtkXwPyIHg</t>
  </si>
  <si>
    <t>day 3 without my phone and due to my slow shite computers it is utter hellfire :'(
Plez send help</t>
  </si>
  <si>
    <t>@DeeDee_Casey been on tour in the day to Hellfire caves! Would love to investigate the place though!</t>
  </si>
  <si>
    <t>jeddah | Khartoum</t>
  </si>
  <si>
    <t>Beware of your temper and a loose tongue! These two dangerous weapons combined can lead a person to the Hellfire #islam!</t>
  </si>
  <si>
    <t>United Hoods of the Globe</t>
  </si>
  <si>
    <t>HELLFIRE EP - SILENTMIND &amp;amp; @_bookofdaniel  https://t.co/FKqJY3EzyG</t>
  </si>
  <si>
    <t>Jubail IC, Saudi Arabia.</t>
  </si>
  <si>
    <t>Hellfire! We don_x0089_Ûªt even want to think about it or mention it so let_x0089_Ûªs not do anything that leads to it!</t>
  </si>
  <si>
    <t>Hellfire is surrounded by desires so be careful and don_x0089_Ûªt let your desires control you! #Afterlife #islam</t>
  </si>
  <si>
    <t>@IAN_Hellfire you said it's rude based on an experience. Kind of a next level sub tweet in a way lol. Either way you got worked up</t>
  </si>
  <si>
    <t>@JYHeffect my good you stay in NY??? ?</t>
  </si>
  <si>
    <t>@HellFire_eV @JackPERU1 then I do this to one of them ????</t>
  </si>
  <si>
    <t>(Also I dont think sewing thought a leather belt would work out that well lol)</t>
  </si>
  <si>
    <t>?????? ??? ?????? ????????</t>
  </si>
  <si>
    <t>Right next to Compton</t>
  </si>
  <si>
    <t>@IAN_Hellfire I got it for the mistake but boss got it worse cause their job was to oversee my work. Boss didn't change after that...</t>
  </si>
  <si>
    <t>11th dimension, los angeles</t>
  </si>
  <si>
    <t>That hellfire song from the hunchback of notre dame reminds me a lot of my house</t>
  </si>
  <si>
    <t>the message you sent and they don't reply. I see that you saw my message the least you can do is tell me to 'fuck off' or something.</t>
  </si>
  <si>
    <t>570 Vanderbilt; Brooklyn, NY</t>
  </si>
  <si>
    <t>New cocktail on the list! El Diablo Mas Verde: mezcal yellow chartreuse honey cucumber hellfire bitters.... http://t.co/REuosJEK4m</t>
  </si>
  <si>
    <t xml:space="preserve">??????????? ???????????..? </t>
  </si>
  <si>
    <t>Charleston, WV</t>
  </si>
  <si>
    <t>Hellfire Gargoyle Hoof coil http://t.co/2ii3Brc7NX</t>
  </si>
  <si>
    <t>@MechaMacGyver Wow bet you got blamed for that too huh?</t>
  </si>
  <si>
    <t>@IAN_Hellfire again not really. Do you have any idea how many times i have been ignored for fadc. You can't expect anything.</t>
  </si>
  <si>
    <t xml:space="preserve">Benicia, CA </t>
  </si>
  <si>
    <t>@USArmy has entered into the #JAGM project to replace #TOW and Hellfire missiles. Check it out here: http://t.co/2mnQC73hFk</t>
  </si>
  <si>
    <t>Innerhalb der LÌ_cke</t>
  </si>
  <si>
    <t>#GamerGate 'Our entire attempt to hijack your community destroy your industry and scam everyone in sight was just sarcastic'.
Drop dead.</t>
  </si>
  <si>
    <t>0-day bug in fully patched OS X comes under active exploit to hijack Macs http://t.co/sbGiRvQvzb</t>
  </si>
  <si>
    <t>0-day bug in fully patched OS X comes under active exploit to bypass password ... - Ars Technica http://t.co/F7OgzrNPfv</t>
  </si>
  <si>
    <t>REVEALED: Everton hijack United bid for 14-year-old WONDERKID! - http://t.co/nb1E7mNcE5</t>
  </si>
  <si>
    <t>eating strawberry shitsickles</t>
  </si>
  <si>
    <t>@mockingpanems @cuddlesforjen what if he slammed her against the wall for the wrong reason but then he came out of hijack mode and it</t>
  </si>
  <si>
    <t>Patience Jonathan On The Move To Hijack APC In BayelsaåÊState http://t.co/Vh8QtbyPZt</t>
  </si>
  <si>
    <t>Swansea ?plot hijack transfer move for Southampton target Virgil van Dijk? http://t.co/NZRWDdLntp</t>
  </si>
  <si>
    <t>Jeep Cherokee Owners File Lawsuit Against Fiat Chrysler Harman After Hackers ... - The Consumerist http://t.co/2hocEP41kH #mcgsecure</t>
  </si>
  <si>
    <t>0-day bug in fully patched OS X comes under active exploit to bypass password ... - Ars Technica http://t.co/53P4oOO1XN</t>
  </si>
  <si>
    <t>@welshninja87 click on the tag there's lots of them. RT them to hijack the hashtag</t>
  </si>
  <si>
    <t>Near Richmond, VA</t>
  </si>
  <si>
    <t>Another Mac vuln!
https://t.co/OxXRnaB8Un</t>
  </si>
  <si>
    <t>[Latest Post] Bayelsa poll: Tension in Bayelsa as Patience Jonathan plans to hijack APC PDP http://t.co/B2yvLMPepR</t>
  </si>
  <si>
    <t>Stay cautious. http://t.co/JeJC9XcTMp</t>
  </si>
  <si>
    <t>am everywhere</t>
  </si>
  <si>
    <t>Bayelsa poll: Tension in Bayelsa as Patience Jonathan plans to hijack APC PDP: Plans by former First Lady and... http://t.co/3eJL9lZlCH</t>
  </si>
  <si>
    <t>@RickyBonesSXM fuck u2 specially there new Shit. First they hijack itunes now all sirius chan. fuck off already haha just sayin</t>
  </si>
  <si>
    <t>Bayelsa poll: Tension in Bayelsa as Patience Jonathan plans to hijack APC PDP Plans by former First Lady and... http://t.co/RtfirzCPOC</t>
  </si>
  <si>
    <t>@jasoncundy05 Chelsea need to hijack Man Utd deal for Pedro..20 mill bargain Adam driving home in Oregon USA cmon blues!!!</t>
  </si>
  <si>
    <t>Gov. Brown allows parole for 1976 Chowchilla school bus hijacker James Schoenfeld. http://t.co/GlWoAKppjq http://t.co/WlLfLFnDgG</t>
  </si>
  <si>
    <t>San Jose Mercury: Governor Brown allows parole for California school bus hijacker  http://t.co/GpCeCp9kHv</t>
  </si>
  <si>
    <t>Remove the http://t.co/Xxj2B4JxRt and Linkury Browser Hijacker http://t.co/9gtYlgXrOE http://t.co/yG6Rj86BKI</t>
  </si>
  <si>
    <t>Remove the http://t.co/l4wJHz4AJ6 and Linkury Browser Hijacker http://t.co/KMgDv7VSAz http://t.co/byTsfms7Md</t>
  </si>
  <si>
    <t>How to remove http://t.co/HRSfA8zujI BrowseråÊHijacker http://t.co/vLnjNoLNme http://t.co/iF5RoGFJRi</t>
  </si>
  <si>
    <t>Complete Solution to Get Rid of http://t.co/9CntP3nQ6o _x0089_ÛÒ [Browser Hijacker Removal Guide]! - http://t.co/Qdf6ASaeLM</t>
  </si>
  <si>
    <t>Remove the http://t.co/2nS5TfnxpA and Linkury Browser Hijacker http://t.co/W2kVScbTLp http://t.co/tn8o00NrLP</t>
  </si>
  <si>
    <t>West Chester, PA</t>
  </si>
  <si>
    <t>Remove the http://t.co/9Jxb3rx8mF and Linkury Browser Hijacker http://t.co/B5s5epJ7Um http://t.co/hPA9GQRyWa</t>
  </si>
  <si>
    <t>Governor allows parole for California school bus hijacker | Fresno Linked Local Network http://t.co/Sww0QsMxVM http://t.co/bcdP4gKokA</t>
  </si>
  <si>
    <t>Governor weighs parole for California school bus hijacker http://t.co/7NPBfRzEJL http://t.co/Y0kByy8nce</t>
  </si>
  <si>
    <t>RSN: Tru</t>
  </si>
  <si>
    <t>@Mauds99 @JagexSupport https://t.co/uSH59Uq30j Change password through that link it'll kick the hijacker off.</t>
  </si>
  <si>
    <t>@JagexHelpDibi update JAG enabled but a hijacker has access might be what I was looking for. Fingers crossed.</t>
  </si>
  <si>
    <t>Demco 8550013 Hijacker 5th Wheel Hitch 21K Ultra Series Double Pivot http://t.co/hRdwGfbFYq http://t.co/nUOhKmPZFj</t>
  </si>
  <si>
    <t>El Paso, TX</t>
  </si>
  <si>
    <t>Remove the http://t.co/7IEiZ619h0 and Linkury Browser Hijacker http://t.co/tFeaNwhH2h http://t.co/SjicbhzFo4</t>
  </si>
  <si>
    <t>How to Remove Softenza Hijacker? Softenza Anthelmintic Nature book Drawing out Help SEA</t>
  </si>
  <si>
    <t>South Pasadena, CA</t>
  </si>
  <si>
    <t>@ladyfleur The example I used is even worse in that it's a cafÌ© trying to market itself w/hashtag hijacking.</t>
  </si>
  <si>
    <t xml:space="preserve">perth, australia </t>
  </si>
  <si>
    <t>#hot  Funtenna: hijacking computers to send data as sound waves [Black Hat 2015] http://t.co/gUJNPLJVvt #prebreak #best</t>
  </si>
  <si>
    <t>brisbane, australia</t>
  </si>
  <si>
    <t>#hot  Funtenna: hijacking computers to send data as sound waves [Black Hat 2015] http://t.co/s4PNIhJQX7 #prebreak #best</t>
  </si>
  <si>
    <t>China</t>
  </si>
  <si>
    <t>#hot  Funtenna: hijacking computers to send data as sound waves [Black Hat 2015] http://t.co/cx6auPneMu #prebreak #best</t>
  </si>
  <si>
    <t>Chiyoda Ward, Tokyo</t>
  </si>
  <si>
    <t>#hot  Funtenna: hijacking computers to send data as sound waves [Black Hat 2015] http://t.co/wvTPuRYx63 #prebreak #best</t>
  </si>
  <si>
    <t>rome</t>
  </si>
  <si>
    <t>#hot  Funtenna: hijacking computers to send data as sound waves [Black Hat 2015] http://t.co/J5onxFwLAo #prebreak #best</t>
  </si>
  <si>
    <t>#hot  Funtenna: hijacking computers to send data as sound waves [Black Hat 2015] http://t.co/nQiObcZKrT #prebreak #best</t>
  </si>
  <si>
    <t>#hot  Funtenna: hijacking computers to send data as sound waves [Black Hat 2015] http://t.co/aAtt5aMnmD #prebreak #best</t>
  </si>
  <si>
    <t xml:space="preserve">IN our hearts  Earth Global </t>
  </si>
  <si>
    <t>Hijacking Electric Skateboards to Make Them SaferåÊ | @scoopit http://t.co/ihInj3eNQi</t>
  </si>
  <si>
    <t>France</t>
  </si>
  <si>
    <t>#hot  Funtenna: hijacking computers to send data as sound waves [Black Hat 2015] http://t.co/6AqrNanKFD #prebreak #best</t>
  </si>
  <si>
    <t>#hot  Funtenna: hijacking computers to send data as sound waves [Black Hat 2015] http://t.co/8JcYXhq1AZ #prebreak #best</t>
  </si>
  <si>
    <t>The ship has arrived safely. So it was quite unnecessary to sign the waiver that we won't sue Microsoft if any hijacking occurred.</t>
  </si>
  <si>
    <t>tokyo</t>
  </si>
  <si>
    <t>#hot  Funtenna: hijacking computers to send data as sound waves [Black Hat 2015] http://t.co/gexHzU1VK8 #prebreak #best</t>
  </si>
  <si>
    <t>#hot  Funtenna: hijacking computers to send data as sound waves [Black Hat 2015] http://t.co/MIs0RjxuIr #prebreak #best</t>
  </si>
  <si>
    <t>#hot  Funtenna: hijacking computers to send data as sound waves [Black Hat 2015] http://t.co/G62txymzBv #prebreak #best</t>
  </si>
  <si>
    <t>between ideas &amp; 3-5pm AEST</t>
  </si>
  <si>
    <t>to whomever is hijacking my wifi hotspot. I have a very specific skill set. I will create a character and perform a one-man show about you</t>
  </si>
  <si>
    <t>Mom is hijacking my account to earn MCR STATUS!!!  Get your own account snort!  
http://t.co/jST5hAUK35 #FlavorChargedTea</t>
  </si>
  <si>
    <t>_x0089_Û÷Ransomware_x0089_Ûª holds B.C. man_x0089_Ûªs computer files hostage: A virus locked Andrew Wilson's family photos and other_x0089_Û_ http://t.co/aQbLjComlN</t>
  </si>
  <si>
    <t>I always tell my mom to bring me food or I will hold her cat hostage??</t>
  </si>
  <si>
    <t>Starling City</t>
  </si>
  <si>
    <t>That moth that held me hostage yesterday has been chilling on the bathroom windowsill all day and I'm not okay with this</t>
  </si>
  <si>
    <t xml:space="preserve">Glenview to Knoxville </t>
  </si>
  <si>
    <t>I'm hungry as a hostage</t>
  </si>
  <si>
    <t>Who is Tomislav Salopek the Islamic State's Most Recent Hostage? - http://t.co/wiQJERUktF</t>
  </si>
  <si>
    <t>@susanj357 @msnbc @allinwithchris it's like watching a hostage video sometimes ... But not always ( at least not yet)</t>
  </si>
  <si>
    <t>You will be held hostage by a radical group.</t>
  </si>
  <si>
    <t>When u get mugged with ur gf u come up with the best excuses not to look like a bitch 'I wanted to fight but what if he held u hostage?'</t>
  </si>
  <si>
    <t>whO'S THAT SHADOW HOLDIN ME HOSTAGE I'VE BEEN HERE FOR DAYS</t>
  </si>
  <si>
    <t>I sent my emails why are the TRINNA hold me hostage  rapping me up ??</t>
  </si>
  <si>
    <t>Melbourne, FL</t>
  </si>
  <si>
    <t>Wtf? Her biological father is holding her hostage and her adoptive parents haven't even looked for her. Criminal minds got me fucked up.</t>
  </si>
  <si>
    <t>If you fill your mind with encouragement and positivity then it won't take you hostage. Be careful of your content</t>
  </si>
  <si>
    <t>Victorville, CA</t>
  </si>
  <si>
    <t>Wut a lonely lunch. I got ditched. And I'm hungrier than a hostage!</t>
  </si>
  <si>
    <t>Nearly 35 years after their release from captivity legislation is being introduced in Congress to compensate 53_x0089_Û_ http://t.co/NCjLXzFWaa</t>
  </si>
  <si>
    <t>@gideonstrumpet Have you been held hostage?</t>
  </si>
  <si>
    <t xml:space="preserve"> Eugene, Oregon</t>
  </si>
  <si>
    <t>Dysfunctional McConnell plans on holding Judicial Nominations hostage. Another example of how GOP can_x0089_Ûªt govern. http://t.co/VT2akY5MgK _x0089_Û_</t>
  </si>
  <si>
    <t>Broadcast journalism: hostages to fortune otherwise quot-television blind else quot-operations since-3g superv...</t>
  </si>
  <si>
    <t>NYC metro</t>
  </si>
  <si>
    <t>Holmgren describing 96 World Cup: we were Lou's hostages.</t>
  </si>
  <si>
    <t>Natalie Stavola our co-star explains her role in Love and Hostages. Check it out! #LH_movie #indiefilm #comingsoon
https://t.co/2Dw23pMF4B</t>
  </si>
  <si>
    <t>Render assistance gain as proxy for your hostages to fortune: sSu http://t.co/KS7Ln8HQ8s</t>
  </si>
  <si>
    <t>@Deosl86 @xavier_marquis Hostages are meaningless might as well just play cod search and destroy.</t>
  </si>
  <si>
    <t>'Well guess what young girls. You aren't damsels in distress. You aren't hostages to the words of your peers.' http://t.co/5XRC0a76vD</t>
  </si>
  <si>
    <t>OK</t>
  </si>
  <si>
    <t>@TexansDC @kylekrenek @Zepp1978 @Frobeus_NS Never thought I could have that much fun saving (and shooting) teddy bear hostages. lol</t>
  </si>
  <si>
    <t>#hot  C-130 specially modified to land in a stadium and rescue hostages in Iran in 1980 http://t.co/zY3hpdJNwg #prebreak #best</t>
  </si>
  <si>
    <t>New #Free #Porn #Clip! Taking Of Hostages Dangerous For Favors Free: http://t.co/MIubkZ77m6
#RT #adult #sex #tube</t>
  </si>
  <si>
    <t>@banditregina I also loved the episode 'Bang' in season 3 when Caroline Bigsby(?) took hostages in the supermarket.</t>
  </si>
  <si>
    <t>You messed up my feeling like a hurricane damaged this broken home</t>
  </si>
  <si>
    <t xml:space="preserve"> Miami Beach</t>
  </si>
  <si>
    <t>everyone's wonder who will win and I'm over here wondering are those grapes real ?????? #BB17</t>
  </si>
  <si>
    <t>@eggalie haha I love hurricane because of you</t>
  </si>
  <si>
    <t>@Hurricane_Dolce happy birthday big Bruh</t>
  </si>
  <si>
    <t>@Guy_Reginald lol more than welcome ??????</t>
  </si>
  <si>
    <t>Bluedio Turbine Hurricane H Bluetooth 4.1 Wireless Stereo Headphones Headset BLK - Full re_x0089_Û_ http://t.co/WwFqGCQYII http://t.co/GscswyUuPA</t>
  </si>
  <si>
    <t>They should name hurricanes with black people names. I'd be terrified of hurricane Shanaynay!</t>
  </si>
  <si>
    <t>Them shootas be so hungry with bodies on they burner ??</t>
  </si>
  <si>
    <t>The Epicenter, and Beyond</t>
  </si>
  <si>
    <t>AD Miles 'Hurricane of Fun : The Making of Wet Hot' https://t.co/SBZwRuwuFh</t>
  </si>
  <si>
    <t>Books Published, USA</t>
  </si>
  <si>
    <t>Hurricane Dancers: The First Caribbean Pirate Shipwreck
Margarita Engle - Henry Holt and Co. (BYR). http://t.co/i7EskymOec</t>
  </si>
  <si>
    <t>Somewhere Powerbraking A Chevy</t>
  </si>
  <si>
    <t>@Freegeezy17 you stay in Houston?</t>
  </si>
  <si>
    <t>Mexico City</t>
  </si>
  <si>
    <t>NowPlaying Rock You Like A Hurricane - Scorpions http://t.co/JRztpT8IJq</t>
  </si>
  <si>
    <t>The hurricane mixxtail kinda tastes like the watermelon four loko. ???????? @brittsand9</t>
  </si>
  <si>
    <t>Bluedio Turbine Hurricane H Bluetooth 4.1 Wireless Stereo Headphones Headset BLK - Full re_x0089_Û_ http://t.co/WeUDLkc4o4 http://t.co/trl1dskF81</t>
  </si>
  <si>
    <t>Chicopee MA</t>
  </si>
  <si>
    <t>Entertain this thought for a moment:
diarrhea hurricane</t>
  </si>
  <si>
    <t>Bluedio Turbine Hurricane H Bluetooth 4.1 Wireless Stereo Headphones Headset BLK - Full re_x0089_Û_ http://t.co/jans3Fd4lf http://t.co/2SdMichb2Z</t>
  </si>
  <si>
    <t>Stream HYPE HURRICANE</t>
  </si>
  <si>
    <t>Mr. T stopped wearing gold chains in 2005 because he thought it would be an insult to the people who lost everything after Hurricane Katrina</t>
  </si>
  <si>
    <t>MD</t>
  </si>
  <si>
    <t>And you wonder why he's injured every year https://t.co/XYiwR9JETl</t>
  </si>
  <si>
    <t>Arian Foster does keep his promise... And that's to get injured every yeat</t>
  </si>
  <si>
    <t xml:space="preserve"> Tropical SE FLorida</t>
  </si>
  <si>
    <t>#WakeUpFlorida... #Floridians more likely to be killed/injured by a #TrophyHunt killer's gun than by ISIS.  https://t.co/j5In8meXAJ</t>
  </si>
  <si>
    <t>@RVacchianoNYDN The only surprise is that they aren't ALL injured.</t>
  </si>
  <si>
    <t>@chikislizeth08 you're not injured anymore? ??</t>
  </si>
  <si>
    <t>If I could I would have been by at work but got injured and we have security concerns they must settle. This is torture.</t>
  </si>
  <si>
    <t>Doghouse</t>
  </si>
  <si>
    <t>Injured Barcelona full-back Alba out of Super Cup http://t.co/jYiEgtnC6H</t>
  </si>
  <si>
    <t>@michaelgbaron how come scott rice doesn't get another shot. Holding lefties to a 184. average. Is he injured?</t>
  </si>
  <si>
    <t>someplace living my life</t>
  </si>
  <si>
    <t>so paulista injured wilshere</t>
  </si>
  <si>
    <t>#golf McIlroy fuels PGA speculation after video: Injured world number one Rory McIlroy fueled speculatio... http://t.co/dCyYJVmXHR #news</t>
  </si>
  <si>
    <t>Avon</t>
  </si>
  <si>
    <t>@Welles_7 he was injured. He is a pro bowl back.</t>
  </si>
  <si>
    <t>Injuries may be forgiven but not forgotten.
Aesop</t>
  </si>
  <si>
    <t>Orlando,FL  USA</t>
  </si>
  <si>
    <t>Official kinesiology tape of IRONMANå¨ long-lasting durability effectiveness on common injuries http://t.co/ejymkZPEEx http://t.co/0IYuntXDUv</t>
  </si>
  <si>
    <t>North London</t>
  </si>
  <si>
    <t>@TayIorrMade @MegatronAFC possibly he's had injuries on both ankles though. 2011 one worse but regardless both.</t>
  </si>
  <si>
    <t>come here in 20 minutes for an ass kicking</t>
  </si>
  <si>
    <t>in fact if y'all could tag like small creeping or self inflicted injuries of the skin as derma (with brackets) that would be nice</t>
  </si>
  <si>
    <t>Emirates</t>
  </si>
  <si>
    <t>Last time I checked Lots of injuries over the course of time = injury prone. 
@Calum36Chambers am I wrong?</t>
  </si>
  <si>
    <t>Milton Keynes, England</t>
  </si>
  <si>
    <t>If you're slating @gpaulista5 for @JackWilshere's injury then you're a disgrace to the #AFC fan base. Injuries happen you cunts!</t>
  </si>
  <si>
    <t>Scottsdale. AZ</t>
  </si>
  <si>
    <t>Next Man Up---AH SCREW THIS! I'm so tired of injuries.  
What happened to Camp Cupcake? More like Camp Cramp and Break.</t>
  </si>
  <si>
    <t>I'm only experienced with injuries below the waist</t>
  </si>
  <si>
    <t>Saskatchewan, Canada</t>
  </si>
  <si>
    <t>@jamienye u can't blame it all on coaching management penalties defence or injuries. Cursed is probably a good way to put it! #riders</t>
  </si>
  <si>
    <t>North West London</t>
  </si>
  <si>
    <t>@likeavillasboas @rich_chandler Being' injury prone' isn't actually just suffering injuries often.</t>
  </si>
  <si>
    <t>@nalathekoala As a health care professional that deals all gun violence sequalae I consider suicides injuries accidents and homicides</t>
  </si>
  <si>
    <t>Sutton, London UK</t>
  </si>
  <si>
    <t>@fkhanage look what Shad Forsythe has done in 1 year we won't have as many injuries as before we will inevitably have injuries like others</t>
  </si>
  <si>
    <t>Alameda and Pleasanton, CA</t>
  </si>
  <si>
    <t>A new type of ADHD? Head injuries in children linked to long-term attention problems http://t.co/I4FZ75Utnh</t>
  </si>
  <si>
    <t>@imSUSHIckoflove @alekalicante RIGHT?? Yep you're a witness to his injuries HAHA it's a gauze!</t>
  </si>
  <si>
    <t>Madison, WI &amp; St. Louis MO</t>
  </si>
  <si>
    <t>@BuffoonMike I knew mo not doing much would bite us he was influenced by that shitty staff and injuries are not acquisitions</t>
  </si>
  <si>
    <t>Bay Area</t>
  </si>
  <si>
    <t>Forsure back in the gym tomorrow. Body isn't even at 50%. Don't wanna risk injuries.</t>
  </si>
  <si>
    <t>California or Colorado</t>
  </si>
  <si>
    <t>Why is #GOP blocking chance for #DisabledVeterans w/ groin injuries to have children? #ThePartyofMeanness http://t.co/gzTolLl5Wo_x0089_Û_</t>
  </si>
  <si>
    <t>Here we fucking go with the injuries again who's next? https://t.co/TuzacdWFqd</t>
  </si>
  <si>
    <t>Corpus - Las Vegas - Houston</t>
  </si>
  <si>
    <t>The injuries are starting!!! Please @dallascowboys stay healthy!!! ????????????</t>
  </si>
  <si>
    <t>Spring Tx</t>
  </si>
  <si>
    <t>HEALTH FACT: 75% of muscle mass is made up of fluid. Drink water to prevent strains sprains and other injuries. http://t.co/g0dN1ChLUo</t>
  </si>
  <si>
    <t>All injuries Pre Foster/Floyd. Those will be covered next week. https://t.co/zRZEjPEF5j</t>
  </si>
  <si>
    <t>@Judson1360 @XTRA1360 O-line and pass rush.  Rest of roster is stout barring injuries</t>
  </si>
  <si>
    <t>Diego Costa needs to stop getting injuries urg</t>
  </si>
  <si>
    <t xml:space="preserve">Riverview, FL </t>
  </si>
  <si>
    <t>4 Common Running Injuries and How to Avoid Them http://t.co/E5cNS6ufPA</t>
  </si>
  <si>
    <t>nflexpertpicks: Michael Floyd's hand injury shouldn't devalue his fantasy stock: Michael Floyd's damaged digits won... _x0089_Û_</t>
  </si>
  <si>
    <t>beijing .China</t>
  </si>
  <si>
    <t>Rory McIlroy to Test Ankle Injury in Weekend Practice #chinadotcom #sports http://t.co/UDTGWfSc3P http://t.co/V5wSx0LQN2</t>
  </si>
  <si>
    <t>JOBOOZOSO: USAT usatoday_nfl Michael Floyd's hand injury shouldn't devalue his fantasy stock http://t.co/DGkmUEoAxZ</t>
  </si>
  <si>
    <t>@NEPD_Loyko Texans hope you are wrong. Radio in Houston have him as starter after Foster injury</t>
  </si>
  <si>
    <t>Peru</t>
  </si>
  <si>
    <t>@SergioPiaggio 'I_x0089_Ûªd worked so hard to get to that level that I wasn_x0089_Ûªt going to let the injury define me. I was going to define it._x0089_Û_x009d_ Cool</t>
  </si>
  <si>
    <t>Enter the world of extreme diving _x0089_ÛÓ 9 stories up and into the Volga River http://t.co/dMTZMgyRiK</t>
  </si>
  <si>
    <t>Cambridge, Massachusetts</t>
  </si>
  <si>
    <t>Greg Garza not in the 18 for Atlas tonight vs Leones Negros in Copa MX play. He left the previous game w/ an injury. #USMNT</t>
  </si>
  <si>
    <t>#poster #ergo Rotator #cuff injury recovery kit: http://t.co/zj3ODGQHyp Super High Converting Rotator Cuff Inj http://t.co/VZhTiBe4jh</t>
  </si>
  <si>
    <t>Lahore</t>
  </si>
  <si>
    <t>Live Cricket Score In All Match International
Domestic
Team Tour Team Squad
Profile &amp;amp; Injury
Lamha Ba Lamha Update
+
FolloW
@ICC_RealCKT</t>
  </si>
  <si>
    <t>DAL News: Wednesday's injury report: RB Lance Dunbar injures ankle is listed as day-to-day http://t.co/Eujgu1HVVx</t>
  </si>
  <si>
    <t>Dr Jack Stern Interview Ending Back Pain for #Military #Injury. Listen now: http://t.co/YhH7X0MAio</t>
  </si>
  <si>
    <t>Shah Alam,Malaysia</t>
  </si>
  <si>
    <t>Had a nightmare and was about to jump out of bed when I remembered my injury alas it was too late and I screamed in my bedroom</t>
  </si>
  <si>
    <t>Tennis: Defending champ Svetlana Kuznetsova withdraws from Citi Open cites injury to her lower left leg (ESPN) http://t.co/iM2HdsKlq5</t>
  </si>
  <si>
    <t>ÌÏT: 35.223347,-80.827834</t>
  </si>
  <si>
    <t>#PFT Barkevious Mingo missed Browns practice with a mystery injury http://t.co/D7m9KGMPJI</t>
  </si>
  <si>
    <t>@Patricia_Traina any update on the McClain injury from today's practice?#NYG</t>
  </si>
  <si>
    <t>FollowNFLNews: Michael Floyd's hand injury shouldn't devalue his fantasy stock http://t.co/5dUjGypImA #NFL #News #Playoffs</t>
  </si>
  <si>
    <t>Plano, Texas</t>
  </si>
  <si>
    <t>'McFadden Reportedly to Test Hamstring Thursday' via @TeamStream http://t.co/jWq4KvJH2j</t>
  </si>
  <si>
    <t>mnl</t>
  </si>
  <si>
    <t>New level of tita-dom: bowling injury. http://t.co/tdeQwm8ZXn</t>
  </si>
  <si>
    <t>#Cowboys: Wednesday's injury report: RB Lance Dunbar injures ankle is listed as day-to-day:  http://t.co/RkB7EgKveb</t>
  </si>
  <si>
    <t>Louisiana</t>
  </si>
  <si>
    <t>@JJ_DIRTY @MLSTransfers @greggmair oh Gio was my backup. But with SKC next and BWP getting a crack at NYCFC + injury I went BWP. Lol wrong</t>
  </si>
  <si>
    <t>Nairobi , Kenya</t>
  </si>
  <si>
    <t>Enter the world of extreme diving _x0089_ÛÓ 9 stories up and into the Volga River http://t.co/7adqV1gRVR</t>
  </si>
  <si>
    <t>Quirk Injury Law's News is out! http://t.co/HxVIhDuShP Stories via @dantmatrafajlo</t>
  </si>
  <si>
    <t>#Cowboys: George: Injury woes took Claiborne from first round to trying to stick around; can he do it?:  http://t.co/12giQbVLYs</t>
  </si>
  <si>
    <t>Enter the world of extreme diving _x0089_ÛÓ 9 stories up and into the Volga River http://t.co/vz19VvgMnv</t>
  </si>
  <si>
    <t>Russia</t>
  </si>
  <si>
    <t>Our big baby climbed up on this thing on wheels-(IO Hawk)!His knee injury!!!!! Where's my belt?Mr SRK cook ur beautiful ass for punishment!</t>
  </si>
  <si>
    <t>Baltimore</t>
  </si>
  <si>
    <t>Ngata on injury list at start of practice for Lions http://t.co/Z16DtoQHhG</t>
  </si>
  <si>
    <t>A Laois girl advertised for a new friend to replace her loved-up BFF and has been inundated http://t.co/IGM2fcmupm http://t.co/UxcfBJ3mzx</t>
  </si>
  <si>
    <t>England &amp; Wales Border, UK</t>
  </si>
  <si>
    <t>@Lenn_Len Probably. We are inundated with them most years!</t>
  </si>
  <si>
    <t>Zeerust, South Africa</t>
  </si>
  <si>
    <t>Most of us ddnt get this English  RT @ReIgN_CoCo: The World Is Inundated With Ostentatious People Stay Woke!</t>
  </si>
  <si>
    <t>1st wk of Rainier Diet and my street Seward Park Ave is inundated w/ bypass traffic so @seattledot what's your plan? @seattletimes</t>
  </si>
  <si>
    <t>Bristol</t>
  </si>
  <si>
    <t>Hi @FionaGilbert_ sorry for the delay. Slightly inundated with applications at the mo but we have yours and will get back to you asap!</t>
  </si>
  <si>
    <t>A Laois girl advertised for a new friend to replace her loved-up BFF and has been inundated http://t.co/IGM2fc4T0M http://t.co/YiLTu7SXAr</t>
  </si>
  <si>
    <t xml:space="preserve">The Main </t>
  </si>
  <si>
    <t>I presume my timeline will be inundated with 'soggy bottom' &amp;amp; lashings of 'moist' tweets now! :-D</t>
  </si>
  <si>
    <t>The windy plains of Denver</t>
  </si>
  <si>
    <t>@VZWSupport do texts use data? She was inundated by a group text yesterday.</t>
  </si>
  <si>
    <t>Sunbury, Ohio</t>
  </si>
  <si>
    <t>@AssassinKPg Brother you don't want my friendship-you want to add your commercials on my posts. Frankly I'm inundated with this crap daily.</t>
  </si>
  <si>
    <t>Sunnyvale, CA</t>
  </si>
  <si>
    <t>@bentossell @ProductHunt Thanks! I know you all get inundated. Have a good one!</t>
  </si>
  <si>
    <t>Land of Lincoln</t>
  </si>
  <si>
    <t>@yahoocare perhaps you should change you name to yahoo doesn't care.  Are you so inundated with complaints that you cannot respond to me??</t>
  </si>
  <si>
    <t>Let people surf!  HI is no Waimea bay. It's not like the beach is or ever will be inundated with surfers  https://t.co/czDW8ooWa2</t>
  </si>
  <si>
    <t>FB page of Bushman Safari's Zimbabwe the company that Palmer used 2 kill Cecil is inundated with negative commentes https://t.co/QwIIhNMChR</t>
  </si>
  <si>
    <t>Kids are inundated with images and information online and in media and have no way to deconstruct. - Kerri Sackville #TMS7</t>
  </si>
  <si>
    <t>@MistressPip I'm amazed you have not been inundated mistress.</t>
  </si>
  <si>
    <t>NYC&amp;NJ</t>
  </si>
  <si>
    <t>@allyinwondrland That sounds like the perfect bread! I'll hit up Trader Joes this wknd ??. Not really lol Already being inundated with</t>
  </si>
  <si>
    <t>swindon</t>
  </si>
  <si>
    <t>Listening to my grandad talk about his holiday is great but I don't want to be inundated with train photos ????</t>
  </si>
  <si>
    <t>Croydon</t>
  </si>
  <si>
    <t>@sophieingle01 @AngharadJames16 you'll be inundated with gifts of banana malt loaf now ?? #Worm</t>
  </si>
  <si>
    <t>@tonymcguinness probably being inundated with this question now but who's coming to creamfields??? (please say all 3) #Mainstage</t>
  </si>
  <si>
    <t>@BCFCTicketLady @Mr_Aamir_Javaid Can see you and inundated ATM so just wanted to say well done.  You are doing a grand job #KRO</t>
  </si>
  <si>
    <t>Toronto, ON, Canada</t>
  </si>
  <si>
    <t>inundated with Westeros Between Storm of Swords as a book on tape &amp;amp; finishing S5 of Game of Thrones I don't know my Starks from my Greyjoys.</t>
  </si>
  <si>
    <t>@teahivetweets You would get inundated!!</t>
  </si>
  <si>
    <t>UK, Republic of Ireland and Australia</t>
  </si>
  <si>
    <t>Inundated with employee holiday request paperwork? Our cloud based HR software @hronlinetweets will help simplify your staffing logistics.</t>
  </si>
  <si>
    <t>Milton keynes</t>
  </si>
  <si>
    <t>Brace yourself @samaritans by Sunday evening you will inundated with thousands of calls from depressed @Arsenal fans http://t.co/HexPc77otN</t>
  </si>
  <si>
    <t>the Dirty D</t>
  </si>
  <si>
    <t>@MI_Country_Hick pfft! I wish I had a bot like that. Instead I'm daily inundated with 140 characters of the same unhinged machismo bullshit.</t>
  </si>
  <si>
    <t>#tech Data Overload: The Growing Demand for Context and Structure: In a world inundated with information... http://t.co/s0ctCQJvjX #news</t>
  </si>
  <si>
    <t>[Withering] to death. is an album found when he [undermine]d his backyard because his cat [inundated] the floor [mustering] cat food.</t>
  </si>
  <si>
    <t>Already expecting to be inundated w/ articles about trad authors' pay plummeting by early next year but if this is true it'll be far worse</t>
  </si>
  <si>
    <t>@Legna989 you're correct it is coming from both sides. Maybe I'm just friends on FB w more Rep so my feed is inundated w false claims...</t>
  </si>
  <si>
    <t xml:space="preserve">Asia European Continent Korea </t>
  </si>
  <si>
    <t>MEGALPOLIS Area Petting Party Shiver 
Fear Instant .... GLOBAL Inundation OVERFLOW
WAS Commencement WRITE ?? ?</t>
  </si>
  <si>
    <t>@ZachLowe_NBA there are a few reasons for that but one of them is the constant Drake inundation.  Extremely annoying.  If Drake lands us a</t>
  </si>
  <si>
    <t>Oh no. The Boots &amp;amp; hearts social media inundation is starting . Please no</t>
  </si>
  <si>
    <t>Proudly Canadian!</t>
  </si>
  <si>
    <t>Well unfortunately for my followers stage pics came in today. Advanced apologies for the inundation_x0089_Û_ https://t.co/u8hSrtrXMm</t>
  </si>
  <si>
    <t>Cascadia</t>
  </si>
  <si>
    <t>@kathrynschulz Plus you're well out of the inundation zone amirite?</t>
  </si>
  <si>
    <t>County Durham, United Kingdom</t>
  </si>
  <si>
    <t>sorry but that mousse inundation was fuckin hilarious https://t.co/tUai0ZwGXU</t>
  </si>
  <si>
    <t>Beyond all bounds; till inundation rise</t>
  </si>
  <si>
    <t>Sprinklers: FAQ About Lawn Inundation Systems Answered eBb</t>
  </si>
  <si>
    <t>@hoodedu You fucking better Berlatsky.  If I don't win this fucking thing in a landslide I'm holding you personally fucking responsible.</t>
  </si>
  <si>
    <t>LANDSLIDE (live) by FLEETWOOD MAC #nowplaying #Q99</t>
  </si>
  <si>
    <t>#Landslide! Trump 25.5% Bush 12.5% http://t.co/xY41z0O5ei via @pollster @realdonaldtrump</t>
  </si>
  <si>
    <t>@toddstarnes Enjoy the impending landslide Todd. Hehe.</t>
  </si>
  <si>
    <t>Detroit Tigers Dugout</t>
  </si>
  <si>
    <t>My lifelong all-time favorite song is 'Landslide'.  This song has gotten me through a lot of though times &amp;amp;... http://t.co/RfB3JXbiEJ</t>
  </si>
  <si>
    <t>Speaking of memorable debates: 60-Second Know-It-All: Ronald Reagan's landslide romp on Election Day in 1980 m... http://t.co/2XOhtjQJWh</t>
  </si>
  <si>
    <t xml:space="preserve">st.louis county missouri </t>
  </si>
  <si>
    <t>@awadgolf @GOP a capitalist would win biggest landslide in history people who haven't voted in years even OLD SCHOOL DEMS would elect him.</t>
  </si>
  <si>
    <t>Detroit/Windsor</t>
  </si>
  <si>
    <t>Now Playing: Landslide by Smashing Pumpkins http://t.co/7pQS4rshHb #89X</t>
  </si>
  <si>
    <t>Got it winning by a landslide those the perfect words cause I got it out the mud.....</t>
  </si>
  <si>
    <t>So cool @GarbanzoBean23 in the news! Cutest INDOT worker but I might be a little bias ?? http://t.co/g7K9TqVQbk</t>
  </si>
  <si>
    <t>@CrowtherJohn @Effiedeans  you just keep ur head in the sand john. The best place for it.  Lbr after 97 landslide. Couldnt imagine situ now</t>
  </si>
  <si>
    <t>'Since1970the 2 biggest depreciations in CAD:USD in yr b4federal election coincide w/landslide win for opposition' http://t.co/wgqKXmby3B</t>
  </si>
  <si>
    <t>The Circle of Life</t>
  </si>
  <si>
    <t>So when you're caught in a landslide
I'll be there for you
And in the rain 
give you sunshine
I'll be there for you</t>
  </si>
  <si>
    <t>#landslide while on a trip in #skardu https://t.co/nqNWkTRhsA</t>
  </si>
  <si>
    <t>Listen to Landslide by Oh Wonder #SoundCloud https://t.co/SJkgJxff2r</t>
  </si>
  <si>
    <t>@RonWyden Democrats restricted  Blacks from Voting. In 48' Landslide Lyndon Johnson won Senate Election by 67 Votes of Dead People in Texas!</t>
  </si>
  <si>
    <t>This Govt of Hubris has small maj yet acts as if it has a landslide. Opposition req'd with vision rigour &amp;amp; hunger to serve this democracy.</t>
  </si>
  <si>
    <t>i got 1/13 menpa replies, omg</t>
  </si>
  <si>
    <t>*nominates self but @_ohhsehuns wins by a landslide* https://t.co/rCvDrwoWvO</t>
  </si>
  <si>
    <t>@Morning_Joe @Reince @PressSec Joe ur so smart u should run 4 president Ur perfect !The American people love assholes u'd win by a landslide</t>
  </si>
  <si>
    <t>Pocatello, Idaho</t>
  </si>
  <si>
    <t>Perfect night for a soak! Lava here I come?? http://t.co/cyv2zG935g</t>
  </si>
  <si>
    <t>Seriously these two tracks (one new one old) are amazing. Fond memories with TEARS.
https://t.co/sZ2RvwpWhj
https://t.co/laJx578DRu</t>
  </si>
  <si>
    <t>My hands are cold but my feet are warm. That's where I keep my lava</t>
  </si>
  <si>
    <t>Medan,Indonesia</t>
  </si>
  <si>
    <t>@YoungHeroesID Lava Blast &amp;amp; Power Red #PantherAttack @JamilAzzaini @alifaditha</t>
  </si>
  <si>
    <t>Santa Maria, CA</t>
  </si>
  <si>
    <t>Neighbor kids stopped to watch me play Disney's I Lava You song on my uke. Left as I got into Journey's Don't Stop Believing #kidsthesedays</t>
  </si>
  <si>
    <t>@eles_kaylee @Jannellix0 so she puts on a different face for you ?? her heart broke after buying me lava cakes smh</t>
  </si>
  <si>
    <t>I may have gotten a little too exited over my (home made) lava lamp. Through source http://t.co/nxTTd9NrUx http://t.co/iRQj3ZKCUz</t>
  </si>
  <si>
    <t>Lava Dragon Breeder! I just bred a Lava Dragon in DragonVale! Visit my park to check it out! http://t.co/QGum9xHEOs</t>
  </si>
  <si>
    <t>??9?</t>
  </si>
  <si>
    <t>waiting for my chocolate lava cakes to get here ??????</t>
  </si>
  <si>
    <t>contemplating going to chilis just to get a molten lava cake ....??</t>
  </si>
  <si>
    <t>'I may have gotten a little too exited over my (home made) lava lamp.':http://t.co/724Gq5ebqZ http://t.co/H01j9PIrIe</t>
  </si>
  <si>
    <t>Oklahoma, USA</t>
  </si>
  <si>
    <t>Lava cakes are my fav.</t>
  </si>
  <si>
    <t>I lava you ?????? http://t.co/aeZ3aK1lRN</t>
  </si>
  <si>
    <t>@YoungHeroesID Lava Blast &amp;amp; Power Red @dieanpink95 @yu_nita99 #PantherAttack</t>
  </si>
  <si>
    <t>I liked a @YouTube video from @skippy6gaming http://t.co/MXhrextrkh Minecraft PS4 - 3 X 2 LAVA DOOR - How To - Tutorial ( PS3 / XBOX</t>
  </si>
  <si>
    <t>https://t.co/4i0rKcbK1D
SON OF SAVIOR LAVA VIDEO</t>
  </si>
  <si>
    <t>Deal of The Day : http://t.co/US0qQqhQVj Brand New DSERIALPCILP Lava Computer PCI Bus Dual Serial 16550 Board  #e_x0089_Û_ http://t.co/l0b14SJ7JB</t>
  </si>
  <si>
    <t>Chicago, Il</t>
  </si>
  <si>
    <t>Bleachers' entire set has been one big game of The Stage Is Lava http://t.co/CLlWUD4Wsu</t>
  </si>
  <si>
    <t>LA</t>
  </si>
  <si>
    <t>i lava you! ????</t>
  </si>
  <si>
    <t>Shark boy and lava girl for the third time today. I guess this is what having kids feelings like. ??????</t>
  </si>
  <si>
    <t>I LAVA YOU.</t>
  </si>
  <si>
    <t>A river of lava in the sky this evening! It was indeed a beautiful sunset sky tonight. (8-4-15) http://t.co/17EGMlNi80</t>
  </si>
  <si>
    <t>@YoungHeroesID 4. Lava Blast Power Red #PantherAttack</t>
  </si>
  <si>
    <t>There is a #baby in Oliver's #swim class that cries the ENTIRE class. It's like his #parents are #waterboarding him or dipping him in #lava</t>
  </si>
  <si>
    <t>buffalo / madrid / granada</t>
  </si>
  <si>
    <t>let's play the floor is lava but instead of just the floor let's play with the whole world and never get out of bed http://t.co/aKQ4RwjFVL</t>
  </si>
  <si>
    <t>Check This Deal : http://t.co/uOoYgBb6aZ Sivan Health and Fitness Basalt Lava Hot Stone Massage Kit with 36 Piece_x0089_Û_ http://t.co/JJxcnwBp15</t>
  </si>
  <si>
    <t>HI_x0089_Û¢UT_x0089_Û¢AS</t>
  </si>
  <si>
    <t>@AmuMumuX lava you.?? quit actin up</t>
  </si>
  <si>
    <t>I wish that the earth sea and sky up above
would send me someone to lava????</t>
  </si>
  <si>
    <t>I tried making a chocolate and peanut butter lava cake using my #shakeology protein shake mix and a_x0089_Û_ https://t.co/APoD4EIVBa</t>
  </si>
  <si>
    <t>Coventry, UK</t>
  </si>
  <si>
    <t>dogs Lightning reshapes rocks at the atomic level - A lightning strike can reshape a mineral's crystal structure ... http://t.co/2Wvmij5SA4</t>
  </si>
  <si>
    <t>What you gonna do now puppies?! No more destroying my #iPhone Lightning cables! https://t.co/Z4jyHaRreW</t>
  </si>
  <si>
    <t>Phones Offers &amp;gt;&amp;gt; http://t.co/bYtbZ8s5ux #034 8-Pin Lightning Connector 2.1A Car Charger For Apple 5 5S 5C 6 6+ iP_x0089_Û_ http://t.co/o3wVScLiCX</t>
  </si>
  <si>
    <t>iCASEIT - MFi Certified Lightning Cable - 1m http://t.co/b32Jmvsb1E http://t.co/XKMiJGY59T</t>
  </si>
  <si>
    <t>Leesburg, FL</t>
  </si>
  <si>
    <t>Wolforth with a two-out single up the middle. Fourth hit of the night for Altamonte Springs.</t>
  </si>
  <si>
    <t>Rotterdam, The Netherlands</t>
  </si>
  <si>
    <t>@Benji_Devos thanks thanks :3</t>
  </si>
  <si>
    <t>World War II book LIGHTNING JOE An Autobiography by General J. Lawton Collins http://t.co/BzdfznKvoG http://t.co/eRhdH37rDh</t>
  </si>
  <si>
    <t>.@dantwitty52 shuts the door on the Boom in the bottom half. #Lightning coming up in the top of the eighth.</t>
  </si>
  <si>
    <t xml:space="preserve">Elchilicitanierraversal </t>
  </si>
  <si>
    <t>#NowPlaying 'The Lightning Strike' de Snow Patrol de A Hundred Million Suns ? http://t.co/GrzcHkDF37</t>
  </si>
  <si>
    <t>(RP)</t>
  </si>
  <si>
    <t>@Lightning_OOC I AM BEING SUBJECTED TO UNWARRANTED SEXUAL CONVERSATION.</t>
  </si>
  <si>
    <t xml:space="preserve"> 45å¡ 5'12.53N   14å¡ 7'24.93E</t>
  </si>
  <si>
    <t>@Lightning_Wolf_ You really have Activity Directory? :P</t>
  </si>
  <si>
    <t>Yeah tonight I ride the lightning to my final resting place ??????</t>
  </si>
  <si>
    <t>Asheboro, NC</t>
  </si>
  <si>
    <t>Some crazy lightning outside</t>
  </si>
  <si>
    <t>Holland MI via Houston, CLE</t>
  </si>
  <si>
    <t>Corey Robinson having some solid reps at RT although as I type this he got beat on lightning dip by T. Walker</t>
  </si>
  <si>
    <t>Check out this amazing footage of lightning filmed while lifting off from Chicago... http://t.co/AOg5chjmVs http://t.co/cLN2SXzY1Z</t>
  </si>
  <si>
    <t>Waverly, IA</t>
  </si>
  <si>
    <t>'When you walk away
Nothing more to say
See the lightning in your eyes
See _x0089_Û÷em running for their lives'</t>
  </si>
  <si>
    <t>kabwandi_: Breaking news! Unconfirmed! I just heard a loud bang nearby. in what appears to be a blast of wind from my neighbour's ass.</t>
  </si>
  <si>
    <t>tkyonly1fmk: Breaking news! Unconfirmed! I just heard a loud bang nearby. in what appears to be a blast of wind from my neighbour's ass.</t>
  </si>
  <si>
    <t>#ActionMoviesTaughtUs things actually can explode with a loud bang...in space.</t>
  </si>
  <si>
    <t>@LayLoveTournay @RyroTheUnaware [loud groaning] Let us bang.</t>
  </si>
  <si>
    <t>Ercjmnea: Breaking news! Unconfirmed! I just heard a loud bang nearby. in what appears to be a blast of wind from my neighbour's ass.</t>
  </si>
  <si>
    <t>kotolily_: Breaking news! Unconfirmed! I just heard a loud bang nearby. in what appears to be a blast of wind from my neighbour's ass.</t>
  </si>
  <si>
    <t>tarmineta3: Breaking news! Unconfirmed! I just heard a loud bang nearby. in what appears to be a blast of wind from my neighbour's ass.</t>
  </si>
  <si>
    <t>shawie17shawie: Breaking news! Unconfirmed! I just heard a loud bang nearby. in what appears to be a blast of wind from my neighbour's ass.</t>
  </si>
  <si>
    <t>There was a loud bang outside earlier and I check to find my dad on the floor after the chair he was sitting on broke http://t.co/uniJ1RVrRq</t>
  </si>
  <si>
    <t>Who the fuck plays music extremely loud at 9am on a Tuesday morning?? Bruv do they want me to come bang them??</t>
  </si>
  <si>
    <t xml:space="preserve">Photo : Blue Mountains </t>
  </si>
  <si>
    <t>#auspol Can you see the resemblance between ABBOTT &amp;amp; Campbell both are loud and came in with a big BANG!! Out the same way;  Lets see !</t>
  </si>
  <si>
    <t>Bedford, England</t>
  </si>
  <si>
    <t>The chick I work with chews chewing gum so loud ?? feel to bang her</t>
  </si>
  <si>
    <t>nikoniko12022: Breaking news! Unconfirmed! I just heard a loud bang nearby. in what appears to be a blast of wind from my neighbour's ass.</t>
  </si>
  <si>
    <t>Aperture Science Test Facility</t>
  </si>
  <si>
    <t>What the fuck was that. There was a loud bang and a flash of light outside. I'm pretty sure I'm not dead but what the hell??</t>
  </si>
  <si>
    <t>Wandsworth, London</t>
  </si>
  <si>
    <t>@SW_Trains strange loud impact bang noises under train to Epsom about to arrive #Wimbledon</t>
  </si>
  <si>
    <t>k_matako_bot: Breaking news! Unconfirmed! I just heard a loud bang nearby. in what appears to be a blast of wind from my neighbour's ass.</t>
  </si>
  <si>
    <t>Kijima_Matako: Breaking news! Unconfirmed! I just heard a loud bang nearby. in what appears to be a blast of wind from my neighbour's ass.</t>
  </si>
  <si>
    <t>matako_3: Breaking news! Unconfirmed! I just heard a loud bang nearby. in what appears to be a blast of wind from my neighbour's ass.</t>
  </si>
  <si>
    <t>london essex england uk</t>
  </si>
  <si>
    <t>It's was about 2:30 in the morning&amp;amp;I went downstairs to watch some telly&amp;amp;I accidentally made a loud bang&amp;amp;my dad(who has a broken leg)walked-</t>
  </si>
  <si>
    <t>ykelquiban: Breaking news! Unconfirmed! I just heard a loud bang nearby. in what appears to be a blast of wind from my neighbour's ass.</t>
  </si>
  <si>
    <t>{Detailed}</t>
  </si>
  <si>
    <t>@ToxicSavior_ -a loud bang. He froze on the spot as slowly every head turned towards him. One of the things he hated the most was to be -</t>
  </si>
  <si>
    <t>@Bang_Me_Up_Guk he was ;-; like he was singing so loud ;-;</t>
  </si>
  <si>
    <t>Fairgrounds Resident</t>
  </si>
  <si>
    <t>Moved on to 'Bang Bang Rock and Roll' by @Art_Brut_ . It's been too long since I've played this one loud. ART BRUT TOP OF THE POPS.</t>
  </si>
  <si>
    <t>matako_milk: Breaking news! Unconfirmed! I just heard a loud bang nearby. in what appears to be a blast of wind from my neighbour's ass.</t>
  </si>
  <si>
    <t>need to work in an office I can bang all my fav Future jams out loud</t>
  </si>
  <si>
    <t>ColnHarun: Breaking news! Unconfirmed! I just heard a loud bang nearby. in what appears to be a blast of wind from my neighbour's ass.</t>
  </si>
  <si>
    <t>I don't laugh out loud at many things. But man I really lol @ the big bang theory.</t>
  </si>
  <si>
    <t>@noah_anyname That's where the concentration camps and mass murder come in. 
EVERY. FUCKING. TIME.</t>
  </si>
  <si>
    <t>This Attempted Mass Murder brought to You by the Obama Administration http://t.co/jbrK8ZsrY6</t>
  </si>
  <si>
    <t>He made such a good point. White person comings mass murder labelled as criminal minority does the same thing... http://t.co/37qPsSnaCv</t>
  </si>
  <si>
    <t>http://t.co/FhI4qBpwFH @FredOlsenCruise Please take the #FaroeIslands off your itinerary until the mass murder of dolphins &amp;amp; whales stops.</t>
  </si>
  <si>
    <t>The media needs to stop publicizing mass murder. So many sick people want the eyes of the world and the media... http://t.co/QZlPFHpwDO</t>
  </si>
  <si>
    <t>@CarlaChamorros HILLARY A MASS MURDERER.</t>
  </si>
  <si>
    <t>Earth-616</t>
  </si>
  <si>
    <t>[Creel:You must think I'm a real moron Flag man! A brainless mass of muscle!] I do...But I don't think you're a mass murderer!</t>
  </si>
  <si>
    <t>wisco</t>
  </si>
  <si>
    <t>It's like God wants me to become a mass murderer with how many dickheads I have to deal with on a daily basis.</t>
  </si>
  <si>
    <t>@atljw @cnnbrk fine line btw mass murderer and terrorist. Yes we don't know if there's polit. or social aspect yet; however he went to a</t>
  </si>
  <si>
    <t>@defendbutera i look like a mass murderer in it</t>
  </si>
  <si>
    <t>.@LibertyGeek83 Something about kissing the ass of mass murderer doesn't sit right with me. @POTUS feels this is ok. http://t.co/LeJ5OnUs9Q</t>
  </si>
  <si>
    <t>Leaving Bikini Bottom</t>
  </si>
  <si>
    <t>seeing as how this person is a mass murderer and has like FBI CIA grade equipment to do evil shit.</t>
  </si>
  <si>
    <t>@TheEconomist Step one: get that mass murderer's portrait off the yuan.</t>
  </si>
  <si>
    <t>Hemel Hempstead</t>
  </si>
  <si>
    <t>If your friends really were your friends they'd support you regardless of your decisions.
Unless you become a mass-murderer or something</t>
  </si>
  <si>
    <t>Chester Football Club</t>
  </si>
  <si>
    <t>@VictoriaGittins what do you take me for I'm not a mass murderer! Just the one...</t>
  </si>
  <si>
    <t>ANDY 4 LEADER X</t>
  </si>
  <si>
    <t>@TelegraphWorld lets hope it's a upper class white mass murderer....''' Mmmm</t>
  </si>
  <si>
    <t>Hell</t>
  </si>
  <si>
    <t>Not only are you a mass murderer but at a movie theatre where niggas dropped bread to see a movie? Cmon man.</t>
  </si>
  <si>
    <t>@BenignoVito @LibertyBell1000 HILLARYMASS MURDERER.</t>
  </si>
  <si>
    <t>Ashburn, VA</t>
  </si>
  <si>
    <t>I just bought tickets to DEATH BED / DUDE BRO PARTY MASSACRE III w/ @pattonoswalt Live at @AlamoDC! https://t.co/pmXLeZJBRc</t>
  </si>
  <si>
    <t>St. Louis, Mo</t>
  </si>
  <si>
    <t>This Friday!! Palm Beach County #Grindhouse Series one night screening of  #TexasChainsawMassacre http://t.co/1WopsGbVvv @morbidmovies</t>
  </si>
  <si>
    <t>Vancouver Canada</t>
  </si>
  <si>
    <t>@AnimalLogic LOTG smoothed out once blue bird and moth were caught and let go. Chalked up mouse massacre to a subtle Disney diss.</t>
  </si>
  <si>
    <t>Bad day</t>
  </si>
  <si>
    <t>@eileenmfl are you serious?</t>
  </si>
  <si>
    <t>Vancouver, BC, Canada</t>
  </si>
  <si>
    <t>@Bloodbath_TV favourite YouTube channel going right now.
Love everything you guys do and thank you introducing me to Dude Bro Party Massacre</t>
  </si>
  <si>
    <t>Ecuador</t>
  </si>
  <si>
    <t>Don't mess with my Daddy I can be a massacre. #BeCarefulHarry</t>
  </si>
  <si>
    <t>@CIA hey you guy's i stopped a massacre so you   send the cops to my house to make this town permanently hate me wtf?</t>
  </si>
  <si>
    <t>Cimerak - Pangandaran</t>
  </si>
  <si>
    <t>Review: Dude Bro Party Massacre III http://t.co/f0WQlobOoy by Patrick BromleyThe title sa  http://t.co/THpBDPdj35</t>
  </si>
  <si>
    <t>Soap and education are not as sudden as a massacre but they are more deadly in the long run. -- Mark Twain</t>
  </si>
  <si>
    <t>Is this the creepiest youth camp ever?. http://t.co/T8uqm7Imir</t>
  </si>
  <si>
    <t>Beach Reads in August #Giveaway Hop &amp;amp; @StuckInBooks is giving away any book in Mayhem series!  http://t.co/Jp3OY0OuXq</t>
  </si>
  <si>
    <t>Wausau, Wisconsin</t>
  </si>
  <si>
    <t>@CVinch_WAOW thank you! Drove by the mayhem. How scary! -Stacy</t>
  </si>
  <si>
    <t>Slayer Reflects on Low Mayhem Festival Attendance King Diamond &amp;amp; Jeff Hanneman's Passing http://t.co/lfw4iymsak</t>
  </si>
  <si>
    <t>I guess ill never be able to go to mayhem...</t>
  </si>
  <si>
    <t>BOSTON-LONDON</t>
  </si>
  <si>
    <t>@RaynbowAffair Editor In Chief @DiamondKesawn Releases Issue #7 http://t.co/ge0yd3mKAv of #RAmag. #Fashion #Models and #Mayhem</t>
  </si>
  <si>
    <t>@alexbelloli I do It just seemed like the pages were out of order</t>
  </si>
  <si>
    <t>GLOBAL/WORLDWIDE</t>
  </si>
  <si>
    <t>@RaynbowAffair Editor In Chief @DiamondKesawn Releases Issue #7 http://t.co/7mzYcU2IHo of #RAmag. #Fashion #Models and #Mayhem</t>
  </si>
  <si>
    <t>Tonight It's Going To Be Mayhem @ #4PlayThursdays. Everybody Free w/ Text. 1716 I ST NW (18+) http://t.co/sCu9QZp6nq</t>
  </si>
  <si>
    <t>Mayhem is beautiful</t>
  </si>
  <si>
    <t>North Dartmouth, Massachusetts</t>
  </si>
  <si>
    <t>@Mayhem_114 are you reading right to left</t>
  </si>
  <si>
    <t>Lynchburg, VA</t>
  </si>
  <si>
    <t>Anyone else think that Stephen sounds like Andy Dick when he gets excited? The difference being... I actually like Stephen. #MasterChef</t>
  </si>
  <si>
    <t>107-18 79TH STREET</t>
  </si>
  <si>
    <t>#NoSurrender Results: Full Metal Mayhem World Title Match Bully Ray Taken Out A Career Comes To An End and More! http://t.co/G6moNVnpSu</t>
  </si>
  <si>
    <t>@alexbelloli well now I know lol</t>
  </si>
  <si>
    <t>The Waystone Inn</t>
  </si>
  <si>
    <t>#TBT to that time my best friend and I panicked at the disco. https://t.co/htpqvoHtUd</t>
  </si>
  <si>
    <t>Magic City Mayhem: Kissimmee adventures ? Aug. 5 2015 http://t.co/FpYrU5GOLh</t>
  </si>
  <si>
    <t>?? Made in the Philippines ??</t>
  </si>
  <si>
    <t>_
?????RETWEET
???????
?????FOLLOW ALL WHO RT
???????
?????FOLLOWBACK
???????
?????GAIN WITH 
???????
?????FOLLOW ?@ganseyman #RT_4_A_MENTION
#TY</t>
  </si>
  <si>
    <t xml:space="preserve">Boston/Montreal </t>
  </si>
  <si>
    <t>@RaynbowAffair Editor In Chief @DiamondKesawn Releases Issue #7 http://t.co/RPnEAJ6fOD of #RAmag. #Fashion #Models and #Mayhem</t>
  </si>
  <si>
    <t>Manavadar, Gujarat</t>
  </si>
  <si>
    <t>They are the real heroes... RIP Brave hearts... http://t.co/Q9LxO4QkjI</t>
  </si>
  <si>
    <t>Pueblo, Colorado</t>
  </si>
  <si>
    <t>The Campaign: Will Ferrell and Zach Galifianakis commit comic mayhem in this hilarious political farce. 4* http://t.co/tQ3j2qGtZQ</t>
  </si>
  <si>
    <t>PG County, MD</t>
  </si>
  <si>
    <t>Tonight It's Going To Be Mayhem @ #4PlayThursdays. Everybody Free w/ Text. 1716 I ST NW (18+) http://t.co/cQ7jJ6Yjfz</t>
  </si>
  <si>
    <t>Somewhere between Chicago &amp; Milwaukee</t>
  </si>
  <si>
    <t>I_x0089_Ûªve seen lots ask about this MT @JMCwrites #Pitchwars I asked for magic realism but not fantasy. What's the diff? http://t.co/64xR9LtNOH</t>
  </si>
  <si>
    <t>Slayer Reflects on Low Mayhem Festival Attendance King Diamond &amp;amp; Jeff Hanneman's Passing http://t.co/6N6Gcej9Iy</t>
  </si>
  <si>
    <t>InterplanetaryZone</t>
  </si>
  <si>
    <t>The best. Mind is clear content and observations for days.  https://t.co/pCCwsGCymA</t>
  </si>
  <si>
    <t>WORLDWIDE-BOSTON</t>
  </si>
  <si>
    <t>@RaynbowAffair Editor In Chief @DiamondKesawn Releases Issue #7 http://t.co/EbbF1N7MAJ of #RAmag. #Fashion #Models and #Mayhem</t>
  </si>
  <si>
    <t>@Akcsl bit of both. going to venture out once I've chosen suitable music for the mayhem...</t>
  </si>
  <si>
    <t>Detroit, Michigan</t>
  </si>
  <si>
    <t>I liked a @YouTube video from @itsjustinstuart http://t.co/Mnkaji2Q1N GUN RANGE MAYHEM!</t>
  </si>
  <si>
    <t>#NoSurrender Results: Full Metal Mayhem World Title Match Bully Ray Taken Out A Career Comes To An End and More! http://t.co/XEHwmsH7Lv</t>
  </si>
  <si>
    <t>&amp;lt;meltdown of proportions commences I manage to calm myself long enough to turn the waters to hot and wait for the steam to cloud my vision-</t>
  </si>
  <si>
    <t>laying on the bass</t>
  </si>
  <si>
    <t>the straight bass dubloadz droppd when they opened @ meltdown had everyone meelllttting http://t.co/vXsQPFE9NA</t>
  </si>
  <si>
    <t>Deepak Chopra's EPIC Twitter Meltdown http://t.co/ethgAGPy5G</t>
  </si>
  <si>
    <t>@DrDrewHLN             'A simple meltdown!'  Areva have you ever seen an out of control kid?</t>
  </si>
  <si>
    <t>? miranda ? 521 mi</t>
  </si>
  <si>
    <t>@kinkyconnors IM sorry for my meltdown last night lmao but I'm getting my tooth fixed Friday ??????????????????????????????????</t>
  </si>
  <si>
    <t>One of these candidates is going to have a Frank Grimes level meltdown with how voters love Trump no matter what. http://t.co/pBEgOf4740</t>
  </si>
  <si>
    <t>I had a meltdown in Demi's instagram comments http://t.co/mcc76xOwli</t>
  </si>
  <si>
    <t>@nashhmu have a meltdown he noticed you</t>
  </si>
  <si>
    <t>Whenever I have a meltdown and need someone @Becca_Caitlyn99 is always like 'leaving in 5' and I don't know how I got so lucky #blessed</t>
  </si>
  <si>
    <t>Looks like it may have been microsofts anti virus trying to update causing the meltdown</t>
  </si>
  <si>
    <t>Oldenburg // London</t>
  </si>
  <si>
    <t>DFR EP016 Monthly Meltdown - On Dnbheaven 2015.08.06 http://t.co/EjKRf8N8A8 #Drum and Bass #heavy #nasty http://t.co/SPHWE6wFI5</t>
  </si>
  <si>
    <t>Proudly frozen Canuck eh !!</t>
  </si>
  <si>
    <t>@JustinTrudeau 
Most respected in world
Best job recovery G7 and G20
Best led during 2008 world meltdown
What exactly have you done ??</t>
  </si>
  <si>
    <t>IL</t>
  </si>
  <si>
    <t>@crowdtappers @joinvroom OMG I remember the meltdown the day I did her hair like ELSA and not ANNA.... OHHHH THE HORROR!!! LOL #tangletalk</t>
  </si>
  <si>
    <t>KSU 2017</t>
  </si>
  <si>
    <t>@DmoneyDemi I had my meltdown yesterday.  I'm going to miss you so much. You are forsure my DTB for life. When I get back watchout ??</t>
  </si>
  <si>
    <t>Why must I have a meltdown every few days? ??</t>
  </si>
  <si>
    <t>Colorado, USA</t>
  </si>
  <si>
    <t>@nprfreshair I really can't believe he is skipping out before the Republican meltdown...I mean 'debate'.</t>
  </si>
  <si>
    <t>CommoditiesåÊAre Crashing Like It's 2008 All Over Again http://t.co/nJD1N5TxXe via @business</t>
  </si>
  <si>
    <t>Storybrooke / The Moors</t>
  </si>
  <si>
    <t>A back to school commercial came on and my sister had a meltdown. ??????????</t>
  </si>
  <si>
    <t>NOLA ?? TX</t>
  </si>
  <si>
    <t>?? ice age: the meltdown</t>
  </si>
  <si>
    <t>http://t.co/HFqlwo1kMy E-Mini SP 500: Earnings letdown equals market meltdown! http://t.co/LEi9dWVllq #Amazon</t>
  </si>
  <si>
    <t>neil's kitchen  |  32215</t>
  </si>
  <si>
    <t>def louis is tired plus the meltdown of fans when he confirmed he's a dad but some fans are reaching 
making conclusions and stuff</t>
  </si>
  <si>
    <t>The shores of Lake Kilby</t>
  </si>
  <si>
    <t>Ever since my Facebook #Mets meltdown after the Padres fiasco- mets are 6-0. You're welcome</t>
  </si>
  <si>
    <t>Currently: Uncontrollable meltdown number 2</t>
  </si>
  <si>
    <t>Pam's Barry Island wedding meltdown ??????????</t>
  </si>
  <si>
    <t>Two Up Two Down</t>
  </si>
  <si>
    <t>@LeMaireLee @danharmon People Near Meltdown Comics Who Have Free Time to Wait in Line on Sunday Nights are not a representative sample. #140</t>
  </si>
  <si>
    <t>Meltdown</t>
  </si>
  <si>
    <t>Have you read this awesome book yet?  The Two Trillion Dollar Meltdown  http://t.co/jPA6sajFE3</t>
  </si>
  <si>
    <t>Flushing, Queens</t>
  </si>
  <si>
    <t>LOL Warthen in the midst of bullpen meltdown reaching for Double Bubble. #Mets</t>
  </si>
  <si>
    <t>#3: TITAN WarriorCord 100 Feet - Authentic Military 550 Paracord - MIL-C-5040-H Type III 7 Strand 5/16' di... http://t.co/EEjRMKtJ0R</t>
  </si>
  <si>
    <t xml:space="preserve"> Quantico Marine Base, VA.</t>
  </si>
  <si>
    <t>@FurTrix then find cougars who look like her even better if they're in military uniform!</t>
  </si>
  <si>
    <t>Russian #ushanka #winter #military fur hat (xl61-62) with soviet badge LINK:
http://t.co/74YFQxvAK0 http://t.co/KXrEHVt6hL</t>
  </si>
  <si>
    <t>@YMcglaun THANK YOU FOR UNDERSTANDING  THE GOV. ONLY TELLS US ABOUT 5% OF WHATS REALLY GOING ON I HAVE MILITARY HOUSE &amp;amp; CIA CONNECTS !!!</t>
  </si>
  <si>
    <t>Mike Magner Discusses A Trust Betrayed: http://t.co/GETBjip5Rh via @YouTube #military #veterans #environment</t>
  </si>
  <si>
    <t>Hat #russian soviet army kgb  military #cossack #ushanka  LINK:
http://t.co/bla42Rdt1O http://t.co/EInSQS8tFq</t>
  </si>
  <si>
    <t>Bozeman, Montana</t>
  </si>
  <si>
    <t>Army names 10th Mountain units for Iraq Afghanistan deployments (Deeds) http://t.co/N6ZfLXIGvr</t>
  </si>
  <si>
    <t>Ford : Other Military VERY NICE M151A1 MUTT with matching M416 Trailer - Full read by eBay http://t.co/9rrYaYlgyY http://t.co/Nm83jOhLUu</t>
  </si>
  <si>
    <t>Hearts &amp; Minds</t>
  </si>
  <si>
    <t>Thank You Senator @timkaine for your Leadership on #IranDeal 
Our Military deserves nothing less. THANK YOU!!
https://t.co/578GUNP8t9</t>
  </si>
  <si>
    <t>Mike Magner Discusses A Trust Betrayed: http://t.co/psbxl1HvU3 via @YouTube #military #veterans #environment</t>
  </si>
  <si>
    <t xml:space="preserve">somewhere USA </t>
  </si>
  <si>
    <t>i strongly support our military &amp;amp; their families just not the cock suckers in DC they work for</t>
  </si>
  <si>
    <t>13 reasons why we love women in the military   - lulgzimbestpicts http://t.co/XKMLQ99SjY http://t.co/a3RGQuCUgo</t>
  </si>
  <si>
    <t>Online infantryman experimental military training tutorials shower down upon assertative intelligence as regard...</t>
  </si>
  <si>
    <t>How do you call yourself a base conservative when u think it's okay 2 duck military service &amp;amp; contribute thousands 2 #HillaryClinton 2012?</t>
  </si>
  <si>
    <t>We're #hiring! Read about our latest #job opening here: Registered Nurse - Call-in - Military Program - http://t.co/l0hhwB9LSZ #Nursing</t>
  </si>
  <si>
    <t>Boston MA</t>
  </si>
  <si>
    <t>13 reasons why we love women in the military   - lulgzimbestpicts http://t.co/N1tjCt8HMC http://t.co/pYTQM7rVP0</t>
  </si>
  <si>
    <t>Listen LIve: http://t.co/1puLaekxcq #Author #Interview Beth Underwood of #Gravity on #Military #Mom #TalkRadio</t>
  </si>
  <si>
    <t>@TeamHendrick @TeamHendrick @RIRInsider Fingers crossed that there will be a driver from Hendricks in Military Hospitality w/ @neanea2724!</t>
  </si>
  <si>
    <t>13 reasons why we love women in the military   - lulgzimbestpicts http://t.co/IAPvTqxLht http://t.co/WAMKRe6CKD</t>
  </si>
  <si>
    <t>13 reasons why we love women in the military   - lulgzimbestpicts http://t.co/uZ1yiZ7n6m http://t.co/IjwAr15H16</t>
  </si>
  <si>
    <t>Lot of 20 Tom Clancy Military Mystery Novels - Paperback http://t.co/ObiX79NcxN #tomclancy</t>
  </si>
  <si>
    <t>I remember when I worked at Mcdonalds I use to be hours late because we used military time and I use to mess up when I had to be there :/</t>
  </si>
  <si>
    <t>Pakistan Supreme Court OKs Military Courts to Try Civilians: The Supreme Court ruling would empower the milita... http://t.co/v0nf1Uc1OW</t>
  </si>
  <si>
    <t>highlands&amp;slands scotland</t>
  </si>
  <si>
    <t>Bad News for US: China Russia Bolstering Military Cooperation in Asia / Sputnik International http://t.co/9q9Rk3fOf7 via @SputnikInt</t>
  </si>
  <si>
    <t>Study: Wider Variety of Therapies Could Help Vets Troops With PTSD | http://t.co/g0q0bzBjli http://t.co/ExYr6c5QPu via @Militarydotcom</t>
  </si>
  <si>
    <t>the MOFO in DC will leave our military unarmed to be gunned down by terrorist &amp;amp; a lot worseits not their sorry asses</t>
  </si>
  <si>
    <t>Crouch End, London</t>
  </si>
  <si>
    <t>Stu Dorret's mudslide rubber tyre cake may have saved you #GBBO</t>
  </si>
  <si>
    <t>London, Greater London, UK</t>
  </si>
  <si>
    <t>Stu put beetroot in his cake and even lost to a mudslide</t>
  </si>
  <si>
    <t>Edinburgh, Scotland</t>
  </si>
  <si>
    <t>@Pete_r_Knox @Gemmasterful I think the mudslide cake lady will go and the hipster will unfortunately stay.</t>
  </si>
  <si>
    <t>Hope Dorett's 'mudslide' cake wins?? #GBBO</t>
  </si>
  <si>
    <t>Nottingham</t>
  </si>
  <si>
    <t>'It looks like a mudslide' 'It's like chewing on rubber' #GBBO ??????</t>
  </si>
  <si>
    <t>The 19 year old's smug face when Dorret brings out her mudslide Black Forest gateau #priceless #GBBO</t>
  </si>
  <si>
    <t>Co. Tyrone Northern Ireland</t>
  </si>
  <si>
    <t>Looks like a mudslide and tastes like rubber oh how I love the bake off! #britishbakeoff #paulhollywood</t>
  </si>
  <si>
    <t>God bless you and your mudslide cake Dorret ????</t>
  </si>
  <si>
    <t>IUPUI '19</t>
  </si>
  <si>
    <t>Someone split a mudslide w me when I get off work</t>
  </si>
  <si>
    <t>potters bar</t>
  </si>
  <si>
    <t>Loved the opener and still feeling guilty for gasping and giggling at the mudslide - Dorret we live you  #GBBO</t>
  </si>
  <si>
    <t>Chiswick, London</t>
  </si>
  <si>
    <t>2 great new recipes; mudslide cake and so sorry stew! #GBBO</t>
  </si>
  <si>
    <t>#GBBO The difference between Paul and Mary my dears
Paul: 'it looks like a mudslide'
Mary: 'I have a feeling it's going to taste great'</t>
  </si>
  <si>
    <t>the burrow</t>
  </si>
  <si>
    <t>DORETTE THATS THE NAME OF THE MUDSLIDE CAKE MAKER</t>
  </si>
  <si>
    <t>RT RabidMonkeys1: Ah  the unique mudslide cake ??#GBBO http://t.co/ZT5OFbiwtD</t>
  </si>
  <si>
    <t>You've 100% fucked up when Paul says your cake looks like a 'mudslide' and tastes like 'rubber'</t>
  </si>
  <si>
    <t>First impressions: glad hat man is leaving in lieu of more interesting ladies. Hope mudslide lady triumphs next week.</t>
  </si>
  <si>
    <t>@hazelannmac ooh now I feel guilty about wishing hatman out. I bet the mudslide was delicious!</t>
  </si>
  <si>
    <t>British bake off was great pretty hilarious moments #mudslide</t>
  </si>
  <si>
    <t>#BakeOffFriends the one with the mudslide</t>
  </si>
  <si>
    <t>HE CALLED IT A MUDSLIDE AW</t>
  </si>
  <si>
    <t>@MarianKeyes Rubber Mudslide! Still laughing!</t>
  </si>
  <si>
    <t>Notts</t>
  </si>
  <si>
    <t>#BakeOffFriends #GBBO 'The one with the mudslide and the guy with the hat'</t>
  </si>
  <si>
    <t>When bae soak you in mudslide at backroom???? #thisiswhywecanthavenicethings http://t.co/kgxNwzIUxd</t>
  </si>
  <si>
    <t>her cake looks like a mudslide hah</t>
  </si>
  <si>
    <t>@nikistitz even the one that looked like a mudslide?</t>
  </si>
  <si>
    <t xml:space="preserve">home </t>
  </si>
  <si>
    <t>she's a natural disaster she's the last of the American girls ??</t>
  </si>
  <si>
    <t>Orlando/Cocoa Beach, FL</t>
  </si>
  <si>
    <t>'Up to 40% of businesses affected by a natural or man-made disaster never reopen'
http://t.co/35JyAp0ul9</t>
  </si>
  <si>
    <t>Rationing of food and water may also become necessary during an emergency such as a natural disaster or terror attack.</t>
  </si>
  <si>
    <t>What Natural Disaster Are You When You Get Angry? http://t.co/q4gl3Dvhu1</t>
  </si>
  <si>
    <t>@TwopTwips make natural disaster reporting more interesting by adding 'The' to headlines such as 'Rescuers are sifting through the wreckage'</t>
  </si>
  <si>
    <t>lia_x0089_Û¢dani_x0089_Û¢laura</t>
  </si>
  <si>
    <t>Rise up like a natural disaster we take the bat and then we take back the town????</t>
  </si>
  <si>
    <t>in my own personal hell (:</t>
  </si>
  <si>
    <t>anyway 2 me? Mateo just doesnt exist? Hes a mirage a pointless addition to our Generation. a human natural disaster. Im sorry but its true</t>
  </si>
  <si>
    <t>sÌ£o luis</t>
  </si>
  <si>
    <t>And you're loving me like water slipping through my fingers such a natural disaster love</t>
  </si>
  <si>
    <t>Aurora, IL</t>
  </si>
  <si>
    <t>I added a video to a @YouTube playlist http://t.co/v2yXurne2p Natural Disaster Survival - HUG BY A GUEST!! on Roblox</t>
  </si>
  <si>
    <t>@ConnorFranta #AskConnor if you were a natural disaster what would you be?</t>
  </si>
  <si>
    <t>This is the natural and unavoidable consequence of socialism everywhere it has been tried.
http://t.co/BbDpnj8XSx E</t>
  </si>
  <si>
    <t>Hello natural hazards/disaster recovery &amp;amp; emergency management ppl can u recommend good hashtags to follow OR send me links of good reads?</t>
  </si>
  <si>
    <t>@BookTubeAThon A world in which people aren't dying from natural and supernatural disaster and war most likely.</t>
  </si>
  <si>
    <t>This is the natural and unavoidable consequence of socialism everywhere it has been tried.
http://t.co/BbDpnj8XSx F</t>
  </si>
  <si>
    <t>Leitchfield Kentucky</t>
  </si>
  <si>
    <t>What Natural Disaster Are You When You Get Angry? http://t.co/O9DzgZqEMf</t>
  </si>
  <si>
    <t>Littleton, CO</t>
  </si>
  <si>
    <t>Is your team ready for a natural disaster a violent client or power outage? Contact Ready Vet to design... http://t.co/u2NJPoR39K</t>
  </si>
  <si>
    <t>Nuclear deal disaster.
#IranDeal #NoNuclearIran #BadIranDeal @JebBush @BarackObama http://t.co/z7phPjtqud</t>
  </si>
  <si>
    <t>Sacramento, California</t>
  </si>
  <si>
    <t>@drvox Trump can say nice things about nuclear power but 'drill baby drill!' + AGW denial = policy disaster for nuclear power.</t>
  </si>
  <si>
    <t>Fukushima city Fukushima.pref</t>
  </si>
  <si>
    <t>Over half of poll respondents worry nuclear disaster fading from public consciousness http://t.co/YtnnnD631z ##fukushima</t>
  </si>
  <si>
    <t>Err:509</t>
  </si>
  <si>
    <t>Check out this awesome profile on #GE's swimming #robot used in #nuclear reactors! http://t.co/HRc3oxQUIK #innovation http://t.co/wNPTvbM5T7</t>
  </si>
  <si>
    <t>Finnish Nuclear Plant to Move Ahead After Financing Secured-&amp;gt; http://t.co/uHkXMXaB9l</t>
  </si>
  <si>
    <t>Norwalk, CT</t>
  </si>
  <si>
    <t>Has An Ancient Nuclear Reactor Been Discovered In Africa? _x0089_ÛÒ Your... http://t.co/qadUfO8zXg</t>
  </si>
  <si>
    <t>Quick Fact: No #nuclear reactor has come into operation in the #US for over 43 years.  http://t.co/V1mtR517Ue</t>
  </si>
  <si>
    <t>japon</t>
  </si>
  <si>
    <t>Germany has  39 gigawatts of installed solar capacity
_One gwatt is about equal to the capacity of a nuclear reactor.
http://t.co/leCZOlkmSV</t>
  </si>
  <si>
    <t>Eaubonne, 95, France</t>
  </si>
  <si>
    <t>US Navy Sidelines 3 Newest Subs http://t.co/okamsCZbwg</t>
  </si>
  <si>
    <t>Pluto</t>
  </si>
  <si>
    <t>'Nuclear reactor is like a woman. You just have to read the manual and press the right button.'</t>
  </si>
  <si>
    <t>Nuclear reactor railguns would be a great way to deliver t1000s.</t>
  </si>
  <si>
    <t>Anywhere I like</t>
  </si>
  <si>
    <t>Government under pressure to abandon plans to construct UK_x0089_Ûªs first nuclear reactor for more than 20 year     http://t.co/E9d9Lk5Fdw</t>
  </si>
  <si>
    <t>@Willie_Am_I @JusttheBottle I would cry in to my nuclear reactor cooling tank!  #winechat</t>
  </si>
  <si>
    <t>Paris (France)</t>
  </si>
  <si>
    <t>Magnetic and electrostatic nuclear fusion reactor http://t.co/eM5oPyTBpg</t>
  </si>
  <si>
    <t>Finnish ministers: Fennovoima nuclear reactor will go ahead via /r/worldnews http://t.co/fRkOdEstuK</t>
  </si>
  <si>
    <t>Navy sidelines 3 newest subs http://t.co/gpVZV0249Y</t>
  </si>
  <si>
    <t>Den Helder, Rijkswerf</t>
  </si>
  <si>
    <t>US Navy Sidelines 3 Newest #Subs http://t.co/9WQixGMHfh</t>
  </si>
  <si>
    <t>Warsaw</t>
  </si>
  <si>
    <t>Finnish nuclear plant to move ahead after financing secured http://t.co/D8aWX2okKe via @business</t>
  </si>
  <si>
    <t>Aztec NM</t>
  </si>
  <si>
    <t>US Energy Department Offers $40Mln for New Nuclear Reactor Designs / Sputnik International http://t.co/0DxVZ7fDh3</t>
  </si>
  <si>
    <t>A little filming inside a Nuclear Reactor at #Chernobyl @SonyProUSA @LumixUSA @DJIGlobal @ProfBrianCox @RT_America https://t.co/2GLjhvEAD9</t>
  </si>
  <si>
    <t>Finnish ministers: Fennovoima nuclear reactor will go ahead http://t.co/mqMCOLwBzc</t>
  </si>
  <si>
    <t>Fort Calhoun, NE</t>
  </si>
  <si>
    <t>Aug. 5: The Fort Calhoun Nuclear Station is at 100% capacity today according to the NRC: http://t.co/pztbQImpuW</t>
  </si>
  <si>
    <t>HamptonRoadsFor.me US Navy Sidelines 3 Newest Subs - http://t.co/9QNQ45Zduw http://t.co/dhyLJllRHL</t>
  </si>
  <si>
    <t>Somecity, Somerset, MD</t>
  </si>
  <si>
    <t>A 17 year Boy Scout created a mini nuclear reactor in his home</t>
  </si>
  <si>
    <t>Dover, DE</t>
  </si>
  <si>
    <t>@dicehateme @PuppyShogun This makes sense. Paper beats rock paper comes from wood so wood should be able to support and obliterate rock.</t>
  </si>
  <si>
    <t>Cavite, Philippines</t>
  </si>
  <si>
    <t>The  People's  Republic  Of  China  (  PROC  ): Abandon the West Philippine Sea and all the ... https://t.co/pD14GsrfSC via @ChangePilipinas</t>
  </si>
  <si>
    <t>Korea</t>
  </si>
  <si>
    <t>@realDonaldTrump to obliterate notion &amp;amp; pattern political style seemly lead voter beliefs Sarcasm Narcissism #RichHomeyDon #Swag #USA #LIKES</t>
  </si>
  <si>
    <t>#fun #instagramers http://t.co/M3NJvvtYgN
Jeb Bush said earlier this week that not only does he want to obliterate Planned Parenthood bu_x0089_Û_</t>
  </si>
  <si>
    <t>M!A: None</t>
  </si>
  <si>
    <t>Souda leave Lady Sonia alone or I shall obliterate you #KneelBot</t>
  </si>
  <si>
    <t>@klavierstuk doesn't so LVG is forced into the market. May beat Spurs and smaller teams with Blind LCB. Top 4/ CL teams will obliterate us.</t>
  </si>
  <si>
    <t>#LOL Plymouth (_x0089_Û÷Let_x0089_Ûªs Obliterate Litter_x0089_Ûª) http://t.co/GDrssjbH8q</t>
  </si>
  <si>
    <t>The Memesphere</t>
  </si>
  <si>
    <t>According to prophecy and also CNN a Mac tablet will completely obliterate the need for other gadgets. Combining_x0089_Û_ http://t.co/xfccvMXuWb</t>
  </si>
  <si>
    <t>21 | PNW</t>
  </si>
  <si>
    <t>@JoseBasedGod I'm obliterate you to the shadow realm.</t>
  </si>
  <si>
    <t>Miami via Lima</t>
  </si>
  <si>
    <t>GOP debate tonight but no Jon Stewart next week to obliterate them ?? #JonVoyage</t>
  </si>
  <si>
    <t>NEWCASTLE</t>
  </si>
  <si>
    <t>@SkyNews how is this scum still alive obliterate this cancer</t>
  </si>
  <si>
    <t>WWE 2K15: Universe Mode - Part 149 - OBLITERATE!!: http://t.co/0oms8rI3l1 via @YouTube</t>
  </si>
  <si>
    <t>Time to obliterate this sin!</t>
  </si>
  <si>
    <t>Know them recognize them......then obliterate them! 
#gym #gymflow #gymtime #team #assassins_x0089_Û_ https://t.co/mUHj8CbdQb</t>
  </si>
  <si>
    <t>Jump City</t>
  </si>
  <si>
    <t>Dc I love you but please obliterate power girl</t>
  </si>
  <si>
    <t>Dudetown</t>
  </si>
  <si>
    <t>@Gargron good sir I did not wish to but now I am forced to. I must obliterate you</t>
  </si>
  <si>
    <t>@holymileyray @moonIighthunty Focus on Me is going to obliterate careers tea</t>
  </si>
  <si>
    <t>Do you ever just want to obliterate an entire species off the face of the earth? I vote for mosquitoes</t>
  </si>
  <si>
    <t>Wondering if gold could gap up $50 on the jobs numbers tomorrow and just obliterate the shorts. A big player with guys could smash them</t>
  </si>
  <si>
    <t>Bhubneshwar</t>
  </si>
  <si>
    <t>It should be our duty to obliterate superstition from our society : Swami Agnivesh</t>
  </si>
  <si>
    <t>Meek Mill Begging Nicki Minaj To Let Him Obliterate... #ovofest #nowplaying http://t.co/XOmI4ZQzgp http://t.co/0m1TW3DaTd</t>
  </si>
  <si>
    <t>cedar rapids ia</t>
  </si>
  <si>
    <t>World of warships makes me mad sometimes but it's soooo satisfying when you cross the T on a battleship and just obliterate it</t>
  </si>
  <si>
    <t>Watch Sarah Palin OBLITERATE Planned Parenthood For Targeting Minority Women! _x0089_ÛÒ BB4SP http://t.co/fqMYprlG9g</t>
  </si>
  <si>
    <t>'But time began at last to obliterate the freshness of my alarm;...' http://t.co/ciLO9pMlEb</t>
  </si>
  <si>
    <t>@MacBreck I know what it means.It means I'll go on Twitter and obliterate any CHANCE of EVER winning another election for Pres.bad at math.</t>
  </si>
  <si>
    <t>Watch Sarah Palin OBLITERATE Planned Parenthood For Targeting Minority Women! _x0089_ÛÒ BB4SP http://t.co/sAYZt2oagm</t>
  </si>
  <si>
    <t>'We are now prepared to obliterate more rapidly and completely every productive enterprise the Japanese have above ground in any city.'</t>
  </si>
  <si>
    <t>satan's colon</t>
  </si>
  <si>
    <t>@horiikawa i played online last night and got my ass obliterated</t>
  </si>
  <si>
    <t xml:space="preserve">Valparaiso </t>
  </si>
  <si>
    <t>RIZZO IS ON ???????? THAT BALL WAS OBLITERATED</t>
  </si>
  <si>
    <t>Obliterated</t>
  </si>
  <si>
    <t>Damnnnn $GMCR got obliterated -26% ;that should pay HUGE to whomever played accordingly</t>
  </si>
  <si>
    <t>air sunrays obliterated on its hairy head like a dried wire spiderweb</t>
  </si>
  <si>
    <t>prob turning up with sheen</t>
  </si>
  <si>
    <t>I'm about to be obliterated</t>
  </si>
  <si>
    <t>#freegucci</t>
  </si>
  <si>
    <t>Me- Don't bother calling or texting me because my phone is obliterated
*has 7k missed calls and messages*</t>
  </si>
  <si>
    <t>WACKOES like #MicheleBachman predict the WORLD will SOON be OBLITERATED by a burning firey INFERNO but can't accept #GlobalWarming!! HELLO!!</t>
  </si>
  <si>
    <t>Waterloo, ON</t>
  </si>
  <si>
    <t>This the same dude that obliterated meek mill. Dont judge a book by its cover. http://t.co/BabMf0W2YW</t>
  </si>
  <si>
    <t>Drunk Meals 101: What To Cook When You're Totally Obliterated http://t.co/QvS7O10bG3</t>
  </si>
  <si>
    <t>The dark</t>
  </si>
  <si>
    <t>@Sweet2Young I came in! Had he fucking moved his entire existence would've been obliterated.</t>
  </si>
  <si>
    <t>We destroyed the #Zimmerman fan club on Twitter @rzimmermanjr and we obliterated Renewsit reduced her to a sock acc. http://t.co/ybshleIE3p</t>
  </si>
  <si>
    <t>Wynne, AR</t>
  </si>
  <si>
    <t>@RockBottomRadFM As a kid I remember hearing rules about 30 to 90 days wo a defense and you're stripped. Brock obliterated that</t>
  </si>
  <si>
    <t>So it looks like my @SoundCloud profile shall be no more! Nothing left to offer! DJ mixes obliterated ?? #byebyesoundcloud</t>
  </si>
  <si>
    <t>The Wood</t>
  </si>
  <si>
    <t>God the @mets are so cocky right now and I love it. Uribe OBLITERATED that ball then strutted the fuck out of the batters box...</t>
  </si>
  <si>
    <t>Palmyra, NJ</t>
  </si>
  <si>
    <t>I was obliterated last night??</t>
  </si>
  <si>
    <t>1313 W.Patrick St, Frederick</t>
  </si>
  <si>
    <t>Drunk Meals 101: What To Cook When You're Totally Obliterated http://t.co/Wj0U59mPpB</t>
  </si>
  <si>
    <t>Danbury, CT</t>
  </si>
  <si>
    <t>Uribe just obliterated a baseball.</t>
  </si>
  <si>
    <t>@Silverhusky Shtap!  Before your town is obliterated and the earth is salted T_T</t>
  </si>
  <si>
    <t>I can't wait to be beyond obliterated this weekend</t>
  </si>
  <si>
    <t>Mid West</t>
  </si>
  <si>
    <t>Obliterated my phone screen today with a drum stick. #blessed</t>
  </si>
  <si>
    <t>Poway hcg diet- ensures mole obliterated whensoever nevermore comes above: sizYgwWF</t>
  </si>
  <si>
    <t>Winnipeg, Manitoba</t>
  </si>
  <si>
    <t>Drunk Meals 101: What To Cook When You're Totally Obliterated http://t.co/JlPut7Va3s</t>
  </si>
  <si>
    <t>leyland</t>
  </si>
  <si>
    <t>Very glad that you got obliterated in X Men First Class. You fully deserved it after all @kevinbacon soz</t>
  </si>
  <si>
    <t>&amp;amp; on the rare occasion I do go out I'm complete obliterated the next day. Throwing up and passing out. My body is accustomed to alcohol</t>
  </si>
  <si>
    <t>don't buy the s*n</t>
  </si>
  <si>
    <t>Just absolutely obliterated a moth my new purchase is boss</t>
  </si>
  <si>
    <t>I think I'll get obliterated tonight</t>
  </si>
  <si>
    <t>Overton NV</t>
  </si>
  <si>
    <t>This is interesting!--Why did God order obliteration of ancient Canaanites? http://t.co/XqMJHIOZxG via @worldnetdaily</t>
  </si>
  <si>
    <t>@LaurenJauregui I would say I'm dead but I'm not that right there was obliteration</t>
  </si>
  <si>
    <t>Born in Baltimore Living in PA</t>
  </si>
  <si>
    <t>Why did God order obliteration of ancient Canaanites? http://t.co/NckOgWjq61 via @worldnetdaily</t>
  </si>
  <si>
    <t>Elizabeth, NJ</t>
  </si>
  <si>
    <t>OH. #TeamHennessy #NJ Obliteration  @tprimo24 ROUND 1 Happy Birthday @djeddygnj Colombian Festival_x0089_Û_ https://t.co/mRv54fiDfn</t>
  </si>
  <si>
    <t xml:space="preserve">Canada </t>
  </si>
  <si>
    <t>I need an arcade shooter fix but CTE is empty &amp;amp; only running obliteration. I'd even buy a CoD title if they weren't all overpriced on steam</t>
  </si>
  <si>
    <t>Are people not concerned that after #SLAB's obliteration in Scotland #Labour UK is ripping itself apart over #Labourleadership contest?</t>
  </si>
  <si>
    <t>@AuntieDote @RioSlade @Locke_Wiggins @akarb74 Not if one side is set on obliteration of govt and the other on fixing it. That's too far</t>
  </si>
  <si>
    <t>kissimmee,fl.</t>
  </si>
  <si>
    <t>Why did God order obliteration of ancient Canaanites? http://t.co/IkugGvByeI</t>
  </si>
  <si>
    <t>Why did God order obliteration of ancient Canaanites? http://t.co/NLk1DYD2tP</t>
  </si>
  <si>
    <t>828/704(Soufside)/while looking goofy in NJ</t>
  </si>
  <si>
    <t>Back in 02 to 03 would never said that 50 would have ended ja like obliteration</t>
  </si>
  <si>
    <t>Merica!</t>
  </si>
  <si>
    <t>@Eganator2000 There aren't many Obliteration servers but I always like to play when there are :D</t>
  </si>
  <si>
    <t>What a win by Kerry. 7-16..... #obliteration</t>
  </si>
  <si>
    <t>@ashberxo @mind_mischief the removal of all traces of something; obliteration.</t>
  </si>
  <si>
    <t>DC Metro area</t>
  </si>
  <si>
    <t>Why did God order obliteration of ancient Canaanites? http://t.co/Sf2vwQvJYa</t>
  </si>
  <si>
    <t>Why did God order obliteration of ancient Canaanites? http://t.co/Hz4lKFfC59 via @worldnetdaily#Homosexuality is the downfall of a society.</t>
  </si>
  <si>
    <t>I added a video to a @YouTube playlist http://t.co/1vjAlJA1SX GTA 5 Funny Moments - 'OBLITERATION!' (GTA 5 Online Funny Moments)</t>
  </si>
  <si>
    <t>There are no four truths-of pain of desire that is the origin of pain of the obliteration of that desire of the pain to that obliteration.</t>
  </si>
  <si>
    <t>Alhaji Putin is far from being a good person sha. At least I had front row seat to his complete obliteration of Ibeto cement a competitor.</t>
  </si>
  <si>
    <t>Dead Space - Obliteration Imminent [2/2]: http://t.co/XJB0dCAaHf via @YouTube</t>
  </si>
  <si>
    <t>Illinois</t>
  </si>
  <si>
    <t>Which is true to an extent. The obliteration of white privilege would reduce unfair favoritism.</t>
  </si>
  <si>
    <t>Does Renovation Mean Obliteration? http://t.co/pQ3ipUgkuY #entrepreneur #management #leadership #smallbiz #startup #business</t>
  </si>
  <si>
    <t>Turkmenistan</t>
  </si>
  <si>
    <t>For maximum damage! Activate [BIG BAND MODE] for old-timey obliteration!</t>
  </si>
  <si>
    <t>Why did God order obliteration of ancient Canaanites? http://t.co/pKKcdWjyg0 via @worldnetdaily</t>
  </si>
  <si>
    <t>He is justifying why this quarrel would one day end in d obliteration of what remains as the state of Pakistan. https://t.co/z8Ij8KTkyk</t>
  </si>
  <si>
    <t>23 countries and counting!</t>
  </si>
  <si>
    <t>Fear is the mind killer. Fear is the little-death that brings total obliteration.  Bene Gesserit Litany Against Fear Dune   @atgrannyshouse</t>
  </si>
  <si>
    <t>@TroySlaby22 slicker than an oil spill</t>
  </si>
  <si>
    <t>Nottingham, United Kingdom</t>
  </si>
  <si>
    <t>@DrAtomic420 where did you get that pic from where it shows that there is 2 trophies for Outbreak? Or did they photoshop it?</t>
  </si>
  <si>
    <t>Tube strike = absolute pandemonium</t>
  </si>
  <si>
    <t>Durham, NC</t>
  </si>
  <si>
    <t>Element of Freedom: The Biggest Party of the Summer @ Mirage Saturday! Tickets at http://t.co/7hAnPcr5rK</t>
  </si>
  <si>
    <t>The Kingdom of Fife, Scotland</t>
  </si>
  <si>
    <t>@hashtagteaclub place out. It was ex Pars defender Andy Tod in full uniform. It was instant pandemonium. Utter mayhem ensued!</t>
  </si>
  <si>
    <t>@J3Lyon I'm going to put the FFVII ones out at the weekend so I think Pandemonium! (Don't forget the exclamation mark) would be midweek.</t>
  </si>
  <si>
    <t>Everett, WA</t>
  </si>
  <si>
    <t>@BlizzHeroes Would love to see a Diablo map themed after places like Westmarch or Mt. Arreat or Pandemonium.</t>
  </si>
  <si>
    <t>Mumbai, India</t>
  </si>
  <si>
    <t>@minhazmerchant Govt should pass the bills in the Pandemonium. UPA used to do it why cant NDA?</t>
  </si>
  <si>
    <t>Proud of you @JoeGoodmanJr for watching the #CopaLibertadores and the Argentinean pandemonium... https://t.co/8tyGO0KiZz</t>
  </si>
  <si>
    <t>Pandemonium In Aba As Woman Delivers Baby Without Face (Photos) http://t.co/wRqF6U55hh</t>
  </si>
  <si>
    <t>#Pandemonium.iso psp http://t.co/HbpNFOAwII</t>
  </si>
  <si>
    <t>VONT ISLAND, LAGOS</t>
  </si>
  <si>
    <t>Pandemonium In Aba As Woman Delivers Baby Without Face (Photos) http://t.co/AcFI2rHz4N</t>
  </si>
  <si>
    <t>World Class Tgirl Ass 02 - Scene 4 - Pandemonium http://t.co/iwCu3DgI1a</t>
  </si>
  <si>
    <t>Hey all take a look at my review of 'Pandemonium' &amp;amp; 'Requiem' by Lauren Oliver. Enjoy! http://t.co/cPLYReWFZ3</t>
  </si>
  <si>
    <t>Element of Freedom at Mirage Saturday! 21+ Ladies Free Before Midnight!' http://t.co/7hAnPcr5rK</t>
  </si>
  <si>
    <t>World Class Tgirl Ass 02 - Scene 4 - Pandemonium http://t.co/HzHoa6VZAS</t>
  </si>
  <si>
    <t>www.facebook.com/stuntfm</t>
  </si>
  <si>
    <t>Pandemonium In Aba As Woman Delivers Baby Without Face (Photos) - http://t.co/dI5aRr6HQ6</t>
  </si>
  <si>
    <t>&amp;gt;&amp;gt; @GidiExclusixe Shock In Aba As Woman Delivers _x0089_Û÷Faceless_x0089_Ûª Baby [Photo]: There was pandemonium... http://t.co/RGTYZbNKeo #BennyCapricon</t>
  </si>
  <si>
    <t>Pandemonium In Aba As Woman Delivers Baby Without Face (Photos) - http://t.co/c5u9qsySeJ</t>
  </si>
  <si>
    <t>Toronto, Canada</t>
  </si>
  <si>
    <t>@Dr_Baseball41 @GrantTamane8 @DrewWTaylor @Dtop77   On the Christie Hillside: Game 4: Pandemonium at the Pits. http://t.co/Lq4lXGS2xU</t>
  </si>
  <si>
    <t>Miami?Gainesville</t>
  </si>
  <si>
    <t>If she don't know bout that Pandemonium album #Shestooyoung</t>
  </si>
  <si>
    <t xml:space="preserve">illinois. united state </t>
  </si>
  <si>
    <t>Pandemonium In Aba As Woman Delivers Baby Without Face (Photos) @... http://t.co/JbxBi93CLu</t>
  </si>
  <si>
    <t>Exquisite asian in sto... http://t.co/Y9w0V6Te9O #cumshot #sex #porn #video #porno #free</t>
  </si>
  <si>
    <t>Pandemonium In Aba As Woman Delivers Baby Without Face (Photos) - http://t.co/Ykdsp0nRDQ</t>
  </si>
  <si>
    <t>My workplace is going to be pandemonium when the season starts ??</t>
  </si>
  <si>
    <t>Pandemonium In Aba As Woman Delivers Baby Without Face (Photos) http://t.co/8j4rdwyjWu http://t.co/9MkZPZfKL2</t>
  </si>
  <si>
    <t>-  Pandemonium In Aba As Woman Delivers Baby Without Face http://t.co/36GccAPaak http://t.co/nqjZS6wkuN</t>
  </si>
  <si>
    <t>Cyclists it is pandemonium on the roads today. Drive carefully!</t>
  </si>
  <si>
    <t>Royton</t>
  </si>
  <si>
    <t>@PBohanna Probably a dead boring 1st hour and a half after the pandemonium of the last Test..... #justaguess</t>
  </si>
  <si>
    <t xml:space="preserve">the Refrigerator </t>
  </si>
  <si>
    <t>Photo: deadgirltalking: unfortunemelody: jaylenejoybeligan: tarynel: dredougie: santanico-pandemonium:... http://t.co/PvKgo79JnI</t>
  </si>
  <si>
    <t>http://t.co/PmHMmkSPaQ -PANDEMONIUM! Playstation One PS1 Retro Classic Original Platform Platinum Rare#Deals_UK http://t.co/0gKNpy4lUA</t>
  </si>
  <si>
    <t>it's don't panic</t>
  </si>
  <si>
    <t>Leeds, United Kingdom</t>
  </si>
  <si>
    <t>Obligatory middle of the night panic attack</t>
  </si>
  <si>
    <t>@brokenscnecal I just though about panic! at the disco when I said that</t>
  </si>
  <si>
    <t>Drake spokes rep for the raptors.Beg to differ the other night when shots rang out at Musik wasn't a goodlook.Running in panic no fun</t>
  </si>
  <si>
    <t>The cool kids asked me if I wanted to hang out after school so I had a panic attack and had to go to the hospital #autismawareness</t>
  </si>
  <si>
    <t>Love it when Jesse suffers a panic attack. https://t.co/r4utnewlnA</t>
  </si>
  <si>
    <t>@tim_micallef when do u think Yankees hit the panic button? #TroubleOnMyMind</t>
  </si>
  <si>
    <t>@JetixRestored Here's Part 2 Of Teamo Supremo Pogo Panic! I Want You Make It Better! OK! :) https://t.co/wBLiMlMT2x via @YouTube</t>
  </si>
  <si>
    <t>Linton Hall, VA</t>
  </si>
  <si>
    <t>Is it time to panic now? https://t.co/OrxDQfz0J0</t>
  </si>
  <si>
    <t>The Internetz</t>
  </si>
  <si>
    <t>Plane Panic What kind of douchebag. Bubble Gum</t>
  </si>
  <si>
    <t>Charleston, IL</t>
  </si>
  <si>
    <t>'If plan A does not work don't panic bc there are 25 more letters.' I like this but feel like I may be running out of letters- thoughts?</t>
  </si>
  <si>
    <t>Narnia</t>
  </si>
  <si>
    <t>I added a video to a @YouTube playlist http://t.co/QsEkoeuBMd Panic! At The Disco: Girls/Girls/Boys [OFFICIAL VIDEO]</t>
  </si>
  <si>
    <t>i just drove with both my parents in the car lmao that was a panic attack waiting to happen</t>
  </si>
  <si>
    <t>we was all just laughing and talking junk now everyone in panic mode</t>
  </si>
  <si>
    <t>Topeka, KS</t>
  </si>
  <si>
    <t>The good thing is that the #Royals won't face a newbie in the playoffs. No real reason to panic.</t>
  </si>
  <si>
    <t>Despite the crippling anxiety and overwhelming panic attacks I'd say I'm fairly well-adjusted.</t>
  </si>
  <si>
    <t>I added a video to a @YouTube playlist http://t.co/4914nJpIO3 Panic! At The Disco: Miss Jackson ft. LOLO [OFFICIAL VIDEO]</t>
  </si>
  <si>
    <t>Manhattan</t>
  </si>
  <si>
    <t>Every time I feel a new pain or strain in my body I panic because I need it for my career ??</t>
  </si>
  <si>
    <t>elena's bed // info on link</t>
  </si>
  <si>
    <t>Panic! at the Disco is the best song by this is gospel (acoustic) http://t.co/VCq2icptKI</t>
  </si>
  <si>
    <t>Elsewhere, NZ</t>
  </si>
  <si>
    <t>Lose bus card.
Panic.
Kind bus driver.
Replace bus card.
Find bus card.
Headdesk.</t>
  </si>
  <si>
    <t>518 åá NY</t>
  </si>
  <si>
    <t>Savs contact fell out but she was convinced it didnt &amp;amp; went on to guage her eyeball out &amp;amp; now shes having a panic attack over caused damage</t>
  </si>
  <si>
    <t>The Shady Hyenatown of Finland</t>
  </si>
  <si>
    <t>@james_justus *returns her*
Relax. You know I always return her so no need to panic. I just gave her some of those corn flakes. :P</t>
  </si>
  <si>
    <t xml:space="preserve">Maryland </t>
  </si>
  <si>
    <t>@montetjwitter11 @nolesfan05 @NutsAndBoltsSP I say concern but not panic. Too many games left. And some games left against each other.</t>
  </si>
  <si>
    <t>@panic awesome thanks.</t>
  </si>
  <si>
    <t>@montetjwitter11 @Mets @audreyp77 @teena_797 @darryl_brooks @EliteSportsNY @LopezandtheLion no panic from #NatsNation but concern for sure</t>
  </si>
  <si>
    <t>East TN.</t>
  </si>
  <si>
    <t>@biggangVH1 looks like George was having a panic attack. LOL.</t>
  </si>
  <si>
    <t>#dream #magic The #linden method lite version - #1 anxiety panic cure program: http://t.co/073izwX0lB THE LIND http://t.co/OkmLAGvkjv</t>
  </si>
  <si>
    <t>Milwaukee WI</t>
  </si>
  <si>
    <t>Someone asked me about a monkey fist about 2 feet long with a panic snap like the one pictured to be used as a... http://t.co/Yi9BBbx3FE</t>
  </si>
  <si>
    <t>Romantic dramatic but never panic original sensei write rhymes in the attic</t>
  </si>
  <si>
    <t>I added a video to a @YouTube playlist http://t.co/vxeGCmMVBV Panic! At The Disco: Collar Full (Audio)</t>
  </si>
  <si>
    <t>just had a panic attack bc I don't have enough money for all the drugs and alcohol I wanted to buy this year let alone my fall bills</t>
  </si>
  <si>
    <t>I had school today and I've already had a panic attack. Thank you high school for sucking !!!</t>
  </si>
  <si>
    <t>Panic attacks are the worst ????</t>
  </si>
  <si>
    <t>Torry Alvarez love forever ? ?</t>
  </si>
  <si>
    <t>Panic at the disco te amo</t>
  </si>
  <si>
    <t>Detroit</t>
  </si>
  <si>
    <t>Have to laughtraders panicking over market down 1%. Some see these as positive capitulation. THAT'S A JOKE. More to come may be ugly</t>
  </si>
  <si>
    <t>Petaluma, CA</t>
  </si>
  <si>
    <t>@QuotesTTG Save the panicking for when you get to Helios. ;)</t>
  </si>
  <si>
    <t>?^åá??åá?^?? ??</t>
  </si>
  <si>
    <t>OKAY I CAN'T FIND IT SO I'M KINDA PANICKING</t>
  </si>
  <si>
    <t>New post: 'People are finally panicking about cable TV' http://t.co/pkfV8lkSlD</t>
  </si>
  <si>
    <t>I hear the mumbling i hear the cackling i got em scared shook panicking</t>
  </si>
  <si>
    <t>You made my mood go from shitty af to panicking af istg</t>
  </si>
  <si>
    <t>Oxford / bristol</t>
  </si>
  <si>
    <t>Okay NOW I AM PANICKING</t>
  </si>
  <si>
    <t>PARACHUTE</t>
  </si>
  <si>
    <t>idm if you burn the whole gotham city bcs I'm just gonna laugh at everyone while theyre panicking.</t>
  </si>
  <si>
    <t>Near Warrington</t>
  </si>
  <si>
    <t>You certainly are @Ian_Bartlett! Great to see all you #HS2 astroturfers panicking at the thought of cross party support crumbling.</t>
  </si>
  <si>
    <t>New post: 'People are finally panicking about cable TV' http://t.co/df9FjonVeP</t>
  </si>
  <si>
    <t>|-/</t>
  </si>
  <si>
    <t>it's 11:30 and I'm already panicking and crying bc I'm so stressed NICE</t>
  </si>
  <si>
    <t>People are finally panicking about cable TV http://t.co/BBjLs1fsaD</t>
  </si>
  <si>
    <t>Pawnee</t>
  </si>
  <si>
    <t>@Adumbbb oh that's not too bad then haha. I would've been panicking tho.</t>
  </si>
  <si>
    <t>@beauscoven nah man he's panicking. He just found out his brothers had it off with his now wife debbie is in hospital he's stressed</t>
  </si>
  <si>
    <t>Panicking because maybe my bff left me at China Bar or maybe tindering on the toilet for 20mins</t>
  </si>
  <si>
    <t>@ushiocomics I may be panicking a little I wasn't as fast submitting the form as I usually am</t>
  </si>
  <si>
    <t>Yet Brits are panicking about the UK http://t.co/HsDBGCIYrs</t>
  </si>
  <si>
    <t>?You should be scared. You should be screaming and panicking.? THIS REDEEMER http://t.co/4h8qYvvd0E #romanticsuspense</t>
  </si>
  <si>
    <t>My dad is panicking as my weight loss means he needs to hurry up with my new clothes fundwhen I reach my goal.  ??</t>
  </si>
  <si>
    <t>Already panicking about school starting again :-)</t>
  </si>
  <si>
    <t>Derbyshire, United Kingdom</t>
  </si>
  <si>
    <t>People are finally panicking about cable TV http://t.co/ranEFiHbUK http://t.co/MflRVBh4qA</t>
  </si>
  <si>
    <t>I feel like I should be panicking more as Idk I get my results back in a week... I'm Alarmingly calm</t>
  </si>
  <si>
    <t>VCU</t>
  </si>
  <si>
    <t>Just realized that maybe it not normal to sit up front with an Uber driver? Panicking</t>
  </si>
  <si>
    <t>McLean, VA</t>
  </si>
  <si>
    <t>@c_pinto001 I see people are panicking about Orpik all over again.</t>
  </si>
  <si>
    <t>Ay I am fully panicking lol</t>
  </si>
  <si>
    <t>When he lets you drive his truck and you start panicking because you had to 'flip that bitch'. ?????? http://t.co/W6O0uiZF8p</t>
  </si>
  <si>
    <t>@jeannathomas not gonna lie.. I'm panicking a little bit. Vic/Hardy not there.. Freeman not practicing.</t>
  </si>
  <si>
    <t>South Florida</t>
  </si>
  <si>
    <t>People are finally panicking about cable TV http://t.co/lCnW4EAD8v</t>
  </si>
  <si>
    <t>you can stop panicking ?????? @ogtomd  https://t.co/ZvRE6fFNyD</t>
  </si>
  <si>
    <t>Positive 852</t>
  </si>
  <si>
    <t>My sis can now sit on a cam w/o panicking https://t.co/GiYaaD7dcc</t>
  </si>
  <si>
    <t>why are people panicking about results day though hahahah like worrying is going to change your results</t>
  </si>
  <si>
    <t>These fucking police can't touch me  these fuck niggas ain't fucking w me</t>
  </si>
  <si>
    <t>Police unions retard justice &amp;amp; drain gov $ but cops vote 4 Rs so Rs go after teachers unions instead! @DCCC @VJ44 @Lawrence @JBouie @mmfa</t>
  </si>
  <si>
    <t>Maid charged with stealing Dh30000 from police officer sponsor http://t.co/y35qtVDSOH | https://t.co/qhUJAjCTR5</t>
  </si>
  <si>
    <t>Vinnie Jones goes on the beat with Northumbria Police http://t.co/UP30AQgnLf</t>
  </si>
  <si>
    <t>Police expand search for missing pregnant woman in Beloeil: Police in Richelieu-Saint-Laurent are expanding th... http://t.co/hMuyzmv8qH</t>
  </si>
  <si>
    <t>h+l</t>
  </si>
  <si>
    <t>Good that the police are taking care of this and also have extra security  #HarryBeCareful</t>
  </si>
  <si>
    <t>Why Are #BAYONETS Being Distributed To Local Police Departments?
@RandPaul wants to know
https://t.co/XB8nfxaBUM
#EvilEmpire
#JadeHelm15</t>
  </si>
  <si>
    <t>UNWANTED PERSON at 200 BLOCK OF SE 12TH AVE PORTLAND OR [Portland Police #PP15000266818] 17:10 #pdx911</t>
  </si>
  <si>
    <t>Episcopal priests on road trip with interracial family shares harrowing story of police harassment http://t.co/RG4JIsHyBs via @dailykos</t>
  </si>
  <si>
    <t>SoCal</t>
  </si>
  <si>
    <t>@BrandonMulcahy @fpine Here's the story http://t.co/TgXutUoyHl</t>
  </si>
  <si>
    <t>Oops: Bounty hunters try to raid Phoenix police chief's home http://t.co/u30n3fFX8Y</t>
  </si>
  <si>
    <t>New technology designed to help prevent dangerous police chases: In an effort to reduce injuries Milwaukee police_x0089_Û_ http://t.co/cedjdlPDAN</t>
  </si>
  <si>
    <t>Police walk up on me I be blowin smoke in dey face  wanna lock me up cus I got dope shit is gay</t>
  </si>
  <si>
    <t>MI,USA</t>
  </si>
  <si>
    <t>#helpme what do I do? My friend has been ticketed by Police in Wayne County Michigan into never- sending poverty cycle. How do I help him?</t>
  </si>
  <si>
    <t>3 Options To Fix Your Facebook Cover Violation http://t.co/pF8dXwIbDp and Keep the #Facebook Police away. #socialmedia #strategy</t>
  </si>
  <si>
    <t xml:space="preserve">Los Angeles </t>
  </si>
  <si>
    <t>.@slosheriff: 2 South Gate police officers and 2 Huntington Park officers arrested after child abuse investigation at boot camp</t>
  </si>
  <si>
    <t>Reddit Will Now Quarantine Offensive Content http://t.co/u9BkQt6XHR</t>
  </si>
  <si>
    <t>South africa</t>
  </si>
  <si>
    <t>Reddit Will Now Quarantine Offensive Content http://t.co/8S0mTwRumQ #Technology #technews #puledo_tech_update</t>
  </si>
  <si>
    <t>Reddit updates content policy promises to quarantine _x0089_Û÷extremely offensive_x0089_Ûª communities http://t.co/tHnExicGQe</t>
  </si>
  <si>
    <t>RT skanndTyagi WIRED : Reddit will now quarantine offensive content http://t.co/H0xUNJ3C7C (http://t.co/UuEw4MJLes_x0089_Û_ _x0089_Û_</t>
  </si>
  <si>
    <t xml:space="preserve">Area 8 </t>
  </si>
  <si>
    <t>Update: still haven't eaten since 6:30 am still have to clean the dry lot and fill water in quarantine. May pass out</t>
  </si>
  <si>
    <t>Check Out: 'Reddit Will Now Quarantine Offensive Content' http://t.co/Ew5wZC07Fo</t>
  </si>
  <si>
    <t>Bangalore, INDIA</t>
  </si>
  <si>
    <t>#Bangalore  Reddit updates content policy promises to quarantine 'extremely offensive' communities http://t.co/Of3Q75fGeU #Startups  #in</t>
  </si>
  <si>
    <t>Reddit updates content policy promises to quarantine _x0089_Û÷extremely offensive_x0089_Ûª communities http://t.co/KmTwA3n1Gf</t>
  </si>
  <si>
    <t>ÌÏT: 40.707762,-74.014213</t>
  </si>
  <si>
    <t>Aannnnd - 'Reddit Will Now Quarantine Offensive Content' https://t.co/P1JluRGWBu</t>
  </si>
  <si>
    <t>Reddit Will Now Quarantine Offensive Content http://t.co/cNsHlNjUqX</t>
  </si>
  <si>
    <t>hermancranston: WIRED : Reddit will now quarantine offensive content http://t.co/wvn6GrIyPq (http://t.co/Rei3PuWP84_x0089_Û_ _x0089_Û_</t>
  </si>
  <si>
    <t>Killa Hill, CO</t>
  </si>
  <si>
    <t>Reddit Will Now Quarantine Offensive Content: Reddit co-founder and CEO Steve Huffman has unveiled more specif... http://t.co/LJMGdpDLvs</t>
  </si>
  <si>
    <t>Southern Califorina</t>
  </si>
  <si>
    <t>Reddit Will Now Quarantine Offensive Content: Reddit co-founder and CEO Steve Huffman has unveiled more specif... http://t.co/PMCp8cZPNd</t>
  </si>
  <si>
    <t>all over the world</t>
  </si>
  <si>
    <t>#wired #business Reddit Will Now Quarantine Offensive Content http://t.co/ZhzVprZbgq</t>
  </si>
  <si>
    <t>San Diego, Calif.</t>
  </si>
  <si>
    <t>RT @WIRED: Reddit will now quarantine offensive content http://t.co/zlAGv1U5ZA</t>
  </si>
  <si>
    <t>Reddit Will Now Quarantine Offensive Content http://t.co/FEIkC9FxED #onlinecommunities #reddit /via @wired</t>
  </si>
  <si>
    <t xml:space="preserve">Geneva. And beyond. </t>
  </si>
  <si>
    <t>Wired: Reddit Will Now Quarantine Offensive Content - Reddit co-founder and CEO Steve Huffman has unveiled more sp... http://t.co/aByHRgsS1s</t>
  </si>
  <si>
    <t>@missambear your Tweet was quoted by @WIRED  http://t.co/E90J3vJOLc</t>
  </si>
  <si>
    <t>Yet another company trying to censor the Internet. Reddit has started to quarantine their content: http://t.co/pG4y3I5ciu #cc</t>
  </si>
  <si>
    <t>NYC, New York</t>
  </si>
  <si>
    <t>Reddit Will Now Quarantine Offensive Content: Reddit co-founder and CEO Steve Huffman has unveiled more specif... http://t.co/TDEUKJzzII</t>
  </si>
  <si>
    <t>Reddit Will Now Quarantine Offensive_x0089_Û_ http://t.co/wjWYJBncat #onlinecommunities #reddit #amageddon #freespeech http://t.co/0Erisq25KT</t>
  </si>
  <si>
    <t>VÌ_a LÌÁctea</t>
  </si>
  <si>
    <t>Reddit Will Now Quarantine Offensive Content: Reddit co-founder and CEO Steve Huffman has unveiled more specif... http://t.co/T7gE0j3CAy</t>
  </si>
  <si>
    <t>New York, United States</t>
  </si>
  <si>
    <t>Reddit Will Now Quarantine Offensive Content http://t.co/NAS3IPm5vh</t>
  </si>
  <si>
    <t>Reddit Will Now Quarantine Offensive Content http://t.co/unNx71v8qc</t>
  </si>
  <si>
    <t>Reddit Will Now Quarantine OffensiveåÊContent http://t.co/Gllawb2FSk http://t.co/3kaAfuoztc</t>
  </si>
  <si>
    <t>Reddit updates content policy promises to quarantine _x0089_Û÷extremely offensive_x0089_Ûª communities http://t.co/PLmIWOfpom</t>
  </si>
  <si>
    <t>Loved Chicago so much that it game me Pink Eye. Now I sit and design in quarantine and in the dark.</t>
  </si>
  <si>
    <t>Some Where in this World</t>
  </si>
  <si>
    <t>Reddit Will Now Quarantine Offensive Content http://t.co/LOdOrmTfSq</t>
  </si>
  <si>
    <t>Reddit Will Now Quarantine OffensiveåÊContent https://t.co/MjbIUvbMo6 http://t.co/I5cdTD8ftj</t>
  </si>
  <si>
    <t>Top link: Reddit's new content policy goes into effect many horrible subreddits banned or quarantined http://t.co/u9ao3A4oGC</t>
  </si>
  <si>
    <t>when you are quarantined to a little corner bc you are too sick to be in the office but work is piling up and they need you kinda day</t>
  </si>
  <si>
    <t>Reddit's new content policy goes into effect many horrible subreddits banned or quarantined http://t.co/ohbV7YvtL5 http://t.co/YmuTi3ND9r</t>
  </si>
  <si>
    <t>Top link: Reddit's new content policy goes into effect many horrible subreddits banned or quarantined http://t.co/o8XvTLP4mF</t>
  </si>
  <si>
    <t>#hot  Reddit's new content policy goes into effect many horrible subreddits banned or quarantined http://t.co/uiSNqIu3iF #prebreak #best</t>
  </si>
  <si>
    <t>russia</t>
  </si>
  <si>
    <t>#hot  Reddit's new content policy goes into effect many horrible subreddits banned or quarantined http://t.co/algtcN8baf #prebreak #best</t>
  </si>
  <si>
    <t>Reddit's new content policy goes into effect many horrible subreddits banned or quarantined http://t.co/M4TcZaawpT</t>
  </si>
  <si>
    <t>Fucking yes /r/antiPOZi is quarantined.  Triggered the cucks we have.</t>
  </si>
  <si>
    <t>Livonia, MI</t>
  </si>
  <si>
    <t>Reddit's new content policy goes into effect many horrible subreddits banned or quarantined http://t.co/lFW4KUukeM http://t.co/k3mnk9HnZ5</t>
  </si>
  <si>
    <t>Are Users of this Sub to be Quarantined? http://t.co/9nLY2TovUD</t>
  </si>
  <si>
    <t>@__ScrambledEggs calling it now: KIA gets banned or quarantined before month's end</t>
  </si>
  <si>
    <t>Top link: Reddit's new content policy goes into effect many horrible subreddits banned or quarantined http://t.co/BjVfk1ETe9</t>
  </si>
  <si>
    <t>Reddit's new content policy goes into effect many horrible subreddits banned or quarantined http://t.co/4oNvxncz8w http://t.co/tnggXNm6k8</t>
  </si>
  <si>
    <t>Top link: Reddit's new content policy goes into effect many horrible subreddits banned or quarantined http://t.co/zCp5cszSLl</t>
  </si>
  <si>
    <t>I'm just going to say it. Under the new reddit policy changes I think /r/conspiracy will be quarantined and how that's bad for the truth m_x0089_Û_</t>
  </si>
  <si>
    <t>Dunwoody, GA</t>
  </si>
  <si>
    <t>okay the cat has been quarantined in my bathroom...its meowing really loud but I turned up the TV louder...things just might work out okay</t>
  </si>
  <si>
    <t>#hot  Reddit's new content policy goes into effect many horrible subreddits banned or quarantined http://t.co/HqdCZzdmbN #prebreak #best</t>
  </si>
  <si>
    <t>Reddit's new content policy goes into effect many horrible subreddits banned or quarantined http://t.co/gix1gaYnXZ http://t.co/P93S2rFhx6</t>
  </si>
  <si>
    <t>Broadview Heights, Ohio</t>
  </si>
  <si>
    <t>Hey @reddit - the concept of a 'quarantine' makes no sense if the people you've quarantined can just wander out &amp;amp; about whenever they want</t>
  </si>
  <si>
    <t>Top link: Reddit's new content policy goes into effect many horrible subreddits banned or quarantined http://t.co/0lpu0gR2j0</t>
  </si>
  <si>
    <t>Poplar, London</t>
  </si>
  <si>
    <t>can't DL a patch to fix the error in symantec as it's quarantined the computer ergo stopped all wireless exchange. lol technology ??</t>
  </si>
  <si>
    <t>Top link: Reddit's new content policy goes into effect many horrible subreddits banned or quarantined http://t.co/Cd2NG2Awql</t>
  </si>
  <si>
    <t>#hot  Reddit's new content policy goes into effect many horrible subreddits banned or quarantined http://t.co/VhrLsWvZql #prebreak #best</t>
  </si>
  <si>
    <t>LP, MN USA</t>
  </si>
  <si>
    <t>http://t.co/X5XUMtoEkE Nuclear Emergency Current USA radiation levels monitoring site</t>
  </si>
  <si>
    <t>La Grange Park, IL</t>
  </si>
  <si>
    <t>DOE's WIPP facility in NM investigating a site filter radiation reading; has activated its Emergency Ops Center; says no offsite release.</t>
  </si>
  <si>
    <t>Who Else Wants Documents Radiation Emergency Procedures 06 24 09 #radiation #emergency #procedures #06 #24 #09 http://t.co/HxwFBpP1b3</t>
  </si>
  <si>
    <t>#MayGodHelpUS</t>
  </si>
  <si>
    <t>#CCOT #TCOT #radiation Nuclear Emergency Tracking Center
http://t.co/KF74o2mcsC
https://t.co/N2ZHrChCGV</t>
  </si>
  <si>
    <t>Darnley, Prince Edward Island</t>
  </si>
  <si>
    <t>Due to the rainstorm last night cupcake decorating is happening NOW at the Rec Hall! $2 - proceeds to #IWK! http://t.co/EaRONLwIFh</t>
  </si>
  <si>
    <t>vancouver usa</t>
  </si>
  <si>
    <t>@myrtlegroggins &amp;lt;gasp!&amp;gt; I forgot Sunday! OMG</t>
  </si>
  <si>
    <t>Coventry, Rhode Island</t>
  </si>
  <si>
    <t>Going to the beach with Jim Alves means a guaranteed rainstorm.  #lucky http://t.co/fejs0Bu0sq</t>
  </si>
  <si>
    <t>#DnB #NewRelease EDGE Jimmy - Summer Rainstorm (Lapaka Sounds) http://t.co/4L8h2FKlNO via http://t.co/ZITQKDFXJY</t>
  </si>
  <si>
    <t>La Puente, CA</t>
  </si>
  <si>
    <t>Stuck in a rainstorm? Stay toward the middle of the road. Most streets are crowned so water tends to pool on the sides.</t>
  </si>
  <si>
    <t>If you can't have the roar of the waves a rainstorm &amp;amp; some rolling_x0089_Û_ https://t.co/DlVYFvnQee</t>
  </si>
  <si>
    <t>Robot_Rainstorm: We have two vacancies on the #Castle Fantasy Football team! Join us. It_x0089_Ûªs fun. ??</t>
  </si>
  <si>
    <t>@Calum5SOS you look like you got caught in a rainstorm this is amazing and disgusting at the same time</t>
  </si>
  <si>
    <t>RAIN RAIN GO AWAY... A soaker is on the way 
------&amp;gt; http://t.co/jQFcY9GuqV &amp;lt;----- http://t.co/tN65puhfhw</t>
  </si>
  <si>
    <t>@NathanFillion Hardly! ??</t>
  </si>
  <si>
    <t>@Robot_Rainstorm I'm.sort of interested in what fonts they're using.</t>
  </si>
  <si>
    <t>North Memphis/Global Citizen</t>
  </si>
  <si>
    <t>Best believe all the wrong decisions are being made out here in these Memphis streets during this here rainstorm lol my folk doe</t>
  </si>
  <si>
    <t>Bridport, England</t>
  </si>
  <si>
    <t>I want it to rainstorm PLEASE</t>
  </si>
  <si>
    <t>Porto Alegre, Rio Grande do Sul</t>
  </si>
  <si>
    <t>Waking up sick with a rainstorm outside would usually make me sad. Not today though. Put some The Kooks on the stereo and let's do this.</t>
  </si>
  <si>
    <t>@Robot_Rainstorm I'm a huge football fan as you know but I've never done fantasy leagues. Patience for a newbie?</t>
  </si>
  <si>
    <t>ECSU16</t>
  </si>
  <si>
    <t>The way you move is like a full on rainstorm and I'm a house of cards.</t>
  </si>
  <si>
    <t>Former Freedom Surf/Spa Razed to Make Way for New Homes http://t.co/EX6JzQJ3NI</t>
  </si>
  <si>
    <t>North</t>
  </si>
  <si>
    <t>@petereallen @HuffPostUK @bbc5live How significant do you think the iconic pic of Church (maybe) ruins and less substantial efforts razed?</t>
  </si>
  <si>
    <t>today will be another dualcom with @Im_Razed !!! if you enjoyed yesterdays check out todays at 5 pm easter!!!</t>
  </si>
  <si>
    <t>Augusta, Maine, 04330</t>
  </si>
  <si>
    <t>Vassalboro house to be razed to make way for public gazebo @PeteL_McGuire reports. http://t.co/uUEwccdTow</t>
  </si>
  <si>
    <t xml:space="preserve">Aurora, Ontario </t>
  </si>
  <si>
    <t>Turkish newlyweds donate wedding money - what a beautiful gesture! Still have faith in humanity. http://t.co/o1eNHjrkJd</t>
  </si>
  <si>
    <t>Statute Of Limitations_</t>
  </si>
  <si>
    <t>Repulsive! Refugees-Victimiser-#Dutton Evangelical-Liar-#Abbott c/o #LNP on a dupe the press overdrive; #CHOPPERGATE!#BRONWYNBISHOP!#AUSPOL</t>
  </si>
  <si>
    <t xml:space="preserve"> BC, US, Asia or Europe.</t>
  </si>
  <si>
    <t>Newlyweds feed Syrian refugees at their wedding - CBC News - Latest Canada World Entertainment and Business News http://t.co/QU8S89pVVt</t>
  </si>
  <si>
    <t>St PetersburgFL</t>
  </si>
  <si>
    <t>'imagine an entire aisle dedicated to making people look like serbian refugees.' - director of whole foods clothing section</t>
  </si>
  <si>
    <t>EspaÌ±a</t>
  </si>
  <si>
    <t>@ViralSpell: 'Couple spend wedding day feeding 4000 Syrian refugees. http://t._x0089_Û_ http://t.co/I1VPkQ9yAg see more http://t.co/tY5GAvn7uk</t>
  </si>
  <si>
    <t>Tarragona</t>
  </si>
  <si>
    <t>Top story: @ViralSpell: 'Couple spend wedding day feeding 4000 Syrian refugees_x0089_Û_ http://t.co/a2TIIVNjDY see more http://t.co/fW2XIfJ6Ec</t>
  </si>
  <si>
    <t>Captain Abbott must go down with LNP boat #refugees #christianvalues https://t.co/Kp5dpOaF58</t>
  </si>
  <si>
    <t>A Turkish couple spent their wedding day feeding 4000 Syrian refugees  ? A Turkish couple who got marrie _x0089_Û_ http://t.co/iGll3ph6O1</t>
  </si>
  <si>
    <t>#Turkish couple decided to feed 4000 #Syrian #refugees as part of their #wedding celebrations http://t.co/EHLq3ZSPTd http://t.co/DjX5eLbrv1</t>
  </si>
  <si>
    <t>Newlyweds feed thousands of Syrian refugees instead of hosting a banquet wedding dinner http://t.co/EGcv7ybjae #Age #news</t>
  </si>
  <si>
    <t>tripoli international airport</t>
  </si>
  <si>
    <t>@KristinDavis @UN @Refugees Thank you @UN and @Refugees for helping so many people in need all over the world.... https://t.co/yPvJgzqqqB _x0089_Û_</t>
  </si>
  <si>
    <t>Auckland, New Zealand</t>
  </si>
  <si>
    <t>http://t.co/eHKLp12yiP Paci?c Media Centre | articles: AUSTRALIA: RSF protests over new security gag over reporting on...</t>
  </si>
  <si>
    <t>NYC,US - Cali, Colombia</t>
  </si>
  <si>
    <t>The Most Generous Bride on Earth: Couple Feeds 4000 Syrian Refugees on Their Wedding Day http://t.co/ms8e8mNddb via @thedailybeast love it!</t>
  </si>
  <si>
    <t>Don't Panik! #KelbyTomlinson to the rescue! http://t.co/hujvgsFLUs</t>
  </si>
  <si>
    <t>#HarleyChick#PJNT#RunBenRun</t>
  </si>
  <si>
    <t>Coastal German Shepherd Rescue OC shared a link... http://t.co/P85NwcMkQu #animalrescue | https://t.co/wUDlkq7ncx</t>
  </si>
  <si>
    <t>Rescue of the day: It_x0089_Ûªs World Cat Day Saturday Aug 8th Black Black/White Cats just $5 http://t.co/oqb7DaSMVy #NewBeginningsAnimalRescue</t>
  </si>
  <si>
    <t>Big NorthEast Litter Box</t>
  </si>
  <si>
    <t>I'm on 2 blood pressure meds and it's still probably through the roof! Long before the #PPact story broke I was involved in animal rescue</t>
  </si>
  <si>
    <t>Sand springs oklahoma</t>
  </si>
  <si>
    <t>Coastal German Shepherd Rescue OC shared a link... http://t.co/35QWnGLkOS #animalrescue | https://t.co/Is2iDC3UBJ</t>
  </si>
  <si>
    <t>Coastal German Shepherd Rescue OC shared a link: 'Ecstatic Rescued Racco... http://t.co/t8Q6DzVgwX #animalrescue</t>
  </si>
  <si>
    <t>Suggs &amp;amp; Vivian to the rescue!  #psychrewatch</t>
  </si>
  <si>
    <t>Surry Hills, Sydney</t>
  </si>
  <si>
    <t>Any lengths to rescue a cat in need! http://t.co/AMroX4Y4Nx</t>
  </si>
  <si>
    <t>Last Chance Animal Rescue has 3 new posts. http://t.co/f1tcbg1MKi #animalrescue | https://t.co/Is2iDC3UBJ</t>
  </si>
  <si>
    <t>Last Chance Animal Rescue has 3 new posts. http://t.co/kIILdu8GpO #animalrescue | https://t.co/wUDlkq7ncx</t>
  </si>
  <si>
    <t>Sammy and todd always to the rescue may not be in uniform but still to the rescue lmao. Forever KFC fam.</t>
  </si>
  <si>
    <t>Lunch for the crew is made. Night night it's been a long day! 
~Peace~Love~Rescue~</t>
  </si>
  <si>
    <t>Thornton  Colorado</t>
  </si>
  <si>
    <t>Tell the United Nations: Plantations are NOT forests! https://t.co/cic7h64Qv8 via @RainforestResq</t>
  </si>
  <si>
    <t>Wanderlust</t>
  </si>
  <si>
    <t>Mary coming to Troy rescue. ?????? https://t.co/rosVXQeLQj</t>
  </si>
  <si>
    <t>Last Chance Animal Rescue has 3 new posts. http://t.co/1EB2DaUYfn #animalrescue</t>
  </si>
  <si>
    <t>@LisaVanderpump How many dogs do you have and are they all rescue dogs?</t>
  </si>
  <si>
    <t>U.S.A.   FEMA Region 5</t>
  </si>
  <si>
    <t>Coastal German Shepherd Rescue OC shared a link... http://t.co/2JxkmkpalP #animalrescue | https://t.co/ec46LyQQc6</t>
  </si>
  <si>
    <t>Ohio, USA</t>
  </si>
  <si>
    <t>@TennoAtax I hand you a glass of water and sit down. 'I was rescued by a Tenno. I've lived in my ship around the dojo for about a year...'</t>
  </si>
  <si>
    <t>watford</t>
  </si>
  <si>
    <t>'Trust us to get rescued by the dopey ones!' Val is hilarious shame she's probably going to die #emmerdale</t>
  </si>
  <si>
    <t>West Hollywood</t>
  </si>
  <si>
    <t>Summer #summervibes #california #puppy #pitmix #rescued #brixton #banksy #happy #mybabies https://t.co/7VoVkTXsPo</t>
  </si>
  <si>
    <t>Man Who Buried Dog Alive Thought No One Would Find Her But She Was Rescued Just In Time http://t.co/SahQ5UOAHW</t>
  </si>
  <si>
    <t>The Multiverse</t>
  </si>
  <si>
    <t>But now #Skyrim awaits to be rescued...again.</t>
  </si>
  <si>
    <t>The Finnish hip hop pioneer Paleface will be 'rescued from a drifting raft' and brought into the container later #enkelbiljett #menolippu</t>
  </si>
  <si>
    <t>Funds Needed for Rescued then Abandoned Cocker Spaniels http://t.co/RJrmW7nzy5</t>
  </si>
  <si>
    <t>I liked a @YouTube video http://t.co/45TWHJ0l6m RomanAtwoodVlogs | RESCUED SICK KITTENS!!</t>
  </si>
  <si>
    <t>southern california</t>
  </si>
  <si>
    <t>A brave little dog gets rescued from the river.  His recovery will inspi... https://t.co/jYwFyGcLHM via @YouTube</t>
  </si>
  <si>
    <t>Philadelphia, Pennsylvania USA</t>
  </si>
  <si>
    <t>Homeless Man Traveling Across USA With 11 Stray Dogs He Rescued Gets A Helping Hand From Strangers http://t.co/QhfqlUI6RY via @Reshareworthy</t>
  </si>
  <si>
    <t>'You can only be rescued from where you actually are and not from where you pretend you are.' Giorgio Hiatt</t>
  </si>
  <si>
    <t>Huntley, IL</t>
  </si>
  <si>
    <t>We rescued my dog at least 9 years ago ?? she's old but still sweet as ever ?? @Zak_Bagans http://t.co/yhYY3o609U</t>
  </si>
  <si>
    <t>Leeds, U.K.</t>
  </si>
  <si>
    <t>Trust us to get rescued by the dopey ones.  #Emmerdale  #SummerFate</t>
  </si>
  <si>
    <t>Rescued TB goes on to ribbon at HITS: http://t.co/pA5SSLeFEC via @offtrackhorse</t>
  </si>
  <si>
    <t>Turn back to me! I have rescued you and swept away your sins as though they were clouds. Isaiah 44:22 Contemporary English Version</t>
  </si>
  <si>
    <t>@Zak_Bagans pets r like part of the family. I love animals.??? The last 2 pets I had I rescued! Breaks my heart when animals are mistreated????</t>
  </si>
  <si>
    <t>I liked a @YouTube video http://t.co/FNpDJwVw1j Homeless dog living in a cardboard box gets rescued &amp;amp; has a heartwarming</t>
  </si>
  <si>
    <t>Angry Mistrustful Rescued Elephant Finds Peace and Friendship in Her New Home (PHOTOS) http://t.co/VaUnPS6WJa via @OneGreenPlanet</t>
  </si>
  <si>
    <t>I have an unexplainable desire to watch The Rescuers. #childhooddefined</t>
  </si>
  <si>
    <t>@AndyGilder Channel 5 have been doing the same for the RSPCA with Dog Rescuers.....'The Infomercial' has crept in the back door.</t>
  </si>
  <si>
    <t>Last Second Ebay Bid RT? http://t.co/oEKUcq4ZL0 Shaolin Rescuers (dvd 2010) Shen Chan Nan Chiang Five Venoms Kung Fu ?Please Favori</t>
  </si>
  <si>
    <t>Belgrade</t>
  </si>
  <si>
    <t>To All The Meat-Loving Feminists Of The World Riot Grill Has Arrived: Pop quiz! Which do you prefer: fem... http://t.co/KmndkFa7me #art</t>
  </si>
  <si>
    <t>Stuart Broad Takes Eight Before Joe Root Runs Riot Against Aussies</t>
  </si>
  <si>
    <t>@teamVODG Discovered by @NickCannon 
 Listen/Buy @realmandyrain #RIOT on @iTunesMusic @iTunes https://t.co/dehMym5lpk _x0089_Û_ #BlowMandyUp</t>
  </si>
  <si>
    <t>To All The Meat-Loving Feminists Of The World Riot Grill Has Arrived http://t.co/um3wTL5r7K #arts http://t.co/2LQyxZQ5DN</t>
  </si>
  <si>
    <t>Bossland</t>
  </si>
  <si>
    <t>http://t.co/cxB55H37jn Rascal Flatts Riot Tour Atlantic City Beach Concert-August 20 2015-2 Tickets http://t.co/H6tyYSGR30</t>
  </si>
  <si>
    <t>To All The Meat-Loving Feminists Of The World Riot Grill HasåÊArrived http://t.co/uDQA53KfQu</t>
  </si>
  <si>
    <t>Uppsala, Sweden</t>
  </si>
  <si>
    <t>Seriously do we have to do a tactical riot against the headquarters of Disney and Marvel...</t>
  </si>
  <si>
    <t>East London</t>
  </si>
  <si>
    <t>@Dani_Riot keep an eye out we'll be looking for lots of new team members in coming days/weeks :)</t>
  </si>
  <si>
    <t>To All The Meat-Loving Feminists Of The World Riot Grill Has Arrived: Pop quiz! Which do you prefer: feminist... http://t.co/HXOX7o42Rq</t>
  </si>
  <si>
    <t>@AcaciaPenn I'll start a big ass riot  send me to jail today mfs shidddd ??</t>
  </si>
  <si>
    <t>Riot Kit Bah - part of the new concept Gear coming for Autumn/Winter
#menswear #fashion #urbanfashion_x0089_Û_ https://t.co/cCwzDTFbUS</t>
  </si>
  <si>
    <t>@abran_caballero Discovered by @NickCannon 
 Listen/Buy @realmandyrain #RIOT on @iTunesMusic @iTunes https://t.co/dehMym5lpk _x0089_Û_ #BlowMandyUp</t>
  </si>
  <si>
    <t>I liked a @YouTube video http://t.co/5fR41TPzte Thorin's Thoughts - Riot and Sandbox Mode (LoL)</t>
  </si>
  <si>
    <t>Stuart Broad Takes Eight Before Joe Root Runs Riot Against Aussies: Stuart Broad took career-best figures of 8... http://t.co/zGSJWXdrCM</t>
  </si>
  <si>
    <t>Retweeted Sarah Silverman (@SarahKSilverman):
Soundtrack of my walk starts w Tracey Ullman They Don't Know.  perfect</t>
  </si>
  <si>
    <t>After all that time Riot should really make an official Satan Teemo skin http://t.co/TYtPBC4GWi</t>
  </si>
  <si>
    <t>Montana, USA</t>
  </si>
  <si>
    <t>I liked a @YouTube video http://t.co/lAmsdzKCuz Sick Riot Shield Slide Spots!!</t>
  </si>
  <si>
    <t>Utah, USA</t>
  </si>
  <si>
    <t>@ByTorrecilla Torrecilla We Always info the Secret on LoL Game Check the Secret to get 600.000 Riot Points on my Bio</t>
  </si>
  <si>
    <t>Frankfort, KY</t>
  </si>
  <si>
    <t>Transwomen and drag queens of color lead the riot a well known butch lesbian is usually credited for inciting it.</t>
  </si>
  <si>
    <t>@eac4AU You can now PRE-ORDER the film on ITUNES &amp;amp; watch 9/15!! YAY! http://t.co/fVP3Wnid4L http://t.co/bwdhIBtiKs http://t.co/qelROcI7by</t>
  </si>
  <si>
    <t>'Without an ally near you can't use this skill.' How did you get hired? Really cause it's making every Riot staff member look incompetent.</t>
  </si>
  <si>
    <t>In Space</t>
  </si>
  <si>
    <t>Pop quiz! Which do you prefer: feminist revolution or fried ravioliåÊwith porcini and ricotta_x0089_Û_ http://t.co/n6MCPgVWQ2 http://t.co/s8OiNfGXyX</t>
  </si>
  <si>
    <t>To All The Meat-Loving Feminists Of The World Riot Grill Has Arrived http://t.co/SkAAUSjpO4 OliviaMiles01</t>
  </si>
  <si>
    <t>@Trollkrattos Juan Carlos Salvador The Secret Tips to Get 100.000 Riot Points LoL are out now! check the Secret on on my Bio</t>
  </si>
  <si>
    <t>Southeast Dirt Riot Series Crowns Champions:  Southeast Dirt Riot Series Crowns ChampionsBLACKFOOT ID: The So... http://t.co/v9i4PfXO0C</t>
  </si>
  <si>
    <t>@JWalkerLyle Discovered by @NickCannon 
 Listen/Buy @realmandyrain #RIOT on @iTunesMusic @iTunes https://t.co/dehMym5lpk _x0089_Û_ #BlowMandyUp</t>
  </si>
  <si>
    <t>? Cracker - White Riot ? http://t.co/Cc7D0wxk0M #nowplaying</t>
  </si>
  <si>
    <t>Dublin</t>
  </si>
  <si>
    <t>New doco tonight at 9pm Setanta Sports Ireland freeview. The largest police presence at a soccer game in Ireland stop prevent the rioting</t>
  </si>
  <si>
    <t>if they kill off Val I'm rioting #Emmerdale</t>
  </si>
  <si>
    <t>if that would of been a black dude Antioch would be rioting</t>
  </si>
  <si>
    <t>.@runjewels recently met with the @BBC to discuss race relations in America &amp;amp; the benefits of rioting. #LoveIsLove 
https://t.co/6Ce1vwOVHs</t>
  </si>
  <si>
    <t>Vidalia GA</t>
  </si>
  <si>
    <t>@Reuters people like you should be charged after the inevitable rioting for contributing to it with your lies</t>
  </si>
  <si>
    <t>Bellville, Ohio</t>
  </si>
  <si>
    <t>@CloydRivers there were plenty of black people rioting when tOSU won the championship as well.</t>
  </si>
  <si>
    <t>Upstate New York</t>
  </si>
  <si>
    <t>I think Twitter was invented to keep us insomniacs from rioting in the wee small hours.</t>
  </si>
  <si>
    <t>Still rioting in to Gmail...</t>
  </si>
  <si>
    <t>@RyleeDowns02 @nevaehburton33 if I don't get my money by tomorrow rioting ??</t>
  </si>
  <si>
    <t>Chicora ?? Oakland</t>
  </si>
  <si>
    <t>@davidolszak or the rioting in happy valley after penn state loses?</t>
  </si>
  <si>
    <t>heart of darkness, unholy ?</t>
  </si>
  <si>
    <t>@Georgous__ what alternatives? Legal alternatives? Protesting? Rioting may not be the most peaceful thing but it's a demonstration of how</t>
  </si>
  <si>
    <t>http://t.co/jMzcaqyDfa  Cindy Noonan@CindyNoonan-Heartbreak in #Baltimore #Rioting #YAHIstorical #UndergroundRailraod</t>
  </si>
  <si>
    <t>Columbus, Georgia</t>
  </si>
  <si>
    <t>'Refuse to let my life be reduced to rubble. When the shit keeps piling up get a shovel.' @ExpireHC</t>
  </si>
  <si>
    <t>China's Stock Market Crash: Are There Gems In The Rubble?: China_x0089_Ûªs stock market crash this su... http://t.co/KABK3tcJNL ...  via @Forbes</t>
  </si>
  <si>
    <t>'If you go on with this nuclear arms race all you are going to do is make the rubble bounce.' ? Winston Churchill</t>
  </si>
  <si>
    <t>@accionempresa China_x0089_Ûªs stock market crash this summer has sparked interest from bargain hunt... http://t.co/gO0pkrFzMF @gerenciatodos å¨</t>
  </si>
  <si>
    <t>My parents are so impulsive sometimes. I remember coming home to my room filled with dust &amp;amp; rubble just because they wanted it redesigned. ??</t>
  </si>
  <si>
    <t>Turning rubble from disasters into 'Lego' bricks you can build houses with. This one belongs in #crazyideascollege 
http://t.co/dh0s4bUuK7</t>
  </si>
  <si>
    <t>Accra,Ghana</t>
  </si>
  <si>
    <t>#360WiseNews : China's Stock Market Crash: Are There Gems In The Rubble? http://t.co/eaTFro3d5x</t>
  </si>
  <si>
    <t>[FORBES]: China's Stock Market Crash: Are There Gems In The Rubble?: China_x0089_Ûªs stock market crash this summer ha... http://t.co/Q4grDpAjr5</t>
  </si>
  <si>
    <t>China_x0089_Ûªs stock market crash this summer has sparked interest from bargain hunters and bulls betting on a rebound. D_x0089_Û_ http://t.co/1yggZziZ9o</t>
  </si>
  <si>
    <t>China's Stock Market Crash: Are There Gems In The Rubble? http://t.co/3PBFyJx0yA</t>
  </si>
  <si>
    <t>China's Stock Market Crash: Are There Gems In The Rubble? http://t.co/o6oNSjHCsD #tcot #p2 #news</t>
  </si>
  <si>
    <t>Spain - China - Latin America.</t>
  </si>
  <si>
    <t>China's Stock Market Crash: Are There Gems In The Rubble?: China_x0089_Ûªs stock market crash this summer h... http://t.co/pE2R3lN16o by .Forbes</t>
  </si>
  <si>
    <t>Chester, IL</t>
  </si>
  <si>
    <t>I found a diamond in the rubble</t>
  </si>
  <si>
    <t>China's Stock Market Crash: Are There Gems In The Rubble? http://t.co/Ox3qb15LWQ | https://t.co/8u07FoqjzW http://t.co/tg5fQc8zEY</t>
  </si>
  <si>
    <t>New post: 'China's Stock Market Crash: Are There Gems In The Rubble?' http://t.co/6CaDRhIOxp</t>
  </si>
  <si>
    <t>China's Stock Market Crash: Are There Gems In The Rubble?: China_x0089_Ûªs stock market crash this summer has sparked ... http://t.co/2OqSGZqlbz</t>
  </si>
  <si>
    <t>Dallas, Tejas</t>
  </si>
  <si>
    <t>Photo: postapocalypticflimflam: Prodding around the rubble. http://t.co/Bgy4i47j70</t>
  </si>
  <si>
    <t xml:space="preserve">ATLANTA , GEORGIA </t>
  </si>
  <si>
    <t>#360WiseNews : China's Stock Market Crash: Are There Gems In The Rubble? http://t.co/gQskwqZuUl</t>
  </si>
  <si>
    <t>| CA _x0089_Û¢ GA  |</t>
  </si>
  <si>
    <t>@okgabby_ damn suh. don't let that ruin your year bruh. this our year. better start carpooling like we did back in the day</t>
  </si>
  <si>
    <t>If I can't ruin his mood then I may have lost my direction. https://t.co/sLc27EMUgM</t>
  </si>
  <si>
    <t>I ruin everything ????</t>
  </si>
  <si>
    <t>Depok</t>
  </si>
  <si>
    <t>#quote Never let your problems ruin your faith.</t>
  </si>
  <si>
    <t>London / Birmingham</t>
  </si>
  <si>
    <t>Im so anxious though because so many ppl will me watching me meet them and that makes me uncomfortable BUT I CANT LET THAT RUIN THE MOMENT</t>
  </si>
  <si>
    <t>texas</t>
  </si>
  <si>
    <t>smokers that ruin that new car smell ????</t>
  </si>
  <si>
    <t>Yulee, FL</t>
  </si>
  <si>
    <t>@ChrisDyson16 Just wait until your friends at #MTA ruin it #Sorrybutitstrue</t>
  </si>
  <si>
    <t>austin tx</t>
  </si>
  <si>
    <t>i'm really sad about red 7 closing :( yuppies n tourists ruin everything</t>
  </si>
  <si>
    <t>Always gotta ruin my mood</t>
  </si>
  <si>
    <t>I understand you wanting to hang out with your guy friends I'll give you your space but don't ruin my trust with you.</t>
  </si>
  <si>
    <t>Garrett</t>
  </si>
  <si>
    <t>like why on earth would you want anybody to be unhappy don't purposely ruin somebody else's happiness</t>
  </si>
  <si>
    <t>followurDREAMS(&amp; my instagram)</t>
  </si>
  <si>
    <t>fresh out da shower lookss ?? (still loving this new hair does it ruin my brand?) #yes https://t.co/T2Kk8fya77</t>
  </si>
  <si>
    <t>@savannahross_4 see tryna ruin my life</t>
  </si>
  <si>
    <t>sheffield // rotherham</t>
  </si>
  <si>
    <t>well done me! everyone applaud me and how terrific i am and how i never ruin anything</t>
  </si>
  <si>
    <t>How to ruin the holidays in 3 wordk: 'It's a Zmne!'</t>
  </si>
  <si>
    <t>Lima, OH</t>
  </si>
  <si>
    <t>every time I have a really good day someone just has to ruin it</t>
  </si>
  <si>
    <t>Long Beach, CA</t>
  </si>
  <si>
    <t>You wanna ruin a relationship? Just ask 'what are your intentions' and you'll do it</t>
  </si>
  <si>
    <t>Belfast</t>
  </si>
  <si>
    <t>And then I go a ruin it all with something awful... #minions http://t.co/rc6eeJME17</t>
  </si>
  <si>
    <t xml:space="preserve">fujo garbage heaven </t>
  </si>
  <si>
    <t>IT WAS REALLY AWFUL AND I CANT EVEN WORK WITH A MAKE UP ARTIST NOW BECAUSE THEY WILL RUIN THINGS.</t>
  </si>
  <si>
    <t>New York - Connecticut</t>
  </si>
  <si>
    <t>Damn Wale knows how to ruin a song??</t>
  </si>
  <si>
    <t>'Cause you play me like a symphony play me till your fingers bleed. I'm your greatest masterpiece. You ruin me??</t>
  </si>
  <si>
    <t xml:space="preserve">snapchat~ maddzz_babby </t>
  </si>
  <si>
    <t>Why does my family have to ruin something that is actually going good for me??</t>
  </si>
  <si>
    <t>2,360 miles away</t>
  </si>
  <si>
    <t>I hate that Im so awkward and I ruin things</t>
  </si>
  <si>
    <t>Long Road To Ruin - Foo Fighters</t>
  </si>
  <si>
    <t>Why do u ruin everything?  @9tarbox u ruined the sour cream and u put a brick of cheese in the freezer..dummy</t>
  </si>
  <si>
    <t>Don't let a few assholes ruin your night</t>
  </si>
  <si>
    <t>Lol The real issue is the the way the NFL is trying to ruin this guy's legacy. https://t.co/s107ee7CYC</t>
  </si>
  <si>
    <t>Florida Forever</t>
  </si>
  <si>
    <t>RT to ruin @connormidd 's day.  http://t.co/krsy54XMMC</t>
  </si>
  <si>
    <t>Greedy bastards @Fullscreen way to ruin creativity.  CENSORSHIP ON YOUTUBE: https://t.co/nMtlpO4B58</t>
  </si>
  <si>
    <t>#RedSoxNation</t>
  </si>
  <si>
    <t>@JulieChen she shouldn't. Being with them is gonna ruin her game and Vanessa is a great player</t>
  </si>
  <si>
    <t>MNL</t>
  </si>
  <si>
    <t>@clnv_ Yes Yes! I will. I dont wanna ruin my life. Lol</t>
  </si>
  <si>
    <t>youtube.com/channel/UCHWTLC9B4ZjUGh7yDlb55Iw</t>
  </si>
  <si>
    <t>@nbc I wanna see you reboot The Fresh Prince of Bel-Air bring back the original cast and everything &amp;amp; do nothing that will ruin the show.</t>
  </si>
  <si>
    <t>You can only make yourself happy. Fuck those tryna ruin it keep smiling ??</t>
  </si>
  <si>
    <t>CA ??DC</t>
  </si>
  <si>
    <t>there are a few people I'd let ruin my life my soul my cervix my everything. Odell is definitely top of that list.</t>
  </si>
  <si>
    <t>I'll ruin my life if I have to.</t>
  </si>
  <si>
    <t>MÌ©rida, YucatÌÁn</t>
  </si>
  <si>
    <t>babe I'm gonna ruin you if you let me stay</t>
  </si>
  <si>
    <t>Scituate, MA</t>
  </si>
  <si>
    <t>@CTAZtrophe31 Everything must be OK because she's listening to 'Sandstorm' now...</t>
  </si>
  <si>
    <t>@Hienshi @Gbay99 it wouldnt turn into a sandstorm if riot gave a good answer.  Instead they gave dumb excuses. At least new client is there</t>
  </si>
  <si>
    <t>I liked a @YouTube video http://t.co/xR3xJJ8gJB Darude - Sandstorm</t>
  </si>
  <si>
    <t>Who need friends when there's booze and Darude - Sandstorm :D</t>
  </si>
  <si>
    <t>In your head</t>
  </si>
  <si>
    <t>@SunderCR two hours of Sandstorm remixes. All merged together. No between-song silence.</t>
  </si>
  <si>
    <t>PUT SANDSTORM DOWN!!!! https://t.co/EfKCoegJck</t>
  </si>
  <si>
    <t>The Sanctuary Network, Rome</t>
  </si>
  <si>
    <t>@VillicanaAlicia [[Is it Darude Sandstorm?]]</t>
  </si>
  <si>
    <t>Tractor land aka Bristol</t>
  </si>
  <si>
    <t>I can't listen to Darude Sandstorm without expecting airhorns now</t>
  </si>
  <si>
    <t>Now playing: Darude - Sandstorm - radio edit http://t.co/DUdAIrBBPo http://t.co/padosfyXnM</t>
  </si>
  <si>
    <t>I slammed my phone to the ground and then screamed ahahahga</t>
  </si>
  <si>
    <t>Adventuring in Narnia</t>
  </si>
  <si>
    <t>@InfiniteGrace7 I just screamed to the world how much I love My Little Pony ??</t>
  </si>
  <si>
    <t>Update: The police seemed like nice enough people. I felt bad when I transformed and they screamed... Don't worry they're only unconscious.</t>
  </si>
  <si>
    <t>someone's gonna get screamed at for getting the lyrics wrong lmao</t>
  </si>
  <si>
    <t>I JUST SCREAMED SIDJSJDJEKDJSKDJD . I CANT STAND YOU ?? https://t.co/0Vcsafx9bY</t>
  </si>
  <si>
    <t xml:space="preserve">Unite. Bless. Wallahi </t>
  </si>
  <si>
    <t>She screamed when she got the microchip needle. Tbh I would have cried too the needle was massive ya haram</t>
  </si>
  <si>
    <t>I heard the steven universe theme song from upstairs and screamed his name at the part of the song and scared my cousin</t>
  </si>
  <si>
    <t>sneaking glances at Thancred</t>
  </si>
  <si>
    <t>@mogacola @zamtriossu i screamed after hitting tweet</t>
  </si>
  <si>
    <t>ljp/4</t>
  </si>
  <si>
    <t>THE GIRLS NEXT TO ME SCREAMED WHAT THE FUCK IS A CHONCE I'm CRYIBG</t>
  </si>
  <si>
    <t>Charlotte, North Carolina</t>
  </si>
  <si>
    <t>I thought the loudest goal I ever screamed was Higuain's offside goal against Germany</t>
  </si>
  <si>
    <t>I ran with earbuds in which I now realize means I probably didn't politely say hi to Jared but more or less screamed at him ??????</t>
  </si>
  <si>
    <t>I just got screamed at for asking my dad to move half a step so I could get through....</t>
  </si>
  <si>
    <t>Nirvana</t>
  </si>
  <si>
    <t>@CortezEra I dead ass screamed when we signed him I couldn't fucking believe it</t>
  </si>
  <si>
    <t>don't stop believing just came on the radio at this restaurant and a lil white bit screamed 'it's mommys song'</t>
  </si>
  <si>
    <t>ny</t>
  </si>
  <si>
    <t>brooke just face timed me at the concert and just screamed for 2 minutes straight</t>
  </si>
  <si>
    <t>Mentor OH</t>
  </si>
  <si>
    <t>*wants to make tweet about how much I dislike todays femnism movement but doesn't want to be screamed at' http://t.co/R7pVTSdUmA</t>
  </si>
  <si>
    <t>Trumann, Arkansas</t>
  </si>
  <si>
    <t>26 people have screamed right in my ear this week at camp. TWENTY-SIX! And we still have 1/2 day left. #CedarGlade2015</t>
  </si>
  <si>
    <t>18 _x0089_Û¢ CC</t>
  </si>
  <si>
    <t>Some kids going to leadership camp came into my work today asking for the bathroom and my inner ASB kid screamed a lot. I miss camp ??</t>
  </si>
  <si>
    <t>Not because i want to cheat or anything. Just feels good to vent to my twitter without a txt being screamed at lol</t>
  </si>
  <si>
    <t>i'm sorry i'm so wild in 1d shows like in my wwa show niall started singing steal my girl I literally screamed shut the fuck up</t>
  </si>
  <si>
    <t>1D | 5SOS | AG</t>
  </si>
  <si>
    <t>I JUST SCREAMED IN 57 LANGUAGES THIS IS SO GOOD https://t.co/ldjet9tfMk</t>
  </si>
  <si>
    <t>PA.USA</t>
  </si>
  <si>
    <t>I SCREAMED AT THE END OAMSGAJAGAHAHAH IM LAIGHIGN #OTRAMETLIFE  http://t.co/eTkBW1RCrv</t>
  </si>
  <si>
    <t>m3, k, a, d</t>
  </si>
  <si>
    <t>I have never screamed so loud https://t.co/PC3h1NE4G0</t>
  </si>
  <si>
    <t>pissing off antis</t>
  </si>
  <si>
    <t>I SCREAMED 'WHATS A CHONCe' http://t.co/GXYivsWki7</t>
  </si>
  <si>
    <t>'SAN ANTONIOOOOO'</t>
  </si>
  <si>
    <t>@Real_Liam_Payne I SCREAMED AT THE TOP OF MY LUNGS WHEN YOU SAID YOU GUYS WOULD COME BACK TO S.A SO KEEP YOUR PROMISE  #AddTexasToNext1DTour</t>
  </si>
  <si>
    <t>@ThatWitchEm @EmmaChosenOne @JessieNovoaRP @Jessie_Novoa_ @Liana_Novoa why you screamed</t>
  </si>
  <si>
    <t>sisterhood</t>
  </si>
  <si>
    <t>@ArianaGrande I literally walked out of the concert and screamed MY SOUL HAS BEEN BLESSED</t>
  </si>
  <si>
    <t>3000 miles from everyone</t>
  </si>
  <si>
    <t>I just screamed what the fuck is a hond</t>
  </si>
  <si>
    <t>with Doflamingo</t>
  </si>
  <si>
    <t>//kinda screamed &amp;gt;_&amp;lt; https://t.co/MSUY4qTPk9</t>
  </si>
  <si>
    <t>i dont even remember slsp happening i just remember being like wtf and then the lights turned off and everyone screamed for the encore</t>
  </si>
  <si>
    <t>Love waking up to my dad screaming at me ??????</t>
  </si>
  <si>
    <t>If you are quiet enough you can literally hear the phandom screaming at the tyler tweet</t>
  </si>
  <si>
    <t>21, Porto</t>
  </si>
  <si>
    <t>I'M SCREAMING AND FANGIRLING OH MY GOD  https://t.co/WdVQlEWYBs</t>
  </si>
  <si>
    <t>access to njh/5 and cth/4</t>
  </si>
  <si>
    <t>during drag me down last night I was screaming 'shell of a mannequin' instead of 'shell of a man' and I think everyone hated me there</t>
  </si>
  <si>
    <t>*CUE THE JARIANA STANS SCREAMING</t>
  </si>
  <si>
    <t>@BizzleMahomie SCREAMING</t>
  </si>
  <si>
    <t>@camilacabello97 NOW IM INTERNALLY SCREAMING</t>
  </si>
  <si>
    <t xml:space="preserve">Massachusetts </t>
  </si>
  <si>
    <t>@estellasrevenge the first time i went swiming in it i was basically screaming WHY DOES IT SMELL/TASTE SO BAD</t>
  </si>
  <si>
    <t>rio de janeiro | brazil</t>
  </si>
  <si>
    <t>SCREAMING @MariahCarey @ArianaGrande http://t.co/xxZD1nmb1i</t>
  </si>
  <si>
    <t>Lhh silent screaming was mastered  https://t.co/BIexWDlDWC</t>
  </si>
  <si>
    <t>Moore, OK</t>
  </si>
  <si>
    <t>@noahshack he's hot &amp;amp; he can sing I'm screaming??????</t>
  </si>
  <si>
    <t>_x0089_Û¢OlderCandyBloom_x0089_Û¢</t>
  </si>
  <si>
    <t>/ it's fine baby I was screaming at the TV x https://t.co/JwDfPYG3NT</t>
  </si>
  <si>
    <t>Harshness Follows Us a
Better Day
by Sarah C
Racing thoughts with screaming sirens
Pacing back and forth for... http://t.co/ProNtOuo91</t>
  </si>
  <si>
    <t>Justin and Ariana follow</t>
  </si>
  <si>
    <t>MY FAVS I'M SCREAMING SO FUCKING LOUD http://t.co/cP7c1cH0ZU</t>
  </si>
  <si>
    <t>[@blackparavde is my frankie]</t>
  </si>
  <si>
    <t>@tyleroakley IM SCREAMING</t>
  </si>
  <si>
    <t>Daddy Kink Central</t>
  </si>
  <si>
    <t>@Scalpium SCREAMING</t>
  </si>
  <si>
    <t>CAMILA'S DOING A FOLLOW SPREE TONIGHT IM SCREAMING OF HAPPINESS</t>
  </si>
  <si>
    <t>Wakefield, West Yorkshire</t>
  </si>
  <si>
    <t>@stvmlly Sorry for screaming at you and @Safferoonicle from the car I just kinda 'I KNOW THOSE PEOPLE LET'S YELL!' :/</t>
  </si>
  <si>
    <t>Pittsburgh</t>
  </si>
  <si>
    <t>My Dad a screaming coach always gave his vocal chords quite the workout on the field. http://t.co/axVQ80RbYJ #FunnyDadCoach</t>
  </si>
  <si>
    <t>Namjoon's pants</t>
  </si>
  <si>
    <t>'[+54 -9] How do people not know who Kendall Jenner is? She has 6 times the Instagram followers of GD' SCREAMING LMAO</t>
  </si>
  <si>
    <t>Mogadishu, New Jersey</t>
  </si>
  <si>
    <t>@MissDaOh and if she had a screaming baby you would have loved that so much more</t>
  </si>
  <si>
    <t>All around the world</t>
  </si>
  <si>
    <t>@ArianaGrande @justinbieber I'M SCREAMING OMG #IDOLS #22DAYS #WDYM</t>
  </si>
  <si>
    <t xml:space="preserve"> Jariana Town</t>
  </si>
  <si>
    <t>@justinbieber @ArianaGrande Can you hear me screaming !!!!!</t>
  </si>
  <si>
    <t>@KamKasteIIano @BluntedJayt FUCKING SCREAMING !</t>
  </si>
  <si>
    <t>Honeymoon Ì£ve.</t>
  </si>
  <si>
    <t>@ArianaGrande @justinbieber All the loves be screaming at this one ??????</t>
  </si>
  <si>
    <t>Aveiro, Portugal</t>
  </si>
  <si>
    <t>Hey there lonely girl
Did you have to tell your friends
About the way I got you screaming my name?</t>
  </si>
  <si>
    <t>@danisnotonfire if you follow me I will go into town and advertise your youtube channel by screaming and walking around with a sign. Pls??</t>
  </si>
  <si>
    <t>justin &amp; ari follow || tvd</t>
  </si>
  <si>
    <t>@justinbieber @ArianaGrande SCREAMING</t>
  </si>
  <si>
    <t>@blanksocietyx @emmerdale IM SCREAMING HES MY FAVOURITE</t>
  </si>
  <si>
    <t>@justinbieber @ArianaGrande IM SCREAMING</t>
  </si>
  <si>
    <t>9/1/13</t>
  </si>
  <si>
    <t>SCREAMING IN 22 DIFFERENT LANGUAGES http://t.co/rDfaAKKbNJ</t>
  </si>
  <si>
    <t>JDB/LJC/AGB/TW/PLL</t>
  </si>
  <si>
    <t>@justinbieber   I AM SCREAMING HELL YES AHHHH OMG http://t.co/y678XsNvJ6</t>
  </si>
  <si>
    <t>nap queen</t>
  </si>
  <si>
    <t>like little boy you better sit your ass down stop screaming at my mother stop pulling your hair &amp;amp; crying like a 3 year old &amp;amp; grow tf up</t>
  </si>
  <si>
    <t>amsterdayum 120615 062415</t>
  </si>
  <si>
    <t>@ArianaGrande @justinbieber OMGGGG IM SCREAMING</t>
  </si>
  <si>
    <t>lesa * she/her</t>
  </si>
  <si>
    <t>@TromboneTristan OOOOOHSHIT OOOHSHIT SCREAMS hell I LOVE</t>
  </si>
  <si>
    <t>Griffin :3</t>
  </si>
  <si>
    <t>@DaneMillar1 *screams 666*</t>
  </si>
  <si>
    <t>When you on the phone and @Worstoverdose screams 'jaileens caked up on the phone' so everyone looks at you ????????????</t>
  </si>
  <si>
    <t>marvel | books | hp | tmr</t>
  </si>
  <si>
    <t>*screams in 25 different languages*</t>
  </si>
  <si>
    <t>*screams internally*</t>
  </si>
  <si>
    <t>blackfalds.</t>
  </si>
  <si>
    <t>*screams* http://t.co/PU7C4Hhbxj</t>
  </si>
  <si>
    <t>San Juan, Puerto Rico</t>
  </si>
  <si>
    <t>@HimeRuisu I'm going to ram your ass so hard I'll have to shove your face on the pillows to muffle your screams of pain and pleasure~</t>
  </si>
  <si>
    <t>I come downstairs trying to look as normal as possible in front of my mom and Rhiannon screams 'HUNGOVER???? Huh???' Uhmmmm no ????????</t>
  </si>
  <si>
    <t>He hit a tailor fucking made double play and Kay screams he was robbed of a hit.</t>
  </si>
  <si>
    <t>Apparently my face screams 
'Get me emotionally attached and then cheat on me'</t>
  </si>
  <si>
    <t>Freddy Fazbears pizzeria</t>
  </si>
  <si>
    <t>@drag0nking0201 *Screams*don't scare me and its Animatronics</t>
  </si>
  <si>
    <t>Gets on battlefield 3 screams into Mic at cunts</t>
  </si>
  <si>
    <t>BrasÌ_lia</t>
  </si>
  <si>
    <t>~Still echoes of their screams~</t>
  </si>
  <si>
    <t>POFFIN</t>
  </si>
  <si>
    <t>in every bts song jimin screams</t>
  </si>
  <si>
    <t>#Gladiator _x0089_Û¢860_x0089_Û¢757_x0089_Û¢</t>
  </si>
  <si>
    <t>Casually on the phone with Jasmine while she cries and screams about a spider</t>
  </si>
  <si>
    <t>W.I.T.S Academy</t>
  </si>
  <si>
    <t>@RealJaxClone *screams*</t>
  </si>
  <si>
    <t>IS THE UPDATE RLY LIFE NOW IS IT IS It/Screams 
vibrates i cant handle</t>
  </si>
  <si>
    <t>Where ever i please</t>
  </si>
  <si>
    <t>@saku_uchiha_ @Ya_Boi_Luke 
Screams and gets a face full of Saku genitals</t>
  </si>
  <si>
    <t>@heyot6 Im not home. I need to watch. [Screams]</t>
  </si>
  <si>
    <t>In light of recent events all I would like to say is *screams for five years*</t>
  </si>
  <si>
    <t>So @LawsonOfficial just followed me and I cannot contain my screams of joy! #Thankyou! ??????????</t>
  </si>
  <si>
    <t>@4Tiles @ZacB_ my dell tablet screams with win10</t>
  </si>
  <si>
    <t>PLFD cuh..</t>
  </si>
  <si>
    <t>This Looney Tunes-Blake Griffin commercial screams their making a Space Jam 2</t>
  </si>
  <si>
    <t>lost in history</t>
  </si>
  <si>
    <t>SCREAMS. WHERE IS EVERYONE.
oh wait school
ok
im ok</t>
  </si>
  <si>
    <t>Aw man. 'Apollo Crews' just screams 'we can't think of a name for this black guy quick name some and mash them together'</t>
  </si>
  <si>
    <t>@QueenWendy_ go to sleep before someone screams at us??????</t>
  </si>
  <si>
    <t>@wisdc &amp;amp; obama supports  death2USA .. http://t.co/serARcNrbY</t>
  </si>
  <si>
    <t>labyrinthia</t>
  </si>
  <si>
    <t>@harveymaine AAAA ok lemme move to another roomr so no one hears my gay ass screams</t>
  </si>
  <si>
    <t>??+ ... ??+</t>
  </si>
  <si>
    <t>* Screams *</t>
  </si>
  <si>
    <t>SCREAMS AT MY OWN MOTHER http://t.co/gBEpdi0WzT</t>
  </si>
  <si>
    <t>Man is reading a list of famous musicians who oppose nuclear power...wow powerful evidence. They must know a lot about seismic risks....</t>
  </si>
  <si>
    <t>Third rock from the Sun</t>
  </si>
  <si>
    <t>@hebrooon u better learn derivative of formula seismic rather than thinking about things like that or you are a things like that? Haha</t>
  </si>
  <si>
    <t>29% of #oil and #gas organizations have no real-time insight on #cyber threats. See how #EY can help http://t.co/qamgvQAFzc</t>
  </si>
  <si>
    <t>Exploration takes seismic shift in Gabon to Somalia - WorldOil (subscription) http://t.co/kqVEVuutDJ #??????? #Somalia</t>
  </si>
  <si>
    <t>Lakewood, Tennessee</t>
  </si>
  <si>
    <t>'Seismic' Apple TV service to stream 25 channels across all d... http://t.co/zqMtrBKaS0 | https://t.co/YEqq3BZX3g http://t.co/kmVrZaSXY4</t>
  </si>
  <si>
    <t>Smash Manor/Kanto</t>
  </si>
  <si>
    <t>@marek1330 *Zar cringes at the blows but doesn't let Marek go* *He uses Seismic Toss</t>
  </si>
  <si>
    <t>SEISMIC AUDIO SA-15T SA15T Padded Black Speaker COVERS (2) - Qty of 1 = 1 Pair! http://t.co/2jbIbeib9G http://t.co/p5KtaqW5QG</t>
  </si>
  <si>
    <t>ON THE USE OF PERFORATED METAL SHEAR PANEL SFOR SEISMIC-RESISTANT APPLICATIONS http://t.co/cX5OjH2Dr4</t>
  </si>
  <si>
    <t>Thanks Benson &amp;amp; Clegg for the #follow! Check out our #maps at http://t.co/btdjGWeKqx</t>
  </si>
  <si>
    <t>On Thursday at 00:25 we updated our #kml of 2D and 3D #seismic exploration vessels. #offshore #oil http://t.co/btdjGWeKqx</t>
  </si>
  <si>
    <t>Bokaro Steel City, Jharkhand</t>
  </si>
  <si>
    <t>@kakajambori ??
U control the future of india..
Yor Subject: Exploration or seismic Maintenance( Electrical or Mechanical)</t>
  </si>
  <si>
    <t>Hatteras, North Carolina</t>
  </si>
  <si>
    <t>Agency seeks comments on seismic permits http://t.co/9Vd6x4WDOY</t>
  </si>
  <si>
    <t>412 NW 5th Ave. Portland OR</t>
  </si>
  <si>
    <t>Still no plans? Don't worry we got you covered. Plenty of Seismic IPA and Seismic Squeeze Radler to help... http://t.co/A8nMdkd3rV</t>
  </si>
  <si>
    <t>the azure cloud</t>
  </si>
  <si>
    <t>New post from @SeismicSoftware: 3 Major Challenges of Channel Sales Enablement http://t.co/kWMRCEkVTF</t>
  </si>
  <si>
    <t>ENGLAND EAST COAST. Dogger Bank Westward. 1. Seismic survey in progress by M/V Western Regent towing a 8400 metre long cable within area_x0089_Û_</t>
  </si>
  <si>
    <t>The Art World's Seismic Shift Back to the Oddball - Observer http://t.co/W0xR5gP8cW</t>
  </si>
  <si>
    <t xml:space="preserve">Unknown </t>
  </si>
  <si>
    <t>Sinkhole Selfies: You Wont Believe What's In The Brooklyn Sinkhole!: 
        Sinkhole Selfies: You Wont Belie... http://t.co/A3b5n3rcr5</t>
  </si>
  <si>
    <t>Atlanta(ish), GA</t>
  </si>
  <si>
    <t>Talk on GOZ is fantastic. Most interesting fact so far is that they manually bought all the .ru domains to sinkhole rather than seek co-op.</t>
  </si>
  <si>
    <t>nothing surprises me anymore and i am sure there is more to come... http://t.co/zdpvQmEezS</t>
  </si>
  <si>
    <t>@Azimel 'Screaming Mad Scientist deceased after tumbling over heels and falling into sinkhole during investigation'</t>
  </si>
  <si>
    <t>White Plains, NY</t>
  </si>
  <si>
    <t>I've been trying to write a theological short story about a monster living in a sinkhole. Then I heard about Brooklyn. #accidentalprophecy</t>
  </si>
  <si>
    <t>Sinkhole Selfies: You Wont Believe What's In The Brooklyn Sinkhole! http://t.co/3gLYOyf6Oc</t>
  </si>
  <si>
    <t>B&amp;B near Alton Towers</t>
  </si>
  <si>
    <t>@MoorlandsChmbr Loads of stuff going on recently. See the blog at http://t.co/XVcO7sLxhW #sinkhole #piling http://t.co/jbVmGeg522</t>
  </si>
  <si>
    <t>i could die by falling in a sinkhole and i'd still be blamed for it</t>
  </si>
  <si>
    <t>Hinterestland</t>
  </si>
  <si>
    <t>Sinkhole Selfies: You Wont Believe What's In The Brooklyn Sinkhole!: 
        Sinkhole Sel... http://t.co/OYY9MGW7HN @hinterestin #funny</t>
  </si>
  <si>
    <t>Greenpoint</t>
  </si>
  <si>
    <t>@DavidCovucci We can't because a sinkhole swallowed every taco place in the neighborhood</t>
  </si>
  <si>
    <t>ÌÏT: 42.910975,-78.865828</t>
  </si>
  <si>
    <t>Does that sewer look like it's sinking to you? Is this what happens pre-sinkhole???? and I'm going insane http://t.co/heIekfcHdM</t>
  </si>
  <si>
    <t>A random hole just broke out in the street ?? http://t.co/dWU8QqYs0v</t>
  </si>
  <si>
    <t>Cypress, CA 90630</t>
  </si>
  <si>
    <t>Do you feel like you are sinking in low self-image? Take the quiz: http://t.co/JvjALYg2n1 http://t.co/qXMWELJbc0</t>
  </si>
  <si>
    <t>Do you feel like you are sinking in unhappiness? Take the quiz: http://t.co/OrJb3j803F http://t.co/MWdHXYfrag</t>
  </si>
  <si>
    <t>With a sinking music video tv career Brooke Hogan should be THANKING her Dad for the free publicity...although I doubt it will help her.</t>
  </si>
  <si>
    <t>@supernovalester I feel so bad for them. I can literally feel that feeling of your heart sinking bc you didn't get anyone ugh jfc</t>
  </si>
  <si>
    <t>North East Unsigned Radio</t>
  </si>
  <si>
    <t>#nowplaying Sinking Fast - Now or Never on North East Unsigned Radio listen at http://t.co/QymAlttvZp</t>
  </si>
  <si>
    <t>Nigga car sinking but he snapping it up for fox 13. #priorities http://t.co/9StLKH59Fb</t>
  </si>
  <si>
    <t>@abandonedpics You should delete this one it's not an abbandoned nor sinking. That_x0089_Ûªs the darsena of the Castello scaligero di Sirmione.</t>
  </si>
  <si>
    <t>Currency transgress before payday-prison ward sinking-fund payment unsecured loan: jBUmZQpK</t>
  </si>
  <si>
    <t>?that horrible sinking feeling when you_x0089_Ûªve been at home on your phone for a while and you realise its been on 3G this whole time</t>
  </si>
  <si>
    <t>If you're lost and alone or you're sinking like a stone carry onnnn</t>
  </si>
  <si>
    <t>Fountain Valley, CA</t>
  </si>
  <si>
    <t>Lying Clinton sinking! Donald Trump singing: Let's Make America Great Again! https://t.co/zv60cHjclF</t>
  </si>
  <si>
    <t>We walk the plank of a sinking ship</t>
  </si>
  <si>
    <t>The Sinking Ship (@sinkingshipindy): Scarlet Lane Lenore  is on replacing Stone Saison (@StoneBrewingCo)</t>
  </si>
  <si>
    <t>In the movie 'Titanic' Jack and Rose both could have stayed on the wooden beam without it sinking.</t>
  </si>
  <si>
    <t>_x0089_Û¢_x0089_Û¢If your lost &amp;amp; alone or your sinking like a stone carry onå¡å¡</t>
  </si>
  <si>
    <t>If there's a chance will get a gander of the sinking ship that is #TNA too. Can't help but appease my morbid curiosity. #DestinationIMPACT</t>
  </si>
  <si>
    <t>So happy to be exercised of the demon of @ATT. Price kept rising service kept sinking. #goodbye</t>
  </si>
  <si>
    <t>Haarlem</t>
  </si>
  <si>
    <t>INVESTMENT NEWS Keurig Green Mountain Inc. Third-Quarter Earnings: Shares Sinking After-Hours - Stocks in the New_x0089_Û_ http://t.co/GtdNW1SpVi</t>
  </si>
  <si>
    <t>@WCCORosen did Lloyds of London insure your bet with @CoryCove #sinking #twins</t>
  </si>
  <si>
    <t>Queensland</t>
  </si>
  <si>
    <t>Sinking the Slipper or Putting the Boot In http://t.co/b1bx0ERuep</t>
  </si>
  <si>
    <t>HOMRA.</t>
  </si>
  <si>
    <t>In your eyes I see the hope
I once knew.
I'm sinking.
I'm sinking
away from you.
Don't turn around
you'll see...
You can make it.</t>
  </si>
  <si>
    <t>That horrible sinking feeling when you_x0089_Ûªve been at home on your phone for a while and you realise its been on 3G this whole time.</t>
  </si>
  <si>
    <t>Ciudad AutÌ_noma de Buenos Aires, Argentina</t>
  </si>
  <si>
    <t>'I'm sinking down in the darkest dream so deep so cold this pain inside of me my love for you is more dan I can bear' Jota Esse??</t>
  </si>
  <si>
    <t>Sinking carb consultative assembly plans could subconscious self live straight a leading way of escape: XkDrx</t>
  </si>
  <si>
    <t>Not where I want to be, yet</t>
  </si>
  <si>
    <t>This is Lara she likes sinking her teeth into my flesh and clawing my arms ?????? http://t.co/J43NWkX0X3</t>
  </si>
  <si>
    <t>Spent too many hours sinking into the wonderfully created worlds of Mafia and Mafia II in my life. Excited for another installment.</t>
  </si>
  <si>
    <t>Duval, WV 25573, USA ?</t>
  </si>
  <si>
    <t>Do you feel like you are sinking in unhappiness? Take the quiz: http://t.co/BTjPEO0Bto http://t.co/ClyJ32L333</t>
  </si>
  <si>
    <t>ITS JUST NOW SINKING IN THIS IS THE LAST EPISODE MY HEART HURTS SO BAD</t>
  </si>
  <si>
    <t>Slowly sinking wasting ?? @edsheeran</t>
  </si>
  <si>
    <t>hey Georgia</t>
  </si>
  <si>
    <t>each time we try we always end up sinking</t>
  </si>
  <si>
    <t>Do you feel like you are sinking in unhappiness? Take the quiz: http://t.co/t0c1F2lEdv http://t.co/u0MeXO4Uhh</t>
  </si>
  <si>
    <t>nc</t>
  </si>
  <si>
    <t>I just made a weird high pitched noise and then I heard a siren ofnsixjks ??????</t>
  </si>
  <si>
    <t>Today is Corii Siren's birthday! Spoil her now: http://t.co/l3GizRUCy4 #wishlist http://t.co/HgEDwxTDJN</t>
  </si>
  <si>
    <t>kenya</t>
  </si>
  <si>
    <t>'@Ma3Route: Haha jam imeshika hapa garden city mats bumper to bumper with AAR ambulance.we decide to chill via @BonnieG434' piga siren kijan</t>
  </si>
  <si>
    <t>My subconscious</t>
  </si>
  <si>
    <t>@stacedemon oh shit!</t>
  </si>
  <si>
    <t>Big Love @IbeyiOfficial https://t.co/OlnK1TI1NM</t>
  </si>
  <si>
    <t>Lol '@j2bone: *cousin ' @Foxy__Siren: Coursing* '@WEYREY_gidi: Now they are causing Di Maria.. LOL''</t>
  </si>
  <si>
    <t>What. The. Fuck. https://t.co/Nv7rK63Pgc</t>
  </si>
  <si>
    <t>UAE,Sharjah/ AbuDhabi</t>
  </si>
  <si>
    <t>I'm more into the healing/reviving side of the game rather than better attacking so for now Siren &amp;gt; all other characters (except new girl).</t>
  </si>
  <si>
    <t>A demoness with the voice of an angel. Like a siren's call beckoning me to the void. Don't ?? on this_x0089_Û_ https://t.co/nPS3xpBKaQ</t>
  </si>
  <si>
    <t>WHELEN MODEL 295SS-100 SIREN AMPLIFIER POLICE EMERGENCY VEHICLE - Full read by eBay http://t.co/A5iwUS8EVQ http://t.co/gI82N2JuWn</t>
  </si>
  <si>
    <t>The Web</t>
  </si>
  <si>
    <t>http://t.co/a0v1ybySOD Its the best time of day!! åÊ @Siren_Voice is #liveonstreamate!</t>
  </si>
  <si>
    <t>Paris.</t>
  </si>
  <si>
    <t>? #nowplaying SONG TO THE SIREN - JOHN FRUSCIANTE (2009) http://t.co/00cY9vXEFF</t>
  </si>
  <si>
    <t>Am International</t>
  </si>
  <si>
    <t>So when r u getting married'@Foxy__Siren: Oh finally Jennifer Aniston got married??????... I'm so happy for her ??????'</t>
  </si>
  <si>
    <t>Team Slytherin</t>
  </si>
  <si>
    <t>Super sweet and beautiful :) https://t.co/TUi9uwBvVp</t>
  </si>
  <si>
    <t>Michel Delving.</t>
  </si>
  <si>
    <t>Apparently they're going to have a WW2 siren to announce something. Not sure if that's fun or dull bc the WW2 siren is a v monotonous sound.</t>
  </si>
  <si>
    <t>Internet firms to be subject to new cybersecurity rules in EU... http://t.co/lafTJ2GyLY</t>
  </si>
  <si>
    <t>???  Dreamz</t>
  </si>
  <si>
    <t>I don't think I've forgiven Angelina Jolie yet sef????</t>
  </si>
  <si>
    <t>Coursing* '@WEYREY_gidi: Now they are causing Di Maria.. LOL'</t>
  </si>
  <si>
    <t>I added a video to a @YouTube playlist http://t.co/612BsbVw8K siren 1 gameplay/walkthrough part 1</t>
  </si>
  <si>
    <t>texasss</t>
  </si>
  <si>
    <t>@optich3cz #askH3cz i'm jealous now. Bc i wanted a elgato hd for my bday so i can record videos but i didnt have the money for it.</t>
  </si>
  <si>
    <t>Diamondville</t>
  </si>
  <si>
    <t>Look at them'@Ayhoka_: Co happy bn too long'@Foxy__Siren: Oh finally Jennifer Aniston got married??????... I'm so happy for her ??????''</t>
  </si>
  <si>
    <t>@EnvySeven My beautiful Aquarius queenmy Siren of the cliffs and pretenses of overtures.Please sing this phantom songfor you alone shall</t>
  </si>
  <si>
    <t>Pharma overloaded with a loud cry like an emergency siren. 
...fucking.</t>
  </si>
  <si>
    <t>The TARDIS</t>
  </si>
  <si>
    <t>@Siren_Song21 my pc account got hacked. Someone tried to pull out over 1200 bucks which wasn't there Now I have an nsf &amp;amp; no idea who or why</t>
  </si>
  <si>
    <t>Don't argue cheap now. You're better than that. ??</t>
  </si>
  <si>
    <t>Can you save
Can you save my
Can you save my heavydirtysoul?</t>
  </si>
  <si>
    <t>Siren Test complete :: The test has concluded</t>
  </si>
  <si>
    <t xml:space="preserve">Honolulu,Hawaii </t>
  </si>
  <si>
    <t>Serephina the Siren &amp;lt;3 http://t.co/k6UEtsnLHT</t>
  </si>
  <si>
    <t>@LA_Siren Thanks for joining the foot. @VVorm</t>
  </si>
  <si>
    <t>Outdoor Siren Test 2pm :: The FGCU Siren will be tested at 2pm today. Another message will be sent when the test is concluded.</t>
  </si>
  <si>
    <t>I hate this damn Milwaukee IndyFest. All the cars sound like a really long tornado siren going off and it woke me up from my nap</t>
  </si>
  <si>
    <t>Any new games coming soon @BreachGamingORG ?</t>
  </si>
  <si>
    <t>The American Wasteland (MV)</t>
  </si>
  <si>
    <t>@FEVWarrior -with the screeching siren accompanying it just before he walked out.</t>
  </si>
  <si>
    <t>This cop seriously just turned on their siren to get through traffic and turned it right back off like wtf</t>
  </si>
  <si>
    <t>high way 99</t>
  </si>
  <si>
    <t>u know the music good when you hear the siren and you get chills</t>
  </si>
  <si>
    <t xml:space="preserve">Canada Eh! </t>
  </si>
  <si>
    <t>@RAYCHIELOVESU On the block we hear sirens&amp;amp; stories of kids getting Lemonade only to see their life get minute made. we talking semi paid</t>
  </si>
  <si>
    <t>Ohio</t>
  </si>
  <si>
    <t>A segment of the V/H/S anthology series is getting the feature film treatment:... http://t.co/LqJMuAxJUU</t>
  </si>
  <si>
    <t>828??864??803</t>
  </si>
  <si>
    <t>@_DANGdaddy the sirens are telling you to get ready to TURN UP???????? http://t.co/qAQqrJv9gU</t>
  </si>
  <si>
    <t>Nomad, USA</t>
  </si>
  <si>
    <t>Fuck Sleeping With Sirens.</t>
  </si>
  <si>
    <t>Greater Los Angeles Bearia</t>
  </si>
  <si>
    <t>Rappers stop sampling police sirens and start sampling whale song.????</t>
  </si>
  <si>
    <t>Yay for sirens</t>
  </si>
  <si>
    <t xml:space="preserve">victoria mozÌ£o </t>
  </si>
  <si>
    <t>To ouvindo sleeping with sirens awn</t>
  </si>
  <si>
    <t>#SirensIcebreaker What is one fantasy work about a diverse heroine that you think everyone should read? https://t.co/HplJUr0OBo</t>
  </si>
  <si>
    <t>'I know a dill pickle when I taste one' -me</t>
  </si>
  <si>
    <t>Marketforce Perth named winner of Sirens round 2 for 'iiNet NBN Buffering Cat Shark' radio spot http://t.co/GGPERGLVKi</t>
  </si>
  <si>
    <t xml:space="preserve">miami x dallas </t>
  </si>
  <si>
    <t>Lets Goooooooo http://t.co/fZ5eW4iHmB</t>
  </si>
  <si>
    <t>Hamburg, DE</t>
  </si>
  <si>
    <t>A new favorite: Midfield General  Disco Sirens House Edm Version Soni Soner by @sonisoner https://t.co/DEvffPTCVj on #SoundCloud</t>
  </si>
  <si>
    <t>@iK4LEN Sirens was cancelled.</t>
  </si>
  <si>
    <t>Decatur, GA</t>
  </si>
  <si>
    <t>'If you looking for my niggas you can follow the sirens.' ????</t>
  </si>
  <si>
    <t>Los Angles, CA</t>
  </si>
  <si>
    <t>What's going on in Hollywood? #abc7eyewitness @ABC7 helicopters and sirens. #HometownGlory</t>
  </si>
  <si>
    <t xml:space="preserve">Crato - CE </t>
  </si>
  <si>
    <t>Gostei de um vÌ_deo @YouTube de @christinartnd http://t.co/bwe9kJCEPt Sleeping with Sirens Postcards and Polaroids acoustic cover</t>
  </si>
  <si>
    <t>A Rocket To The Moon  ? Sleeping With Sirens ?A Rocket To The Moon ????????????</t>
  </si>
  <si>
    <t>Marketforce_x0089_Ûªs _x0089_ÛÏCat Shark_x0089_Û_x009d_ wins Sirens round two http://t.co/6F9aFQL6WP #radio #news</t>
  </si>
  <si>
    <t>I added a video to a @YouTube playlist http://t.co/f2TqMFh1Yb Cher Lloyd - Sirens</t>
  </si>
  <si>
    <t>sleeping with sirens vai vir pra sp</t>
  </si>
  <si>
    <t>Ventura, Ca</t>
  </si>
  <si>
    <t>Kyle is one of the last people I would expect to like Sleeping with Sirens.</t>
  </si>
  <si>
    <t>It's 'Run From Sirens' by 'Half Hour Hotel' @halfhourhotel @Edgarsgift. 'Premium Promotion' OFFER http://t.co/zRN30A78ir</t>
  </si>
  <si>
    <t>What's wrong with just a lil smoke and good conversation ????</t>
  </si>
  <si>
    <t>@LifeAintFairKid if I did I'd smoke you up brooo!</t>
  </si>
  <si>
    <t>I barely smoke with people i solo all my blunts</t>
  </si>
  <si>
    <t>smoke whatever you got</t>
  </si>
  <si>
    <t>MedellÌ_n, Antioquia</t>
  </si>
  <si>
    <t>Smoke the Weed - Snoop Lion Ft. Collie Buddz</t>
  </si>
  <si>
    <t>And all you girls that smoke.... have you notice that you started to lose ALOT OF WEIGHT ??? HMMM Don't know body want no thin girl tf</t>
  </si>
  <si>
    <t>Smoke with me baby and lay with me baby and laugh with me baby I just want the simple things</t>
  </si>
  <si>
    <t>IM GONNA GET NAKED AND SMOKE MY CIGARETTE someone call me radneck or is it just too hot in here</t>
  </si>
  <si>
    <t xml:space="preserve">BrowardCounty // Florida </t>
  </si>
  <si>
    <t>SMOKE ALOT OF WEED LIKE FUCK KIDNEYS PUT A DUTCH IN ME</t>
  </si>
  <si>
    <t>@SidelineSavage what like a pipe made of peanut butter or a pipe you can smoke peanut butter out of?</t>
  </si>
  <si>
    <t>I want to smoke ??</t>
  </si>
  <si>
    <t>In 2014 I will only smoke crqck if I becyme a mayor. This includes Foursquare.</t>
  </si>
  <si>
    <t>when you burp and smoke comes out</t>
  </si>
  <si>
    <t>if you're dating someone who doesn't let you smoke leave them and date someone who also smokes. trust me. ??</t>
  </si>
  <si>
    <t>Soufside</t>
  </si>
  <si>
    <t>niggas selling weed just so they can smoke &amp;amp; stay high.  YALL NIGGA IN THE WAY..</t>
  </si>
  <si>
    <t>I wanna drink a little  smoke a little</t>
  </si>
  <si>
    <t>Smoke ave streets hottest youngins</t>
  </si>
  <si>
    <t>[55436] 1950 LIONEL TRAINS SMOKE LOCOMOTIVES WITH MAGNE-TRACTION INSTRUCTIONS http://t.co/xEZBs3sq0y http://t.co/C2x0QoKGlY</t>
  </si>
  <si>
    <t>@Sammysosita smoke a blunt &amp;amp; get through it.. no more ciggs for you.</t>
  </si>
  <si>
    <t xml:space="preserve">WORLDWI$E </t>
  </si>
  <si>
    <t>I smoke toooooo much lmao I was scared to text this number bck but now it all makes sense lol</t>
  </si>
  <si>
    <t>atlanta</t>
  </si>
  <si>
    <t>@TheTshirtKid I'm tryna smoke that MF out</t>
  </si>
  <si>
    <t>Be Trynna smoke TJ out but he a hoe</t>
  </si>
  <si>
    <t>3.28.15|7.20.15|7.25.15</t>
  </si>
  <si>
    <t>So does Austin smoke too since he agreed to that name or what? _x0089_ÛÓ Lol no http://t.co/UmZKC9AzWd</t>
  </si>
  <si>
    <t>cigarknub@gmail.com</t>
  </si>
  <si>
    <t>Smoke it all http://t.co/79upYdCeMp</t>
  </si>
  <si>
    <t>If you wanna smoke cigs that's your own problem but when your breath smells like an old ash tray.. that's fucking disgusting</t>
  </si>
  <si>
    <t xml:space="preserve">PSA Nursing </t>
  </si>
  <si>
    <t>@bre_morrow neither of them even smoke so I dk what was going on lol</t>
  </si>
  <si>
    <t>Narnia, Maryland</t>
  </si>
  <si>
    <t>Smoke eat sleep</t>
  </si>
  <si>
    <t>I miss Josie cause I wanna smoke splifs and go to taco bell ??</t>
  </si>
  <si>
    <t>Winnipeg, MB, Canada</t>
  </si>
  <si>
    <t>Mental/Twitter Note: Make sure my smoke alarm battery is up to snuff at all times or face many twitter reminders of changing my battery.</t>
  </si>
  <si>
    <t>@TeamAtoWinner no.. i mean when is mino said that he doesn't smoke? u mention it before.. :))</t>
  </si>
  <si>
    <t>Bronx, NY</t>
  </si>
  <si>
    <t>I just wanna smoke some weed and get some commas</t>
  </si>
  <si>
    <t>'Snowstorm' 36'x36' oil on canvas (2009) http://t.co/RCZAlRU05o #art #painting</t>
  </si>
  <si>
    <t>Hi yall this poem is called is the one about the snowstorm when we meet in space and that one time it rained. Thx. Ur watching disney chann</t>
  </si>
  <si>
    <t>For some reason knocking on someone's door at 3am in a snowstorm while wearing footed pajamas is not the best way to get into their bathroom</t>
  </si>
  <si>
    <t>Huntington, WV</t>
  </si>
  <si>
    <t>sorry-I built a fire by my desk already. RT@irishirr
@MChapmanWSAZ @WSAZ_Brittany @kellyannwx ..please maintain that snowstorm til I arrive.</t>
  </si>
  <si>
    <t>@Groupon_UK it won't let me as you don't follow me</t>
  </si>
  <si>
    <t>Louisiana, USA</t>
  </si>
  <si>
    <t>you're the snowstorm I'm purified. the darkest fairy tale in the pale moonlight.</t>
  </si>
  <si>
    <t>Mini Lalaloopsy Dolls Seed Sunburst June Seashore Sweater Snowstorm Autumn Spice - Full re_x0089_Û_ http://t.co/nyty7fCQo6 http://t.co/hyypsPN0yQ</t>
  </si>
  <si>
    <t>Sassy city girl country hunk stranded in Smoky Mountain snowstorm #AoMS http://t.co/ZDJ2hyF6RO #ibooklove #bookboost</t>
  </si>
  <si>
    <t>Can you list 5 reasons why a London #TubeStrike is better than a Snowstorm? Read here... http://t.co/PNaQXPrweg</t>
  </si>
  <si>
    <t>Deployed in the Middle East</t>
  </si>
  <si>
    <t>@CacheAdvance besides your nasty thunderstorm or snowstorm nah. Can't say that I have.</t>
  </si>
  <si>
    <t>'Cooler than Freddie Jackson sippin' a milkshake in a snowstorm'</t>
  </si>
  <si>
    <t>teh internets</t>
  </si>
  <si>
    <t>Picking up a man in a bar is like a snowstorm you never know when he's coming how many inches you'll get or how long'll he'll stay.</t>
  </si>
  <si>
    <t>Neath, South Wales</t>
  </si>
  <si>
    <t>#NowPlaying Last Smoke Before The Snowstorm by Benjamin Francis Leftwich - hopefully new album coming soon :) ? http://t.co/5kjy8G0i4y</t>
  </si>
  <si>
    <t>Mountains</t>
  </si>
  <si>
    <t>New #photo Oak in a snowstorm http://t.co/JhSCGDA2G8 on the #SouthDowns #Hampshire #Winter #photography #art #tree #treescape #treeporn</t>
  </si>
  <si>
    <t xml:space="preserve">Mpela'zwe </t>
  </si>
  <si>
    <t>LRT refer to the lyrics to hear Big Boi explain why he_x0089_Ûªs as cool as _x0089_ÛÏsippin_x0089_Ûª a milkshake in a snowstorm' lame bars but effective at the time</t>
  </si>
  <si>
    <t>Snowstorm planned outside #Rome's St Mary Major tonight - annual occasion artificial snow remembering summer snow in 358 AD on same spot.</t>
  </si>
  <si>
    <t>FINALLY a storm</t>
  </si>
  <si>
    <t>#gamefeed Warcraft 3-Inspired Mode Likely Hitting Heroes of the Storm: Let's go back to the beginning. http://t.co/gx1kZ3C2Tc #VideoGame</t>
  </si>
  <si>
    <t>omfg.... I just woke up again....</t>
  </si>
  <si>
    <t>New on Ebay UK Star Wars Storm Trooper Pop! Vinyl Bobble Head Figure POP Funko http://t.co/KJbXIeypma http://t.co/ENPjCfMa8L</t>
  </si>
  <si>
    <t>nor*cal</t>
  </si>
  <si>
    <t>RT @tonyhsieh: 'The person who dances with you in the rain will most likely walk with you in the storm.' -Anonymous</t>
  </si>
  <si>
    <t>The Secrets Of The Storm Vortex The Lightning Catcher Book _x0089_Û_ : http://t.co/OIyWrzL79Z .</t>
  </si>
  <si>
    <t>philly</t>
  </si>
  <si>
    <t>It's okay I welcome the rain. 
Gave you all the storm that you could weather.</t>
  </si>
  <si>
    <t>Nike Golf Storm Fit Golf Jacket Black Medium http://t.co/jvAI5Vkmsy: #SportingGoods http://t.co/Nr8JjmpmoS</t>
  </si>
  <si>
    <t>Mackem in Bolton</t>
  </si>
  <si>
    <t>Every time I buy a bag for life I think I've got 3 days left to live.</t>
  </si>
  <si>
    <t>New item: Pillow Covers ANY SIZE Pillow Cover Grey Pillow Pillows Premier Prints Lulu Storm Grey by MyPillowStudio _x0089_Û_ http://t.co/M4pqkKeEVC</t>
  </si>
  <si>
    <t>Johns Creek, GA</t>
  </si>
  <si>
    <t>this storm????</t>
  </si>
  <si>
    <t xml:space="preserve"> New Delhi </t>
  </si>
  <si>
    <t>@johngreen storm and silence by @RobThier_EN</t>
  </si>
  <si>
    <t>A Warcraft 3-inspired mode is likely coming to Heroes of the Storm http://t.co/wz55NBYAO3 http://t.co/L7pMDmeJs1 http://t.co/mDP2nI1pQU</t>
  </si>
  <si>
    <t>#BossNation!</t>
  </si>
  <si>
    <t>Finna storm. Fuck my back boutta start hurting like a mf ??????</t>
  </si>
  <si>
    <t>NC || OR</t>
  </si>
  <si>
    <t>ice cream + cupcake wars + storm = content sara</t>
  </si>
  <si>
    <t>#PhanTrash</t>
  </si>
  <si>
    <t>The sky's clear the storm has passed but it's still raining in my head</t>
  </si>
  <si>
    <t>Desert Storm?? |BCHS|</t>
  </si>
  <si>
    <t>Happy birthday @lesley_mariiee ?? I miss you so much &amp;amp; i hope you have a great birthday!!????</t>
  </si>
  <si>
    <t>CamaquÌ£/Pelotas</t>
  </si>
  <si>
    <t>Somebody get the doctor I'm feelin' pretty poor. Somebody get the stretcher
before I hit the floor</t>
  </si>
  <si>
    <t>@Coach_Keith44 @HannoMottola @TRPreston01 @mlrydalch no but a stretcher would have been nice.</t>
  </si>
  <si>
    <t>Free Ebay Sniping RT? http://t.co/B231Ul1O1K Lumbar Extender Back Stretcher Excellent Condition!! ?Please Favorite &amp;amp; Share</t>
  </si>
  <si>
    <t>Taylor Swift</t>
  </si>
  <si>
    <t>@Stretcher @invalid @Grazed @Rexyy @Towel I see the programme (:</t>
  </si>
  <si>
    <t>Dan Hughes was taken off on a stretcher after Danielle Robinson collided @OU_WBBall hope they are both ok he called SOME  games over years</t>
  </si>
  <si>
    <t>FERNO would appreciate if everyone in EMS could dust off their engineering degree &amp;amp; inspect all stretcher components. http://t.co/GTEd6LDwho</t>
  </si>
  <si>
    <t>Austin/Los Angeles</t>
  </si>
  <si>
    <t>Stretcher brought out for Vampiro. Cut to commercial isn't a good sign. #UltimaLucha #LuchaUnderground</t>
  </si>
  <si>
    <t>How to restore vinyl siding and make it look new again http://t.co/MHL7Pfr7kb http://t.co/lou8lbLA1f</t>
  </si>
  <si>
    <t>@Stretcher @Rexyy @invalid @Towel let's have babies??!</t>
  </si>
  <si>
    <t>U.S.A and Canada</t>
  </si>
  <si>
    <t>organic natural horn stretcher expander earrings body jewelry with painting in tribal ... http://t.co/NvZdilRfgj http://t.co/u9Cd0txE7Z</t>
  </si>
  <si>
    <t>In a crazy genius mind</t>
  </si>
  <si>
    <t>NO WAYS!!! A video for 'Stretcher'?!  @Ofentse_Tsie</t>
  </si>
  <si>
    <t>hatena bookmark</t>
  </si>
  <si>
    <t>*New!* Stretcher in 5 min https://t.co/q5MDsNbCMh (by FUJIWARA Shunichiro 2015-08-05) [Technology]</t>
  </si>
  <si>
    <t>@PLlolz @Grazed @Stretcher @invalid @witter @Towel still a lot</t>
  </si>
  <si>
    <t>How to Freeze Fruits and Veggies
http://t.co/MET0mtpr3S</t>
  </si>
  <si>
    <t>Homemade frozen yogurt pops? Have you had luck making them? http://t.co/YzaZF4CEOa http://t.co/X5RC5Nuamh</t>
  </si>
  <si>
    <t>The '1pack 2pack 3pack' line is on fleek if Stretcher is fire.</t>
  </si>
  <si>
    <t>Sweater Stretcher http://t.co/naTz5iPV1x http://t.co/leaEBy6cR2</t>
  </si>
  <si>
    <t>Docker container</t>
  </si>
  <si>
    <t>_x0089_ÛÏStretcher in 5 min // Speaker Deck_x0089_Û_x009d_ http://t.co/fBLNiFda1C</t>
  </si>
  <si>
    <t>@invalid @Grazed @Towel @Stretcher @PLlolz @witter I can't stop</t>
  </si>
  <si>
    <t>I should have known better than to think I'd get anything done after a 2 hour capoeira class. Stretcher-bearer!</t>
  </si>
  <si>
    <t>@Grazed @invalid @Stretcher @Rexyy @Towel 'Ben favorited'</t>
  </si>
  <si>
    <t>DMV</t>
  </si>
  <si>
    <t>He's being put on a stretcher ?? don't want to see that.</t>
  </si>
  <si>
    <t xml:space="preserve">philly </t>
  </si>
  <si>
    <t>Lately I been stressing make me wanna put a fuck nigga on a stretcher!</t>
  </si>
  <si>
    <t>south africa eastern cape</t>
  </si>
  <si>
    <t>Mxaaaa South Africans Just Can't Appreciate Effort #Stretcher Was Not That Bad  Stop Hating</t>
  </si>
  <si>
    <t>Stretcher in 5 min // Speaker Deck http://t.co/0YO2l38OZr</t>
  </si>
  <si>
    <t>Lately I've been under pressure make me wanna put a fuck niqqa on a stretcher</t>
  </si>
  <si>
    <t>Stretcher-bearers were soldiers whose job was to follow behind the advance and bring the wounded back into their... http://t.co/yeRcT4J244</t>
  </si>
  <si>
    <t>How to restore vinyl siding and make it look new again http://t.co/rDxzsL5EAC http://t.co/QwijRRiYIf</t>
  </si>
  <si>
    <t>@DareToTaha nah but thinking of getting a stretcher in my foreskin what u think?</t>
  </si>
  <si>
    <t>3???2???????</t>
  </si>
  <si>
    <t>_x0089_ÛÏStretcher in 5 min // Speaker Deck_x0089_Û_x009d_ http://t.co/7qPG80uD7v</t>
  </si>
  <si>
    <t>@lizbon @KidicalMassDC It's more of a structural breakdown. Or maybe a patience failure on their part.</t>
  </si>
  <si>
    <t>Rightways: Building structural integrity &amp;amp; failure: problems inspections  repair http://t.co/vz1irH0Nmm via @rightwaystan</t>
  </si>
  <si>
    <t>@SirTitan45  Mega mood swing on a 24 hr schedule. Isn't that how structural failure occurs?</t>
  </si>
  <si>
    <t>3. excessive engine failure rate significant maintenance constantly emerging structural defects. Phew that's a lot I say.</t>
  </si>
  <si>
    <t>[CLIP] Top-down coercion - The structural weakness ensuring government failure http://t.co/gNORIjnSVa</t>
  </si>
  <si>
    <t>Halton Region</t>
  </si>
  <si>
    <t>We offer #preventative services such as cabling and bracing to stop structural failure of your trees. Call 905-877-8591 to book yours. #CTS</t>
  </si>
  <si>
    <t>@sirtophamhat @SCynic1 @NafeezAhmed @jeremyduns and of course you don't have to melt the steel in order to cause structural failure.</t>
  </si>
  <si>
    <t>CAP: 'the DRIVE Act represents the failure of Senate Republicans to address the structural shortfalls plaguing the Highway Trust Fund'</t>
  </si>
  <si>
    <t>Photo: Failure in structural integrity affects us all. Whether it is a barn raised upon a faulty concrete... http://t.co/cDxE5VMzOj</t>
  </si>
  <si>
    <t>Warm Heart Of Africa</t>
  </si>
  <si>
    <t>@sabcnewsroom sabotage!I rule out structural failure</t>
  </si>
  <si>
    <t>ÌÏT: 27.9136024,-81.6078532</t>
  </si>
  <si>
    <t>'@CatoInstitute: The causes of federal failure are deeply structural and they will not be easily solved: http://t.co/H2XcaX4jbU'</t>
  </si>
  <si>
    <t>VÌ_sterÌ´s, Sweden</t>
  </si>
  <si>
    <t>@whvholst @leashless And this is a structural problem rather than just a failure of competence by traditional soc democratic parties.</t>
  </si>
  <si>
    <t>@FoxNewsInsider All Obama is doing is giving a false time schedule on Iran testing there first bomb      Bomb = Nuclear Suicide Vest</t>
  </si>
  <si>
    <t>Roadside</t>
  </si>
  <si>
    <t>If you ever think you running out of choices in life rembr there's that kid that has no choice but wear a suicide bomb vest</t>
  </si>
  <si>
    <t>dorito land</t>
  </si>
  <si>
    <t>she's a suicide bomb</t>
  </si>
  <si>
    <t>I liked a @YouTube video from @noahj456 http://t.co/xntO3jMMTS GTA 5 - SUICIDE STICKY BOMBER (GTA 5 Online Funny Moments)</t>
  </si>
  <si>
    <t>meek mill should join isis since he loves suicide-bombing his career for no good reason</t>
  </si>
  <si>
    <t>literally just sunk in we got backty school in exactly a week :S :S :s</t>
  </si>
  <si>
    <t xml:space="preserve">18 | 509 </t>
  </si>
  <si>
    <t>I peeped you frontin' I was in the jeepåÊsunk in the seat tinted with heat beats bumpin'.</t>
  </si>
  <si>
    <t>@aphyr I_x0089_Ûªve been following you this long_x0089_Û_ Sunk cost fallacy or somethin_x0089_Ûª</t>
  </si>
  <si>
    <t>descended or sunk however it may be to the shadowed land beyond the crest of a striking cobra landing harshly upon his back; torch and</t>
  </si>
  <si>
    <t>Bon Temps Louisiana</t>
  </si>
  <si>
    <t>So if I capsize on your thighs high tide B-5 you sunk my battleship
&amp;gt;</t>
  </si>
  <si>
    <t>has NOT sunk in that i leave for school in a month</t>
  </si>
  <si>
    <t>my house</t>
  </si>
  <si>
    <t>It still hasn't sunk in that i will never see my nan again how has it been 2 months already ??</t>
  </si>
  <si>
    <t>Beacon Hills</t>
  </si>
  <si>
    <t>'Blaaaaaaa' he said as he sunk his face into your stomach making it vibrate @ResoluteVanity</t>
  </si>
  <si>
    <t>Hasn't quite sunk in that I saw Johnny Marr and Primal Scream all in the space of a few hours on Sunday</t>
  </si>
  <si>
    <t>West Coast, USA</t>
  </si>
  <si>
    <t>@CodeMeW Were you opening regular or master packs? RT: so_x0089_Û_ sunk_x0089_Û_1 mil credits into light side_x0089_Û_ didn't pull_x0089_Û_one_x0089_Û_you sure about those odds?</t>
  </si>
  <si>
    <t>Gaborone, Botswana</t>
  </si>
  <si>
    <t>Yup. Still hasn't sunk in. ?? https://t.co/Ii2SpVP89b</t>
  </si>
  <si>
    <t>It still hasn't sunk in that I've actually met my Idol ????</t>
  </si>
  <si>
    <t>{GoT | Modern AU | Lizz}</t>
  </si>
  <si>
    <t>@UntamedDirewolf 'I... Wow. Alright.' Sansa shook her head and blinked rapidly as the new information sunk in. 'I really don't know what--</t>
  </si>
  <si>
    <t>Cardiff, Wales</t>
  </si>
  <si>
    <t>@BenAffleck  i respected you and liked you for your talent. i guess i stil do but as a human being you've sunk low Mr.Affleck!</t>
  </si>
  <si>
    <t>Once upon a time the fact that I decided to go to university 7 hours away actually sunk in</t>
  </si>
  <si>
    <t xml:space="preserve">NAIROBI  KENYA </t>
  </si>
  <si>
    <t>#ArrestpastorNganga it so worrying 2 see how some police officers in Kenya have sunk to low to the point of collaborating with pick pockets</t>
  </si>
  <si>
    <t>@time4me_sews I know! It still hasn't quite sunk in :D</t>
  </si>
  <si>
    <t>In your mind</t>
  </si>
  <si>
    <t>The feeling of lonelyness has sunk into me strange depressing feeling.</t>
  </si>
  <si>
    <t>We may be just a week away from school but I don't think the idea of me being a senior has really sunk in yet</t>
  </si>
  <si>
    <t>im getting a car wow it hasn't sunk in</t>
  </si>
  <si>
    <t>Essex</t>
  </si>
  <si>
    <t>FOOTBALL IS BACK THIS WEEKEND ITS JUST SUNK IN ??????</t>
  </si>
  <si>
    <t>oxford</t>
  </si>
  <si>
    <t>One Direction is taking a break after this next album. My heart has sunk it hurts and I'm very upset. They deserve a break. My heart hurts</t>
  </si>
  <si>
    <t>The court_x0089_Ûªs reputation and prestige has sunk ever lower and Prosser who has served on the court since 1998 has... http://t.co/H09nYdbzoV</t>
  </si>
  <si>
    <t>&amp;lt;&amp;lt; his lip as he sunk into the bed his arms crossed behind his head as he watched his Captain do a number on his body. @ResoluteShield</t>
  </si>
  <si>
    <t>@ShekharGupta @mihirssharma high time TV channels realised what levels they have sunk for TRP and ads.it has become a mockery</t>
  </si>
  <si>
    <t>Gloucester</t>
  </si>
  <si>
    <t>@bonhomme37 wouldn't that have sunk the sub?</t>
  </si>
  <si>
    <t>Its like I never left. I just sunk to the background</t>
  </si>
  <si>
    <t>@silverstar58200 I felt bad for Romero. He cared but mental stuff sunk his career. I worry same thing will happen to Hutch. #BlueJays</t>
  </si>
  <si>
    <t>Everything has sunk in except the fact that I am actually moving to the state of Colorado tomorrow. Been dreaming of it since I was a kid.??</t>
  </si>
  <si>
    <t>Damn there's really no MLK center that hasn't sunk in yet</t>
  </si>
  <si>
    <t>toledo</t>
  </si>
  <si>
    <t>Hank Williams Jr. - 'Country Boys Can Survive' (Official Music Video) https://t.co/YOu7wn9xVs via @YouTube</t>
  </si>
  <si>
    <t>Semarang, Indonesia</t>
  </si>
  <si>
    <t>Parental experience may help coral offspring survive climate change: Preconditioning adult corals to increased... http://t.co/N9c3i9v8gO</t>
  </si>
  <si>
    <t>@lucypalladino and I don't have any classes together and I'm not sure if I'll be able to survive</t>
  </si>
  <si>
    <t>I have my final tomorrow ?????? . Ish is stressful  but I'll survive</t>
  </si>
  <si>
    <t>AHH forgot my headphones how am I supposed to survive a day without music AYHHHHHDJJFJRJJRDJJEKS</t>
  </si>
  <si>
    <t>Lincoln City Oregon</t>
  </si>
  <si>
    <t>10 Ways To Survive and Escape Martial Law | World http://t.co/BiuEY7bUtS http://t.co/JWQYbe4ep1</t>
  </si>
  <si>
    <t>How to Survive in the Markets http://t.co/LnzI7o166Y #oil #investing #money #trading #forex #gold #silver #business http://t.co/TmpFWjPI6I</t>
  </si>
  <si>
    <t xml:space="preserve">Fountain City, IN </t>
  </si>
  <si>
    <t>Ended today's staff meeting with the teacher version of 'I Will Survive' #tootrue http://t.co/mCWD37IOF9</t>
  </si>
  <si>
    <t xml:space="preserve">gaffney, sc </t>
  </si>
  <si>
    <t>how will I survive without dorrian</t>
  </si>
  <si>
    <t>If I survive tonight. I wouldn't change one thing. ??</t>
  </si>
  <si>
    <t>3 Things All Affiliate Marketers Need To Survive Online - Every affiliate marketer is always... http://t.co/kPMYqUJSUE</t>
  </si>
  <si>
    <t>???????, Texas</t>
  </si>
  <si>
    <t>DON'T MAKE FUN OF THEM FOR TRYING
TO SURVIVE IN SUCH A RACIST ELITIST COUNTRY</t>
  </si>
  <si>
    <t>We learn and grow and become stronger as we face and survive the trials through which we must pass. #ThomasSMonson #LDS #Mormon</t>
  </si>
  <si>
    <t>ava</t>
  </si>
  <si>
    <t>In a dream you saw a way to survive and you were full of joy.</t>
  </si>
  <si>
    <t>16 Stylishly Unique Houses That Might Help You Survive the Zombie Apocalypse | http://t.co/AU3DBCI7nf http://t.co/BOvJRF62T7</t>
  </si>
  <si>
    <t>nj/ny</t>
  </si>
  <si>
    <t>It's going on three years that we have been separated. Sometimes you have to let a man know you will leave him. &amp;amp; that u can survive without</t>
  </si>
  <si>
    <t>Now realized I honestly can't survive without these glasses now lol</t>
  </si>
  <si>
    <t>Back East in PA</t>
  </si>
  <si>
    <t>Help me survive the zombie apocalypse at the Zombie Fun Run on November 15th. https://t.co/kgSwhSr7Mn #teamsurvivors #zombiefunrun2014</t>
  </si>
  <si>
    <t>? icon by @Hashiren_3 ?</t>
  </si>
  <si>
    <t>@mochichiiiii @hikagezero IT'S IMPOSSIBLE FOR ME TOO WW like i can't survive a day without meat wew</t>
  </si>
  <si>
    <t>EveryWhere</t>
  </si>
  <si>
    <t>:: Survive??</t>
  </si>
  <si>
    <t>You can't fight fate and you can't survive alone... I can't help but notice that almost seems like a definition of who I am...</t>
  </si>
  <si>
    <t>@DDNewsLive @NitishKumar  and @ArvindKejriwal can't survive without referring @@narendramodi . Without Mr Modi they are BIG ZEROS</t>
  </si>
  <si>
    <t>@adriennetomah how did people survive like that?!</t>
  </si>
  <si>
    <t xml:space="preserve">Trapped in my Conscience </t>
  </si>
  <si>
    <t>Like it affects every level of life you're expecting me to buy everything and still survive with my limited pocket money</t>
  </si>
  <si>
    <t>death star</t>
  </si>
  <si>
    <t>If I survive I'll see you tomorrow</t>
  </si>
  <si>
    <t>#Autoinsurance industry clueless on #driverlesscars : #Markets : #Money Times http://t.co/YdEtWgRibk</t>
  </si>
  <si>
    <t>Suicide of a Superpower : Will America Survive To 2025? by Patrick J. Buchana... http://t.co/eMTwirknyq http://t.co/M9K08OaZve</t>
  </si>
  <si>
    <t>Survived another tube strike with the last person at office reaching home. We are getting better at navigating strikes!</t>
  </si>
  <si>
    <t>@TheDailyShow Mahalo nui loa for making my 20s. My generation could not have survived the (W.) Bush years without you. #JonVoyage #holomua</t>
  </si>
  <si>
    <t>@thoutaylorbrown I feel like accidents are just drawn to you but I'm happy you've survived all of them. Hope you're okay!!!</t>
  </si>
  <si>
    <t>Brentwood,TN</t>
  </si>
  <si>
    <t>Even when I was a kid haha super late but folks used to bash me for that shit I understand he survived cancer but he still cheated</t>
  </si>
  <si>
    <t xml:space="preserve">Auburn </t>
  </si>
  <si>
    <t>@taaylordarr THANK YOU!!! I survived ????</t>
  </si>
  <si>
    <t>Harlem, NY or Chocolate City</t>
  </si>
  <si>
    <t>Electricity cant stop scofield. Nigga survived a hotbox in SONA</t>
  </si>
  <si>
    <t>Not even the Berlin wall survived the 80's I daubt they'll ever be a generation like the 80's @ChubyChux: ... http://t.co/71VdjHJnwV</t>
  </si>
  <si>
    <t>Not one character in the final destination series has ever survived ??</t>
  </si>
  <si>
    <t>@Michael5SOS FUCKING LIVE HERE IM SURPRISED IVE SURVIVED THIS LONG</t>
  </si>
  <si>
    <t xml:space="preserve">Polmont </t>
  </si>
  <si>
    <t>Just burst out in actual tears of joy when Cain survived #SummerFate @emmerdale</t>
  </si>
  <si>
    <t>Nigerian boxer ?who survived sessions with Klitschko becomes famous on YouTube http://t.co/JSZZQsT3XS</t>
  </si>
  <si>
    <t>Predjama, Eslovenia.</t>
  </si>
  <si>
    <t>[+]
Such a lonely day
And it's mine
It's a day that I'm glad I survived ...
??</t>
  </si>
  <si>
    <t>How would I have survived without the mute option on whatsapp!</t>
  </si>
  <si>
    <t>Tn</t>
  </si>
  <si>
    <t>The 'twins' survived their first day of high school!! They're gonna have a great year!! #makinmemories 2015 http://t.co/gM8p0Bd8Mt</t>
  </si>
  <si>
    <t>Well me and dad survived my driving ????????</t>
  </si>
  <si>
    <t>By the grace of GOD I survived the 2am shift and im not that tired.</t>
  </si>
  <si>
    <t>Reading a romance novel</t>
  </si>
  <si>
    <t>I Survived A 12-Step Program for Sex Addiction - http://t.co/xsX26oo16s</t>
  </si>
  <si>
    <t>Today your life could change forever - #Chronicillness can't be avoided - It can be survived
Join #MyLifeStory &amp;gt;&amp;gt;&amp;gt; http://t.co/FYJWjDkM5I</t>
  </si>
  <si>
    <t>Bulgaria</t>
  </si>
  <si>
    <t>Cute &amp;amp; all livin' the life then you zoom in on one's face and you have a meme ready: 'I've seen the Gates of Hell and survived'</t>
  </si>
  <si>
    <t>@PixelJanosz @Angelheartnight I remember now.  There was a British man who survived both also.  Can't remember his name though.</t>
  </si>
  <si>
    <t>@duchovbutt @Starbuck_Scully @MadMakNY @davidduchovny yeah we survived 9 seasons and 2 movies. Let's hope for the good. There's hope ??????</t>
  </si>
  <si>
    <t>There are people who plotted against me that are still wondering how I survived</t>
  </si>
  <si>
    <t>Survived Spanish!! @ Sweet Ritual https://t.co/inIqzfyioi</t>
  </si>
  <si>
    <t>Dying with debt can be costly for survivors</t>
  </si>
  <si>
    <t>Survivors remorse is good</t>
  </si>
  <si>
    <t>@MithiTennis @CrackedGem Which is why I want her to be better - which means death awaits her. Most of us aren't heroes we are survivors</t>
  </si>
  <si>
    <t>WORLD</t>
  </si>
  <si>
    <t>4 THOSE WHO CARE ABOUT SIBLING ABUSE SURVIVORS join the new family tree: http://t.co/LQD1WEfpQd http://t.co/GgnbVZoHWu</t>
  </si>
  <si>
    <t>Philadelphia, Pennsylvania</t>
  </si>
  <si>
    <t>Molecularly targeted cancer therapy for his #LungCancer gave Rocky his life back. http://t.co/TwI3pYm7Us http://t.co/qT8JMD9pI1</t>
  </si>
  <si>
    <t>Violators of the new improved Reddit will be shot into the sun. Survivors will be hurled into a black hole and then nuked.</t>
  </si>
  <si>
    <t>Shanghai</t>
  </si>
  <si>
    <t>Survivors of Shanghai Ghetto reunite after 70 years - http://t.co/1Ki8LgVAy4 #Shanghai #China #??</t>
  </si>
  <si>
    <t>People with netflix there's a really good documentary about Hiroshima narrated by John Hurt. 2 Parter that interviews Pilots + Survivors.</t>
  </si>
  <si>
    <t>Numenor</t>
  </si>
  <si>
    <t>Haley Lu Richardson Fights for Water in The Last Survivors (Review) http://t.co/oObSCFOKtQ</t>
  </si>
  <si>
    <t>Truth...
https://t.co/h6amECX5K7
#News
#BBC
#CNN
#Islam
#Truth
#god
#ISIS
#terrorism
#Quran
#Lies http://t.co/B8iWRdxcm0</t>
  </si>
  <si>
    <t>Truth...
https://t.co/beJfTYgJIL
#News
#BBC
#CNN
#Islam
#Truth
#god
#ISIS
#terrorism
#Quran
#Lies http://t.co/jlCZiDZ7Vu</t>
  </si>
  <si>
    <t>Earth 0</t>
  </si>
  <si>
    <t>OMEGA MEN Writer Explores Terrorism Religion In an 'Epic KYLE RAYNER Story' https://t.co/utc7pdIdfo via @Newsarama</t>
  </si>
  <si>
    <t>Does this apply to Muslims/terrorism?
Or Catholicism/homophobia?</t>
  </si>
  <si>
    <t>Domestic terrorism. No ifs ands or buts about it. YOU CREATED THIS @GOP http://t.co/hFgjgFGfeL</t>
  </si>
  <si>
    <t>Jeddah_Saudi Arabia.</t>
  </si>
  <si>
    <t>OMEGA MEN Writer Explores Terrorism Religion In an 'Epic KYLE RAYNER Story' http://t.co/Hr88CWxPGz #Newsarama</t>
  </si>
  <si>
    <t>http://t.co/EQjCpWILVn: Articles In Saudi Press Reject Russian Initiative For Regional Alliance With Assad Regime To Fight Terrorism</t>
  </si>
  <si>
    <t>Truth...
https://t.co/k44tL3rfMy
#News
#BBC
#CNN
#Islam
#Truth
#god
#ISIS
#terrorism
#Quran
#Lies http://t.co/ipT0hoNoTI</t>
  </si>
  <si>
    <t>Online Homeland security: An Appraisal of #Pakistan_x0089_Ûªs #Anti-Terrorism #Act https://t.co/mRoSPd9878</t>
  </si>
  <si>
    <t>Iraq|Afghanistan| RSA |Baghdad</t>
  </si>
  <si>
    <t>Natural lubrication !!!!!!!!!!!#MetroFmTalk</t>
  </si>
  <si>
    <t xml:space="preserve">peshawar pakistan </t>
  </si>
  <si>
    <t>@OfficialMqm you are terrorist</t>
  </si>
  <si>
    <t>Here_x0089_Ûªs how media in Pakistan covered the capture of terrorist Mohammed Naved http://t.co/f7WqpCEkg2</t>
  </si>
  <si>
    <t>Seek help warra #MetroFmTalk</t>
  </si>
  <si>
    <t>Niall's arms</t>
  </si>
  <si>
    <t>@ShipsXAnchors IDEK HOW IS  THERE PEOPLE WHO ACTUALLY THINK HE'S A TERRORIST</t>
  </si>
  <si>
    <t>You May Know Me from Such Roles as Terrorist #4 http://t.co/xImPncZXtH</t>
  </si>
  <si>
    <t>@BarackObama Senator John McCain_x0089_Ûªs Whoops Moment : Photographed Chilling With ISIS_x0089_Û_ http://t.co/JNrOMsE1Z2 @acmilan http://t.co/w6Yu7Qs4CV</t>
  </si>
  <si>
    <t>Don't say @ALIPAPER: women got problems this #keepingtheviginaclean thing is very interesting n less expensive #metrofmtalk'</t>
  </si>
  <si>
    <t>Build and share your own custom applications all within @ThreatConnect w/ TC Exchange  http://t.co/hRL4XNJ9K7 #infosec #DFIR #ThreatIntel</t>
  </si>
  <si>
    <t>Is this the end of Australia_x0089_Ûªs best burger? http://t.co/te5tDLyIMN via @newscomauHQ</t>
  </si>
  <si>
    <t>Hyrule</t>
  </si>
  <si>
    <t>@KingGerudo_ to the largest moblin's he'd leaving the biggest one for Red and fired. With one strike already the threat was reduced --&amp;gt;</t>
  </si>
  <si>
    <t>front row at a show</t>
  </si>
  <si>
    <t>WHITE AMERICANS ARE THE BIGGEST THREAT IN THE WORLD. DUH https://t.co/7PaOvYzTtw</t>
  </si>
  <si>
    <t>The few I warned about .. Were just as I expected.. They are a threat to his soul</t>
  </si>
  <si>
    <t>Generational _x0089_Û÷British schism_x0089_Ûª over privacy threat of drones http://t.co/dqtMTPqmBR
  #drones #privacy http://t.co/dMsnYPtscY</t>
  </si>
  <si>
    <t>Arlington, VA</t>
  </si>
  <si>
    <t>Get access to the most extensive sources of threat information right out of the box. Then easily add your own internal intelligence. #BHUSA</t>
  </si>
  <si>
    <t>God.Family.Money</t>
  </si>
  <si>
    <t>If a nigga was a threat then that boy ah be thru ????</t>
  </si>
  <si>
    <t>Purple Heart Vet Finds Jihad Threat on His Car at Mall: _x0089_ÛÏAll of you Islamaphobe vets... http://t.co/hWnyXXKczz</t>
  </si>
  <si>
    <t>Enfield, UK</t>
  </si>
  <si>
    <t>Illusoria Icarus nowplaying check out http://t.co/E2WgREIcmZ</t>
  </si>
  <si>
    <t>Am I hearing thunder or trucks?</t>
  </si>
  <si>
    <t>South Carolina, USA</t>
  </si>
  <si>
    <t>The worst part is seeing lightning and trying to guess when the thunder will crack</t>
  </si>
  <si>
    <t>This thunder is beautiful</t>
  </si>
  <si>
    <t>#PlayingNow #BLOODBOUND Seven Angels Media Stream http://t.co/dlY6rUuSqK</t>
  </si>
  <si>
    <t>@KristyLeeMusic brings her Alabama thunder back to the Attic SEPTEMBER 26! Tickets: https://t.co/B7ZwEVsrGO</t>
  </si>
  <si>
    <t>@DevinJoslyn thunder and lighting ????</t>
  </si>
  <si>
    <t>Okay maybe not as extreme as thunder and lightning but pretty much all other types! #FIFA16  https://t.co/ETuuYISLHw</t>
  </si>
  <si>
    <t>Atlanta, Georgia USA</t>
  </si>
  <si>
    <t>@ATL_Events and thunder :-o</t>
  </si>
  <si>
    <t>@LightUmUpBeast never watched pres think hes a dick like thunder though</t>
  </si>
  <si>
    <t>@OriginalFunko @Spencers THUNDER BUDDYS!</t>
  </si>
  <si>
    <t>Waldo Thunder 12U Cooperstown Dreams Park 2015 dedicated to #JoeStrong #GoKitGo http://t.co/eSK4yvzvaP</t>
  </si>
  <si>
    <t>The one thing I like about here is thunder .. Heheh</t>
  </si>
  <si>
    <t>nowhere</t>
  </si>
  <si>
    <t>Super loud thunder woke me up from my very nice nap</t>
  </si>
  <si>
    <t>Ebay Snipe RT? http://t.co/SlQnph34Nt Lego Power Miners Set 8960 Thunder Driller Boxed. ?Please Favorite &amp;amp; Share</t>
  </si>
  <si>
    <t>THIS IS RELAXING! #thunder #SoothMySlumber #WATERMELOANN #populardemand w/ @Soak... (Vine by @thewebbeffect19) https://t.co/F0QIRS5lJA</t>
  </si>
  <si>
    <t>Palm Desert, CA</t>
  </si>
  <si>
    <t>The Flash And The Thunder by WC Quick on Amazon Kindle and soon in PRINT at Amazon Books via Create... http://t.co/oS1WjRvx5c via @weebly</t>
  </si>
  <si>
    <t>My brother is crying cause the thunder lmao</t>
  </si>
  <si>
    <t>That was the l9udest thunder I've  ever heard</t>
  </si>
  <si>
    <t>thunder is legit</t>
  </si>
  <si>
    <t xml:space="preserve">IndiLand </t>
  </si>
  <si>
    <t>My mama scared of the thunder ????</t>
  </si>
  <si>
    <t>Please please u gotta listen to @leonalewis # essenceOfMe and thunder it's major
#she's #back ????????</t>
  </si>
  <si>
    <t>L B #Oklahoma #Thunder DURANT NBA ADIDAS OKLAHOMA CITY THUNDER YOUTH LARGE SWINGMAN JERSEY RETAIL $75 #NBA #Durant http://t.co/T81oayjoWC</t>
  </si>
  <si>
    <t>Did I just hear thunder? ??????</t>
  </si>
  <si>
    <t>Thunder???</t>
  </si>
  <si>
    <t>I love the sound of thunder rumbling across the mountains.</t>
  </si>
  <si>
    <t>Advice from Noah: Dont go running in a thunderstorm</t>
  </si>
  <si>
    <t>@RachelRofe tired it' 5:36 am. Woke up to a thunderstorm lightning and rain. How are you?</t>
  </si>
  <si>
    <t>Beautiful lightning as seen from plane window http://t.co/5CwUyLnFUm http://t.co/1tyYqFz13D</t>
  </si>
  <si>
    <t>WORDLDWIDE</t>
  </si>
  <si>
    <t>Conditions for Paris FR at 4:00 am CEST: Current Conditions:
Fair 68 FForecast:
Thu - Sunny. High: 87 Low: 61
Fri - PM Thunderstorm...</t>
  </si>
  <si>
    <t>Falling asleep to the sounds to thousands of River Plate fans in the stadium and a thunderstorm. #VivaArgentina</t>
  </si>
  <si>
    <t>Lethbridge, AB, Canada</t>
  </si>
  <si>
    <t>Wed 20:30: Mainly cloudy. 60 percent chance of showers this evening with risk of a thunderstorm. Low 10.</t>
  </si>
  <si>
    <t>I need a thunderstorm please!</t>
  </si>
  <si>
    <t xml:space="preserve">God is Love. </t>
  </si>
  <si>
    <t>My room looks like a tornado passed through it and my OCD is not having it.</t>
  </si>
  <si>
    <t>cognitive dissonance town</t>
  </si>
  <si>
    <t>@soonergrunt better than tornado!</t>
  </si>
  <si>
    <t>I O W A</t>
  </si>
  <si>
    <t>@BrrookkllyynnR came through like a tornado and destroyed me. such beautiful words</t>
  </si>
  <si>
    <t xml:space="preserve">Gurgaon, Haryana. </t>
  </si>
  <si>
    <t>#TornadoGiveaway åÊ #thebookclub åÊ Join in!! http://t.co/LjOMCTUZFy https://t.co/2zGVSLOX5p</t>
  </si>
  <si>
    <t>Wherever I'm sent</t>
  </si>
  <si>
    <t>@ticklemeshawn @evebrigid I'll bet I do</t>
  </si>
  <si>
    <t>Lily Xo is a sexy cowgirl out in the sticks http://t.co/qew4c5M1xd View and download video</t>
  </si>
  <si>
    <t>Blonde teen Courtney Laudner teases in her panties http://t.co/qew4c5M1xd View and download video</t>
  </si>
  <si>
    <t>Dakota Skye gets horny with some porn then gets her juicy pussy pounded http://t.co/qew4c5M1xd View and download video</t>
  </si>
  <si>
    <t>Guys he can run so fast he creates a tornado WITHOUT BREAKING A SWEAT. He makes Superman look like a slowpoke. He can be a POC.</t>
  </si>
  <si>
    <t>california</t>
  </si>
  <si>
    <t>I'm a tornado looking for a soul to take</t>
  </si>
  <si>
    <t>Heather Night and Ava Sparxxx enjoy a wild teen threesome http://t.co/qew4c5M1xd View and download video</t>
  </si>
  <si>
    <t>Brunette beauty Night A stretches out on a victorian sofa http://t.co/qew4c5M1xd View and download video</t>
  </si>
  <si>
    <t>Marley Brinx gives a striptease and then spreads her legs for a pussy pounding http://t.co/qew4c5M1xd View and download video</t>
  </si>
  <si>
    <t>@Ayshun_Tornado then don't</t>
  </si>
  <si>
    <t>Brunette teen Giselle Locke teases at home http://t.co/qew4c5M1xd View and download video</t>
  </si>
  <si>
    <t>khartoum sudan</t>
  </si>
  <si>
    <t>A tornado flew around my room before you came</t>
  </si>
  <si>
    <t>@Toocodtodd Hey @wyattb23 let's challenge then to a tornado tag tlc match. Winner take all.</t>
  </si>
  <si>
    <t>Kentucky, USA</t>
  </si>
  <si>
    <t>Tornado has to make the playoffs. They have 3 guys with 20+homers already and they just added Tulowitzki and Price</t>
  </si>
  <si>
    <t>Pretty teen Hayden Ryan poses and strips out of her purple top http://t.co/qew4c5M1xd View and download video</t>
  </si>
  <si>
    <t>Maaaaan I love Love Without Tragedy by @rihanna I wish she made the whole song</t>
  </si>
  <si>
    <t>New Jersey/New York</t>
  </si>
  <si>
    <t>There is no greater tragedy than becoming comfortable with where you are in life.</t>
  </si>
  <si>
    <t>#SandraBland</t>
  </si>
  <si>
    <t>Don't forget tragedy ?????????????? https://t.co/GaJTUGAUi7</t>
  </si>
  <si>
    <t>'you can_x0089_Ûªt research collective memory' The 1st Rule of writing diverse should be don't touch another group's tragedy https://t.co/PHFoEozYPS</t>
  </si>
  <si>
    <t>'Merica</t>
  </si>
  <si>
    <t>'Sometimes God uses sorrowful tragedy to set the stage for glorious redemption.' -David Platt Run for_x0089_Û_ https://t.co/86V81dv00E</t>
  </si>
  <si>
    <t>@HomeworldGym @thisisperidot D: What? That's a tragedy. You have a wonderful nose</t>
  </si>
  <si>
    <t>Harper Woods, MI</t>
  </si>
  <si>
    <t>A real life tragedy:
Monica's hair on any given season of Friends</t>
  </si>
  <si>
    <t>The tragedy of life is not that it ends so soon but that we wait so long to begin it. ~ W.M. Lewis #quotes</t>
  </si>
  <si>
    <t>staggering on tenement roofs</t>
  </si>
  <si>
    <t>@tanehisicoates even the second half has that great Greek Tragedy laced monologue by Charlize. coulda been so much more.</t>
  </si>
  <si>
    <t>This is a tragedy: I added the wrong book to my TBR list now I can't find the right one. This is what comes of browsing just on gr homepage.</t>
  </si>
  <si>
    <t>@sriramk @DLin71 @pmarca Tragedy of commons pertains to public ownership. Not property rights based markets. The opposite of what you say.</t>
  </si>
  <si>
    <t xml:space="preserve">Orlando </t>
  </si>
  <si>
    <t>Back home they mad cause I chill with the white boys .</t>
  </si>
  <si>
    <t>MÌ©xico</t>
  </si>
  <si>
    <t>I'm gunning down romance
It never did a thing for me
But heartache and misery
Ain't nothing but a tragedy http://t.co/jhUPOgbvs8</t>
  </si>
  <si>
    <t>Can't find my ariana grande shirt  this is a fucking tragedy</t>
  </si>
  <si>
    <t>@almusafirah_ you feel trapped innit ??</t>
  </si>
  <si>
    <t>call me peach or sam lo</t>
  </si>
  <si>
    <t>IM TRAPPED IN THE DAMN GAS PUMP THERE ARE TWO SUVS ON EITHER SIDE FUCK YOU DICKHEADS</t>
  </si>
  <si>
    <t>LITTLETON, CO, USA, TERRAN</t>
  </si>
  <si>
    <t>Photo: prettyboyshyflizzy: Lol she trapped them into that so beautifully http://t.co/FKXCsztezB</t>
  </si>
  <si>
    <t>Orlando</t>
  </si>
  <si>
    <t>Hollywood Movie About Trapped Miners Released in Chile: 'The 33' Hollywood movie about trapped miners starring... http://t.co/KK8cnppZMk</t>
  </si>
  <si>
    <t>central chazifornia</t>
  </si>
  <si>
    <t>salute to all the kids still trapped in adult bodies.</t>
  </si>
  <si>
    <t>@BattleRoyaleMod when they die they just get teleported into somewhere middle of ocean and stays trapped in there unless they decides 2/6</t>
  </si>
  <si>
    <t>Hollywood movie about trapped miners released in Chile http://t.co/YeLJPQHmEd</t>
  </si>
  <si>
    <t>Hollywood movie about trapped miners released in #Chile http://t.co/r18aUtnLSd #ZippedNews http://t.co/CNqaE9foj6</t>
  </si>
  <si>
    <t>Billionaires have a plan to free half a billion dollars trapped in Venezuela for two years @BlakeSchmidt reports.
http://t.co/gbqTc7Sp9C</t>
  </si>
  <si>
    <t>Hollywood movie about trapped miners released in Chile</t>
  </si>
  <si>
    <t>T E X A S | wwat 8.24.14</t>
  </si>
  <si>
    <t>I feel like that episode of Victorious when they all got trapped in an RV and almost died of heat stroke #MTVHottest One Direction</t>
  </si>
  <si>
    <t>#entertainment Hollywood movie about trapped miners released in Chile: SANTIAGO Chile (AP) _x0089_ÛÓ The Hollyw... http://t.co/C22ecVl4Hw #news</t>
  </si>
  <si>
    <t>Hollywood Movie About Trapped Miners Released in Chile http://t.co/EXQKmlg4NJ</t>
  </si>
  <si>
    <t>@dramaa_llama but otherwise i will stay trapped as the worst lilourry stan ever AND without zarry what am I left with? NARRY. NO THANKS.</t>
  </si>
  <si>
    <t>trapped in its disappearance</t>
  </si>
  <si>
    <t>I trapped this cat in my room and it's going insane but it's not leaving it's too pretty! http://t.co/gRLxUrko8D</t>
  </si>
  <si>
    <t>å_å_Los Mina City_x0089_ã¢</t>
  </si>
  <si>
    <t>Hollywood Movie About Trapped Miners Released in Chile: 'The 33' Hollywood movie about trapped miners starring... http://t.co/x8moYeVjsJ</t>
  </si>
  <si>
    <t>Hollywood Movie About Trapped Miners Released in Chile http://t.co/Fk1vyh5QLk #newsdict #news  #Chile</t>
  </si>
  <si>
    <t>WORLDWIDE!</t>
  </si>
  <si>
    <t>#NZ Hollywood movie about trapped miners released in Chile http://t.co/0aJIsA5531 #HugoMatz</t>
  </si>
  <si>
    <t>Greensburg, PA</t>
  </si>
  <si>
    <t>Did you know @lilithsaintcrow had a new release this week? BLOOD CALL  'An ancient evil has been trapped...' http://t.co/eSwNSetFtf _x0089_Û_</t>
  </si>
  <si>
    <t xml:space="preserve">Like us on Face </t>
  </si>
  <si>
    <t>Hollywood Movie About Trapped Miners Released in Chile: 'The 33' Hollywood movie about trapped miners starring... http://t.co/3Yu26V19zh</t>
  </si>
  <si>
    <t>Hollywood movie about trapped miners released in Chile http://t.co/JJL89F9O3V</t>
  </si>
  <si>
    <t>Hollywood movie about trapped miners released in Chile http://t.co/xe0EE1Fzfh</t>
  </si>
  <si>
    <t>Montgomery County, MD</t>
  </si>
  <si>
    <t>in response to trauma Children of Addicts develop a defensive self - one that decreases vulnerability. (3</t>
  </si>
  <si>
    <t>Cambridge, Massachusetts, U.S.</t>
  </si>
  <si>
    <t>Your brain is particularly vulnerable to trauma at two distinct ages http://t.co/KnBv2YtNWc @qz @TaraSwart @vivian_giang</t>
  </si>
  <si>
    <t>LOCAL ATLANTA NEWS 4/28/00 - 4/28/15 FREELANCER</t>
  </si>
  <si>
    <t>@RaabChar_28 @DrPhil @MorganLawGrp How do you self-inflict a wound to your side and blunt force trauma not consistent with fall dimensions?!</t>
  </si>
  <si>
    <t>Your notifications</t>
  </si>
  <si>
    <t>games that I really hope to see in AGDQ: Trauma Center Second Opinion Kororinpa Marble Mania TLoZ Oracle of Ages Metroid II</t>
  </si>
  <si>
    <t>@crazyindapeg @VETS78734 completely understandable considering the trauma #ptsdchat</t>
  </si>
  <si>
    <t>Methville, CA</t>
  </si>
  <si>
    <t>Trauma Team needs to come to the American E-shop.</t>
  </si>
  <si>
    <t>Los Angeles New York</t>
  </si>
  <si>
    <t>Author Interview Michele Rosenthal-author of Your Life After Trauma.</t>
  </si>
  <si>
    <t>www.aprylpooley.com</t>
  </si>
  <si>
    <t>A1: I started writing when I couldn't talk about my trauma in therapy it was the only way I could communicate #gravitychat</t>
  </si>
  <si>
    <t>@AshGhebranious civil rights continued in the 60s. And what about trans-generational trauma? if anything we should listen to the Americans.</t>
  </si>
  <si>
    <t xml:space="preserve"> Little Rock, AR</t>
  </si>
  <si>
    <t>@thetimepast @saalon I have childhood trauma more resolved than theirs. Actual trauma. Fricken babies.</t>
  </si>
  <si>
    <t>The Jewfnited State</t>
  </si>
  <si>
    <t>Why #Marijuana Is Critical For Research in Treating #PTSD
http://t.co/T6fuAhFp7p 
#hempoil #cannabis #marijuana_x0089_Û_ http://t.co/RhE7dXM7Ey</t>
  </si>
  <si>
    <t>Minneapolis, MN</t>
  </si>
  <si>
    <t>Both kids got haircuts w minimal trauma. Clearly that calls for wine</t>
  </si>
  <si>
    <t>Gumptown</t>
  </si>
  <si>
    <t>@ARobotLegion so be it. You can't tell an oppressed group of people how to react to trauma. That would be stupid and ignorant.</t>
  </si>
  <si>
    <t>I need to plan a trip to Cleveland soon! ??</t>
  </si>
  <si>
    <t>What is the role of usg in paeds major trauma imaging decision tool? #FOAMed #FOAMcc</t>
  </si>
  <si>
    <t>The Triskelion</t>
  </si>
  <si>
    <t>It partially has something to do with my trauma as well. But that's a long story and honestly I don't like to talk about it.</t>
  </si>
  <si>
    <t>@mustachemurse @dateswhitecoats the truth. I pulled a 16 out. And apparently a 22 in the crazy adult trauma. And they mocked me for the 22.</t>
  </si>
  <si>
    <t>Minneapolis/St. Paul</t>
  </si>
  <si>
    <t>Simmering beneath #NHL good times the league's own concussion issues @PioneerPress
http://t.co/zl7FhUCxHL</t>
  </si>
  <si>
    <t>Today was trauma on top of trauma on top of  trauma in Richmond so I know work is going to be crazy the next two days</t>
  </si>
  <si>
    <t>What happens to us as sexual trauma #survivors defines us as much as we agree with the perpetrators who hurt us.</t>
  </si>
  <si>
    <t>Traumatised after seeing a baby literally fall out of that lady. She only went for a wee great catch! #oneborn</t>
  </si>
  <si>
    <t>Back in Ireland v. sad/traumatised as is freezing and not beautiful Parisian summer to which have become accustomed.</t>
  </si>
  <si>
    <t>Kirkwall</t>
  </si>
  <si>
    <t>WHY THE DEEP ROADS THO HAHAHAHA IM SO TRAUMATISED BY THE DEEP ROADS LOLOL</t>
  </si>
  <si>
    <t>I'm so traumatised.</t>
  </si>
  <si>
    <t>go easy on her paul the poor woman has been traumatised by a cake #GBBO</t>
  </si>
  <si>
    <t>@Ruddyyyyyy @JamieGriff97 Jamie is too traumatised to answer http://t.co/VzgslEPkkH</t>
  </si>
  <si>
    <t>Portsmouth, UK</t>
  </si>
  <si>
    <t>I'm that traumatised that I can't even spell properly! Excuse the typos!</t>
  </si>
  <si>
    <t>cork</t>
  </si>
  <si>
    <t>@AnnmarieRonan @niamhosullivanx I can't watch tat show its like a horror movie to me I get flashbacks an everything #traumatised</t>
  </si>
  <si>
    <t xml:space="preserve">dublin </t>
  </si>
  <si>
    <t>@ianokavo96 he's still traumatised</t>
  </si>
  <si>
    <t>ELVY</t>
  </si>
  <si>
    <t>Think I'm traumatised for life</t>
  </si>
  <si>
    <t>America like South Africa is a traumatised sick country - in different ways of course - but still messed up.</t>
  </si>
  <si>
    <t>...the kids at the orphanage were obviously not too traumatised. http://t.co/DjA4relcnS</t>
  </si>
  <si>
    <t>@MPRnews 600!!! WOW!!! that's a lot of traumatised kids!!!!!</t>
  </si>
  <si>
    <t>Yessum I'm traumatised ??</t>
  </si>
  <si>
    <t>Tunbridge Wells</t>
  </si>
  <si>
    <t>@PerkPearl that's just not on. I'd be traumatised are you OK? The car has gone and now for #GBBO and relax.....</t>
  </si>
  <si>
    <t>lowestoft</t>
  </si>
  <si>
    <t>@vienna_butcher ITS NOT FUNNY IM TRAUMATISED</t>
  </si>
  <si>
    <t>@wrongdejavu I'm traumatised</t>
  </si>
  <si>
    <t>@malabamiandsons she's proper traumatised that pepper is 'dead' I can't wait to see her face</t>
  </si>
  <si>
    <t xml:space="preserve">North East / Middlesbrough </t>
  </si>
  <si>
    <t>Sending a snapchat to the wrong person instead of your brother about the toilet ?? ?? ???? #snapchatselfie #wrongperson  #traumatised</t>
  </si>
  <si>
    <t>@EMILY4EVEREVER haha it's alright..but more than twice is just stupid ;) he's traumatised ????</t>
  </si>
  <si>
    <t>I'm so sad Kids Company has closed. After all the talk thousands of traumatised young people will suffer. But... http://t.co/efg8RtH9Rb</t>
  </si>
  <si>
    <t>@Jude_Mugabi not that all abortions get you traumatised. At times you are okay with the decision due to reasons like rape</t>
  </si>
  <si>
    <t>Londonstan</t>
  </si>
  <si>
    <t>_x0089_ÛÏ@_keits: @LIVA_GOTTA get a gold chain you'll understand_x0089_Û_x009d_
One boy gave me one and my neck went green It traumatised me</t>
  </si>
  <si>
    <t>@CiaraMcKendry mine came on the day after my data renewed this month i was traumatised</t>
  </si>
  <si>
    <t>Tring, UK</t>
  </si>
  <si>
    <t>A traumatised dog that was found buried up to its head in dirt in France is now in safe hands. This is such a... http://t.co/AGQo1479xM</t>
  </si>
  <si>
    <t>Stage with Trey Songz</t>
  </si>
  <si>
    <t>A spider has legit just run across my chest. Traumatised. For. Life.</t>
  </si>
  <si>
    <t>@VickyBrush LOL! I was a traumatised child. On Wednesday @jimmyfallon releases topic for Thursday hashtag game. This is this weeks. Xoxo</t>
  </si>
  <si>
    <t>I'm slightly traumatised after this week's one born!</t>
  </si>
  <si>
    <t>Hampstead, London.</t>
  </si>
  <si>
    <t>@KushWush I'm still traumatised by your driving. Having flashbacks of the lane hogging ??</t>
  </si>
  <si>
    <t>Tamworth</t>
  </si>
  <si>
    <t>@cwheate hahaha I'm half traumatised half hoping my labour is that easy ??</t>
  </si>
  <si>
    <t>I'm traumatised???? @megancoopy @laurathorne97 http://t.co/MeSqTVdu63</t>
  </si>
  <si>
    <t>@ArgentaElite haha traumatised !!!! Hell no I want a job ?? xxx</t>
  </si>
  <si>
    <t>@brookesddl I am traumatised the lil shit nearly hopped in the bloody shower with me</t>
  </si>
  <si>
    <t>Kawartha Lakes, Ontario, Canad</t>
  </si>
  <si>
    <t>Budget? Oh I am in trouble... but yes I would agree. #VarageSale  @Candace_Dx</t>
  </si>
  <si>
    <t>19 Things You'll Understand If You Have Trouble Talking to People http://t.co/sHaZNLMsFE</t>
  </si>
  <si>
    <t>Having trouble understanding the rotations within a left-leaning Red Black Tree.: My class is currently learni... http://t.co/wGl4LUbnw1</t>
  </si>
  <si>
    <t>A man a woman Romance &amp;amp; South Afrikaan Trouble - on # sale PreOrder #theBargain - http://t.co/UMl5jZTmcB</t>
  </si>
  <si>
    <t>Indiana, USA</t>
  </si>
  <si>
    <t>@BadAstronomer ...I have a lot of trouble getting both students and adults to understand that the moon is farther away than they think.</t>
  </si>
  <si>
    <t>Noel back up</t>
  </si>
  <si>
    <t xml:space="preserve">Illumination </t>
  </si>
  <si>
    <t>Trouble trouble when I don't get my way ????</t>
  </si>
  <si>
    <t xml:space="preserve">Bathtub de Bett </t>
  </si>
  <si>
    <t>@smoak_queen 'I'm going to be in so much trouble.'</t>
  </si>
  <si>
    <t>Chasing My Dreams w/Jass??</t>
  </si>
  <si>
    <t>@JusstdoitGirl never said it was a problem and shit working tryna stay out of trouble wbu big homie</t>
  </si>
  <si>
    <t>@comcastcares hey it's happing again. Any trouble shooting steps for when this happens?</t>
  </si>
  <si>
    <t>@annajhm @JCOMANSE @paul_staubs @rslm72254 @blanktgt You must've got in trouble ??that's why you have #Fartanxiety now????</t>
  </si>
  <si>
    <t>Rochester Hills, MI</t>
  </si>
  <si>
    <t>Live updates: Boyd gets out of trouble in 5th http://t.co/3ugfpwMY2x via @detroitnews</t>
  </si>
  <si>
    <t>Displaced Son of TEXAS!</t>
  </si>
  <si>
    <t>_x0089_ÛÏ@YMcglaun: @JulieKragt @WildWestSixGun You're a lot safer that way._x0089_Û_x009d_yeah a lot more stable &amp;amp; if I get in trouble I have a seat right there</t>
  </si>
  <si>
    <t>The trouble in one of Buffett's favorite sectors http://t.co/J4dqPFLMkR</t>
  </si>
  <si>
    <t>When there's trouble you know who to caaaaaall</t>
  </si>
  <si>
    <t xml:space="preserve">on twitter </t>
  </si>
  <si>
    <t>why is it trouble@niallhariss / @simply_vain live on http://t.co/iAhJj0agq6</t>
  </si>
  <si>
    <t>The worst  voice I can ever hear is the 'Nikki your in trouble' voice from my mom</t>
  </si>
  <si>
    <t>@_charleyisqueen Yeah well maybe if the barber didn't cut my hair too short on top I wouldn't of gone through the egg trouble????</t>
  </si>
  <si>
    <t>Love how I don't get in any trouble for having people over and the house still being trashed</t>
  </si>
  <si>
    <t>Wolverhampton</t>
  </si>
  <si>
    <t>@KerryKatona7 hello wud u kindly consider following me bak please I'm never any trouble lol many thanks :-)</t>
  </si>
  <si>
    <t xml:space="preserve">North Carolina </t>
  </si>
  <si>
    <t>@TJ_Robertson2 no bc we always got in trouble for laughing too much ??</t>
  </si>
  <si>
    <t>Manila City</t>
  </si>
  <si>
    <t>@charlieputh that song have a Cool beat like Nothing But Trouble</t>
  </si>
  <si>
    <t>Reddit's new content policy shows that maybe Reddit can't have it all http://t.co/YO3T8qho9h via @nkulw http://t.co/8oDTzMvqaR</t>
  </si>
  <si>
    <t>@astros stunningly poor defense it's not all on the pitcher. If our bats are MIA like the top of 1st inning this team is in trouble.</t>
  </si>
  <si>
    <t>@PrinceofFencing frickin summer and its humidity building up and causing trouble</t>
  </si>
  <si>
    <t>If you have trouble getting motivated remember that time is going to pass and that regret is going to make its way around - Matthew Donnelly</t>
  </si>
  <si>
    <t>Nothing but trouble - Lil Wayne &amp;amp; Charlie Puth????????</t>
  </si>
  <si>
    <t>Trouble with mental fog? Consider these tests: http://t.co/XAerMBMvlv</t>
  </si>
  <si>
    <t>I feel so lucky rn</t>
  </si>
  <si>
    <t>@freefromwolves GodsLove &amp;amp; #thankU brother Danny for RT of NEW VIDEO http://t.co/cybKsXHF7d The Coming Apocalyptic US Earthquake &amp;amp; Tsunami</t>
  </si>
  <si>
    <t>I'm at Baan Thai / Tsunami Sushi in Washington DC https://t.co/Udp10FRXrL</t>
  </si>
  <si>
    <t>she keep it wet like tsunami.</t>
  </si>
  <si>
    <t>Louavul, KY</t>
  </si>
  <si>
    <t>#BBShelli seems pretty sure she's the one that's going to stay! #BB17</t>
  </si>
  <si>
    <t>#sing #tsunami Beginners #computer tutorial.: http://t.co/ukQYbhxMQI Everyone Wants To Learn To Build A Pc. Re http://t.co/iDWS2ZgYsa</t>
  </si>
  <si>
    <t>IG : Sincerely_TSUNAMI</t>
  </si>
  <si>
    <t>It's my senior year I just wanna go all out</t>
  </si>
  <si>
    <t>Tsunami - DVBBS &amp;amp; Borgeous (Arceen Festival Trap Remix) https://t.co/743JoqazrT via @YouTube</t>
  </si>
  <si>
    <t>#sing #tsunami Beginners #computer tutorial.: http://t.co/ia44ncZLif Everyone Wants To Learn To Build A Pc. Re http://t.co/oGTuV1pLhT</t>
  </si>
  <si>
    <t>Land Of The Kings</t>
  </si>
  <si>
    <t>@tsunami_esh ?? hey Esh</t>
  </si>
  <si>
    <t>Winter Park, Colorado</t>
  </si>
  <si>
    <t>'Anyway' the old lady went on 'I have something to ask of you - and you alone.' THE COMING TSUNAMI http://t.co/tYeWZf3hqA</t>
  </si>
  <si>
    <t>6 Trends Are Driving a Data Tsunami for Startups http://t.co/sjh0HsRp4s #startup</t>
  </si>
  <si>
    <t>#ODU</t>
  </si>
  <si>
    <t>@TSUNAMI_nopeach ?????? I'm weak af</t>
  </si>
  <si>
    <t>ona block w/ my BOY ??</t>
  </si>
  <si>
    <t>Man my stomach feel like a tsunami ??.</t>
  </si>
  <si>
    <t>COMING SOON</t>
  </si>
  <si>
    <t>@tsunami_esh ESH PLEASE OKAY!</t>
  </si>
  <si>
    <t>Dr. Jim &amp;amp; the tsunami: The latest New Yorker warned us in no uncertain terms. Haven't you heard? The tsunami's... http://t.co/1RrEO2jG9u</t>
  </si>
  <si>
    <t>Gotham City,USA</t>
  </si>
  <si>
    <t>I don't get waves of missing you anymore... They're more like tsunami tides in my eyes</t>
  </si>
  <si>
    <t>@Kamunt Holy crap it's been forever since I saw this movie but the nostalgia wave just hit me like a tsunami! Thank youuu!</t>
  </si>
  <si>
    <t>I liked a @YouTube video http://t.co/0h7OUa1pns Call of Duty: Ghosts - Campanha - EP 6 'Tsunami'</t>
  </si>
  <si>
    <t>BROKE NIGGAS DREAM!!</t>
  </si>
  <si>
    <t>I want some tsunami take out</t>
  </si>
  <si>
    <t>@GreenLacey GodsLove &amp;amp; #thankU my sister for RT of NEW VIDEO http://t.co/cybKsXHF7d The Coming Apocalyptic US Earthquake &amp;amp; Tsunami</t>
  </si>
  <si>
    <t>All of this energy</t>
  </si>
  <si>
    <t>@Eric_Tsunami worry about yourself</t>
  </si>
  <si>
    <t>Want Twister Tickets AND A CHANCE AT A VIP EXPERIENCE To See SHANIA!!! CLICK HERE: http://t.co/964dk4rwwe</t>
  </si>
  <si>
    <t>Just stop fucking saying _x0089_ÛÏa whole _x0089_Û÷nother_x0089_Û_x009d_. It just sounds fucking stupid. You fucking mean _x0089_ÛÏa whole other_x0089_Û_x009d_. Not a fucking tongue-twister.</t>
  </si>
  <si>
    <t>love 106.1 The Twister @1061thetwister  and Maddie and Tae #OKTXDUO</t>
  </si>
  <si>
    <t>Brain twister homefolks are opinionated over against proposal modernized canada: oMw</t>
  </si>
  <si>
    <t>Crazy Mom Threw Teen Daughter a NUDE Twister Sex Party According To Her Friend59 more pics http://t.co/t94LNfwf34 http://t.co/roCyyEI2dM</t>
  </si>
  <si>
    <t>The Sharper Image Viper 24' Hardside Twister (Black) http://t.co/FXk3zsj2PE</t>
  </si>
  <si>
    <t>Twister was fun https://t.co/qCT6fb8wOn</t>
  </si>
  <si>
    <t>Brain twister let drop up telly structuring cast: EDcXO</t>
  </si>
  <si>
    <t>I'm in bed eating a twister and drinking a cup of tea. I am not dunking the twister in the tea. That would be well weird.</t>
  </si>
  <si>
    <t>å¡å¡Midwest _x0089_Û¢_x0089_Û¢</t>
  </si>
  <si>
    <t>@sarahmcpants @JustJon I'll give him a titty twister</t>
  </si>
  <si>
    <t>Last Second OutBid RT? http://t.co/lBPX8buCnv 2 - Catlow C720 Twister Swivels 3/4' 3dc Fuel Line Made In Usa ?Please Favorite &amp;amp; Shar</t>
  </si>
  <si>
    <t>Reasons brain twister oneself should discount redesigning yours website: ItrAWcWB</t>
  </si>
  <si>
    <t>Check out 'Want Twister Tickets AND A VIP EXPERIENCE To See SHANIA? CLICK HERE:' at  http://t.co/3GEROQ49o1
I would Love Love Love!! To win</t>
  </si>
  <si>
    <t xml:space="preserve">Riverdale, GA </t>
  </si>
  <si>
    <t>This is my jam: Riser by Dierks Bentley @1061TheTwister ? #iHeartRadio #NowPlaying http://t.co/zQoScQD64h http://t.co/yLvVF139BB</t>
  </si>
  <si>
    <t>Bulgarian Tittie Twister By NoEmotion Produced By EDK PathFinders (HD) M...: http://t.co/9ODqryJncF via YouTube</t>
  </si>
  <si>
    <t>@ellenfromnowon 7-speed nexus shifter å£9! (For community cargo bike?) http://t.co/rjPjBwVfck</t>
  </si>
  <si>
    <t>Anyone wanna come over and watch Twister with me? #toosoon :-)</t>
  </si>
  <si>
    <t>Plano,TX</t>
  </si>
  <si>
    <t>@briannafrost Twister with Bill Paxton and Helen Hunt!</t>
  </si>
  <si>
    <t>@carolinagutierr grande twister!!!</t>
  </si>
  <si>
    <t>Midwest City, OK</t>
  </si>
  <si>
    <t>HAPPY 24 TWISTER!!! Thank you for all the laughs sticking by my side no matter what and also for_x0089_Û_ https://t.co/ttq9IlHp8W</t>
  </si>
  <si>
    <t>'How many men would a human hew if a human could hew men?'
-popular tongue twister among woodchucks</t>
  </si>
  <si>
    <t>I liked a @YouTube video http://t.co/Cj76K0YaYj EXTREME PAINT TWISTER</t>
  </si>
  <si>
    <t>@ElianaRaquel Like GG was BAD in the end... But at least I cared a little when GG was Dan. Cause it was a twister. I don't know Wilden IDC</t>
  </si>
  <si>
    <t>Galapa / AtlÌÁntico</t>
  </si>
  <si>
    <t>You are listening to LLEGASTE TU - TWISTER EL REY</t>
  </si>
  <si>
    <t>White Twister Black shift knob M6x1.00 Thread Size http://t.co/SqpshAWs0w http://t.co/udlEbH88uZ</t>
  </si>
  <si>
    <t>TWISTER DANCE Game  Dance Console Instructions Cable 5 Pre Loaded Songs http://t.co/BcsXyEc4ji http://t.co/DfXI76kvX0</t>
  </si>
  <si>
    <t>@rodarmer21 10 dolla says wicked twister won't be running</t>
  </si>
  <si>
    <t>STL ?NOLA</t>
  </si>
  <si>
    <t>Wish I had a personal hair twister</t>
  </si>
  <si>
    <t>Does the opening scene of Harry Potter and the Order of the Phoenix remind anyone else of the movie Twister? Just me? Okay</t>
  </si>
  <si>
    <t>instagram: bribriony</t>
  </si>
  <si>
    <t>Drunk twister is so hard ????</t>
  </si>
  <si>
    <t>Long Island</t>
  </si>
  <si>
    <t>@mrsbinker @EmilioRivera48 @davidlabrava Mine are Diesel and Twister both small for the breed but very strong! I have a beautiful pug too</t>
  </si>
  <si>
    <t>Downtown Oklahoma City</t>
  </si>
  <si>
    <t>@TheBuffShow @TheTwisterOkc My boyfriend wants too see @ShaniaTwain too! #TwisterLovesShania ?????? http://t.co/O61h2tAaE4</t>
  </si>
  <si>
    <t>Some curls come out so pretty and some look like I just finished shooting the movie Twister</t>
  </si>
  <si>
    <t>Am now repped by the fantastic Laura Milne @TheJonesesVoice for all your liguistic needs. And that's some tongue twister tweets</t>
  </si>
  <si>
    <t>Seattle native in Prescott, AZ</t>
  </si>
  <si>
    <t>@jrlallo My narrator will have to say 'chemically interesting lavatory' for DB5. Not quite the tongue twister but certainly odd. :P</t>
  </si>
  <si>
    <t>Evergreen Colorado</t>
  </si>
  <si>
    <t>Satellite Spies Super Typhoon Soudelor from Space (Photo) http://t.co/VBhu2t8wgB</t>
  </si>
  <si>
    <t>Deadend, UK</t>
  </si>
  <si>
    <t>Buddha was 'man for his time' - massive urbanisation and social upheaval also challenged Brahmans dominance ('Genius of the Ancient World').</t>
  </si>
  <si>
    <t>A look at state actions a year after Ferguson's upheaval http://t.co/GZEkQWzijq</t>
  </si>
  <si>
    <t>USW: 'The damage from abandoning the deal could well create a new level of uncertainty...economic upheaval &amp;amp; military unrest'</t>
  </si>
  <si>
    <t>R'lyeh by Upheaval http://t.co/829n4HJHOL</t>
  </si>
  <si>
    <t>A look at state actions a year after Ferguson_x0089_Ûªs upheaval  http://t.co/G5ZsRU0zVQ</t>
  </si>
  <si>
    <t>Series finale of #TheGame :( It survived so much upheaval but the audience got so much good story.</t>
  </si>
  <si>
    <t>Newberg upheaval: Jacque Betz responds 'looking forward to the day' she can answer_x0089_Û_ http://t.co/LzasR05ljo  #news http://t.co/IeMxGSE2BE</t>
  </si>
  <si>
    <t>Chester</t>
  </si>
  <si>
    <t>Save the upset and stress of upheaval and let us help keep #elderly people independent! #companionship #care #Chester @chestertweetsuk</t>
  </si>
  <si>
    <t>eBooks, North America</t>
  </si>
  <si>
    <t>Medieval Upheaval (Hardy Boys: The Secret Files Book 18)
Franklin W. Dixon - Aladdin - Kindle Edition. http://t.co/braoUBgEC2</t>
  </si>
  <si>
    <t>Sydney &amp; Worldwide</t>
  </si>
  <si>
    <t>Upheaval high note for bush opera http://t.co/aWPU0gaE0b #Sydney #News #Aus</t>
  </si>
  <si>
    <t>An indepth look at the new world of work and how young people businesses and economies are coping with huge upheaval http://t.co/aYP6zVHm2A</t>
  </si>
  <si>
    <t>Ancient Mayan Tablet with Hieroglyphics Honors Lowly King http://t.co/xh4dZ1gpyw http://t.co/g0hsyH7YaV</t>
  </si>
  <si>
    <t>Scotts Valley, CA</t>
  </si>
  <si>
    <t>In depth: the new world of work and how young people businesses and economies are coping with huge upheaval http://t.co/0blKwCuPZq via @ft</t>
  </si>
  <si>
    <t>A look at state actions a year after Ferguson's upheaval http://t.co/TBQsqtmqV4</t>
  </si>
  <si>
    <t>IG/SC:bjfordiani</t>
  </si>
  <si>
    <t>But...! Oh! 
How rich the soil?!
How wonderful the upheaval!?
-@ENTERSHIKARI</t>
  </si>
  <si>
    <t>Tt kettlebell upheaval blueprint over chris lopez hindsight: JhmNYe</t>
  </si>
  <si>
    <t>Loan Upheaval Is The Way In Which Oneself Can Save Your House Leaving out Being Foreclosed On...TEJc</t>
  </si>
  <si>
    <t>Acquire your postexistence straight a elevation in addition to upheaval ideas yet perquisite: bRZjc</t>
  </si>
  <si>
    <t>East Aurora, NY</t>
  </si>
  <si>
    <t>#Tigers Wonder how much the upheaval with team is affecting different players tonight?</t>
  </si>
  <si>
    <t>Woosley</t>
  </si>
  <si>
    <t>Ancient Mayan Tablet with Hieroglyphics Honors Lowly King http://t.co/Im6m4XAeN2</t>
  </si>
  <si>
    <t>Ancient Mayan Tablet with Hieroglyphics Honors Lowly King http://t.co/WqIKqx9E3w</t>
  </si>
  <si>
    <t>Diageo's CEO stresses that a board revolt at United Spirits has not impacted Indian operations http://t.co/gfs7UsulgQ</t>
  </si>
  <si>
    <t>Costa Rica</t>
  </si>
  <si>
    <t>RT '@LiveScience: Ancient Mayan Tablet with Hieroglyphics Honors Lowly King: http://t.co/dpgdnaoY4p http://t.co/4fCJFDKdZS</t>
  </si>
  <si>
    <t>Hamilton, Ontario CA</t>
  </si>
  <si>
    <t>Ancient Mayan Tablet with Hieroglyphics Honors Lowly King: A 1600-year-old Mayan stone tablet describing the ... http://t.co/GLPFu0Uriz</t>
  </si>
  <si>
    <t>Attock</t>
  </si>
  <si>
    <t>Ancient Mayan Tablet found via http://t.co/LmUMzkLtln http://t.co/yebxxAryBF http://t.co/SRRUqfffr6 http://t.co/CadzxAgMSI</t>
  </si>
  <si>
    <t>August 5: Your daily horoscope: A relationship upheaval over the next few months may be disruptive but in the ... http://t.co/gk4uNPZNhN</t>
  </si>
  <si>
    <t>INDIA</t>
  </si>
  <si>
    <t>Lyf needs quality and a certain sense of security. Being with a person you can't trust can only cause stress and emotional upheaval.</t>
  </si>
  <si>
    <t>The Great Upheaval By Winik Jay http://t.co/Ef4swP9SXZ http://t.co/Nb7MAAAOfs</t>
  </si>
  <si>
    <t>CPT &amp; JHB, South Africa</t>
  </si>
  <si>
    <t>To navigate inevitable upheaval internal audit must lead the way http://t.co/je86VetDxh</t>
  </si>
  <si>
    <t>Diageo's CEO stresses that a board revolt at United Spirits has not impacted Indian operations http://t.co/STPOdA901U</t>
  </si>
  <si>
    <t>Oregon and Washington</t>
  </si>
  <si>
    <t>Newberg upheaval: Jacque Betz responds 'looking forward to the day' she can answer questions #orcot #orpol http://t.co/dazQaMOO0C</t>
  </si>
  <si>
    <t>@abcnews UK scandal of 2009 caused major upheaval to Parliamentary expenses with subsequent sackings and prison. What are we waiting for?</t>
  </si>
  <si>
    <t>Violent Forces Radio: Now Playing Agony - Storm of the apocalypse
TuneIn Player @ http://t.co/XsSgEdSbH4</t>
  </si>
  <si>
    <t>'@NASASolarSystem: Jupiter's Great Red Spot is a violent storm larger than the entire Earth. http://t.co/2lBTshXI3c http://t.co/0jmKdTcYmJ'</t>
  </si>
  <si>
    <t xml:space="preserve">Milky Way galaxy </t>
  </si>
  <si>
    <t>Jupiter's Great Red Spot is a violent storm larger than the entire Earth. http://t.co/I5k3VjICMG http://t.co/cizJAFnm4E</t>
  </si>
  <si>
    <t>??? ???? ?f glory. ?</t>
  </si>
  <si>
    <t>@Skarletan åÇ the storm. A violent swell of emotions then nothing.</t>
  </si>
  <si>
    <t>RT '@NASASolarSystem: Jupiter's Red Spot is a violent storm larger than the entire Earth: http://t.co/i0Tvl15CoZ http://t.co/IgtXhapO0K</t>
  </si>
  <si>
    <t>@TeaFrystlik -- causing the entire sky around their battle to darken to a violent storm as an ungodly powerful bolt of lightning struck at--</t>
  </si>
  <si>
    <t>Newcastle, OK</t>
  </si>
  <si>
    <t>I think that none of us know the impact we have on the lives of those around us. Even the slightest stirring can create a violent storm.</t>
  </si>
  <si>
    <t>Maailiss: Diaporama : sixpenceee: Karymsky Lake is a crater lake located in the Karymsky volcanoåÊinåÊRussia. With a_x0089_Û_ http://t.co/4o460Fm8HN</t>
  </si>
  <si>
    <t>http://t.co/Ns1AgGFNxz #shoes Asics GT-II Super Red 2.0 11 Ronnie Fieg Kith Red White 3M x gel grey volcano 2 http://t.co/oD250zshFy</t>
  </si>
  <si>
    <t>Diaporama : sixpenceee: Karymsky Lake is a crater lake located in the Karymsky volcanoåÊinåÊRussia. With a... http://t.co/7uf7TSt9Zx</t>
  </si>
  <si>
    <t>http://t.co/3nUiH6pkUi #shoes Asics GT-II Super Red 2.0 11 Ronnie Fieg Kith Red White 3M x gel grey volcano 2 http://t.co/2ufCC6gH3m</t>
  </si>
  <si>
    <t>Ted&amp;Qz Inc, Ireland, Europe</t>
  </si>
  <si>
    <t>@songhey89 well I'm also gay but girls like some too. So.  I predict tsunami &amp;amp; volcano &amp;amp; earthquakes. A gift from God? Am Christian but</t>
  </si>
  <si>
    <t>Northern Colorado</t>
  </si>
  <si>
    <t>Brian Shaw + J.J. Hickson + Kenneth Faried trying to defend LaMarcus Aldridge was A BLOOD VOLCANO http://t.co/20TWGPmM7d</t>
  </si>
  <si>
    <t>West Coast, Cali USA</t>
  </si>
  <si>
    <t>The Architect Behind Kanye West_x0089_Ûªs Volcano https://t.co/MUSBIk7EJf</t>
  </si>
  <si>
    <t>@lexi_purduee the volcano by it ??????</t>
  </si>
  <si>
    <t>This LA Startup Is So Hot that Their Flowers Come Straight from a Volcano http://t.co/R3PDdjPiEe via @LATechWatch</t>
  </si>
  <si>
    <t xml:space="preserve">nashville, tn </t>
  </si>
  <si>
    <t>Sitting still in the #CityofMemphis traffic is like sitting in a war zone! They don't move for the Police.. They don't care</t>
  </si>
  <si>
    <t>Incognito</t>
  </si>
  <si>
    <t>Zone of the Enders MGS2 God of War. RT @D_PageXXI: Quote this with your favorite PS2 game</t>
  </si>
  <si>
    <t>Bedroom clean  bathroom clean  laundry done .. Shit was looking like a war zone in here ??</t>
  </si>
  <si>
    <t>Somewhere else...</t>
  </si>
  <si>
    <t>This bed looks like a war zone.</t>
  </si>
  <si>
    <t xml:space="preserve">In a graveyard </t>
  </si>
  <si>
    <t>Rip mama but I'm still thuggin cause the world is a war zone</t>
  </si>
  <si>
    <t>Downtown Churubusco, Indiana</t>
  </si>
  <si>
    <t>Camping in a war zone with roving raccoons toughens city slicker http://t.co/oJuS08yZrq</t>
  </si>
  <si>
    <t>GEARS OF WAR 1!(preview member) Come chat! XB1! Welcome to the DANGER zone!: http://t.co/6SdgZ5DXNt</t>
  </si>
  <si>
    <t>They turned Jasmines house into a war zone. ?? #LittleWomenLA</t>
  </si>
  <si>
    <t>Sundays during football seasonfrom about 9 am - 11 pm women shouldn't even log onshit be a complete war zone</t>
  </si>
  <si>
    <t>mama I'm still thugging the world is a war zone</t>
  </si>
  <si>
    <t>Still. ??S.A.N.D.O.S??</t>
  </si>
  <si>
    <t>Mama I'm still thuggin the world is a war zone my homies is inmate and most of em dead wrong.</t>
  </si>
  <si>
    <t>We're All Mad Here</t>
  </si>
  <si>
    <t>Packing for CT aka my room looks like a war zone</t>
  </si>
  <si>
    <t>@kasiakosek the drive sucks in my case because I know my desk looks like a war zone and then everyone goes into the 'I need this' mode</t>
  </si>
  <si>
    <t>How do people bake without turning their kitchen into a war zone of eggs and flour</t>
  </si>
  <si>
    <t>Greedy had me in the war zone ! Lmao</t>
  </si>
  <si>
    <t>@RobertONeill31 Getting hit by a foul ball while sitting there is hardly a freak accident. It's a war zone.</t>
  </si>
  <si>
    <t>New Hampshire, USA</t>
  </si>
  <si>
    <t>#GrowingupBlack walking past chicken frying was like entering a war zone.</t>
  </si>
  <si>
    <t>//RP\ ot @Mort3mer\\</t>
  </si>
  <si>
    <t>-honey you ain't no angel. You like to scream these words as a weapon. Well go ahead take your best shot woman. I wanna leave you it's</t>
  </si>
  <si>
    <t>Fur Leather Coats sprite &amp;amp; weapon of choice was a lifestyle chosen back in '02 http://t.co/N9SNJMEVI6</t>
  </si>
  <si>
    <t>@RogueWatson Nothing wrong with that. The Lethal Weapon series is great. Yes they're ALL great.</t>
  </si>
  <si>
    <t>åÊ(?_x0089_Û¢`?_x0089_Û¢å«)??</t>
  </si>
  <si>
    <t>@junsuisengen changing my weapon!</t>
  </si>
  <si>
    <t>New York 2099</t>
  </si>
  <si>
    <t>@DwarfOnJetpack I guess I can say you and me might have one thing in common my biological father made me this way to be his weapon</t>
  </si>
  <si>
    <t>FUCK NUCLEAR WEAPON</t>
  </si>
  <si>
    <t>BUT I will be uploading these videos ASAP so you guys get to see the new weapon types in action!</t>
  </si>
  <si>
    <t>GUN FIREARM WEAPON VECTOR CLIP ART FOR VINYL SIGN CUTTER RIFLE GUNS WEAPONS http://t.co/sdOgEF3kFT http://t.co/x0giy85BS8</t>
  </si>
  <si>
    <t>Halifax, NS, Canada</t>
  </si>
  <si>
    <t>@RosemaryTravale Do we all use the same weapon? 'cause we might be screwed XD</t>
  </si>
  <si>
    <t>UK,singer,songwriter,?2 act</t>
  </si>
  <si>
    <t>@Weapon_X_music hey guys thanks for a rock in my world and for the follow????????</t>
  </si>
  <si>
    <t>kediri,,jawa timur</t>
  </si>
  <si>
    <t>@muttatek m believe my 'blue' not isis kwwwkwwwk 
Without weapon 'blue' will hug me jiahahahha 
Yeyeulala....</t>
  </si>
  <si>
    <t>I... I might buy my esoteric weapon for astrologian...</t>
  </si>
  <si>
    <t>Pulse rifles after weapon tuning? http://t.co/UwObuUW2mK</t>
  </si>
  <si>
    <t>Back to back like I'm on the cover of lethal weapon</t>
  </si>
  <si>
    <t>#InsaneLimits #plugin enabled  @'    =TPS= | TDM | 400T | HARDCORE | LOCKER | WEAPON RULES' using 3 limits</t>
  </si>
  <si>
    <t>only weapon im scared off is karma</t>
  </si>
  <si>
    <t>CT, USA</t>
  </si>
  <si>
    <t>@Camilla_33 @CrayKain Hate to shatter your delusions but a hatchet is a deadly weapon justifying lethal force. #gunsense</t>
  </si>
  <si>
    <t>www.twitch.tv/PKSparkxx</t>
  </si>
  <si>
    <t>Slosher is GOAT. Freaking love that weapon. Can't wait to do an episode of Splatdown with it.
Switching to the Splatling Gun now.</t>
  </si>
  <si>
    <t>statesboro/vidalia</t>
  </si>
  <si>
    <t>@ThatRussianMan you're too busy finishing those weapon designs</t>
  </si>
  <si>
    <t>New Jersey, usually</t>
  </si>
  <si>
    <t>So yeah splatoon is still lots of fun and default splattershot jr is still the only weapon layout I'm good at</t>
  </si>
  <si>
    <t>'Education is the most powerful weapon which you can use to change the world.' Nelson #Mandela #quote http://t.co/QR1L2JYUEZ</t>
  </si>
  <si>
    <t>Haveli, Maharashtra</t>
  </si>
  <si>
    <t>@SalmanMyDarling I will watch your dub again it will be 100 % again ???? I also have other 3 ..will use one weapon today :p</t>
  </si>
  <si>
    <t>Slateport City, Hoenn</t>
  </si>
  <si>
    <t>@Snazzychipz OMG... WHAT IS THE SUB WEAPON</t>
  </si>
  <si>
    <t>Weapon's catalogue~</t>
  </si>
  <si>
    <t>I'm servicin in my section I'm lurkin I'm with my weapon</t>
  </si>
  <si>
    <t>ohio</t>
  </si>
  <si>
    <t>@danagould @WaynesterAtl I agree with background checks. I just think guns or weapons in general are the great equalizer.</t>
  </si>
  <si>
    <t>#Kick Hendrixonfire  @'=BLACKCATS= | BIG NOOB CONQUEST | MIXED MAPS | ALL WEAPONS' for violated K/DR  Limit /Server  max 3</t>
  </si>
  <si>
    <t>The thing with rules is break it once it becomes easier the next time.
http://t.co/hGb1mc3IRk  https://t.co/6ysXGhc8gz</t>
  </si>
  <si>
    <t>GrC Founder, 8,000 Subscribers</t>
  </si>
  <si>
    <t>Weapons stolen from National Guard Armory in New Albany still missing #Gunsense http://t.co/lKNU8902JE</t>
  </si>
  <si>
    <t>Hello Twitter i need some book bloggers and interviews regarding my book Weapons Formed Against Me #ineedexposure</t>
  </si>
  <si>
    <t>I liked a @YouTube video from @dannyonpc http://t.co/AAuIzGGc9Q Battlefield Hardline - 11 NEW WEAPONS - New map - Throwingknifes!</t>
  </si>
  <si>
    <t>WOOOOOOO RT @GameRant: Call of Duty: Black Ops 3 eSports Mode Lets Players Ban Weapons http://t.co/76EHHmQQ6R http://t.co/umtffA9JjB</t>
  </si>
  <si>
    <t>A thought on not dismantling our weapons 'yet' http://t.co/vn0acCF6D4</t>
  </si>
  <si>
    <t>Regalo Island</t>
  </si>
  <si>
    <t>Weapons: Twin Knives #OjouBot</t>
  </si>
  <si>
    <t>california | oregon | peru |</t>
  </si>
  <si>
    <t>@DorisMatsui thank you for supporting the President. The #IranDeal takes nuclear weapons out of the hands of Iran and keeps everyone safer.</t>
  </si>
  <si>
    <t>N. California USA</t>
  </si>
  <si>
    <t>Mere sight of a gun makes police _x0089_ÛÒ and public _x0089_ÛÒ more aggressive experts say http://t.co/N4NEUIyt2k</t>
  </si>
  <si>
    <t>Multinational *****</t>
  </si>
  <si>
    <t>@JamesMelville Some old testimony of weapons used to promote conflicts
Tactics - corruption &amp;amp; infiltration of groups
https://t.co/cyU8zxw1oH</t>
  </si>
  <si>
    <t>Your Router is One of the Latest DDoS Attack Weapons http://t.co/vXxMvgtzvg #phone #gaming #tv #news</t>
  </si>
  <si>
    <t>Vermont, USA</t>
  </si>
  <si>
    <t>I think this is my plan for retirement. Check out the weapons of mass instruction! #bookmobile #libraries #reading http://t.co/L2NMywrmq2</t>
  </si>
  <si>
    <t>#bigbrother #ch4 The X-37b's big brother revealed: Boeing bags $6.6m contract to design ... - Daily Mail http://t.co/0migwcmtJe</t>
  </si>
  <si>
    <t>@david_hurn @ToKTeacher Why is there something in place to prevent skynet? Because perhaps there should be! http://t.co/73Umw2iGRZ</t>
  </si>
  <si>
    <t xml:space="preserve">( ?å¡ ?? ?å¡), </t>
  </si>
  <si>
    <t>I liked a @YouTube video from @dannyonpc http://t.co/AD38KWoGlh Battlefield Hardline - 11 NEW WEAPONS - New map - Throwingknifes!</t>
  </si>
  <si>
    <t>@kirstiealley @_AnimalAdvocate Or pay it for a photo safari no weapons allowed. Otherwise=they just like to kill something.</t>
  </si>
  <si>
    <t>Kernow</t>
  </si>
  <si>
    <t>Slightly doesn't help that he has Suh and Wake in practice. But think he will get there. A lot of weapons! #FinsUp 
http://t.co/i1EeUxxZ3A</t>
  </si>
  <si>
    <t>@Glosblue66 no idea what this means. Look at our violent crime rate without weapons. Ban guns we become like Mexico not Australia</t>
  </si>
  <si>
    <t>Death certificates safes weapons and Teslas: DEF CON 23 #Security http://t.co/KMDQm3NlnS</t>
  </si>
  <si>
    <t>I liked a @YouTube video from @dannyonpc http://t.co/PyVRPrNhOP Battlefield Hardline - 11 NEW WEAPONS - New map - Throwingknifes!</t>
  </si>
  <si>
    <t>Holly, MI</t>
  </si>
  <si>
    <t>Hey all you love birds! We have been getting submissions for the Whirlwind Wedding Wars and they are so fantastic! Keep sending them guys!</t>
  </si>
  <si>
    <t>Somewhere between here &amp; there</t>
  </si>
  <si>
    <t>I stand alone
don't piss and moan
about my choices made
If I must reap the whirlwind so be it
I'll do so with demeanor calm and staid</t>
  </si>
  <si>
    <t>Frostburg</t>
  </si>
  <si>
    <t>HELP I'M IN A WHIRLWIND OF NOSTALGIA</t>
  </si>
  <si>
    <t>Sitting in a cafe enjoying a bite and cramming for my meeting during my whirlwind 14-hours in NYC! https://t.co/TO0BPiEymS</t>
  </si>
  <si>
    <t>Canterbury kent</t>
  </si>
  <si>
    <t>Only been back 10 &amp;amp; a whirlwind has hit jaiden started open his present straight away didn't even get chance get in &amp;amp; sit down lol</t>
  </si>
  <si>
    <t>The Sun's Corona</t>
  </si>
  <si>
    <t>It was a whirlwind love affair that began over back fat and grew into much more.</t>
  </si>
  <si>
    <t>140920-21 &amp; 150718-19 BEIJING</t>
  </si>
  <si>
    <t>Eyes smile. Pretty smile.  Good hair. Miss Luhan in exo. ???????? http://t.co/y7O55by36f</t>
  </si>
  <si>
    <t>NEW YORK: A whirlwind day of activities in New York. Breakfast at the Millennium Hotel United Nations Plaza. Lunch... http://t.co/laYZBA9y8h</t>
  </si>
  <si>
    <t>PawSox owners public return from whirlwind trip to Durham - Knoxville News Sentinel http://t.co/9ckggGYvOU http://t.co/u0vdBrXfia</t>
  </si>
  <si>
    <t>Harbour Heights, FL</t>
  </si>
  <si>
    <t>@DrMartyFox     In the U.S. government and Libs made evil good and good evil. We will reap the whirlwind. Lord have mercy on us.</t>
  </si>
  <si>
    <t>Sheff/Bangor/Salamanca/Madrid</t>
  </si>
  <si>
    <t>@VixMeldrew sounds like a whirlwind life!</t>
  </si>
  <si>
    <t>{INFO} Baekhyun and Suho will be attending the Idol Sports Championship on August 10th
Cr: SYJEXO 
 http://t.co/oAZjPwUeYR</t>
  </si>
  <si>
    <t>My #mantra this morning!! Heading out to Make a whirlwind trip down south_x0089_Û_ https://t.co/geht4sKI86</t>
  </si>
  <si>
    <t>Richardson TX</t>
  </si>
  <si>
    <t>???? throwback Thurs ?? ????  Will You Still Love Me Tomorrow http://t.co/wmoyibWEc1 ??   @LucyMayOfficial  ?? ?? #Whirlwind http://t.co/0rsverLzTm</t>
  </si>
  <si>
    <t>Last Second OutBid RT? http://t.co/KrNW0Wxhe5 30pcs 12mm Ab Resin Flower Whirlwind Flatback Rhinestone Wedding Decoration ?Please Fa</t>
  </si>
  <si>
    <t>Whirlwind Head Scissor on @alexhammerstone @kttape ktfounder #RemyMarcel #FroFroFro_x0089_Û_ https://t.co/B19z8Vi3td</t>
  </si>
  <si>
    <t>Set a new record.... 7 states in 4 days. I don't even know where I am when I wake up anymore. What a whirlwind! Loving every minute though.</t>
  </si>
  <si>
    <t>reap the whirlwind</t>
  </si>
  <si>
    <t>Where I Need To Be</t>
  </si>
  <si>
    <t>@TheEmoBrago back doing another jitsu making a hexagon on the ground as you laid there.* 64 palms of whirlwind * I yelled as air began to +</t>
  </si>
  <si>
    <t>In @edfringe? We highly recommend @M00NF00L #Titania @Summerhallery A whirlwind reimagining /Shakespeare's Midsummer https://t.co/iIAIGZkbnJ</t>
  </si>
  <si>
    <t>NEPA/570</t>
  </si>
  <si>
    <t>The Whirlwind! Scourge of Europe! RT @whedonesque Or you could just watch the Fanged Four http://t.co/Q0JHDcU6Ly</t>
  </si>
  <si>
    <t>Whirlwind weekend #1 starts in 12 hours #cantwaittoplayinminneapolis</t>
  </si>
  <si>
    <t>pettyville, usa</t>
  </si>
  <si>
    <t>this week has been a whirlwind but this  is exactly what i imagined the nyc version of my career to be like</t>
  </si>
  <si>
    <t>Phila.</t>
  </si>
  <si>
    <t>MY GIRL GOT A GIRLFRIEND CHEVY BLUE LIKE WHIRLWIND.</t>
  </si>
  <si>
    <t>brooklyn, NYC</t>
  </si>
  <si>
    <t>#picthis http://t.co/br7gmMh5Ek _x0089_ÛÓ And I_x0089_Ûªm off! Thank you so much #Toronto. It has been such a whirlwind of amazingness. So glad I finall_x0089_Û_</t>
  </si>
  <si>
    <t>They should just have load shedding permanently and we will all just live like we in the wild and have camp fires  cook with fire etc</t>
  </si>
  <si>
    <t>West Vancouver, B.C.</t>
  </si>
  <si>
    <t>Man selling WILD MORELS at Ambleside Farmr Mart.Sun.-MUSHROOM forageSECRET IS TO KNOW WHAT TREES they grow under &amp;amp; BEST AFTER FOREST FIRES</t>
  </si>
  <si>
    <t>'Your love will surely come find us
Like blazing wild fires singing Your name'</t>
  </si>
  <si>
    <t>@WBCShirl2 Yes God doessnt change  he says not to rejoice over the fall of people or calamities like wild fires  ect  you wanna be punished?</t>
  </si>
  <si>
    <t>Vail Valley</t>
  </si>
  <si>
    <t>We should all have a fire safety plan. RT @Matt_Kroschel: MOCK WILDFIRE near #Vail as agencies prepare for the worst. http://t.co/SWwyLRk0fv</t>
  </si>
  <si>
    <t>NowPlaying GT &amp;amp; Wildfire feat. Freaks In Love Feels Like It Should (Original Mix) Massive Dance Radio ListenLive: http://t.co/ANoDGXZR3E</t>
  </si>
  <si>
    <t>I honestly wonder what it is that I had to do so wrong to lose everyone.</t>
  </si>
  <si>
    <t>?? Cloud Mafia ??</t>
  </si>
  <si>
    <t>@_wildfire__ ???? Bruh that's the lady from Mulan!!</t>
  </si>
  <si>
    <t>Galveston, Texas</t>
  </si>
  <si>
    <t>For sixth year in a row premium costs for windstorm insurance to climb. This time by 5 percent. #GalvNews  https://t.co/Cm9TvE2Vsq</t>
  </si>
  <si>
    <t>'My Fifty Online Dates and why I'm still single' by Michael Windstorm $2.99 B&amp;amp;N http://t.co/dde8GXaQrp   #nook #books #TheBachelorette</t>
  </si>
  <si>
    <t>Texas Seeks Comment on Rules for Changes to Windstorm Insurer http://t.co/ei8QqhrEgZ #insurance</t>
  </si>
  <si>
    <t>Georgia ? Tennessee</t>
  </si>
  <si>
    <t>When I breathe it sounds like a windstorm. Haha cool</t>
  </si>
  <si>
    <t>WindStorm WSVR1686B Cover for V-Hull Runabout Boat including euro-style with wi http://t.co/8Prnhrhb2T http://t.co/OAhLtHRozY</t>
  </si>
  <si>
    <t>Gettysburg, PA</t>
  </si>
  <si>
    <t>#NowPlaying School Of Seven Bells - Windstorm #WZBT</t>
  </si>
  <si>
    <t>Windstorm board OKs rate hike before change http://t.co/AI6kwOrBbT #politics #txlege #twia</t>
  </si>
  <si>
    <t>Florida USA</t>
  </si>
  <si>
    <t>One thing I wanna see before I die&amp;gt; #Trump standing in a good windstorm with no hat on!!! #Hardball</t>
  </si>
  <si>
    <t>Hermitage, PA</t>
  </si>
  <si>
    <t>@chriscesq The average GOP voter would go to a big-tent circus in a hailstorm/windstorm no? :-)</t>
  </si>
  <si>
    <t>@charlesadler Ian Lee's word is like 'A fart in a windstorm'. Such a browner.</t>
  </si>
  <si>
    <t>Jakarta, Indonesia</t>
  </si>
  <si>
    <t>Texas Seeks Comment on Rules for Changes to Windstorm Insurer http://t.co/BP6MfJHARS</t>
  </si>
  <si>
    <t>Texas Seeks Comment on Rules for Changes to Windstorm Insurer http://t.co/BNNIdfZWbd</t>
  </si>
  <si>
    <t>Newton, NJ 07860</t>
  </si>
  <si>
    <t>Shirley Caesar - Windstorm http://t.co/KoCH8SLasQ #nowplaying #listenlive</t>
  </si>
  <si>
    <t>If you find your patio table umbrella and chairs flipped over and suspect foul play (instead of windstorm) you may be a suspense writer.</t>
  </si>
  <si>
    <t>she/her/your majesty/empress</t>
  </si>
  <si>
    <t>I like the weird ones like Rain of Mystical or Windstorm or Ocean Waves https://t.co/gCdxYdBSc4</t>
  </si>
  <si>
    <t>A fierce windstorm can't take place without da calm/stillness of the eye/center so w/ that said ur internal aspects weigh more than external</t>
  </si>
  <si>
    <t>New roof and hardy up..Windstorm inspection tomorrow http://t.co/kKeH8qCgc3</t>
  </si>
  <si>
    <t>School Of Seven Bells - Windstorm  http://t.co/E1kbluDwh5 #nowplaying</t>
  </si>
  <si>
    <t>LYNBROOK</t>
  </si>
  <si>
    <t>#Insurance: Texas Seeks Comment on Rules for Changes to Windstorm Insurer http://t.co/rb02svlpPu</t>
  </si>
  <si>
    <t>Friendswood, TX</t>
  </si>
  <si>
    <t>TWIA board approves 5 percent rate hike: The Texas Windstorm Insurance Association (TWIA) Board of Directors v... http://t.co/esEMjRn5cC</t>
  </si>
  <si>
    <t>Sugar Land, TX</t>
  </si>
  <si>
    <t>Texas Seeks Comment on Rules for Changes to Windstorm Insurer http://t.co/BZ07c9WthX via @ijournal</t>
  </si>
  <si>
    <t>(a) property of the universe</t>
  </si>
  <si>
    <t>the windstorm blew thru my open window and now my bong is in pieces just another example of nature's indifference to human suffering</t>
  </si>
  <si>
    <t>'My Fifty Online Dates and why I'm still single' by Michael Windstorm $2.99 Amazon http://t.co/5KohO39oJE    #kindle  #datingtips #goodreads</t>
  </si>
  <si>
    <t>Texas Seeks Comment on Rules for Changes to Windstorm Insurer http://t.co/XQIadG9H2w http://t.co/yPEElMjdZY</t>
  </si>
  <si>
    <t>North Cack/919</t>
  </si>
  <si>
    <t>I also loved 'Bury my heart at wounded knee' too! #TheGame</t>
  </si>
  <si>
    <t>Scottsdale, AZ</t>
  </si>
  <si>
    <t>The whole food stamp gov. assistance program needs to be retooled for wounded veterans retirees and handicapped only.  #NoMoreHandouts</t>
  </si>
  <si>
    <t>Victoria, Canada</t>
  </si>
  <si>
    <t>Twilight's Encore (Wounded Hearts Book 3) by Jacquie Biggar http://t.co/ZnpTdIcQxE via @amazon #KindleCountdown #Sale #MFRWauthor #MGTAB</t>
  </si>
  <si>
    <t>Have you ever seen the President 
who killed your wounded child?
Or the man that crashed your sister's plane 
claimin' he was sent of God?</t>
  </si>
  <si>
    <t>Suva, Fiji Islands.</t>
  </si>
  <si>
    <t>GENERAL AUDIENCE: On Wounded Families | ZENIT - The World Seen From Rome http://t.co/hFvnyfT78C</t>
  </si>
  <si>
    <t>DESCRIPTIONS OF 'WOUNDED CATS BEING 'EXCITING' http://t.co/BJycRGfH5y</t>
  </si>
  <si>
    <t>Love is the weapon for this wounded generation &amp;lt;3</t>
  </si>
  <si>
    <t>@AsterPuppet wounded and carried her back to where his brothers and sisters were and entered the air ship to go back to Academia</t>
  </si>
  <si>
    <t>I'm liable to sound like a wounded animal during sex if the ?? is good lol</t>
  </si>
  <si>
    <t>National free root beer float day is tomorrow at A&amp;amp;W from 2pm-close!! Help support the Wounded Warrior Project with donations!! :)</t>
  </si>
  <si>
    <t>Wherever I'm needed</t>
  </si>
  <si>
    <t>-- small bag from the bottom the wounded hero shakes it. A Senzu Bean falls from it. Gohan_x0089_Ûªs surprised. Shakes the pouch once more but --</t>
  </si>
  <si>
    <t>Sale, England</t>
  </si>
  <si>
    <t>@CharlesDagnall He's getting 50 here I think. Salt. Wounds. Rub. In.</t>
  </si>
  <si>
    <t xml:space="preserve">Newcastle, England </t>
  </si>
  <si>
    <t>Nout like rubbin salt in the wounds dad.. ?????? http://t.co/M8UfjDtlsm</t>
  </si>
  <si>
    <t>We would become the mirrors that reflected each other's most private wounds and desires.</t>
  </si>
  <si>
    <t>in my head</t>
  </si>
  <si>
    <t>You are equally as scared cause this somehow started to heal you fill your wounds that you once thought were permanent.</t>
  </si>
  <si>
    <t>RT @DianneG: Gunshot wound #9 is in the bicep. only 1 of the 10 wounds that is not in the chest/torso area.  #KerrickTrial #JonathanFerrell</t>
  </si>
  <si>
    <t>white ppl bruise easily.. where ur bullet wounds at ?? 
https://t.co/6vyYER6PY0</t>
  </si>
  <si>
    <t>Rutherfordton, NC</t>
  </si>
  <si>
    <t>Help yourself or those you love who suffer from self-esteem wounds. You can today! http://t.co/tu6ScRSXVG http://t.co/iDhj4JBQ05</t>
  </si>
  <si>
    <t>Lake Highlands</t>
  </si>
  <si>
    <t>Crack in the path where I wiped out this morning during beach run. Surface wounds on left elbow and right knee. http://t.co/yaqRSximph</t>
  </si>
  <si>
    <t>iPhone: 33.104393,-96.628624</t>
  </si>
  <si>
    <t>@mattmosley post a pic of your wounds please</t>
  </si>
  <si>
    <t>11 puncture wounds</t>
  </si>
  <si>
    <t>Having your wounds kissed by Someone who doesn't see them as disasters in your soul but rather cracks to pour their love into is amazing.</t>
  </si>
  <si>
    <t>@FEVWarrior -in the Vault that could take a look at those wounds of yours if you'd like to go to one of these places first.' Zarry has had-</t>
  </si>
  <si>
    <t>Cutting for some celebrety and then posting the wounds online is a no-go.</t>
  </si>
  <si>
    <t>If time heals all wounds how come the belly button stays the same?</t>
  </si>
  <si>
    <t>and I thought my surgical wounds were healed!!! this weather ain't helping either ):</t>
  </si>
  <si>
    <t>KADUNA, NIGERIA</t>
  </si>
  <si>
    <t>It is not always friendship when kisses show up neither is it always enemity that shows up when wounds show up. #BishopFred</t>
  </si>
  <si>
    <t xml:space="preserve">Shady Pines </t>
  </si>
  <si>
    <t>I keep scrolling to find out what he said or did....but there seems to be no exact starting point.  Wounds run deep. : /</t>
  </si>
  <si>
    <t>Wales, United Kingdom</t>
  </si>
  <si>
    <t>@BritishBakeOff This has opened up old baked alaskan shaped wounds. Too soon GBBO too soon... #neverforget</t>
  </si>
  <si>
    <t xml:space="preserve"> Alex/Mika/Leo|18|he/she/they</t>
  </si>
  <si>
    <t>@ego_resolution im glad. My gay can heal 1000 wounds</t>
  </si>
  <si>
    <t>Court back in session. Testimony continues with med. examiner discussing gunshot wounds #KerrickTrial</t>
  </si>
  <si>
    <t>@NicolaClements4 I_x0089_Ûªm not sure that covering my head in wounds and scabs is the solution ;)</t>
  </si>
  <si>
    <t>Not Steven Yeun / AMC.</t>
  </si>
  <si>
    <t>@DauntedPsyche - Man gently dabbed the cotton rag across each one of his wounds; the pain a lot more worse than Glenn had ever -</t>
  </si>
  <si>
    <t>ME says many of these wounds could be fatal some rather quickly others slower and a couple not lethal at all. #KerrickTrial</t>
  </si>
  <si>
    <t>moss chamber b</t>
  </si>
  <si>
    <t>@Squeaver just hangin out in star buck watchin my boy wreck this septic tank</t>
  </si>
  <si>
    <t>I am a wreck</t>
  </si>
  <si>
    <t>1/10 Taron squad</t>
  </si>
  <si>
    <t>Season 3 of New Girl was such a emotional train wreck I just wanted to cry laugh and eat a lot of ice cream</t>
  </si>
  <si>
    <t>wreck? wreck wreck wreck wreck wreck wreck wreck wreck wreck wreck wreck wreck?</t>
  </si>
  <si>
    <t>Argentina</t>
  </si>
  <si>
    <t>Did I drink too much? Am I losing touch? Did I build a ship to wreck?</t>
  </si>
  <si>
    <t xml:space="preserve"> ?currently writing a book?</t>
  </si>
  <si>
    <t>I'm a friggin wreck destiel sucks (read the vine description)
https://t.co/MKX6Ux4OZt</t>
  </si>
  <si>
    <t>Pratt-on-Wye</t>
  </si>
  <si>
    <t>How many cars do those cyclists wreck going past scratching with pedals. They should be banned #c4news</t>
  </si>
  <si>
    <t>Somerset, UK</t>
  </si>
  <si>
    <t>LARGE SHIP WRECK FISH TANK ORNAMENT FOR SALE LARGE SHIP WRECK FISH TANK AQUA...http://t.co/scGhL0Piq6</t>
  </si>
  <si>
    <t>@Memenaar But the design decision to 'Let's make something fresh and beautiful and wonderful and then WRECK IT' is kindof odd in restrospect</t>
  </si>
  <si>
    <t>@_PokemonCards_ @IceQueenFroslas why did they have to wreck it with ON SALE HERE ;-;</t>
  </si>
  <si>
    <t>Ranking #artectura #pop2015 #Nå¼36 Florence + The Machine - Ship To Wreck https://t.co/9LE0B19lVF  #music #playlist #YouTube</t>
  </si>
  <si>
    <t>Atlanta, Georgia</t>
  </si>
  <si>
    <t>#Trump debate will be most highly watched show tonight even among progressives. I too will watch hoping for a spectacular flaming wreck.</t>
  </si>
  <si>
    <t>SF Bay Area, California / Greater Phoenix, AZ</t>
  </si>
  <si>
    <t>Anyone know if Fox _x0089_ÛÏNews_x0089_Û_x009d_ will be live-streaming tonight_x0089_Ûªs Republican debate online? I want to watch the train wreck.</t>
  </si>
  <si>
    <t>@girlthatsrio have my uncles wreck their shit</t>
  </si>
  <si>
    <t>Alabama, USA</t>
  </si>
  <si>
    <t>First wreck today. So so glad me and mom are okay. Could've been a lot worse. So happy the lord was with us today ??????</t>
  </si>
  <si>
    <t>I'm an emotional wreck right now.</t>
  </si>
  <si>
    <t>My emotions are a train wreck. My body is a train wreck. I'm a wreck</t>
  </si>
  <si>
    <t>act my age was a MESS everyone was so wild it was so fun my videos a wreck</t>
  </si>
  <si>
    <t>GOP debate drinking game. For anyone looking for a bit of fun while watching this train wreck. http://t.co/W3Rga0nkOm http://t.co/0TZsQe8ESD</t>
  </si>
  <si>
    <t>Got in a car wreck. The car in front of me didn't put their blinker on :-))) but it really does feel great outside so lol</t>
  </si>
  <si>
    <t>Gwersyllt, Wales</t>
  </si>
  <si>
    <t>Don't think I Can take anymore emotional wreck watching @emmerdale #SummerFate @MikeParrActor @MissCharleyWebb</t>
  </si>
  <si>
    <t>Greenville</t>
  </si>
  <si>
    <t>The court system is truly broken indeed! But then its no surprise based on who it's run by! http://t.co/uU64wfg17m</t>
  </si>
  <si>
    <t>AmazonDeals: Skylanders Trap Team: Flip Wreck Character Pack - down 4.53% ($0.45) to $9.49 from $9.94 #Sale http://t.co/pMbuzfGIn3</t>
  </si>
  <si>
    <t>Innsmouth, Mass.</t>
  </si>
  <si>
    <t>A staged locomotive wreck what could possibly go wrong? http://t.co/Ei9x4H8tHm</t>
  </si>
  <si>
    <t>i still don't see the point of a frozen sequel like where's the wreck it ralph sequel</t>
  </si>
  <si>
    <t>709?</t>
  </si>
  <si>
    <t>I still need to finish the lover but I'm watching this other drama for 8 hours now and I'm an emotional wreck so the lover needs to wait</t>
  </si>
  <si>
    <t>@TitorTau The Loretta Lynch one was fuckin' HI-LARIOUS to watch in realtime. It was like a train wreck of fact-checking and ombudsmanship.</t>
  </si>
  <si>
    <t>Canada BC</t>
  </si>
  <si>
    <t>@raineishida lol...Im just a nervous wreck :P</t>
  </si>
  <si>
    <t>Plano, IL</t>
  </si>
  <si>
    <t>Amazon Prime Day: 12 quick takeaways from Amazon_x0089_Ûªs magnificent train wreck - http://t.co/DBDwtOcGXF</t>
  </si>
  <si>
    <t>scumbernauld</t>
  </si>
  <si>
    <t>I'm an emotional wreck watching emmerdale</t>
  </si>
  <si>
    <t>Wrecked an hour on YouTube with @julian_lage @GrantGordy &amp;amp; @RossMartin7 and now it's practice time again.</t>
  </si>
  <si>
    <t xml:space="preserve">Robin Hood's County </t>
  </si>
  <si>
    <t>late night mcdonalds with friends = hilarious although my car is wrecked and there's half a steak pastie in the industrial estate</t>
  </si>
  <si>
    <t>good luck to everyone who has school soon but your sleeping schedule is wrecked beyond repair</t>
  </si>
  <si>
    <t>I wonder how times someone has wrecked trying to do the 'stare and drive' move from 2 Fast 2 Furious</t>
  </si>
  <si>
    <t>Four hundred wrecked cars (costing $100 apiece) were purchased for the making of this 1986 film - http://t.co/DTdidinQyF</t>
  </si>
  <si>
    <t>Cramer: Iger_x0089_Ûªs 3 words that wrecked Disney_x0089_Ûªs stock _x0089_ÛÒåÊCNBC http://t.co/PnlucERp0x</t>
  </si>
  <si>
    <t>Poor Liv and I getting our phones wrecked on the same day @oliviaapalmerr #thatswhatfriendsarefor</t>
  </si>
  <si>
    <t>On the freeway to Africa til I wrecked my Audi</t>
  </si>
  <si>
    <t>#news Cramer: Iger's 3 words that wrecked Disney's stock http://t.co/SF5JdNvdw9 #til_now #CNBC</t>
  </si>
  <si>
    <t>James Kunstler: How bad architecture wrecked cities http://t.co/Ac6I3tE8mT #residualincome #mlm http://t.co/Wq0JLsHW1g</t>
  </si>
  <si>
    <t>Milwaukee County</t>
  </si>
  <si>
    <t>http://t.co/DeQQOpSP4f: Iger's 3 words that wrecked Disney's stock http://t.co/LbKvFqRpgT http://t.co/3rVa5uvt0P</t>
  </si>
  <si>
    <t xml:space="preserve">Click the link below, okay </t>
  </si>
  <si>
    <t>The Twitter update pretty much wrecked the app</t>
  </si>
  <si>
    <t>You wrecked me. Never felt so low in my life. But it's okay God got me</t>
  </si>
  <si>
    <t>probably not home</t>
  </si>
  <si>
    <t>coleslaw #wrecked http://t.co/sijNBmCZIJ</t>
  </si>
  <si>
    <t>The twins pitcher's ego is now WRECKED</t>
  </si>
  <si>
    <t>6</t>
  </si>
  <si>
    <t>@Tunes_WGG lol. U got wrecked</t>
  </si>
  <si>
    <t>you wrecked my whole world</t>
  </si>
  <si>
    <t>I wrecked my stomach help</t>
  </si>
  <si>
    <t>@__ohhmyjoshh @stevenrulles he not gonna be thinking that when he gets his shit wrecked on the first day of school ??</t>
  </si>
  <si>
    <t>Wrecked tired but not gonna be asleep before 3??</t>
  </si>
  <si>
    <t>http://t.co/qVx0VQTPz0 Cramer: Iger's 3 words that wrecked Disney's stock http://t.co/vuWBSrSnrY</t>
  </si>
  <si>
    <t>At your back</t>
  </si>
  <si>
    <t>Wrecked emotions.</t>
  </si>
  <si>
    <t>The Riddler would be the best early-exit primary presidential wannabe ever all certain of his chances until he gets wrecked by a rich guy</t>
  </si>
  <si>
    <t>Livingston, MT</t>
  </si>
  <si>
    <t>@marynmck That's beyond adorable. I hope it won't be wrecked now that it's been noticed ...</t>
  </si>
  <si>
    <t>Cramer: Iger's 3 words that wrecked Disney's stock http://t.co/3G79prAyYc #cnbc #topnews</t>
  </si>
  <si>
    <t xml:space="preserve">  Glasgow </t>
  </si>
  <si>
    <t>@Caitsroberts see U the night wee bArra to get absolutely wrecked ????</t>
  </si>
  <si>
    <t>Denton, Texas</t>
  </si>
  <si>
    <t>Had an awesome time gettin wrecked at bowling last night! http://t.co/Da9lZtOn1c</t>
  </si>
  <si>
    <t>Cramer: 3 words that wrecked DIS stock - http://t.co/ud7XObYUa1</t>
  </si>
  <si>
    <t>TN</t>
  </si>
  <si>
    <t>On the bright side I wrecked http://t.co/uEa0txRHYs</t>
  </si>
  <si>
    <t>He just wrecked all of you http://t.co/y46isyZkC8</t>
  </si>
  <si>
    <t>#NewcastleuponTyne #UK</t>
  </si>
  <si>
    <t>@widda16 ... He's gone. You can relax. I thought the wife who wrecked her cake was a goner mind lol #whoops</t>
  </si>
  <si>
    <t>@jt_ruff23 @cameronhacker and I wrecked you both</t>
  </si>
  <si>
    <t>Vancouver, Canada</t>
  </si>
  <si>
    <t>Three days off from work and they've pretty much all been wrecked hahaha shoutout to my family for that one</t>
  </si>
  <si>
    <t xml:space="preserve">London </t>
  </si>
  <si>
    <t>#FX #forex #trading Cramer: Iger's 3 words that wrecked Disney's stock http://t.co/7enNulLKzM</t>
  </si>
  <si>
    <t>Lincoln</t>
  </si>
  <si>
    <t>@engineshed Great atmosphere at the British Lion gig tonight. Hearing is wrecked. http://t.co/oMNBAtJEAO</t>
  </si>
  <si>
    <t>Cramer: Iger's 3 words that wrecked Disney's stock - CNBC http://t.co/N6RBnHMTD4</t>
  </si>
  <si>
    <t>These boxes are ready to explode! Exploding Kittens finally arrived! gameofkittens #explodingkittens_x0089_Û_ https://t.co/TFGrAyuDC5</t>
  </si>
  <si>
    <t>Sirens everywhere!</t>
  </si>
  <si>
    <t>I just heard a really loud bang and everyone is asleep great</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</si>
</sst>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3">
    <fill>
      <patternFill patternType="none"/>
    </fill>
    <fill>
      <patternFill patternType="lightGray"/>
    </fill>
    <fill>
      <patternFill patternType="solid">
        <fgColor rgb="FFFCE5CD"/>
        <bgColor rgb="FFFCE5CD"/>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2" fontId="1" numFmtId="0" xfId="0" applyAlignment="1" applyFill="1" applyFont="1">
      <alignment horizontal="center" vertical="top"/>
    </xf>
    <xf borderId="0" fillId="2" fontId="2" numFmtId="0" xfId="0" applyAlignment="1" applyFont="1">
      <alignment readingOrder="0"/>
    </xf>
    <xf borderId="0" fillId="2" fontId="2"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3"/>
    <col customWidth="1" min="2" max="2" width="11.43"/>
    <col customWidth="1" min="3" max="3" width="29.14"/>
    <col customWidth="1" min="4" max="4" width="127.29"/>
    <col customWidth="1" min="5" max="5" width="6.29"/>
    <col customWidth="1" min="6" max="6" width="91.29"/>
    <col customWidth="1" min="7" max="7" width="30.43"/>
    <col customWidth="1" min="8" max="8" width="29.71"/>
    <col customWidth="1" min="9" max="9" width="127.29"/>
  </cols>
  <sheetData>
    <row r="1">
      <c r="A1" s="1" t="s">
        <v>0</v>
      </c>
      <c r="B1" s="1" t="s">
        <v>1</v>
      </c>
      <c r="C1" s="1" t="s">
        <v>2</v>
      </c>
      <c r="D1" s="1" t="s">
        <v>3</v>
      </c>
      <c r="E1" s="1" t="s">
        <v>4</v>
      </c>
      <c r="F1" s="2" t="s">
        <v>5</v>
      </c>
      <c r="G1" s="2" t="s">
        <v>6</v>
      </c>
      <c r="H1" s="3"/>
      <c r="I1" s="1"/>
    </row>
    <row r="2">
      <c r="A2" s="4">
        <v>1.0</v>
      </c>
      <c r="D2" s="4" t="s">
        <v>7</v>
      </c>
      <c r="E2" s="4">
        <v>1.0</v>
      </c>
      <c r="F2" s="4" t="str">
        <f>IFERROR(__xludf.DUMMYFUNCTION("GOOGLETRANSLATE(D2)"),"我們的行為是這次#地震的原因願真主寬恕我們所有人")</f>
        <v>我們的行為是這次#地震的原因願真主寬恕我們所有人</v>
      </c>
      <c r="G2" s="4" t="str">
        <f>IFERROR(__xludf.DUMMYFUNCTION("GOOGLETRANSLATE(B2)"),"#VALUE!")</f>
        <v>#VALUE!</v>
      </c>
    </row>
    <row r="3">
      <c r="A3" s="4">
        <v>4.0</v>
      </c>
      <c r="D3" s="4" t="s">
        <v>8</v>
      </c>
      <c r="E3" s="4">
        <v>1.0</v>
      </c>
      <c r="F3" s="4" t="str">
        <f>IFERROR(__xludf.DUMMYFUNCTION("GOOGLETRANSLATE(D3)"),"薩斯喀徹溫省拉龍格附近發生森林火災。加拿大")</f>
        <v>薩斯喀徹溫省拉龍格附近發生森林火災。加拿大</v>
      </c>
      <c r="G3" s="4" t="str">
        <f>IFERROR(__xludf.DUMMYFUNCTION("GOOGLETRANSLATE(B3)"),"#VALUE!")</f>
        <v>#VALUE!</v>
      </c>
    </row>
    <row r="4">
      <c r="A4" s="4">
        <v>5.0</v>
      </c>
      <c r="D4" s="4" t="s">
        <v>9</v>
      </c>
      <c r="E4" s="4">
        <v>1.0</v>
      </c>
      <c r="F4" s="4" t="str">
        <f>IFERROR(__xludf.DUMMYFUNCTION("GOOGLETRANSLATE(D4)"),"官員正在通知所有被要求「就地避難」的居民。預計不會有其他疏散或就地避難命令")</f>
        <v>官員正在通知所有被要求「就地避難」的居民。預計不會有其他疏散或就地避難命令</v>
      </c>
      <c r="G4" s="4" t="str">
        <f>IFERROR(__xludf.DUMMYFUNCTION("GOOGLETRANSLATE(B4)"),"#VALUE!")</f>
        <v>#VALUE!</v>
      </c>
    </row>
    <row r="5">
      <c r="A5" s="4">
        <v>6.0</v>
      </c>
      <c r="D5" s="4" t="s">
        <v>10</v>
      </c>
      <c r="E5" s="4">
        <v>1.0</v>
      </c>
      <c r="F5" s="4" t="str">
        <f>IFERROR(__xludf.DUMMYFUNCTION("GOOGLETRANSLATE(D5)"),"加州 13,000 人收到 #wildfires 疏散令")</f>
        <v>加州 13,000 人收到 #wildfires 疏散令</v>
      </c>
      <c r="G5" s="4" t="str">
        <f>IFERROR(__xludf.DUMMYFUNCTION("GOOGLETRANSLATE(B5)"),"#VALUE!")</f>
        <v>#VALUE!</v>
      </c>
    </row>
    <row r="6">
      <c r="A6" s="4">
        <v>7.0</v>
      </c>
      <c r="D6" s="4" t="s">
        <v>11</v>
      </c>
      <c r="E6" s="4">
        <v>1.0</v>
      </c>
      <c r="F6" s="4" t="str">
        <f>IFERROR(__xludf.DUMMYFUNCTION("GOOGLETRANSLATE(D6)"),"剛從 Ruby #Alaska 收到這張照片，#wildfires 的煙霧湧入學校")</f>
        <v>剛從 Ruby #Alaska 收到這張照片，#wildfires 的煙霧湧入學校</v>
      </c>
      <c r="G6" s="4" t="str">
        <f>IFERROR(__xludf.DUMMYFUNCTION("GOOGLETRANSLATE(B6)"),"#VALUE!")</f>
        <v>#VALUE!</v>
      </c>
    </row>
    <row r="7">
      <c r="A7" s="4">
        <v>8.0</v>
      </c>
      <c r="D7" s="4" t="s">
        <v>12</v>
      </c>
      <c r="E7" s="4">
        <v>1.0</v>
      </c>
      <c r="F7" s="4" t="str">
        <f>IFERROR(__xludf.DUMMYFUNCTION("GOOGLETRANSLATE(D7)"),"#RockyFire 更新 =&gt; 加州高速公路。由於萊克縣火災，20 個方向雙向關閉 - #CAfire #wildfires")</f>
        <v>#RockyFire 更新 =&gt; 加州高速公路。由於萊克縣火災，20 個方向雙向關閉 - #CAfire #wildfires</v>
      </c>
      <c r="G7" s="4" t="str">
        <f>IFERROR(__xludf.DUMMYFUNCTION("GOOGLETRANSLATE(B7)"),"#VALUE!")</f>
        <v>#VALUE!</v>
      </c>
    </row>
    <row r="8">
      <c r="A8" s="4">
        <v>10.0</v>
      </c>
      <c r="D8" s="4" t="s">
        <v>13</v>
      </c>
      <c r="E8" s="4">
        <v>1.0</v>
      </c>
      <c r="F8" s="4" t="str">
        <f>IFERROR(__xludf.DUMMYFUNCTION("GOOGLETRANSLATE(D8)"),"#flood #disaster 大雨導致科羅拉多斯普林斯地區馬尼圖街道發生山洪暴發")</f>
        <v>#flood #disaster 大雨導致科羅拉多斯普林斯地區馬尼圖街道發生山洪暴發</v>
      </c>
      <c r="G8" s="4" t="str">
        <f>IFERROR(__xludf.DUMMYFUNCTION("GOOGLETRANSLATE(B8)"),"#VALUE!")</f>
        <v>#VALUE!</v>
      </c>
    </row>
    <row r="9">
      <c r="A9" s="4">
        <v>13.0</v>
      </c>
      <c r="D9" s="4" t="s">
        <v>14</v>
      </c>
      <c r="E9" s="4">
        <v>1.0</v>
      </c>
      <c r="F9" s="4" t="str">
        <f>IFERROR(__xludf.DUMMYFUNCTION("GOOGLETRANSLATE(D9)"),"我在山頂上，我可以看到樹林裡著火...")</f>
        <v>我在山頂上，我可以看到樹林裡著火...</v>
      </c>
      <c r="G9" s="4" t="str">
        <f>IFERROR(__xludf.DUMMYFUNCTION("GOOGLETRANSLATE(B9)"),"#VALUE!")</f>
        <v>#VALUE!</v>
      </c>
    </row>
    <row r="10">
      <c r="A10" s="4">
        <v>14.0</v>
      </c>
      <c r="D10" s="4" t="s">
        <v>15</v>
      </c>
      <c r="E10" s="4">
        <v>1.0</v>
      </c>
      <c r="F10" s="4" t="str">
        <f>IFERROR(__xludf.DUMMYFUNCTION("GOOGLETRANSLATE(D10)"),"街對面的大樓正在緊急疏散")</f>
        <v>街對面的大樓正在緊急疏散</v>
      </c>
      <c r="G10" s="4" t="str">
        <f>IFERROR(__xludf.DUMMYFUNCTION("GOOGLETRANSLATE(B10)"),"#VALUE!")</f>
        <v>#VALUE!</v>
      </c>
    </row>
    <row r="11">
      <c r="A11" s="4">
        <v>15.0</v>
      </c>
      <c r="D11" s="4" t="s">
        <v>16</v>
      </c>
      <c r="E11" s="4">
        <v>1.0</v>
      </c>
      <c r="F11" s="4" t="str">
        <f>IFERROR(__xludf.DUMMYFUNCTION("GOOGLETRANSLATE(D11)"),"恐怕龍捲風要襲擊我們地區了…")</f>
        <v>恐怕龍捲風要襲擊我們地區了…</v>
      </c>
      <c r="G11" s="4" t="str">
        <f>IFERROR(__xludf.DUMMYFUNCTION("GOOGLETRANSLATE(B11)"),"#VALUE!")</f>
        <v>#VALUE!</v>
      </c>
    </row>
    <row r="12">
      <c r="A12" s="4">
        <v>16.0</v>
      </c>
      <c r="D12" s="4" t="s">
        <v>17</v>
      </c>
      <c r="E12" s="4">
        <v>1.0</v>
      </c>
      <c r="F12" s="4" t="str">
        <f>IFERROR(__xludf.DUMMYFUNCTION("GOOGLETRANSLATE(D12)"),"截至目前已有三人死於熱浪")</f>
        <v>截至目前已有三人死於熱浪</v>
      </c>
      <c r="G12" s="4" t="str">
        <f>IFERROR(__xludf.DUMMYFUNCTION("GOOGLETRANSLATE(B12)"),"#VALUE!")</f>
        <v>#VALUE!</v>
      </c>
    </row>
    <row r="13">
      <c r="A13" s="4">
        <v>17.0</v>
      </c>
      <c r="D13" s="4" t="s">
        <v>18</v>
      </c>
      <c r="E13" s="4">
        <v>1.0</v>
      </c>
      <c r="F13" s="4" t="str">
        <f>IFERROR(__xludf.DUMMYFUNCTION("GOOGLETRANSLATE(D13)"),"哈哈南坦帕正在被洪水淹沒哈哈-等一下我住在南坦帕我要做什麼我要做什麼FVCK #flooding")</f>
        <v>哈哈南坦帕正在被洪水淹沒哈哈-等一下我住在南坦帕我要做什麼我要做什麼FVCK #flooding</v>
      </c>
      <c r="G13" s="4" t="str">
        <f>IFERROR(__xludf.DUMMYFUNCTION("GOOGLETRANSLATE(B13)"),"#VALUE!")</f>
        <v>#VALUE!</v>
      </c>
    </row>
    <row r="14">
      <c r="A14" s="4">
        <v>18.0</v>
      </c>
      <c r="D14" s="4" t="s">
        <v>19</v>
      </c>
      <c r="E14" s="4">
        <v>1.0</v>
      </c>
      <c r="F14" s="4" t="str">
        <f>IFERROR(__xludf.DUMMYFUNCTION("GOOGLETRANSLATE(D14)"),"#raining #flooding #Florida #TampaBay #Tampa 18 或 19 天。我已經數不清了")</f>
        <v>#raining #flooding #Florida #TampaBay #Tampa 18 或 19 天。我已經數不清了</v>
      </c>
      <c r="G14" s="4" t="str">
        <f>IFERROR(__xludf.DUMMYFUNCTION("GOOGLETRANSLATE(B14)"),"#VALUE!")</f>
        <v>#VALUE!</v>
      </c>
    </row>
    <row r="15">
      <c r="A15" s="4">
        <v>19.0</v>
      </c>
      <c r="D15" s="4" t="s">
        <v>20</v>
      </c>
      <c r="E15" s="4">
        <v>1.0</v>
      </c>
      <c r="F15" s="4" t="str">
        <f>IFERROR(__xludf.DUMMYFUNCTION("GOOGLETRANSLATE(D15)"),"#緬甸勃固洪水#我們到達勃固")</f>
        <v>#緬甸勃固洪水#我們到達勃固</v>
      </c>
      <c r="G15" s="4" t="str">
        <f>IFERROR(__xludf.DUMMYFUNCTION("GOOGLETRANSLATE(B15)"),"#VALUE!")</f>
        <v>#VALUE!</v>
      </c>
    </row>
    <row r="16">
      <c r="A16" s="4">
        <v>20.0</v>
      </c>
      <c r="D16" s="4" t="s">
        <v>21</v>
      </c>
      <c r="E16" s="4">
        <v>1.0</v>
      </c>
      <c r="F16" s="4" t="str">
        <f>IFERROR(__xludf.DUMMYFUNCTION("GOOGLETRANSLATE(D16)"),"多起車禍中 80 輛校車受損#BREAKING")</f>
        <v>多起車禍中 80 輛校車受損#BREAKING</v>
      </c>
      <c r="G16" s="4" t="str">
        <f>IFERROR(__xludf.DUMMYFUNCTION("GOOGLETRANSLATE(B16)"),"#VALUE!")</f>
        <v>#VALUE!</v>
      </c>
    </row>
    <row r="17">
      <c r="A17" s="4">
        <v>48.0</v>
      </c>
      <c r="B17" s="4" t="s">
        <v>22</v>
      </c>
      <c r="C17" s="4" t="s">
        <v>23</v>
      </c>
      <c r="D17" s="4" t="s">
        <v>24</v>
      </c>
      <c r="E17" s="4">
        <v>1.0</v>
      </c>
      <c r="F17" s="4" t="str">
        <f>IFERROR(__xludf.DUMMYFUNCTION("GOOGLETRANSLATE(D17)"),"@bbcmtd 批發市場火熱 http://t.co/lHYXEOHY6C")</f>
        <v>@bbcmtd 批發市場火熱 http://t.co/lHYXEOHY6C</v>
      </c>
      <c r="G17" s="4" t="str">
        <f>IFERROR(__xludf.DUMMYFUNCTION("GOOGLETRANSLATE(B17)"),"燃燒")</f>
        <v>燃燒</v>
      </c>
    </row>
    <row r="18">
      <c r="A18" s="4">
        <v>50.0</v>
      </c>
      <c r="B18" s="4" t="s">
        <v>22</v>
      </c>
      <c r="C18" s="4" t="s">
        <v>25</v>
      </c>
      <c r="D18" s="4" t="s">
        <v>26</v>
      </c>
      <c r="E18" s="4">
        <v>1.0</v>
      </c>
      <c r="F18" s="4" t="str">
        <f>IFERROR(__xludf.DUMMYFUNCTION("GOOGLETRANSLATE(D18)"),"#AFRICANBAZE：突發新聞：尼日利亞國旗在阿壩被點燃。 http://t.co/2nndBGwyEi")</f>
        <v>#AFRICANBAZE：突發新聞：尼日利亞國旗在阿壩被點燃。 http://t.co/2nndBGwyEi</v>
      </c>
      <c r="G18" s="4" t="str">
        <f>IFERROR(__xludf.DUMMYFUNCTION("GOOGLETRANSLATE(B18)"),"燃燒")</f>
        <v>燃燒</v>
      </c>
    </row>
    <row r="19">
      <c r="A19" s="4">
        <v>55.0</v>
      </c>
      <c r="B19" s="4" t="s">
        <v>22</v>
      </c>
      <c r="C19" s="4" t="s">
        <v>27</v>
      </c>
      <c r="D19" s="4" t="s">
        <v>28</v>
      </c>
      <c r="E19" s="4">
        <v>1.0</v>
      </c>
      <c r="F19" s="4" t="str">
        <f>IFERROR(__xludf.DUMMYFUNCTION("GOOGLETRANSLATE(D19)"),"INEC 阿比亞辦事處起火 - http://t.co/3ImaomknnA")</f>
        <v>INEC 阿比亞辦事處起火 - http://t.co/3ImaomknnA</v>
      </c>
      <c r="G19" s="4" t="str">
        <f>IFERROR(__xludf.DUMMYFUNCTION("GOOGLETRANSLATE(B19)"),"燃燒")</f>
        <v>燃燒</v>
      </c>
    </row>
    <row r="20">
      <c r="A20" s="4">
        <v>56.0</v>
      </c>
      <c r="B20" s="4" t="s">
        <v>22</v>
      </c>
      <c r="D20" s="4" t="s">
        <v>29</v>
      </c>
      <c r="E20" s="4">
        <v>1.0</v>
      </c>
      <c r="F20" s="4" t="str">
        <f>IFERROR(__xludf.DUMMYFUNCTION("GOOGLETRANSLATE(D20)"),"巴貝多 #Bridgetown JAMAICA ÛÒ 兩輛車起火：聖克魯斯 ÛÓ 聖伊麗莎白警察總監... http://t.co/wDUEaj8Q4J")</f>
        <v>巴貝多 #Bridgetown JAMAICA ÛÒ 兩輛車起火：聖克魯斯 ÛÓ 聖伊麗莎白警察總監... http://t.co/wDUEaj8Q4J</v>
      </c>
      <c r="G20" s="4" t="str">
        <f>IFERROR(__xludf.DUMMYFUNCTION("GOOGLETRANSLATE(B20)"),"燃燒")</f>
        <v>燃燒</v>
      </c>
    </row>
    <row r="21" ht="15.75" customHeight="1">
      <c r="A21" s="4">
        <v>66.0</v>
      </c>
      <c r="B21" s="4" t="s">
        <v>22</v>
      </c>
      <c r="C21" s="4" t="s">
        <v>30</v>
      </c>
      <c r="D21" s="4" t="s">
        <v>31</v>
      </c>
      <c r="E21" s="4">
        <v>1.0</v>
      </c>
      <c r="F21" s="4" t="str">
        <f>IFERROR(__xludf.DUMMYFUNCTION("GOOGLETRANSLATE(D21)"),"西部地區是如何被燒毀的：光是加州就發生了數千起野火 http://t.co/vl5TBR3wbr")</f>
        <v>西部地區是如何被燒毀的：光是加州就發生了數千起野火 http://t.co/vl5TBR3wbr</v>
      </c>
      <c r="G21" s="4" t="str">
        <f>IFERROR(__xludf.DUMMYFUNCTION("GOOGLETRANSLATE(B21)"),"燃燒")</f>
        <v>燃燒</v>
      </c>
    </row>
    <row r="22" ht="15.75" customHeight="1">
      <c r="A22" s="4">
        <v>73.0</v>
      </c>
      <c r="B22" s="4" t="s">
        <v>22</v>
      </c>
      <c r="C22" s="4" t="s">
        <v>32</v>
      </c>
      <c r="D22" s="4" t="s">
        <v>33</v>
      </c>
      <c r="E22" s="4">
        <v>1.0</v>
      </c>
      <c r="F22" s="4" t="str">
        <f>IFERROR(__xludf.DUMMYFUNCTION("GOOGLETRANSLATE(D22)"),"代表：布萊頓主場起火前男子被槍殺 http://t.co/gWNRhMSO8k")</f>
        <v>代表：布萊頓主場起火前男子被槍殺 http://t.co/gWNRhMSO8k</v>
      </c>
      <c r="G22" s="4" t="str">
        <f>IFERROR(__xludf.DUMMYFUNCTION("GOOGLETRANSLATE(B22)"),"燃燒")</f>
        <v>燃燒</v>
      </c>
    </row>
    <row r="23" ht="15.75" customHeight="1">
      <c r="A23" s="4">
        <v>74.0</v>
      </c>
      <c r="B23" s="4" t="s">
        <v>22</v>
      </c>
      <c r="C23" s="4" t="s">
        <v>34</v>
      </c>
      <c r="D23" s="4" t="s">
        <v>35</v>
      </c>
      <c r="E23" s="4">
        <v>1.0</v>
      </c>
      <c r="F23" s="4" t="str">
        <f>IFERROR(__xludf.DUMMYFUNCTION("GOOGLETRANSLATE(D23)"),"男子妻縱火燒姪女被判入獄六年
http://t.co/eV1ahOUCZA")</f>
        <v>男子妻縱火燒姪女被判入獄六年
http://t.co/eV1ahOUCZA</v>
      </c>
      <c r="G23" s="4" t="str">
        <f>IFERROR(__xludf.DUMMYFUNCTION("GOOGLETRANSLATE(B23)"),"燃燒")</f>
        <v>燃燒</v>
      </c>
    </row>
    <row r="24" ht="15.75" customHeight="1">
      <c r="A24" s="4">
        <v>77.0</v>
      </c>
      <c r="B24" s="4" t="s">
        <v>22</v>
      </c>
      <c r="C24" s="4" t="s">
        <v>36</v>
      </c>
      <c r="D24" s="4" t="s">
        <v>37</v>
      </c>
      <c r="E24" s="4">
        <v>1.0</v>
      </c>
      <c r="F24" s="4" t="str">
        <f>IFERROR(__xludf.DUMMYFUNCTION("GOOGLETRANSLATE(D24)"),"警方：縱火犯故意縱火焚燒北卡羅來納州的黑人教堂 http://t.co/pcXarbH9An")</f>
        <v>警方：縱火犯故意縱火焚燒北卡羅來納州的黑人教堂 http://t.co/pcXarbH9An</v>
      </c>
      <c r="G24" s="4" t="str">
        <f>IFERROR(__xludf.DUMMYFUNCTION("GOOGLETRANSLATE(B24)"),"燃燒")</f>
        <v>燃燒</v>
      </c>
    </row>
    <row r="25" ht="15.75" customHeight="1">
      <c r="A25" s="4">
        <v>79.0</v>
      </c>
      <c r="B25" s="4" t="s">
        <v>22</v>
      </c>
      <c r="C25" s="4" t="s">
        <v>38</v>
      </c>
      <c r="D25" s="4" t="s">
        <v>39</v>
      </c>
      <c r="E25" s="4">
        <v>1.0</v>
      </c>
      <c r="F25" s="4" t="str">
        <f>IFERROR(__xludf.DUMMYFUNCTION("GOOGLETRANSLATE(D25)"),"#庫德人踐踏土庫曼國旗後來將其點燃，而其他人則破壞了土庫曼陣線在#Diyala的辦公室 http://t.co/4IzFdYC3cg")</f>
        <v>#庫德人踐踏土庫曼國旗後來將其點燃，而其他人則破壞了土庫曼陣線在#Diyala的辦公室 http://t.co/4IzFdYC3cg</v>
      </c>
      <c r="G25" s="4" t="str">
        <f>IFERROR(__xludf.DUMMYFUNCTION("GOOGLETRANSLATE(B25)"),"燃燒")</f>
        <v>燃燒</v>
      </c>
    </row>
    <row r="26" ht="15.75" customHeight="1">
      <c r="A26" s="4">
        <v>80.0</v>
      </c>
      <c r="B26" s="4" t="s">
        <v>22</v>
      </c>
      <c r="C26" s="4" t="s">
        <v>40</v>
      </c>
      <c r="D26" s="4" t="s">
        <v>41</v>
      </c>
      <c r="E26" s="4">
        <v>1.0</v>
      </c>
      <c r="F26" s="4" t="str">
        <f>IFERROR(__xludf.DUMMYFUNCTION("GOOGLETRANSLATE(D26)"),"卡車著火：R21。開拓者大道坦博國際機場外貨物部分。 http://t.co/8kscqKfKkF")</f>
        <v>卡車著火：R21。開拓者大道坦博國際機場外貨物部分。 http://t.co/8kscqKfKkF</v>
      </c>
      <c r="G26" s="4" t="str">
        <f>IFERROR(__xludf.DUMMYFUNCTION("GOOGLETRANSLATE(B26)"),"燃燒")</f>
        <v>燃燒</v>
      </c>
    </row>
    <row r="27" ht="15.75" customHeight="1">
      <c r="A27" s="4">
        <v>83.0</v>
      </c>
      <c r="B27" s="4" t="s">
        <v>22</v>
      </c>
      <c r="C27" s="4" t="s">
        <v>42</v>
      </c>
      <c r="D27" s="4" t="s">
        <v>43</v>
      </c>
      <c r="E27" s="4">
        <v>1.0</v>
      </c>
      <c r="F27" s="4" t="str">
        <f>IFERROR(__xludf.DUMMYFUNCTION("GOOGLETRANSLATE(D27)"),"西部地區是如何被燒毀的：僅#加州就有數千場野火燃燒 http://t.co/iCSjGZ9tE1 #climate #energy http://t.co/9FxmN0l0Bd")</f>
        <v>西部地區是如何被燒毀的：僅#加州就有數千場野火燃燒 http://t.co/iCSjGZ9tE1 #climate #energy http://t.co/9FxmN0l0Bd</v>
      </c>
      <c r="G27" s="4" t="str">
        <f>IFERROR(__xludf.DUMMYFUNCTION("GOOGLETRANSLATE(B27)"),"燃燒")</f>
        <v>燃燒</v>
      </c>
    </row>
    <row r="28" ht="15.75" customHeight="1">
      <c r="A28" s="4">
        <v>91.0</v>
      </c>
      <c r="B28" s="4" t="s">
        <v>22</v>
      </c>
      <c r="C28" s="4" t="s">
        <v>44</v>
      </c>
      <c r="D28" s="4" t="s">
        <v>45</v>
      </c>
      <c r="E28" s="4">
        <v>1.0</v>
      </c>
      <c r="F28" s="4" t="str">
        <f>IFERROR(__xludf.DUMMYFUNCTION("GOOGLETRANSLATE(D28)"),"@Navista7 史蒂夫，這裡的火災是另一回事！加州是一個火藥桶 - 這個小丑正在點燃我的引擎蓋@News24680")</f>
        <v>@Navista7 史蒂夫，這裡的火災是另一回事！加州是一個火藥桶 - 這個小丑正在點燃我的引擎蓋@News24680</v>
      </c>
      <c r="G28" s="4" t="str">
        <f>IFERROR(__xludf.DUMMYFUNCTION("GOOGLETRANSLATE(B28)"),"燃燒")</f>
        <v>燃燒</v>
      </c>
    </row>
    <row r="29" ht="15.75" customHeight="1">
      <c r="A29" s="4">
        <v>93.0</v>
      </c>
      <c r="B29" s="4" t="s">
        <v>22</v>
      </c>
      <c r="C29" s="4" t="s">
        <v>23</v>
      </c>
      <c r="D29" s="4" t="s">
        <v>46</v>
      </c>
      <c r="E29" s="4">
        <v>1.0</v>
      </c>
      <c r="F29" s="4" t="str">
        <f>IFERROR(__xludf.DUMMYFUNCTION("GOOGLETRANSLATE(D29)"),"@nxwestmidlands 批發市場發生大火 http://t.co/rwzbFVNXER")</f>
        <v>@nxwestmidlands 批發市場發生大火 http://t.co/rwzbFVNXER</v>
      </c>
      <c r="G29" s="4" t="str">
        <f>IFERROR(__xludf.DUMMYFUNCTION("GOOGLETRANSLATE(B29)"),"燃燒")</f>
        <v>燃燒</v>
      </c>
    </row>
    <row r="30" ht="15.75" customHeight="1">
      <c r="A30" s="4">
        <v>97.0</v>
      </c>
      <c r="B30" s="4" t="s">
        <v>47</v>
      </c>
      <c r="C30" s="4" t="s">
        <v>48</v>
      </c>
      <c r="D30" s="4" t="s">
        <v>49</v>
      </c>
      <c r="E30" s="4">
        <v>1.0</v>
      </c>
      <c r="F30" s="4" t="str">
        <f>IFERROR(__xludf.DUMMYFUNCTION("GOOGLETRANSLATE(D30)"),"西 24 號州際公路發生事故#NashvilleTraffic。車流比平常慢 8m。 https://t.co/0GHk693EgJ")</f>
        <v>西 24 號州際公路發生事故#NashvilleTraffic。車流比平常慢 8m。 https://t.co/0GHk693EgJ</v>
      </c>
      <c r="G30" s="4" t="str">
        <f>IFERROR(__xludf.DUMMYFUNCTION("GOOGLETRANSLATE(B30)"),"意外事故")</f>
        <v>意外事故</v>
      </c>
    </row>
    <row r="31" ht="15.75" customHeight="1">
      <c r="A31" s="4">
        <v>98.0</v>
      </c>
      <c r="B31" s="4" t="s">
        <v>47</v>
      </c>
      <c r="C31" s="4" t="s">
        <v>50</v>
      </c>
      <c r="D31" s="4" t="s">
        <v>51</v>
      </c>
      <c r="E31" s="4">
        <v>1.0</v>
      </c>
      <c r="F31" s="4" t="str">
        <f>IFERROR(__xludf.DUMMYFUNCTION("GOOGLETRANSLATE(D31)"),"事故中心車道在 Great America Pkwy #BayArea #Traffic 之前 US-101 NB 的 #SantaClara 被封鎖 http://t.co/pmlOhZuRWR")</f>
        <v>事故中心車道在 Great America Pkwy #BayArea #Traffic 之前 US-101 NB 的 #SantaClara 被封鎖 http://t.co/pmlOhZuRWR</v>
      </c>
      <c r="G31" s="4" t="str">
        <f>IFERROR(__xludf.DUMMYFUNCTION("GOOGLETRANSLATE(B31)"),"意外事故")</f>
        <v>意外事故</v>
      </c>
    </row>
    <row r="32" ht="15.75" customHeight="1">
      <c r="A32" s="4">
        <v>104.0</v>
      </c>
      <c r="B32" s="4" t="s">
        <v>47</v>
      </c>
      <c r="C32" s="4" t="s">
        <v>52</v>
      </c>
      <c r="D32" s="4" t="s">
        <v>53</v>
      </c>
      <c r="E32" s="4">
        <v>1.0</v>
      </c>
      <c r="F32" s="4" t="str">
        <f>IFERROR(__xludf.DUMMYFUNCTION("GOOGLETRANSLATE(D32)"),"據報道，史蒂芬森附近的赫爾曼路庫裡發生機動車事故，涉及車輛翻倒。請使用... http://t.co/YbJezKuRW1")</f>
        <v>據報道，史蒂芬森附近的赫爾曼路庫裡發生機動車事故，涉及車輛翻倒。請使用... http://t.co/YbJezKuRW1</v>
      </c>
      <c r="G32" s="4" t="str">
        <f>IFERROR(__xludf.DUMMYFUNCTION("GOOGLETRANSLATE(B32)"),"意外事故")</f>
        <v>意外事故</v>
      </c>
    </row>
    <row r="33" ht="15.75" customHeight="1">
      <c r="A33" s="4">
        <v>105.0</v>
      </c>
      <c r="B33" s="4" t="s">
        <v>47</v>
      </c>
      <c r="C33" s="4" t="s">
        <v>54</v>
      </c>
      <c r="D33" s="4" t="s">
        <v>55</v>
      </c>
      <c r="E33" s="4">
        <v>1.0</v>
      </c>
      <c r="F33" s="4" t="str">
        <f>IFERROR(__xludf.DUMMYFUNCTION("GOOGLETRANSLATE(D33)"),"BigRigRadio 現場事故意識")</f>
        <v>BigRigRadio 現場事故意識</v>
      </c>
      <c r="G33" s="4" t="str">
        <f>IFERROR(__xludf.DUMMYFUNCTION("GOOGLETRANSLATE(B33)"),"意外事故")</f>
        <v>意外事故</v>
      </c>
    </row>
    <row r="34" ht="15.75" customHeight="1">
      <c r="A34" s="4">
        <v>107.0</v>
      </c>
      <c r="B34" s="4" t="s">
        <v>47</v>
      </c>
      <c r="C34" s="4" t="s">
        <v>56</v>
      </c>
      <c r="D34" s="4" t="s">
        <v>57</v>
      </c>
      <c r="E34" s="4">
        <v>1.0</v>
      </c>
      <c r="F34" s="4" t="str">
        <f>IFERROR(__xludf.DUMMYFUNCTION("GOOGLETRANSLATE(D34)"),"I-77 Mile Marker 31 South Mooresville Iredell 車輛事故坡道於 8 月 6 日下午 1:18 關閉")</f>
        <v>I-77 Mile Marker 31 South Mooresville Iredell 車輛事故坡道於 8 月 6 日下午 1:18 關閉</v>
      </c>
      <c r="G34" s="4" t="str">
        <f>IFERROR(__xludf.DUMMYFUNCTION("GOOGLETRANSLATE(B34)"),"意外事故")</f>
        <v>意外事故</v>
      </c>
    </row>
    <row r="35" ht="15.75" customHeight="1">
      <c r="A35" s="4">
        <v>112.0</v>
      </c>
      <c r="B35" s="4" t="s">
        <v>47</v>
      </c>
      <c r="C35" s="4" t="s">
        <v>58</v>
      </c>
      <c r="D35" s="4" t="s">
        <v>59</v>
      </c>
      <c r="E35" s="4">
        <v>1.0</v>
      </c>
      <c r="F35" s="4" t="str">
        <f>IFERROR(__xludf.DUMMYFUNCTION("GOOGLETRANSLATE(D35)"),"交通事故 N CABRILLO HWY/MAGELLAN AV MIR (08/06/15 11:03:58)")</f>
        <v>交通事故 N CABRILLO HWY/MAGELLAN AV MIR (08/06/15 11:03:58)</v>
      </c>
      <c r="G35" s="4" t="str">
        <f>IFERROR(__xludf.DUMMYFUNCTION("GOOGLETRANSLATE(B35)"),"意外事故")</f>
        <v>意外事故</v>
      </c>
    </row>
    <row r="36" ht="15.75" customHeight="1">
      <c r="A36" s="4">
        <v>113.0</v>
      </c>
      <c r="B36" s="4" t="s">
        <v>47</v>
      </c>
      <c r="C36" s="4" t="s">
        <v>56</v>
      </c>
      <c r="D36" s="4" t="s">
        <v>60</v>
      </c>
      <c r="E36" s="4">
        <v>1.0</v>
      </c>
      <c r="F36" s="4" t="str">
        <f>IFERROR(__xludf.DUMMYFUNCTION("GOOGLETRANSLATE(D36)"),"I-77 英里標記 31 至 40 South Mooresville Iredell 於 8 月 6 日下午 1:18 發生車輛事故擁堵")</f>
        <v>I-77 英里標記 31 至 40 South Mooresville Iredell 於 8 月 6 日下午 1:18 發生車輛事故擁堵</v>
      </c>
      <c r="G36" s="4" t="str">
        <f>IFERROR(__xludf.DUMMYFUNCTION("GOOGLETRANSLATE(B36)"),"意外事故")</f>
        <v>意外事故</v>
      </c>
    </row>
    <row r="37" ht="15.75" customHeight="1">
      <c r="A37" s="4">
        <v>114.0</v>
      </c>
      <c r="B37" s="4" t="s">
        <v>47</v>
      </c>
      <c r="C37" s="4" t="s">
        <v>61</v>
      </c>
      <c r="D37" s="4" t="s">
        <v>62</v>
      </c>
      <c r="E37" s="4">
        <v>1.0</v>
      </c>
      <c r="F37" s="4" t="str">
        <f>IFERROR(__xludf.DUMMYFUNCTION("GOOGLETRANSLATE(D37)"),"意外現場牧師並不在…路虎攬勝的車主是誰？")</f>
        <v>意外現場牧師並不在…路虎攬勝的車主是誰？</v>
      </c>
      <c r="G37" s="4" t="str">
        <f>IFERROR(__xludf.DUMMYFUNCTION("GOOGLETRANSLATE(B37)"),"意外事故")</f>
        <v>意外事故</v>
      </c>
    </row>
    <row r="38" ht="15.75" customHeight="1">
      <c r="A38" s="4">
        <v>118.0</v>
      </c>
      <c r="B38" s="4" t="s">
        <v>47</v>
      </c>
      <c r="C38" s="4" t="s">
        <v>63</v>
      </c>
      <c r="D38" s="4" t="s">
        <v>64</v>
      </c>
      <c r="E38" s="4">
        <v>1.0</v>
      </c>
      <c r="F38" s="4" t="str">
        <f>IFERROR(__xludf.DUMMYFUNCTION("GOOGLETRANSLATE(D38)"),"上週日我遭遇了一場可怕的車禍。我終於可以四處走動了感謝上帝？？")</f>
        <v>上週日我遭遇了一場可怕的車禍。我終於可以四處走動了感謝上帝？？</v>
      </c>
      <c r="G38" s="4" t="str">
        <f>IFERROR(__xludf.DUMMYFUNCTION("GOOGLETRANSLATE(B38)"),"意外事故")</f>
        <v>意外事故</v>
      </c>
    </row>
    <row r="39" ht="15.75" customHeight="1">
      <c r="A39" s="4">
        <v>120.0</v>
      </c>
      <c r="B39" s="4" t="s">
        <v>47</v>
      </c>
      <c r="C39" s="4" t="s">
        <v>65</v>
      </c>
      <c r="D39" s="4" t="s">
        <v>66</v>
      </c>
      <c r="E39" s="4">
        <v>1.0</v>
      </c>
      <c r="F39" s="4" t="str">
        <f>IFERROR(__xludf.DUMMYFUNCTION("GOOGLETRANSLATE(D39)"),"#TruckCrash 在 #FortWorth 州際公路上翻車 http://t.co/Rs22LJ4qFp 如果您遭遇過車禍，請點擊此處&gt;http://t.co/Ld0unIYw4k")</f>
        <v>#TruckCrash 在 #FortWorth 州際公路上翻車 http://t.co/Rs22LJ4qFp 如果您遭遇過車禍，請點擊此處&gt;http://t.co/Ld0unIYw4k</v>
      </c>
      <c r="G39" s="4" t="str">
        <f>IFERROR(__xludf.DUMMYFUNCTION("GOOGLETRANSLATE(B39)"),"意外事故")</f>
        <v>意外事故</v>
      </c>
    </row>
    <row r="40" ht="15.75" customHeight="1">
      <c r="A40" s="4">
        <v>121.0</v>
      </c>
      <c r="B40" s="4" t="s">
        <v>47</v>
      </c>
      <c r="C40" s="4" t="s">
        <v>67</v>
      </c>
      <c r="D40" s="4" t="s">
        <v>68</v>
      </c>
      <c r="E40" s="4">
        <v>1.0</v>
      </c>
      <c r="F40" s="4" t="str">
        <f>IFERROR(__xludf.DUMMYFUNCTION("GOOGLETRANSLATE(D40)"),"#Ashville 在 SR 752 之前的 US 23 SB 上發生事故 #traffic http://t.co/hylMo0WgFI")</f>
        <v>#Ashville 在 SR 752 之前的 US 23 SB 上發生事故 #traffic http://t.co/hylMo0WgFI</v>
      </c>
      <c r="G40" s="4" t="str">
        <f>IFERROR(__xludf.DUMMYFUNCTION("GOOGLETRANSLATE(B40)"),"意外事故")</f>
        <v>意外事故</v>
      </c>
    </row>
    <row r="41" ht="15.75" customHeight="1">
      <c r="A41" s="4">
        <v>126.0</v>
      </c>
      <c r="B41" s="4" t="s">
        <v>47</v>
      </c>
      <c r="D41" s="4" t="s">
        <v>69</v>
      </c>
      <c r="E41" s="4">
        <v>1.0</v>
      </c>
      <c r="F41" s="4" t="str">
        <f>IFERROR(__xludf.DUMMYFUNCTION("GOOGLETRANSLATE(D41)"),"卡羅萊納州事故：摩托車手在 I-540 公路上與越過中線的汽車相撞身亡：一名摩托車手正在行駛...... http://t.co/p18lzRlmy6")</f>
        <v>卡羅萊納州事故：摩托車手在 I-540 公路上與越過中線的汽車相撞身亡：一名摩托車手正在行駛...... http://t.co/p18lzRlmy6</v>
      </c>
      <c r="G41" s="4" t="str">
        <f>IFERROR(__xludf.DUMMYFUNCTION("GOOGLETRANSLATE(B41)"),"意外事故")</f>
        <v>意外事故</v>
      </c>
    </row>
    <row r="42" ht="15.75" customHeight="1">
      <c r="A42" s="4">
        <v>128.0</v>
      </c>
      <c r="B42" s="4" t="s">
        <v>47</v>
      </c>
      <c r="C42" s="4" t="s">
        <v>70</v>
      </c>
      <c r="D42" s="4" t="s">
        <v>71</v>
      </c>
      <c r="E42" s="4">
        <v>1.0</v>
      </c>
      <c r="F42" s="4" t="str">
        <f>IFERROR(__xludf.DUMMYFUNCTION("GOOGLETRANSLATE(D42)"),"僅供參考 CAD：僅供參考：；意外財產損失；NHS；999 PINER RD/HORNDALE DR")</f>
        <v>僅供參考 CAD：僅供參考：；意外財產損失；NHS；999 PINER RD/HORNDALE DR</v>
      </c>
      <c r="G42" s="4" t="str">
        <f>IFERROR(__xludf.DUMMYFUNCTION("GOOGLETRANSLATE(B42)"),"意外事故")</f>
        <v>意外事故</v>
      </c>
    </row>
    <row r="43" ht="15.75" customHeight="1">
      <c r="A43" s="4">
        <v>129.0</v>
      </c>
      <c r="B43" s="4" t="s">
        <v>47</v>
      </c>
      <c r="C43" s="4" t="s">
        <v>72</v>
      </c>
      <c r="D43" s="4" t="s">
        <v>73</v>
      </c>
      <c r="E43" s="4">
        <v>1.0</v>
      </c>
      <c r="F43" s="4" t="str">
        <f>IFERROR(__xludf.DUMMYFUNCTION("GOOGLETRANSLATE(D43)"),"RT nAAYf：多年來的第一次事故。從 MMA 附近轉向 Chandanee Magu。當我轉身時，計程車撞上了我。大家聊聊")</f>
        <v>RT nAAYf：多年來的第一次事故。從 MMA 附近轉向 Chandanee Magu。當我轉身時，計程車撞上了我。大家聊聊</v>
      </c>
      <c r="G43" s="4" t="str">
        <f>IFERROR(__xludf.DUMMYFUNCTION("GOOGLETRANSLATE(B43)"),"意外事故")</f>
        <v>意外事故</v>
      </c>
    </row>
    <row r="44" ht="15.75" customHeight="1">
      <c r="A44" s="4">
        <v>130.0</v>
      </c>
      <c r="B44" s="4" t="s">
        <v>47</v>
      </c>
      <c r="C44" s="4" t="s">
        <v>74</v>
      </c>
      <c r="D44" s="4" t="s">
        <v>75</v>
      </c>
      <c r="E44" s="4">
        <v>1.0</v>
      </c>
      <c r="F44" s="4" t="str">
        <f>IFERROR(__xludf.DUMMYFUNCTION("GOOGLETRANSLATE(D44)"),"事故左車道在#Manchester Rt 293 NB 上被封鎖，之後 Eddy Rd 停止並返回 NH-3A，延誤 4 分鐘#traffic")</f>
        <v>事故左車道在#Manchester Rt 293 NB 上被封鎖，之後 Eddy Rd 停止並返回 NH-3A，延誤 4 分鐘#traffic</v>
      </c>
      <c r="G44" s="4" t="str">
        <f>IFERROR(__xludf.DUMMYFUNCTION("GOOGLETRANSLATE(B44)"),"意外事故")</f>
        <v>意外事故</v>
      </c>
    </row>
    <row r="45" ht="15.75" customHeight="1">
      <c r="A45" s="4">
        <v>131.0</v>
      </c>
      <c r="B45" s="4" t="s">
        <v>47</v>
      </c>
      <c r="C45" s="4" t="s">
        <v>76</v>
      </c>
      <c r="D45" s="4" t="s">
        <v>77</v>
      </c>
      <c r="E45" s="4">
        <v>1.0</v>
      </c>
      <c r="F45" s="4" t="str">
        <f>IFERROR(__xludf.DUMMYFUNCTION("GOOGLETRANSLATE(D45)"),"；意外財產損失；皮納路/霍恩代爾路")</f>
        <v>；意外財產損失；皮納路/霍恩代爾路</v>
      </c>
      <c r="G45" s="4" t="str">
        <f>IFERROR(__xludf.DUMMYFUNCTION("GOOGLETRANSLATE(B45)"),"意外事故")</f>
        <v>意外事故</v>
      </c>
    </row>
    <row r="46" ht="15.75" customHeight="1">
      <c r="A46" s="4">
        <v>133.0</v>
      </c>
      <c r="B46" s="4" t="s">
        <v>47</v>
      </c>
      <c r="C46" s="4" t="s">
        <v>70</v>
      </c>
      <c r="D46" s="4" t="s">
        <v>78</v>
      </c>
      <c r="E46" s="4">
        <v>1.0</v>
      </c>
      <c r="F46" s="4" t="str">
        <f>IFERROR(__xludf.DUMMYFUNCTION("GOOGLETRANSLATE(D46)"),"僅供參考 CAD：僅供參考：；事故財產損失；WPD；1600 S 17TH ST")</f>
        <v>僅供參考 CAD：僅供參考：；事故財產損失；WPD；1600 S 17TH ST</v>
      </c>
      <c r="G46" s="4" t="str">
        <f>IFERROR(__xludf.DUMMYFUNCTION("GOOGLETRANSLATE(B46)"),"意外事故")</f>
        <v>意外事故</v>
      </c>
    </row>
    <row r="47" ht="15.75" customHeight="1">
      <c r="A47" s="4">
        <v>134.0</v>
      </c>
      <c r="B47" s="4" t="s">
        <v>47</v>
      </c>
      <c r="D47" s="4" t="s">
        <v>79</v>
      </c>
      <c r="E47" s="4">
        <v>1.0</v>
      </c>
      <c r="F47" s="4" t="str">
        <f>IFERROR(__xludf.DUMMYFUNCTION("GOOGLETRANSLATE(D47)"),"8/6/2015@2:09 PM：威利斯福爾曼路 2781 號發生交通事故，無人受傷 http://t.co/VCkIT6EDEv")</f>
        <v>8/6/2015@2:09 PM：威利斯福爾曼路 2781 號發生交通事故，無人受傷 http://t.co/VCkIT6EDEv</v>
      </c>
      <c r="G47" s="4" t="str">
        <f>IFERROR(__xludf.DUMMYFUNCTION("GOOGLETRANSLATE(B47)"),"意外事故")</f>
        <v>意外事故</v>
      </c>
    </row>
    <row r="48" ht="15.75" customHeight="1">
      <c r="A48" s="4">
        <v>135.0</v>
      </c>
      <c r="B48" s="4" t="s">
        <v>47</v>
      </c>
      <c r="C48" s="4" t="s">
        <v>80</v>
      </c>
      <c r="D48" s="4" t="s">
        <v>81</v>
      </c>
      <c r="E48" s="4">
        <v>1.0</v>
      </c>
      <c r="F48" s="4" t="str">
        <f>IFERROR(__xludf.DUMMYFUNCTION("GOOGLETRANSLATE(D48)"),"Aashiqui 女演員 Anu Aggarwal 談論她幾乎致命的事故 http://t.co/6Otfp31LqW")</f>
        <v>Aashiqui 女演員 Anu Aggarwal 談論她幾乎致命的事故 http://t.co/6Otfp31LqW</v>
      </c>
      <c r="G48" s="4" t="str">
        <f>IFERROR(__xludf.DUMMYFUNCTION("GOOGLETRANSLATE(B48)"),"意外事故")</f>
        <v>意外事故</v>
      </c>
    </row>
    <row r="49" ht="15.75" customHeight="1">
      <c r="A49" s="4">
        <v>136.0</v>
      </c>
      <c r="B49" s="4" t="s">
        <v>47</v>
      </c>
      <c r="C49" s="4" t="s">
        <v>82</v>
      </c>
      <c r="D49" s="4" t="s">
        <v>83</v>
      </c>
      <c r="E49" s="4">
        <v>1.0</v>
      </c>
      <c r="F49" s="4" t="str">
        <f>IFERROR(__xludf.DUMMYFUNCTION("GOOGLETRANSLATE(D49)"),"艾伯塔省薩菲爾德事故 https://t.co/bPTmlF4P10")</f>
        <v>艾伯塔省薩菲爾德事故 https://t.co/bPTmlF4P10</v>
      </c>
      <c r="G49" s="4" t="str">
        <f>IFERROR(__xludf.DUMMYFUNCTION("GOOGLETRANSLATE(B49)"),"意外事故")</f>
        <v>意外事故</v>
      </c>
    </row>
    <row r="50" ht="15.75" customHeight="1">
      <c r="A50" s="4">
        <v>137.0</v>
      </c>
      <c r="B50" s="4" t="s">
        <v>47</v>
      </c>
      <c r="C50" s="4" t="s">
        <v>84</v>
      </c>
      <c r="D50" s="4" t="s">
        <v>85</v>
      </c>
      <c r="E50" s="4">
        <v>1.0</v>
      </c>
      <c r="F50" s="4" t="str">
        <f>IFERROR(__xludf.DUMMYFUNCTION("GOOGLETRANSLATE(D50)"),"I-77 South 上的 9 英里備援...事故堵塞了 31 Langtree Rd 出口處的右側 2 條車道...考慮從 NC 115 或 NC 150 到 NC 16 作為備用車道")</f>
        <v>I-77 South 上的 9 英里備援...事故堵塞了 31 Langtree Rd 出口處的右側 2 條車道...考慮從 NC 115 或 NC 150 到 NC 16 作為備用車道</v>
      </c>
      <c r="G50" s="4" t="str">
        <f>IFERROR(__xludf.DUMMYFUNCTION("GOOGLETRANSLATE(B50)"),"意外事故")</f>
        <v>意外事故</v>
      </c>
    </row>
    <row r="51" ht="15.75" customHeight="1">
      <c r="A51" s="4">
        <v>139.0</v>
      </c>
      <c r="B51" s="4" t="s">
        <v>47</v>
      </c>
      <c r="C51" s="4" t="s">
        <v>86</v>
      </c>
      <c r="D51" s="4" t="s">
        <v>87</v>
      </c>
      <c r="E51" s="4">
        <v>1.0</v>
      </c>
      <c r="F51" s="4" t="str">
        <f>IFERROR(__xludf.DUMMYFUNCTION("GOOGLETRANSLATE(D51)"),"#BREAKING：今天 #Hagerstown 發生了一起致命的摩托車事故。我將透過 5 @Your4State 了解更多詳細資訊。 #WHAG")</f>
        <v>#BREAKING：今天 #Hagerstown 發生了一起致命的摩托車事故。我將透過 5 @Your4State 了解更多詳細資訊。 #WHAG</v>
      </c>
      <c r="G51" s="4" t="str">
        <f>IFERROR(__xludf.DUMMYFUNCTION("GOOGLETRANSLATE(B51)"),"意外事故")</f>
        <v>意外事故</v>
      </c>
    </row>
    <row r="52" ht="15.75" customHeight="1">
      <c r="A52" s="4">
        <v>143.0</v>
      </c>
      <c r="B52" s="4" t="s">
        <v>47</v>
      </c>
      <c r="D52" s="4" t="s">
        <v>88</v>
      </c>
      <c r="E52" s="4">
        <v>1.0</v>
      </c>
      <c r="F52" s="4" t="str">
        <f>IFERROR(__xludf.DUMMYFUNCTION("GOOGLETRANSLATE(D52)"),"車子只開了不到一週就出了一場他媽的車禍..Mfs他媽的不會開車。")</f>
        <v>車子只開了不到一週就出了一場他媽的車禍..Mfs他媽的不會開車。</v>
      </c>
      <c r="G52" s="4" t="str">
        <f>IFERROR(__xludf.DUMMYFUNCTION("GOOGLETRANSLATE(B52)"),"意外事故")</f>
        <v>意外事故</v>
      </c>
    </row>
    <row r="53" ht="15.75" customHeight="1">
      <c r="A53" s="4">
        <v>144.0</v>
      </c>
      <c r="B53" s="4" t="s">
        <v>47</v>
      </c>
      <c r="C53" s="4" t="s">
        <v>89</v>
      </c>
      <c r="D53" s="4" t="s">
        <v>90</v>
      </c>
      <c r="E53" s="4">
        <v>1.0</v>
      </c>
      <c r="F53" s="4" t="str">
        <f>IFERROR(__xludf.DUMMYFUNCTION("GOOGLETRANSLATE(D53)"),".@NorwayMFA #巴林警察先前曾在交通事故中死亡，但他們不是被爆炸炸死的 https://t.co/gFJfgTodad")</f>
        <v>.@NorwayMFA #巴林警察先前曾在交通事故中死亡，但他們不是被爆炸炸死的 https://t.co/gFJfgTodad</v>
      </c>
      <c r="G53" s="4" t="str">
        <f>IFERROR(__xludf.DUMMYFUNCTION("GOOGLETRANSLATE(B53)"),"意外事故")</f>
        <v>意外事故</v>
      </c>
    </row>
    <row r="54" ht="15.75" customHeight="1">
      <c r="A54" s="4">
        <v>196.0</v>
      </c>
      <c r="B54" s="4" t="s">
        <v>91</v>
      </c>
      <c r="C54" s="4" t="s">
        <v>92</v>
      </c>
      <c r="D54" s="4" t="s">
        <v>93</v>
      </c>
      <c r="E54" s="4">
        <v>1.0</v>
      </c>
      <c r="F54" s="4" t="str">
        <f>IFERROR(__xludf.DUMMYFUNCTION("GOOGLETRANSLATE(D54)"),"法國專家開始檢查在留尼旺島發現的飛機殘骸：法國空難專家... http://t.co/YVVPznZmXg #news")</f>
        <v>法國專家開始檢查在留尼旺島發現的飛機殘骸：法國空難專家... http://t.co/YVVPznZmXg #news</v>
      </c>
      <c r="G54" s="4" t="str">
        <f>IFERROR(__xludf.DUMMYFUNCTION("GOOGLETRANSLATE(B54)"),"飛機%20事故")</f>
        <v>飛機%20事故</v>
      </c>
    </row>
    <row r="55" ht="15.75" customHeight="1">
      <c r="A55" s="4">
        <v>197.0</v>
      </c>
      <c r="B55" s="4" t="s">
        <v>91</v>
      </c>
      <c r="C55" s="4" t="s">
        <v>94</v>
      </c>
      <c r="D55" s="4" t="s">
        <v>95</v>
      </c>
      <c r="E55" s="4">
        <v>1.0</v>
      </c>
      <c r="F55" s="4" t="str">
        <f>IFERROR(__xludf.DUMMYFUNCTION("GOOGLETRANSLATE(D55)"),"飛機事故中的嚴格責任：飛行員失誤是大多數航空事故的常見組成部分... http://t.co/6CZ3bOhRd4")</f>
        <v>飛機事故中的嚴格責任：飛行員失誤是大多數航空事故的常見組成部分... http://t.co/6CZ3bOhRd4</v>
      </c>
      <c r="G55" s="4" t="str">
        <f>IFERROR(__xludf.DUMMYFUNCTION("GOOGLETRANSLATE(B55)"),"飛機%20事故")</f>
        <v>飛機%20事故</v>
      </c>
    </row>
    <row r="56" ht="15.75" customHeight="1">
      <c r="A56" s="4">
        <v>199.0</v>
      </c>
      <c r="B56" s="4" t="s">
        <v>91</v>
      </c>
      <c r="C56" s="4" t="s">
        <v>96</v>
      </c>
      <c r="D56" s="4" t="s">
        <v>97</v>
      </c>
      <c r="E56" s="4">
        <v>1.0</v>
      </c>
      <c r="F56" s="4" t="str">
        <f>IFERROR(__xludf.DUMMYFUNCTION("GOOGLETRANSLATE(D56)"),"法國專家開始檢查在留尼旺島發現的飛機殘骸：法國空難專家週三... http://t.co/bKpFpOGySI")</f>
        <v>法國專家開始檢查在留尼旺島發現的飛機殘骸：法國空難專家週三... http://t.co/bKpFpOGySI</v>
      </c>
      <c r="G56" s="4" t="str">
        <f>IFERROR(__xludf.DUMMYFUNCTION("GOOGLETRANSLATE(B56)"),"飛機%20事故")</f>
        <v>飛機%20事故</v>
      </c>
    </row>
    <row r="57" ht="15.75" customHeight="1">
      <c r="A57" s="4">
        <v>201.0</v>
      </c>
      <c r="B57" s="4" t="s">
        <v>91</v>
      </c>
      <c r="D57" s="4" t="s">
        <v>98</v>
      </c>
      <c r="E57" s="4">
        <v>1.0</v>
      </c>
      <c r="F57" s="4" t="str">
        <f>IFERROR(__xludf.DUMMYFUNCTION("GOOGLETRANSLATE(D57)"),"@AlexAllTimeLow 哇哦，他們遭遇了飛機事故，他們會死的，真是個可愛的人？？？好工作！")</f>
        <v>@AlexAllTimeLow 哇哦，他們遭遇了飛機事故，他們會死的，真是個可愛的人？？？好工作！</v>
      </c>
      <c r="G57" s="4" t="str">
        <f>IFERROR(__xludf.DUMMYFUNCTION("GOOGLETRANSLATE(B57)"),"飛機%20事故")</f>
        <v>飛機%20事故</v>
      </c>
    </row>
    <row r="58" ht="15.75" customHeight="1">
      <c r="A58" s="4">
        <v>203.0</v>
      </c>
      <c r="B58" s="4" t="s">
        <v>91</v>
      </c>
      <c r="C58" s="4" t="s">
        <v>99</v>
      </c>
      <c r="D58" s="4" t="s">
        <v>100</v>
      </c>
      <c r="E58" s="4">
        <v>1.0</v>
      </c>
      <c r="F58" s="4" t="str">
        <f>IFERROR(__xludf.DUMMYFUNCTION("GOOGLETRANSLATE(D58)"),"烏薩馬·本·拉登的家人在飛機事故中喪生，多麼諷刺？？？？？？嗯嗯，我懷疑政府狗屎")</f>
        <v>烏薩馬·本·拉登的家人在飛機事故中喪生，多麼諷刺？？？？？？嗯嗯，我懷疑政府狗屎</v>
      </c>
      <c r="G58" s="4" t="str">
        <f>IFERROR(__xludf.DUMMYFUNCTION("GOOGLETRANSLATE(B58)"),"飛機%20事故")</f>
        <v>飛機%20事故</v>
      </c>
    </row>
    <row r="59" ht="15.75" customHeight="1">
      <c r="A59" s="4">
        <v>204.0</v>
      </c>
      <c r="B59" s="4" t="s">
        <v>91</v>
      </c>
      <c r="C59" s="4" t="s">
        <v>101</v>
      </c>
      <c r="D59" s="4" t="s">
        <v>102</v>
      </c>
      <c r="E59" s="4">
        <v>1.0</v>
      </c>
      <c r="F59" s="4" t="str">
        <f>IFERROR(__xludf.DUMMYFUNCTION("GOOGLETRANSLATE(D59)"),"男子遭遇飛機引擎事故：http://t.co/TYJxrFd3St 來自 @YouTube")</f>
        <v>男子遭遇飛機引擎事故：http://t.co/TYJxrFd3St 來自 @YouTube</v>
      </c>
      <c r="G59" s="4" t="str">
        <f>IFERROR(__xludf.DUMMYFUNCTION("GOOGLETRANSLATE(B59)"),"飛機%20事故")</f>
        <v>飛機%20事故</v>
      </c>
    </row>
    <row r="60" ht="15.75" customHeight="1">
      <c r="A60" s="4">
        <v>205.0</v>
      </c>
      <c r="B60" s="4" t="s">
        <v>91</v>
      </c>
      <c r="C60" s="4" t="s">
        <v>103</v>
      </c>
      <c r="D60" s="4" t="s">
        <v>104</v>
      </c>
      <c r="E60" s="4">
        <v>1.0</v>
      </c>
      <c r="F60" s="4" t="str">
        <f>IFERROR(__xludf.DUMMYFUNCTION("GOOGLETRANSLATE(D60)"),"可怕的事故男子死於飛機機翼 (29-07-2015) http://t.co/i7kZtevb2v")</f>
        <v>可怕的事故男子死於飛機機翼 (29-07-2015) http://t.co/i7kZtevb2v</v>
      </c>
      <c r="G60" s="4" t="str">
        <f>IFERROR(__xludf.DUMMYFUNCTION("GOOGLETRANSLATE(B60)"),"飛機%20事故")</f>
        <v>飛機%20事故</v>
      </c>
    </row>
    <row r="61" ht="15.75" customHeight="1">
      <c r="A61" s="4">
        <v>208.0</v>
      </c>
      <c r="B61" s="4" t="s">
        <v>91</v>
      </c>
      <c r="C61" s="4" t="s">
        <v>105</v>
      </c>
      <c r="D61" s="4" t="s">
        <v>106</v>
      </c>
      <c r="E61" s="4">
        <v>1.0</v>
      </c>
      <c r="F61" s="4" t="str">
        <f>IFERROR(__xludf.DUMMYFUNCTION("GOOGLETRANSLATE(D61)"),"2015 年 7 月 29 日，墨西哥科阿韋拉州奧坎波發生的塞斯納飛機事故造成四人死亡，其中包括一名科阿韋拉州政府官員。")</f>
        <v>2015 年 7 月 29 日，墨西哥科阿韋拉州奧坎波發生的塞斯納飛機事故造成四人死亡，其中包括一名科阿韋拉州政府官員。</v>
      </c>
      <c r="G61" s="4" t="str">
        <f>IFERROR(__xludf.DUMMYFUNCTION("GOOGLETRANSLATE(B61)"),"飛機%20事故")</f>
        <v>飛機%20事故</v>
      </c>
    </row>
    <row r="62" ht="15.75" customHeight="1">
      <c r="A62" s="4">
        <v>209.0</v>
      </c>
      <c r="B62" s="4" t="s">
        <v>91</v>
      </c>
      <c r="C62" s="4" t="s">
        <v>107</v>
      </c>
      <c r="D62" s="4" t="s">
        <v>108</v>
      </c>
      <c r="E62" s="4">
        <v>1.0</v>
      </c>
      <c r="F62" s="4" t="str">
        <f>IFERROR(__xludf.DUMMYFUNCTION("GOOGLETRANSLATE(D62)"),"#Horrible #事故男子死於機翼飛機中 (29-07-2015) #WatchTheVideo http://t.co/p64xRVgJIk")</f>
        <v>#Horrible #事故男子死於機翼飛機中 (29-07-2015) #WatchTheVideo http://t.co/p64xRVgJIk</v>
      </c>
      <c r="G62" s="4" t="str">
        <f>IFERROR(__xludf.DUMMYFUNCTION("GOOGLETRANSLATE(B62)"),"飛機%20事故")</f>
        <v>飛機%20事故</v>
      </c>
    </row>
    <row r="63" ht="15.75" customHeight="1">
      <c r="A63" s="4">
        <v>210.0</v>
      </c>
      <c r="B63" s="4" t="s">
        <v>91</v>
      </c>
      <c r="C63" s="4" t="s">
        <v>109</v>
      </c>
      <c r="D63" s="4" t="s">
        <v>110</v>
      </c>
      <c r="E63" s="4">
        <v>1.0</v>
      </c>
      <c r="F63" s="4" t="str">
        <f>IFERROR(__xludf.DUMMYFUNCTION("GOOGLETRANSLATE(D63)"),"法國專家開始檢查在留尼旺島發現的飛機殘骸 http://t.co/LsMx2vwr3J 法國空難專家週三Û_")</f>
        <v>法國專家開始檢查在留尼旺島發現的飛機殘骸 http://t.co/LsMx2vwr3J 法國空難專家週三Û_</v>
      </c>
      <c r="G63" s="4" t="str">
        <f>IFERROR(__xludf.DUMMYFUNCTION("GOOGLETRANSLATE(B63)"),"飛機%20事故")</f>
        <v>飛機%20事故</v>
      </c>
    </row>
    <row r="64" ht="15.75" customHeight="1">
      <c r="A64" s="4">
        <v>211.0</v>
      </c>
      <c r="B64" s="4" t="s">
        <v>91</v>
      </c>
      <c r="D64" s="4" t="s">
        <v>111</v>
      </c>
      <c r="E64" s="4">
        <v>1.0</v>
      </c>
      <c r="F64" s="4" t="str">
        <f>IFERROR(__xludf.DUMMYFUNCTION("GOOGLETRANSLATE(D64)"),"法國專家開始檢查在留尼旺島發現的飛機殘骸：法國空難專家週三開始檢查...")</f>
        <v>法國專家開始檢查在留尼旺島發現的飛機殘骸：法國空難專家週三開始檢查...</v>
      </c>
      <c r="G64" s="4" t="str">
        <f>IFERROR(__xludf.DUMMYFUNCTION("GOOGLETRANSLATE(B64)"),"飛機%20事故")</f>
        <v>飛機%20事故</v>
      </c>
    </row>
    <row r="65" ht="15.75" customHeight="1">
      <c r="A65" s="4">
        <v>212.0</v>
      </c>
      <c r="B65" s="4" t="s">
        <v>91</v>
      </c>
      <c r="C65" s="4" t="s">
        <v>112</v>
      </c>
      <c r="D65" s="4" t="s">
        <v>113</v>
      </c>
      <c r="E65" s="4">
        <v>1.0</v>
      </c>
      <c r="F65" s="4" t="str">
        <f>IFERROR(__xludf.DUMMYFUNCTION("GOOGLETRANSLATE(D65)"),"#KCA #VoteJKT48ID mbataweel：#RIP #BINLADEN 在飛機事故中喪生的家庭成員")</f>
        <v>#KCA #VoteJKT48ID mbataweel：#RIP #BINLADEN 在飛機事故中喪生的家庭成員</v>
      </c>
      <c r="G65" s="4" t="str">
        <f>IFERROR(__xludf.DUMMYFUNCTION("GOOGLETRANSLATE(B65)"),"飛機%20事故")</f>
        <v>飛機%20事故</v>
      </c>
    </row>
    <row r="66" ht="15.75" customHeight="1">
      <c r="A66" s="4">
        <v>216.0</v>
      </c>
      <c r="B66" s="4" t="s">
        <v>91</v>
      </c>
      <c r="C66" s="4" t="s">
        <v>114</v>
      </c>
      <c r="D66" s="4" t="s">
        <v>115</v>
      </c>
      <c r="E66" s="4">
        <v>1.0</v>
      </c>
      <c r="F66" s="4" t="str">
        <f>IFERROR(__xludf.DUMMYFUNCTION("GOOGLETRANSLATE(D66)"),"法國專家開始檢查在留尼旺島發現的飛機殘骸：法國空難專家... http://t.co/TagZbcXFj0 #MLB")</f>
        <v>法國專家開始檢查在留尼旺島發現的飛機殘骸：法國空難專家... http://t.co/TagZbcXFj0 #MLB</v>
      </c>
      <c r="G66" s="4" t="str">
        <f>IFERROR(__xludf.DUMMYFUNCTION("GOOGLETRANSLATE(B66)"),"飛機%20事故")</f>
        <v>飛機%20事故</v>
      </c>
    </row>
    <row r="67" ht="15.75" customHeight="1">
      <c r="A67" s="4">
        <v>218.0</v>
      </c>
      <c r="B67" s="4" t="s">
        <v>91</v>
      </c>
      <c r="D67" s="4" t="s">
        <v>116</v>
      </c>
      <c r="E67" s="4">
        <v>1.0</v>
      </c>
      <c r="F67" s="4" t="str">
        <f>IFERROR(__xludf.DUMMYFUNCTION("GOOGLETRANSLATE(D67)"),"這太瘋狂了。
#man #airport #airplane #aircraft #aeroplane #runway #accident #freakyÛ_ https://t.co/cezhq7CzLl")</f>
        <v>這太瘋狂了。
#man #airport #airplane #aircraft #aeroplane #runway #accident #freakyÛ_ https://t.co/cezhq7CzLl</v>
      </c>
      <c r="G67" s="4" t="str">
        <f>IFERROR(__xludf.DUMMYFUNCTION("GOOGLETRANSLATE(B67)"),"飛機%20事故")</f>
        <v>飛機%20事故</v>
      </c>
    </row>
    <row r="68" ht="15.75" customHeight="1">
      <c r="A68" s="4">
        <v>219.0</v>
      </c>
      <c r="B68" s="4" t="s">
        <v>91</v>
      </c>
      <c r="C68" s="4" t="s">
        <v>117</v>
      </c>
      <c r="D68" s="4" t="s">
        <v>118</v>
      </c>
      <c r="E68" s="4">
        <v>1.0</v>
      </c>
      <c r="F68" s="4" t="str">
        <f>IFERROR(__xludf.DUMMYFUNCTION("GOOGLETRANSLATE(D68)"),"可怕的事故|男子死於飛機機翼 (29-07-2015) http://t.co/wq3wJsgPHL")</f>
        <v>可怕的事故|男子死於飛機機翼 (29-07-2015) http://t.co/wq3wJsgPHL</v>
      </c>
      <c r="G68" s="4" t="str">
        <f>IFERROR(__xludf.DUMMYFUNCTION("GOOGLETRANSLATE(B68)"),"飛機%20事故")</f>
        <v>飛機%20事故</v>
      </c>
    </row>
    <row r="69" ht="15.75" customHeight="1">
      <c r="A69" s="4">
        <v>220.0</v>
      </c>
      <c r="B69" s="4" t="s">
        <v>91</v>
      </c>
      <c r="C69" s="4" t="s">
        <v>119</v>
      </c>
      <c r="D69" s="4" t="s">
        <v>120</v>
      </c>
      <c r="E69" s="4">
        <v>1.0</v>
      </c>
      <c r="F69" s="4" t="str">
        <f>IFERROR(__xludf.DUMMYFUNCTION("GOOGLETRANSLATE(D69)"),"可怕的事故男子死於飛機機翼 (29-07-2015) http://t.co/TfcdRONRA6")</f>
        <v>可怕的事故男子死於飛機機翼 (29-07-2015) http://t.co/TfcdRONRA6</v>
      </c>
      <c r="G69" s="4" t="str">
        <f>IFERROR(__xludf.DUMMYFUNCTION("GOOGLETRANSLATE(B69)"),"飛機%20事故")</f>
        <v>飛機%20事故</v>
      </c>
    </row>
    <row r="70" ht="15.75" customHeight="1">
      <c r="A70" s="4">
        <v>221.0</v>
      </c>
      <c r="B70" s="4" t="s">
        <v>91</v>
      </c>
      <c r="C70" s="4" t="s">
        <v>121</v>
      </c>
      <c r="D70" s="4" t="s">
        <v>122</v>
      </c>
      <c r="E70" s="4">
        <v>1.0</v>
      </c>
      <c r="F70" s="4" t="str">
        <f>IFERROR(__xludf.DUMMYFUNCTION("GOOGLETRANSLATE(D70)"),"烏薩馬·本·拉丁的家人在飛機失事中喪生。自然不會有意外。")</f>
        <v>烏薩馬·本·拉丁的家人在飛機失事中喪生。自然不會有意外。</v>
      </c>
      <c r="G70" s="4" t="str">
        <f>IFERROR(__xludf.DUMMYFUNCTION("GOOGLETRANSLATE(B70)"),"飛機%20事故")</f>
        <v>飛機%20事故</v>
      </c>
    </row>
    <row r="71" ht="15.75" customHeight="1">
      <c r="A71" s="4">
        <v>222.0</v>
      </c>
      <c r="B71" s="4" t="s">
        <v>91</v>
      </c>
      <c r="D71" s="4" t="s">
        <v>123</v>
      </c>
      <c r="E71" s="4">
        <v>1.0</v>
      </c>
      <c r="F71" s="4" t="str">
        <f>IFERROR(__xludf.DUMMYFUNCTION("GOOGLETRANSLATE(D71)"),"飛行員在汽車節上死於飛機失事 https://t.co/kQ9aE6AP2B 來自 @YouTube #Crash #Aircraft #Airplane #Pilot #Death #Accident #CarFest")</f>
        <v>飛行員在汽車節上死於飛機失事 https://t.co/kQ9aE6AP2B 來自 @YouTube #Crash #Aircraft #Airplane #Pilot #Death #Accident #CarFest</v>
      </c>
      <c r="G71" s="4" t="str">
        <f>IFERROR(__xludf.DUMMYFUNCTION("GOOGLETRANSLATE(B71)"),"飛機%20事故")</f>
        <v>飛機%20事故</v>
      </c>
    </row>
    <row r="72" ht="15.75" customHeight="1">
      <c r="A72" s="4">
        <v>225.0</v>
      </c>
      <c r="B72" s="4" t="s">
        <v>91</v>
      </c>
      <c r="C72" s="4" t="s">
        <v>124</v>
      </c>
      <c r="D72" s="4" t="s">
        <v>125</v>
      </c>
      <c r="E72" s="4">
        <v>1.0</v>
      </c>
      <c r="F72" s="4" t="str">
        <f>IFERROR(__xludf.DUMMYFUNCTION("GOOGLETRANSLATE(D72)"),"飛機事故中的嚴格責任 - http://t.co/gibyQHhKpk")</f>
        <v>飛機事故中的嚴格責任 - http://t.co/gibyQHhKpk</v>
      </c>
      <c r="G72" s="4" t="str">
        <f>IFERROR(__xludf.DUMMYFUNCTION("GOOGLETRANSLATE(B72)"),"飛機%20事故")</f>
        <v>飛機%20事故</v>
      </c>
    </row>
    <row r="73" ht="15.75" customHeight="1">
      <c r="A73" s="4">
        <v>226.0</v>
      </c>
      <c r="B73" s="4" t="s">
        <v>91</v>
      </c>
      <c r="C73" s="4" t="s">
        <v>126</v>
      </c>
      <c r="D73" s="4" t="s">
        <v>127</v>
      </c>
      <c r="E73" s="4">
        <v>1.0</v>
      </c>
      <c r="F73" s="4" t="str">
        <f>IFERROR(__xludf.DUMMYFUNCTION("GOOGLETRANSLATE(D73)"),"DTN 巴西：法國專家開始檢查在留尼旺島發現的飛機殘骸：法國空難事故調查... http://t.co/M9IG3WQ8Lq")</f>
        <v>DTN 巴西：法國專家開始檢查在留尼旺島發現的飛機殘骸：法國空難事故調查... http://t.co/M9IG3WQ8Lq</v>
      </c>
      <c r="G73" s="4" t="str">
        <f>IFERROR(__xludf.DUMMYFUNCTION("GOOGLETRANSLATE(B73)"),"飛機%20事故")</f>
        <v>飛機%20事故</v>
      </c>
    </row>
    <row r="74" ht="15.75" customHeight="1">
      <c r="A74" s="4">
        <v>229.0</v>
      </c>
      <c r="B74" s="4" t="s">
        <v>91</v>
      </c>
      <c r="D74" s="4" t="s">
        <v>128</v>
      </c>
      <c r="E74" s="4">
        <v>1.0</v>
      </c>
      <c r="F74" s="4" t="str">
        <f>IFERROR(__xludf.DUMMYFUNCTION("GOOGLETRANSLATE(D74)"),"法國專家開始檢查在留尼旺島發現的飛機殘骸：法國空難專家週三... http://t.co/v4SMAESLK5")</f>
        <v>法國專家開始檢查在留尼旺島發現的飛機殘骸：法國空難專家週三... http://t.co/v4SMAESLK5</v>
      </c>
      <c r="G74" s="4" t="str">
        <f>IFERROR(__xludf.DUMMYFUNCTION("GOOGLETRANSLATE(B74)"),"飛機%20事故")</f>
        <v>飛機%20事故</v>
      </c>
    </row>
    <row r="75" ht="15.75" customHeight="1">
      <c r="A75" s="4">
        <v>231.0</v>
      </c>
      <c r="B75" s="4" t="s">
        <v>91</v>
      </c>
      <c r="C75" s="4" t="s">
        <v>129</v>
      </c>
      <c r="D75" s="4" t="s">
        <v>130</v>
      </c>
      <c r="E75" s="4">
        <v>1.0</v>
      </c>
      <c r="F75" s="4" t="str">
        <f>IFERROR(__xludf.DUMMYFUNCTION("GOOGLETRANSLATE(D75)"),"2015 年 7 月 29 日，一名男子死於飛機機翼。 WTF 你簡直不敢相信自己的眼睛 ÛÒ... http://t.co/6fFyLAjWpS")</f>
        <v>2015 年 7 月 29 日，一名男子死於飛機機翼。 WTF 你簡直不敢相信自己的眼睛 ÛÒ... http://t.co/6fFyLAjWpS</v>
      </c>
      <c r="G75" s="4" t="str">
        <f>IFERROR(__xludf.DUMMYFUNCTION("GOOGLETRANSLATE(B75)"),"飛機%20事故")</f>
        <v>飛機%20事故</v>
      </c>
    </row>
    <row r="76" ht="15.75" customHeight="1">
      <c r="A76" s="4">
        <v>232.0</v>
      </c>
      <c r="B76" s="4" t="s">
        <v>91</v>
      </c>
      <c r="C76" s="4" t="s">
        <v>131</v>
      </c>
      <c r="D76" s="4" t="s">
        <v>132</v>
      </c>
      <c r="E76" s="4">
        <v>1.0</v>
      </c>
      <c r="F76" s="4" t="str">
        <f>IFERROR(__xludf.DUMMYFUNCTION("GOOGLETRANSLATE(D76)"),"+ 妮可·弗萊徹 (Nicole Fletcher) 是幾次失事飛機的受害者之一。
這次事故給她留下了一點創傷。雖然她是
+")</f>
        <v>+ 妮可·弗萊徹 (Nicole Fletcher) 是幾次失事飛機的受害者之一。
這次事故給她留下了一點創傷。雖然她是
+</v>
      </c>
      <c r="G76" s="4" t="str">
        <f>IFERROR(__xludf.DUMMYFUNCTION("GOOGLETRANSLATE(B76)"),"飛機%20事故")</f>
        <v>飛機%20事故</v>
      </c>
    </row>
    <row r="77" ht="15.75" customHeight="1">
      <c r="A77" s="4">
        <v>235.0</v>
      </c>
      <c r="B77" s="4" t="s">
        <v>91</v>
      </c>
      <c r="C77" s="4" t="s">
        <v>34</v>
      </c>
      <c r="D77" s="4" t="s">
        <v>133</v>
      </c>
      <c r="E77" s="4">
        <v>1.0</v>
      </c>
      <c r="F77" s="4" t="str">
        <f>IFERROR(__xludf.DUMMYFUNCTION("GOOGLETRANSLATE(D77)"),"天啊，可怕的事故，男子死在飛機機翼中。 http://t.co/xDxDPrcPnS")</f>
        <v>天啊，可怕的事故，男子死在飛機機翼中。 http://t.co/xDxDPrcPnS</v>
      </c>
      <c r="G77" s="4" t="str">
        <f>IFERROR(__xludf.DUMMYFUNCTION("GOOGLETRANSLATE(B77)"),"飛機%20事故")</f>
        <v>飛機%20事故</v>
      </c>
    </row>
    <row r="78" ht="15.75" customHeight="1">
      <c r="A78" s="4">
        <v>237.0</v>
      </c>
      <c r="B78" s="4" t="s">
        <v>91</v>
      </c>
      <c r="C78" s="4" t="s">
        <v>134</v>
      </c>
      <c r="D78" s="4" t="s">
        <v>135</v>
      </c>
      <c r="E78" s="4">
        <v>1.0</v>
      </c>
      <c r="F78" s="4" t="str">
        <f>IFERROR(__xludf.DUMMYFUNCTION("GOOGLETRANSLATE(D78)"),"＃我的天啊！我不相信這個。 #安息吧兄弟
#AirPlane #Accident #JetEngine #TurboJet #Boing #G90 http://t.co/KXxnSZp6nk")</f>
        <v>＃我的天啊！我不相信這個。 #安息吧兄弟
#AirPlane #Accident #JetEngine #TurboJet #Boing #G90 http://t.co/KXxnSZp6nk</v>
      </c>
      <c r="G78" s="4" t="str">
        <f>IFERROR(__xludf.DUMMYFUNCTION("GOOGLETRANSLATE(B78)"),"飛機%20事故")</f>
        <v>飛機%20事故</v>
      </c>
    </row>
    <row r="79" ht="15.75" customHeight="1">
      <c r="A79" s="4">
        <v>238.0</v>
      </c>
      <c r="B79" s="4" t="s">
        <v>91</v>
      </c>
      <c r="D79" s="4" t="s">
        <v>111</v>
      </c>
      <c r="E79" s="4">
        <v>1.0</v>
      </c>
      <c r="F79" s="4" t="str">
        <f>IFERROR(__xludf.DUMMYFUNCTION("GOOGLETRANSLATE(D79)"),"法國專家開始檢查在留尼旺島發現的飛機殘骸：法國空難專家週三開始檢查...")</f>
        <v>法國專家開始檢查在留尼旺島發現的飛機殘骸：法國空難專家週三開始檢查...</v>
      </c>
      <c r="G79" s="4" t="str">
        <f>IFERROR(__xludf.DUMMYFUNCTION("GOOGLETRANSLATE(B79)"),"飛機%20事故")</f>
        <v>飛機%20事故</v>
      </c>
    </row>
    <row r="80" ht="15.75" customHeight="1">
      <c r="A80" s="4">
        <v>240.0</v>
      </c>
      <c r="B80" s="4" t="s">
        <v>91</v>
      </c>
      <c r="C80" s="4" t="s">
        <v>136</v>
      </c>
      <c r="D80" s="4" t="s">
        <v>137</v>
      </c>
      <c r="E80" s="4">
        <v>1.0</v>
      </c>
      <c r="F80" s="4" t="str">
        <f>IFERROR(__xludf.DUMMYFUNCTION("GOOGLETRANSLATE(D80)"),"我遭遇了飛機事故。")</f>
        <v>我遭遇了飛機事故。</v>
      </c>
      <c r="G80" s="4" t="str">
        <f>IFERROR(__xludf.DUMMYFUNCTION("GOOGLETRANSLATE(B80)"),"飛機%20事故")</f>
        <v>飛機%20事故</v>
      </c>
    </row>
    <row r="81" ht="15.75" customHeight="1">
      <c r="A81" s="4">
        <v>243.0</v>
      </c>
      <c r="B81" s="4" t="s">
        <v>91</v>
      </c>
      <c r="C81" s="4" t="s">
        <v>138</v>
      </c>
      <c r="D81" s="4" t="s">
        <v>139</v>
      </c>
      <c r="E81" s="4">
        <v>1.0</v>
      </c>
      <c r="F81" s="4" t="str">
        <f>IFERROR(__xludf.DUMMYFUNCTION("GOOGLETRANSLATE(D81)"),"哥倫比亞飛機墜毀房屋造成12人死亡 https://t.co/ZhJlfLBHZL")</f>
        <v>哥倫比亞飛機墜毀房屋造成12人死亡 https://t.co/ZhJlfLBHZL</v>
      </c>
      <c r="G81" s="4" t="str">
        <f>IFERROR(__xludf.DUMMYFUNCTION("GOOGLETRANSLATE(B81)"),"飛機%20事故")</f>
        <v>飛機%20事故</v>
      </c>
    </row>
    <row r="82" ht="15.75" customHeight="1">
      <c r="A82" s="4">
        <v>244.0</v>
      </c>
      <c r="B82" s="4" t="s">
        <v>91</v>
      </c>
      <c r="C82" s="4" t="s">
        <v>140</v>
      </c>
      <c r="D82" s="4" t="s">
        <v>141</v>
      </c>
      <c r="E82" s="4">
        <v>1.0</v>
      </c>
      <c r="F82" s="4" t="str">
        <f>IFERROR(__xludf.DUMMYFUNCTION("GOOGLETRANSLATE(D82)"),"槍擊或飛機事故 https://t.co/iECc1JDOub")</f>
        <v>槍擊或飛機事故 https://t.co/iECc1JDOub</v>
      </c>
      <c r="G82" s="4" t="str">
        <f>IFERROR(__xludf.DUMMYFUNCTION("GOOGLETRANSLATE(B82)"),"飛機%20事故")</f>
        <v>飛機%20事故</v>
      </c>
    </row>
    <row r="83" ht="15.75" customHeight="1">
      <c r="A83" s="4">
        <v>245.0</v>
      </c>
      <c r="B83" s="4" t="s">
        <v>91</v>
      </c>
      <c r="C83" s="4" t="s">
        <v>142</v>
      </c>
      <c r="D83" s="4" t="s">
        <v>143</v>
      </c>
      <c r="E83" s="4">
        <v>1.0</v>
      </c>
      <c r="F83" s="4" t="str">
        <f>IFERROR(__xludf.DUMMYFUNCTION("GOOGLETRANSLATE(D83)"),"無人機會導致飛機事故嗎？飛行員尤其擔心無人機的使用。靠近機場 http://t.co/kz35rGngJF #")</f>
        <v>無人機會導致飛機事故嗎？飛行員尤其擔心無人機的使用。靠近機場 http://t.co/kz35rGngJF #</v>
      </c>
      <c r="G83" s="4" t="str">
        <f>IFERROR(__xludf.DUMMYFUNCTION("GOOGLETRANSLATE(B83)"),"飛機%20事故")</f>
        <v>飛機%20事故</v>
      </c>
    </row>
    <row r="84" ht="15.75" customHeight="1">
      <c r="A84" s="4">
        <v>246.0</v>
      </c>
      <c r="B84" s="4" t="s">
        <v>144</v>
      </c>
      <c r="D84" s="4" t="s">
        <v>145</v>
      </c>
      <c r="E84" s="4">
        <v>1.0</v>
      </c>
      <c r="F84" s="4" t="str">
        <f>IFERROR(__xludf.DUMMYFUNCTION("GOOGLETRANSLATE(D84)"),"我姐姐很早就叫醒我，懇求我過來&amp;amp;和她一起搭救護車去醫院#RODKiai")</f>
        <v>我姐姐很早就叫醒我，懇求我過來&amp;amp;和她一起搭救護車去醫院#RODKiai</v>
      </c>
      <c r="G84" s="4" t="str">
        <f>IFERROR(__xludf.DUMMYFUNCTION("GOOGLETRANSLATE(B84)"),"救護車")</f>
        <v>救護車</v>
      </c>
    </row>
    <row r="85" ht="15.75" customHeight="1">
      <c r="A85" s="4">
        <v>247.0</v>
      </c>
      <c r="B85" s="4" t="s">
        <v>144</v>
      </c>
      <c r="C85" s="4" t="s">
        <v>146</v>
      </c>
      <c r="D85" s="4" t="s">
        <v>147</v>
      </c>
      <c r="E85" s="4">
        <v>1.0</v>
      </c>
      <c r="F85" s="4" t="str">
        <f>IFERROR(__xludf.DUMMYFUNCTION("GOOGLETRANSLATE(D85)"),"http://t.co/AY6zzcUpnz 巴基斯坦空中救護直升機墜毀事件恐造成十二人死亡 http://t.co/sC9dNS41Mc")</f>
        <v>http://t.co/AY6zzcUpnz 巴基斯坦空中救護直升機墜毀事件恐造成十二人死亡 http://t.co/sC9dNS41Mc</v>
      </c>
      <c r="G85" s="4" t="str">
        <f>IFERROR(__xludf.DUMMYFUNCTION("GOOGLETRANSLATE(B85)"),"救護車")</f>
        <v>救護車</v>
      </c>
    </row>
    <row r="86" ht="15.75" customHeight="1">
      <c r="A86" s="4">
        <v>248.0</v>
      </c>
      <c r="B86" s="4" t="s">
        <v>144</v>
      </c>
      <c r="C86" s="4" t="s">
        <v>148</v>
      </c>
      <c r="D86" s="4" t="s">
        <v>149</v>
      </c>
      <c r="E86" s="4">
        <v>1.0</v>
      </c>
      <c r="F86" s="4" t="str">
        <f>IFERROR(__xludf.DUMMYFUNCTION("GOOGLETRANSLATE(D86)"),"兩輛空中救護車在兩輛汽車和卡車之間嚴重相撞的現場...... - http://t.co/9pFEaQeSki http://t.co/fntG70rnkx | #EMSNeÛ_")</f>
        <v>兩輛空中救護車在兩輛汽車和卡車之間嚴重相撞的現場...... - http://t.co/9pFEaQeSki http://t.co/fntG70rnkx | #EMSNeÛ_</v>
      </c>
      <c r="G86" s="4" t="str">
        <f>IFERROR(__xludf.DUMMYFUNCTION("GOOGLETRANSLATE(B86)"),"救護車")</f>
        <v>救護車</v>
      </c>
    </row>
    <row r="87" ht="15.75" customHeight="1">
      <c r="A87" s="4">
        <v>249.0</v>
      </c>
      <c r="B87" s="4" t="s">
        <v>144</v>
      </c>
      <c r="D87" s="4" t="s">
        <v>150</v>
      </c>
      <c r="E87" s="4">
        <v>1.0</v>
      </c>
      <c r="F87" s="4" t="str">
        <f>IFERROR(__xludf.DUMMYFUNCTION("GOOGLETRANSLATE(D87)"),"巴基斯坦空中救護直升機墜毀事件恐造成十二人死亡 - 路透 http://t.co/mDnUGVuBwN #yugvani")</f>
        <v>巴基斯坦空中救護直升機墜毀事件恐造成十二人死亡 - 路透 http://t.co/mDnUGVuBwN #yugvani</v>
      </c>
      <c r="G87" s="4" t="str">
        <f>IFERROR(__xludf.DUMMYFUNCTION("GOOGLETRANSLATE(B87)"),"救護車")</f>
        <v>救護車</v>
      </c>
    </row>
    <row r="88" ht="15.75" customHeight="1">
      <c r="A88" s="4">
        <v>252.0</v>
      </c>
      <c r="B88" s="4" t="s">
        <v>144</v>
      </c>
      <c r="C88" s="4" t="s">
        <v>151</v>
      </c>
      <c r="D88" s="4" t="s">
        <v>152</v>
      </c>
      <c r="E88" s="4">
        <v>1.0</v>
      </c>
      <c r="F88" s="4" t="str">
        <f>IFERROR(__xludf.DUMMYFUNCTION("GOOGLETRANSLATE(D88)"),"現在任何前往阿伯里斯特威斯-什魯斯伯里旅行的人都會遇到事故。潑婦外面的服務停止了。救護車趕到現場。")</f>
        <v>現在任何前往阿伯里斯特威斯-什魯斯伯里旅行的人都會遇到事故。潑婦外面的服務停止了。救護車趕到現場。</v>
      </c>
      <c r="G88" s="4" t="str">
        <f>IFERROR(__xludf.DUMMYFUNCTION("GOOGLETRANSLATE(B88)"),"救護車")</f>
        <v>救護車</v>
      </c>
    </row>
    <row r="89" ht="15.75" customHeight="1">
      <c r="A89" s="4">
        <v>253.0</v>
      </c>
      <c r="B89" s="4" t="s">
        <v>144</v>
      </c>
      <c r="D89" s="4" t="s">
        <v>153</v>
      </c>
      <c r="E89" s="4">
        <v>1.0</v>
      </c>
      <c r="F89" s="4" t="str">
        <f>IFERROR(__xludf.DUMMYFUNCTION("GOOGLETRANSLATE(D89)"),"巴基斯坦空中救護直升機墜毀恐造成十二人死亡 http://t.co/Xum8YLcb4Q")</f>
        <v>巴基斯坦空中救護直升機墜毀恐造成十二人死亡 http://t.co/Xum8YLcb4Q</v>
      </c>
      <c r="G89" s="4" t="str">
        <f>IFERROR(__xludf.DUMMYFUNCTION("GOOGLETRANSLATE(B89)"),"救護車")</f>
        <v>救護車</v>
      </c>
    </row>
    <row r="90" ht="15.75" customHeight="1">
      <c r="A90" s="4">
        <v>258.0</v>
      </c>
      <c r="B90" s="4" t="s">
        <v>144</v>
      </c>
      <c r="C90" s="4" t="s">
        <v>154</v>
      </c>
      <c r="D90" s="4" t="s">
        <v>155</v>
      </c>
      <c r="E90" s="4">
        <v>1.0</v>
      </c>
      <c r="F90" s="4" t="str">
        <f>IFERROR(__xludf.DUMMYFUNCTION("GOOGLETRANSLATE(D90)"),"@20skyhawkmm20 @traplord_29 @FREDOSANTANA300 @LilReese300 這太瘋狂了 3 場救護車大戰和幾個狂歡坑？")</f>
        <v>@20skyhawkmm20 @traplord_29 @FREDOSANTANA300 @LilReese300 這太瘋狂了 3 場救護車大戰和幾個狂歡坑？</v>
      </c>
      <c r="G90" s="4" t="str">
        <f>IFERROR(__xludf.DUMMYFUNCTION("GOOGLETRANSLATE(B90)"),"救護車")</f>
        <v>救護車</v>
      </c>
    </row>
    <row r="91" ht="15.75" customHeight="1">
      <c r="A91" s="4">
        <v>261.0</v>
      </c>
      <c r="B91" s="4" t="s">
        <v>144</v>
      </c>
      <c r="D91" s="4" t="s">
        <v>156</v>
      </c>
      <c r="E91" s="4">
        <v>1.0</v>
      </c>
      <c r="F91" s="4" t="str">
        <f>IFERROR(__xludf.DUMMYFUNCTION("GOOGLETRANSLATE(D91)"),"#news 十二人在巴基斯坦空中救護直升機墜毀中喪生 http://t.co/bFeS5tWBzt #til_now #DNA")</f>
        <v>#news 十二人在巴基斯坦空中救護直升機墜毀中喪生 http://t.co/bFeS5tWBzt #til_now #DNA</v>
      </c>
      <c r="G91" s="4" t="str">
        <f>IFERROR(__xludf.DUMMYFUNCTION("GOOGLETRANSLATE(B91)"),"救護車")</f>
        <v>救護車</v>
      </c>
    </row>
    <row r="92" ht="15.75" customHeight="1">
      <c r="A92" s="4">
        <v>262.0</v>
      </c>
      <c r="B92" s="4" t="s">
        <v>144</v>
      </c>
      <c r="C92" s="4" t="s">
        <v>157</v>
      </c>
      <c r="D92" s="4" t="s">
        <v>158</v>
      </c>
      <c r="E92" s="4">
        <v>1.0</v>
      </c>
      <c r="F92" s="4" t="str">
        <f>IFERROR(__xludf.DUMMYFUNCTION("GOOGLETRANSLATE(D92)"),"http://t.co/7xGLah10zL 巴基斯坦空中救護直升機墜毀事件恐造成十二人死亡 http://t.co/THmblAATzP")</f>
        <v>http://t.co/7xGLah10zL 巴基斯坦空中救護直升機墜毀事件恐造成十二人死亡 http://t.co/THmblAATzP</v>
      </c>
      <c r="G92" s="4" t="str">
        <f>IFERROR(__xludf.DUMMYFUNCTION("GOOGLETRANSLATE(B92)"),"救護車")</f>
        <v>救護車</v>
      </c>
    </row>
    <row r="93" ht="15.75" customHeight="1">
      <c r="A93" s="4">
        <v>266.0</v>
      </c>
      <c r="B93" s="4" t="s">
        <v>144</v>
      </c>
      <c r="D93" s="4" t="s">
        <v>159</v>
      </c>
      <c r="E93" s="4">
        <v>1.0</v>
      </c>
      <c r="F93" s="4" t="str">
        <f>IFERROR(__xludf.DUMMYFUNCTION("GOOGLETRANSLATE(D93)"),"巴基斯坦空中救護直升機墜毀，造成九人死亡 http://t.co/8E7rY8eBMf")</f>
        <v>巴基斯坦空中救護直升機墜毀，造成九人死亡 http://t.co/8E7rY8eBMf</v>
      </c>
      <c r="G93" s="4" t="str">
        <f>IFERROR(__xludf.DUMMYFUNCTION("GOOGLETRANSLATE(B93)"),"救護車")</f>
        <v>救護車</v>
      </c>
    </row>
    <row r="94" ht="15.75" customHeight="1">
      <c r="A94" s="4">
        <v>269.0</v>
      </c>
      <c r="B94" s="4" t="s">
        <v>144</v>
      </c>
      <c r="D94" s="4" t="s">
        <v>160</v>
      </c>
      <c r="E94" s="4">
        <v>1.0</v>
      </c>
      <c r="F94" s="4" t="str">
        <f>IFERROR(__xludf.DUMMYFUNCTION("GOOGLETRANSLATE(D94)"),"http://t.co/FCqmKFfflW 巴基斯坦空中救護直升機墜毀事件恐造成十二人死亡 http://t.co/vAyaYmbNgu")</f>
        <v>http://t.co/FCqmKFfflW 巴基斯坦空中救護直升機墜毀事件恐造成十二人死亡 http://t.co/vAyaYmbNgu</v>
      </c>
      <c r="G94" s="4" t="str">
        <f>IFERROR(__xludf.DUMMYFUNCTION("GOOGLETRANSLATE(B94)"),"救護車")</f>
        <v>救護車</v>
      </c>
    </row>
    <row r="95" ht="15.75" customHeight="1">
      <c r="A95" s="4">
        <v>270.0</v>
      </c>
      <c r="B95" s="4" t="s">
        <v>144</v>
      </c>
      <c r="C95" s="4" t="s">
        <v>161</v>
      </c>
      <c r="D95" s="4" t="s">
        <v>162</v>
      </c>
      <c r="E95" s="4">
        <v>1.0</v>
      </c>
      <c r="F95" s="4" t="str">
        <f>IFERROR(__xludf.DUMMYFUNCTION("GOOGLETRANSLATE(D95)"),"巴基斯坦空中救護直升機墜毀恐造成十二人死亡 http://t.co/3bRme6Sn4t")</f>
        <v>巴基斯坦空中救護直升機墜毀恐造成十二人死亡 http://t.co/3bRme6Sn4t</v>
      </c>
      <c r="G95" s="4" t="str">
        <f>IFERROR(__xludf.DUMMYFUNCTION("GOOGLETRANSLATE(B95)"),"救護車")</f>
        <v>救護車</v>
      </c>
    </row>
    <row r="96" ht="15.75" customHeight="1">
      <c r="A96" s="4">
        <v>274.0</v>
      </c>
      <c r="B96" s="4" t="s">
        <v>144</v>
      </c>
      <c r="C96" s="4" t="s">
        <v>163</v>
      </c>
      <c r="D96" s="4" t="s">
        <v>164</v>
      </c>
      <c r="E96" s="4">
        <v>1.0</v>
      </c>
      <c r="F96" s="4" t="str">
        <f>IFERROR(__xludf.DUMMYFUNCTION("GOOGLETRANSLATE(D96)"),"當你不知道救護車從哪個方向過來時&lt;&lt;")</f>
        <v>當你不知道救護車從哪個方向過來時&lt;&lt;</v>
      </c>
      <c r="G96" s="4" t="str">
        <f>IFERROR(__xludf.DUMMYFUNCTION("GOOGLETRANSLATE(B96)"),"救護車")</f>
        <v>救護車</v>
      </c>
    </row>
    <row r="97" ht="15.75" customHeight="1">
      <c r="A97" s="4">
        <v>276.0</v>
      </c>
      <c r="B97" s="4" t="s">
        <v>144</v>
      </c>
      <c r="D97" s="4" t="s">
        <v>165</v>
      </c>
      <c r="E97" s="4">
        <v>1.0</v>
      </c>
      <c r="F97" s="4" t="str">
        <f>IFERROR(__xludf.DUMMYFUNCTION("GOOGLETRANSLATE(D97)"),"#reuters 十二人可能在巴基斯坦空中救護直升機墜毀中喪生 http://t.co/ShzPyIQok5")</f>
        <v>#reuters 十二人可能在巴基斯坦空中救護直升機墜毀中喪生 http://t.co/ShzPyIQok5</v>
      </c>
      <c r="G97" s="4" t="str">
        <f>IFERROR(__xludf.DUMMYFUNCTION("GOOGLETRANSLATE(B97)"),"救護車")</f>
        <v>救護車</v>
      </c>
    </row>
    <row r="98" ht="15.75" customHeight="1">
      <c r="A98" s="4">
        <v>277.0</v>
      </c>
      <c r="B98" s="4" t="s">
        <v>144</v>
      </c>
      <c r="C98" s="4" t="s">
        <v>166</v>
      </c>
      <c r="D98" s="4" t="s">
        <v>167</v>
      </c>
      <c r="E98" s="4">
        <v>1.0</v>
      </c>
      <c r="F98" s="4" t="str">
        <f>IFERROR(__xludf.DUMMYFUNCTION("GOOGLETRANSLATE(D98)"),"http://t.co/pWwpUm6RBj 巴基斯坦空中救護直升機墜毀事件恐造成十二人死亡 http://t.co/ySpON4d6Qo")</f>
        <v>http://t.co/pWwpUm6RBj 巴基斯坦空中救護直升機墜毀事件恐造成十二人死亡 http://t.co/ySpON4d6Qo</v>
      </c>
      <c r="G98" s="4" t="str">
        <f>IFERROR(__xludf.DUMMYFUNCTION("GOOGLETRANSLATE(B98)"),"救護車")</f>
        <v>救護車</v>
      </c>
    </row>
    <row r="99" ht="15.75" customHeight="1">
      <c r="A99" s="4">
        <v>283.0</v>
      </c>
      <c r="B99" s="4" t="s">
        <v>144</v>
      </c>
      <c r="C99" s="4" t="s">
        <v>168</v>
      </c>
      <c r="D99" s="4" t="s">
        <v>169</v>
      </c>
      <c r="E99" s="4">
        <v>1.0</v>
      </c>
      <c r="F99" s="4" t="str">
        <f>IFERROR(__xludf.DUMMYFUNCTION("GOOGLETRANSLATE(D99)"),"http://t.co/FueRk0gWui 十二人可能在巴基斯坦空中救護直升機墜毀 http://t.co/Mv7GgGlmVc")</f>
        <v>http://t.co/FueRk0gWui 十二人可能在巴基斯坦空中救護直升機墜毀 http://t.co/Mv7GgGlmVc</v>
      </c>
      <c r="G99" s="4" t="str">
        <f>IFERROR(__xludf.DUMMYFUNCTION("GOOGLETRANSLATE(B99)"),"救護車")</f>
        <v>救護車</v>
      </c>
    </row>
    <row r="100" ht="15.75" customHeight="1">
      <c r="A100" s="4">
        <v>285.0</v>
      </c>
      <c r="B100" s="4" t="s">
        <v>144</v>
      </c>
      <c r="D100" s="4" t="s">
        <v>170</v>
      </c>
      <c r="E100" s="4">
        <v>1.0</v>
      </c>
      <c r="F100" s="4" t="str">
        <f>IFERROR(__xludf.DUMMYFUNCTION("GOOGLETRANSLATE(D100)"),"http://t.co/X5YEUYLT1X 巴基斯坦空中救護直升機墜毀事件恐造成十二人死亡 http://t.co/2UgrMd1z1n")</f>
        <v>http://t.co/X5YEUYLT1X 巴基斯坦空中救護直升機墜毀事件恐造成十二人死亡 http://t.co/2UgrMd1z1n</v>
      </c>
      <c r="G100" s="4" t="str">
        <f>IFERROR(__xludf.DUMMYFUNCTION("GOOGLETRANSLATE(B100)"),"救護車")</f>
        <v>救護車</v>
      </c>
    </row>
    <row r="101" ht="15.75" customHeight="1">
      <c r="A101" s="4">
        <v>287.0</v>
      </c>
      <c r="B101" s="4" t="s">
        <v>144</v>
      </c>
      <c r="C101" s="4" t="s">
        <v>38</v>
      </c>
      <c r="D101" s="4" t="s">
        <v>171</v>
      </c>
      <c r="E101" s="4">
        <v>1.0</v>
      </c>
      <c r="F101" s="4" t="str">
        <f>IFERROR(__xludf.DUMMYFUNCTION("GOOGLETRANSLATE(D101)"),"巴基斯坦空中救護直升機墜毀事件恐造成十二人死亡 http://t.co/TH9YwBbeet #worldNews")</f>
        <v>巴基斯坦空中救護直升機墜毀事件恐造成十二人死亡 http://t.co/TH9YwBbeet #worldNews</v>
      </c>
      <c r="G101" s="4" t="str">
        <f>IFERROR(__xludf.DUMMYFUNCTION("GOOGLETRANSLATE(B101)"),"救護車")</f>
        <v>救護車</v>
      </c>
    </row>
    <row r="102" ht="15.75" customHeight="1">
      <c r="A102" s="4">
        <v>289.0</v>
      </c>
      <c r="B102" s="4" t="s">
        <v>144</v>
      </c>
      <c r="C102" s="4" t="s">
        <v>172</v>
      </c>
      <c r="D102" s="4" t="s">
        <v>173</v>
      </c>
      <c r="E102" s="4">
        <v>1.0</v>
      </c>
      <c r="F102" s="4" t="str">
        <f>IFERROR(__xludf.DUMMYFUNCTION("GOOGLETRANSLATE(D102)"),"巴基斯坦空中救護直升機墜毀恐造成十二人死亡 http://t.co/X2Qsjod40u #worldnews")</f>
        <v>巴基斯坦空中救護直升機墜毀恐造成十二人死亡 http://t.co/X2Qsjod40u #worldnews</v>
      </c>
      <c r="G102" s="4" t="str">
        <f>IFERROR(__xludf.DUMMYFUNCTION("GOOGLETRANSLATE(B102)"),"救護車")</f>
        <v>救護車</v>
      </c>
    </row>
    <row r="103" ht="15.75" customHeight="1">
      <c r="A103" s="4">
        <v>293.0</v>
      </c>
      <c r="B103" s="4" t="s">
        <v>144</v>
      </c>
      <c r="C103" s="4" t="s">
        <v>174</v>
      </c>
      <c r="D103" s="4" t="s">
        <v>175</v>
      </c>
      <c r="E103" s="4">
        <v>1.0</v>
      </c>
      <c r="F103" s="4" t="str">
        <f>IFERROR(__xludf.DUMMYFUNCTION("GOOGLETRANSLATE(D103)"),"http://t.co/J8TYT1XRRK 巴基斯坦空中救護直升機墜毀事件恐造成十二人死亡 http://t.co/9d4nAzOI94")</f>
        <v>http://t.co/J8TYT1XRRK 巴基斯坦空中救護直升機墜毀事件恐造成十二人死亡 http://t.co/9d4nAzOI94</v>
      </c>
      <c r="G103" s="4" t="str">
        <f>IFERROR(__xludf.DUMMYFUNCTION("GOOGLETRANSLATE(B103)"),"救護車")</f>
        <v>救護車</v>
      </c>
    </row>
    <row r="104" ht="15.75" customHeight="1">
      <c r="A104" s="4">
        <v>302.0</v>
      </c>
      <c r="B104" s="4" t="s">
        <v>176</v>
      </c>
      <c r="D104" s="4" t="s">
        <v>177</v>
      </c>
      <c r="E104" s="4">
        <v>1.0</v>
      </c>
      <c r="F104" s="4" t="str">
        <f>IFERROR(__xludf.DUMMYFUNCTION("GOOGLETRANSLATE(D104)"),"殲滅腹肌。 ?? http://t.co/1xPw292tJe")</f>
        <v>殲滅腹肌。 ?? http://t.co/1xPw292tJe</v>
      </c>
      <c r="G104" s="4" t="str">
        <f>IFERROR(__xludf.DUMMYFUNCTION("GOOGLETRANSLATE(B104)"),"被殲滅")</f>
        <v>被殲滅</v>
      </c>
    </row>
    <row r="105" ht="15.75" customHeight="1">
      <c r="A105" s="4">
        <v>310.0</v>
      </c>
      <c r="B105" s="4" t="s">
        <v>176</v>
      </c>
      <c r="C105" s="4" t="s">
        <v>178</v>
      </c>
      <c r="D105" s="4" t="s">
        <v>179</v>
      </c>
      <c r="E105" s="4">
        <v>1.0</v>
      </c>
      <c r="F105" s="4" t="str">
        <f>IFERROR(__xludf.DUMMYFUNCTION("GOOGLETRANSLATE(D105)"),"醉酒司機在汽車被火車撞上前幾秒鐘，警察將其拉至安全地帶。 http://t.co/tHrhKHOGcUåÊ http://t.co/tZSZmF2qxE 來自 @ViralSpell")</f>
        <v>醉酒司機在汽車被火車撞上前幾秒鐘，警察將其拉至安全地帶。 http://t.co/tHrhKHOGcUåÊ http://t.co/tZSZmF2qxE 來自 @ViralSpell</v>
      </c>
      <c r="G105" s="4" t="str">
        <f>IFERROR(__xludf.DUMMYFUNCTION("GOOGLETRANSLATE(B105)"),"被殲滅")</f>
        <v>被殲滅</v>
      </c>
    </row>
    <row r="106" ht="15.75" customHeight="1">
      <c r="A106" s="4">
        <v>313.0</v>
      </c>
      <c r="B106" s="4" t="s">
        <v>176</v>
      </c>
      <c r="D106" s="4" t="s">
        <v>180</v>
      </c>
      <c r="E106" s="4">
        <v>1.0</v>
      </c>
      <c r="F106" s="4" t="str">
        <f>IFERROR(__xludf.DUMMYFUNCTION("GOOGLETRANSLATE(D106)"),"醉酒司機在汽車被火車撞上前幾秒鐘，警察將其拉至安全地帶。 http://t.co/C0nKGp6w03åÊ http://t.co/IMWmfDJSSn 來自 @ViralSpell")</f>
        <v>醉酒司機在汽車被火車撞上前幾秒鐘，警察將其拉至安全地帶。 http://t.co/C0nKGp6w03åÊ http://t.co/IMWmfDJSSn 來自 @ViralSpell</v>
      </c>
      <c r="G106" s="4" t="str">
        <f>IFERROR(__xludf.DUMMYFUNCTION("GOOGLETRANSLATE(B106)"),"被殲滅")</f>
        <v>被殲滅</v>
      </c>
    </row>
    <row r="107" ht="15.75" customHeight="1">
      <c r="A107" s="4">
        <v>318.0</v>
      </c>
      <c r="B107" s="4" t="s">
        <v>176</v>
      </c>
      <c r="D107" s="4" t="s">
        <v>181</v>
      </c>
      <c r="E107" s="4">
        <v>1.0</v>
      </c>
      <c r="F107" s="4" t="str">
        <f>IFERROR(__xludf.DUMMYFUNCTION("GOOGLETRANSLATE(D107)"),"@violentfeminazi 我想這對亞美尼亞人來說沒關係，因為我們的歷史大部分時間都在被消滅")</f>
        <v>@violentfeminazi 我想這對亞美尼亞人來說沒關係，因為我們的歷史大部分時間都在被消滅</v>
      </c>
      <c r="G107" s="4" t="str">
        <f>IFERROR(__xludf.DUMMYFUNCTION("GOOGLETRANSLATE(B107)"),"被殲滅")</f>
        <v>被殲滅</v>
      </c>
    </row>
    <row r="108" ht="15.75" customHeight="1">
      <c r="A108" s="4">
        <v>320.0</v>
      </c>
      <c r="B108" s="4" t="s">
        <v>176</v>
      </c>
      <c r="D108" s="4" t="s">
        <v>182</v>
      </c>
      <c r="E108" s="4">
        <v>1.0</v>
      </c>
      <c r="F108" s="4" t="str">
        <f>IFERROR(__xludf.DUMMYFUNCTION("GOOGLETRANSLATE(D108)"),"70年前，我們瞬間消滅了10萬人，並意識到我們有能力消滅整個人類")</f>
        <v>70年前，我們瞬間消滅了10萬人，並意識到我們有能力消滅整個人類</v>
      </c>
      <c r="G108" s="4" t="str">
        <f>IFERROR(__xludf.DUMMYFUNCTION("GOOGLETRANSLATE(B108)"),"被殲滅")</f>
        <v>被殲滅</v>
      </c>
    </row>
    <row r="109" ht="15.75" customHeight="1">
      <c r="A109" s="4">
        <v>322.0</v>
      </c>
      <c r="B109" s="4" t="s">
        <v>176</v>
      </c>
      <c r="C109" s="4" t="s">
        <v>183</v>
      </c>
      <c r="D109" s="4" t="s">
        <v>184</v>
      </c>
      <c r="E109" s="4">
        <v>1.0</v>
      </c>
      <c r="F109" s="4" t="str">
        <f>IFERROR(__xludf.DUMMYFUNCTION("GOOGLETRANSLATE(D109)"),"20 世紀 60 年代，作為阿拉伯半島象徵的大羚羊被獵人消滅。
http://t.co/yangEQBUQW http://t.co/jQ2eH5KGLt")</f>
        <v>20 世紀 60 年代，作為阿拉伯半島象徵的大羚羊被獵人消滅。
http://t.co/yangEQBUQW http://t.co/jQ2eH5KGLt</v>
      </c>
      <c r="G109" s="4" t="str">
        <f>IFERROR(__xludf.DUMMYFUNCTION("GOOGLETRANSLATE(B109)"),"被殲滅")</f>
        <v>被殲滅</v>
      </c>
    </row>
    <row r="110" ht="15.75" customHeight="1">
      <c r="A110" s="4">
        <v>328.0</v>
      </c>
      <c r="B110" s="4" t="s">
        <v>176</v>
      </c>
      <c r="D110" s="4" t="s">
        <v>185</v>
      </c>
      <c r="E110" s="4">
        <v>1.0</v>
      </c>
      <c r="F110" s="4" t="str">
        <f>IFERROR(__xludf.DUMMYFUNCTION("GOOGLETRANSLATE(D110)"),"準備好在 BUCS 比賽中被殲滅")</f>
        <v>準備好在 BUCS 比賽中被殲滅</v>
      </c>
      <c r="G110" s="4" t="str">
        <f>IFERROR(__xludf.DUMMYFUNCTION("GOOGLETRANSLATE(B110)"),"被殲滅")</f>
        <v>被殲滅</v>
      </c>
    </row>
    <row r="111" ht="15.75" customHeight="1">
      <c r="A111" s="4">
        <v>329.0</v>
      </c>
      <c r="B111" s="4" t="s">
        <v>176</v>
      </c>
      <c r="C111" s="4" t="s">
        <v>186</v>
      </c>
      <c r="D111" s="4" t="s">
        <v>187</v>
      </c>
      <c r="E111" s="4">
        <v>1.0</v>
      </c>
      <c r="F111" s="4" t="str">
        <f>IFERROR(__xludf.DUMMYFUNCTION("GOOGLETRANSLATE(D111)"),"@PhilipDuncan @breakfastone 人們「被昨晚的天氣消滅了」…菲利普真的以為你會預測到…")</f>
        <v>@PhilipDuncan @breakfastone 人們「被昨晚的天氣消滅了」…菲利普真的以為你會預測到…</v>
      </c>
      <c r="G111" s="4" t="str">
        <f>IFERROR(__xludf.DUMMYFUNCTION("GOOGLETRANSLATE(B111)"),"被殲滅")</f>
        <v>被殲滅</v>
      </c>
    </row>
    <row r="112" ht="15.75" customHeight="1">
      <c r="A112" s="4">
        <v>334.0</v>
      </c>
      <c r="B112" s="4" t="s">
        <v>176</v>
      </c>
      <c r="D112" s="4" t="s">
        <v>188</v>
      </c>
      <c r="E112" s="4">
        <v>1.0</v>
      </c>
      <c r="F112" s="4" t="str">
        <f>IFERROR(__xludf.DUMMYFUNCTION("GOOGLETRANSLATE(D112)"),"@TomcatArts 從而解釋了為什麼你們都被消滅了。但少數人，或者在這種情況下，你是唯一的倖存者，進化並變得像神一樣")</f>
        <v>@TomcatArts 從而解釋了為什麼你們都被消滅了。但少數人，或者在這種情況下，你是唯一的倖存者，進化並變得像神一樣</v>
      </c>
      <c r="G112" s="4" t="str">
        <f>IFERROR(__xludf.DUMMYFUNCTION("GOOGLETRANSLATE(B112)"),"被殲滅")</f>
        <v>被殲滅</v>
      </c>
    </row>
    <row r="113" ht="15.75" customHeight="1">
      <c r="A113" s="4">
        <v>338.0</v>
      </c>
      <c r="B113" s="4" t="s">
        <v>176</v>
      </c>
      <c r="D113" s="4" t="s">
        <v>189</v>
      </c>
      <c r="E113" s="4">
        <v>1.0</v>
      </c>
      <c r="F113" s="4" t="str">
        <f>IFERROR(__xludf.DUMMYFUNCTION("GOOGLETRANSLATE(D113)"),"醉酒司機在汽車被火車撞上前幾秒鐘，警察將其拉至安全地帶。 http://t.co/F1BAkpNyn6åÊ http://t.co/lZXwoAyE4x 來自 @ViralSpell")</f>
        <v>醉酒司機在汽車被火車撞上前幾秒鐘，警察將其拉至安全地帶。 http://t.co/F1BAkpNyn6åÊ http://t.co/lZXwoAyE4x 來自 @ViralSpell</v>
      </c>
      <c r="G113" s="4" t="str">
        <f>IFERROR(__xludf.DUMMYFUNCTION("GOOGLETRANSLATE(B113)"),"被殲滅")</f>
        <v>被殲滅</v>
      </c>
    </row>
    <row r="114" ht="15.75" customHeight="1">
      <c r="A114" s="4">
        <v>340.0</v>
      </c>
      <c r="B114" s="4" t="s">
        <v>176</v>
      </c>
      <c r="C114" s="4" t="s">
        <v>190</v>
      </c>
      <c r="D114" s="4" t="s">
        <v>191</v>
      </c>
      <c r="E114" s="4">
        <v>1.0</v>
      </c>
      <c r="F114" s="4" t="str">
        <f>IFERROR(__xludf.DUMMYFUNCTION("GOOGLETRANSLATE(D114)"),"在大馬士革全軍覆沒：敘利亞軍隊將阿盧什和他的團夥碾進糞堆
http://t.co/7rakhP3bWm")</f>
        <v>在大馬士革全軍覆沒：敘利亞軍隊將阿盧什和他的團夥碾進糞堆
http://t.co/7rakhP3bWm</v>
      </c>
      <c r="G114" s="4" t="str">
        <f>IFERROR(__xludf.DUMMYFUNCTION("GOOGLETRANSLATE(B114)"),"被殲滅")</f>
        <v>被殲滅</v>
      </c>
    </row>
    <row r="115" ht="15.75" customHeight="1">
      <c r="A115" s="4">
        <v>346.0</v>
      </c>
      <c r="B115" s="4" t="s">
        <v>192</v>
      </c>
      <c r="C115" s="4" t="s">
        <v>193</v>
      </c>
      <c r="D115" s="4" t="s">
        <v>194</v>
      </c>
      <c r="E115" s="4">
        <v>1.0</v>
      </c>
      <c r="F115" s="4" t="str">
        <f>IFERROR(__xludf.DUMMYFUNCTION("GOOGLETRANSLATE(D115)"),"@rvfriedmann 地獄只是他徹底毀滅美國的信念的一小部分 @LodiSilverado @ritzy_jewels")</f>
        <v>@rvfriedmann 地獄只是他徹底毀滅美國的信念的一小部分 @LodiSilverado @ritzy_jewels</v>
      </c>
      <c r="G115" s="4" t="str">
        <f>IFERROR(__xludf.DUMMYFUNCTION("GOOGLETRANSLATE(B115)"),"殲滅")</f>
        <v>殲滅</v>
      </c>
    </row>
    <row r="116" ht="15.75" customHeight="1">
      <c r="A116" s="4">
        <v>352.0</v>
      </c>
      <c r="B116" s="4" t="s">
        <v>192</v>
      </c>
      <c r="C116" s="4" t="s">
        <v>195</v>
      </c>
      <c r="D116" s="4" t="s">
        <v>196</v>
      </c>
      <c r="E116" s="4">
        <v>1.0</v>
      </c>
      <c r="F116" s="4" t="str">
        <f>IFERROR(__xludf.DUMMYFUNCTION("GOOGLETRANSLATE(D116)"),"殲滅軍杖")</f>
        <v>殲滅軍杖</v>
      </c>
      <c r="G116" s="4" t="str">
        <f>IFERROR(__xludf.DUMMYFUNCTION("GOOGLETRANSLATE(B116)"),"殲滅")</f>
        <v>殲滅</v>
      </c>
    </row>
    <row r="117" ht="15.75" customHeight="1">
      <c r="A117" s="4">
        <v>354.0</v>
      </c>
      <c r="B117" s="4" t="s">
        <v>192</v>
      </c>
      <c r="C117" s="4" t="s">
        <v>197</v>
      </c>
      <c r="D117" s="4" t="s">
        <v>198</v>
      </c>
      <c r="E117" s="4">
        <v>1.0</v>
      </c>
      <c r="F117" s="4" t="str">
        <f>IFERROR(__xludf.DUMMYFUNCTION("GOOGLETRANSLATE(D117)"),":StarMade: :Stardate 3: : 行星湮滅:: http://t.co/I2hHvIUmTm 來自 @YouTube")</f>
        <v>:StarMade: :Stardate 3: : 行星湮滅:: http://t.co/I2hHvIUmTm 來自 @YouTube</v>
      </c>
      <c r="G117" s="4" t="str">
        <f>IFERROR(__xludf.DUMMYFUNCTION("GOOGLETRANSLATE(B117)"),"殲滅")</f>
        <v>殲滅</v>
      </c>
    </row>
    <row r="118" ht="15.75" customHeight="1">
      <c r="A118" s="4">
        <v>356.0</v>
      </c>
      <c r="B118" s="4" t="s">
        <v>192</v>
      </c>
      <c r="C118" s="4" t="s">
        <v>199</v>
      </c>
      <c r="D118" s="4" t="s">
        <v>200</v>
      </c>
      <c r="E118" s="4">
        <v>1.0</v>
      </c>
      <c r="F118" s="4" t="str">
        <f>IFERROR(__xludf.DUMMYFUNCTION("GOOGLETRANSLATE(D118)"),"美國國家公園服務通托國家森林：阻止鹽河野馬的滅絕...... https://t.co/sW1sBua3mN 來自 @Change")</f>
        <v>美國國家公園服務通托國家森林：阻止鹽河野馬的滅絕...... https://t.co/sW1sBua3mN 來自 @Change</v>
      </c>
      <c r="G118" s="4" t="str">
        <f>IFERROR(__xludf.DUMMYFUNCTION("GOOGLETRANSLATE(B118)"),"殲滅")</f>
        <v>殲滅</v>
      </c>
    </row>
    <row r="119" ht="15.75" customHeight="1">
      <c r="A119" s="4">
        <v>360.0</v>
      </c>
      <c r="B119" s="4" t="s">
        <v>192</v>
      </c>
      <c r="D119" s="4" t="s">
        <v>201</v>
      </c>
      <c r="E119" s="4">
        <v>1.0</v>
      </c>
      <c r="F119" s="4" t="str">
        <f>IFERROR(__xludf.DUMMYFUNCTION("GOOGLETRANSLATE(D119)"),"美國國家公園管理局 Tonto 國家森林：阻止鹽河野馬的滅絕… http://t.co/KPQk0C4G0M 來自 @Change")</f>
        <v>美國國家公園管理局 Tonto 國家森林：阻止鹽河野馬的滅絕… http://t.co/KPQk0C4G0M 來自 @Change</v>
      </c>
      <c r="G119" s="4" t="str">
        <f>IFERROR(__xludf.DUMMYFUNCTION("GOOGLETRANSLATE(B119)"),"殲滅")</f>
        <v>殲滅</v>
      </c>
    </row>
    <row r="120" ht="15.75" customHeight="1">
      <c r="A120" s="4">
        <v>364.0</v>
      </c>
      <c r="B120" s="4" t="s">
        <v>192</v>
      </c>
      <c r="D120" s="4" t="s">
        <v>202</v>
      </c>
      <c r="E120" s="4">
        <v>1.0</v>
      </c>
      <c r="F120" s="4" t="str">
        <f>IFERROR(__xludf.DUMMYFUNCTION("GOOGLETRANSLATE(D120)"),"@CalFreedomMom @steph93065 更不用說是殲滅以色列的主要貢獻者")</f>
        <v>@CalFreedomMom @steph93065 更不用說是殲滅以色列的主要貢獻者</v>
      </c>
      <c r="G120" s="4" t="str">
        <f>IFERROR(__xludf.DUMMYFUNCTION("GOOGLETRANSLATE(B120)"),"殲滅")</f>
        <v>殲滅</v>
      </c>
    </row>
    <row r="121" ht="15.75" customHeight="1">
      <c r="A121" s="4">
        <v>365.0</v>
      </c>
      <c r="B121" s="4" t="s">
        <v>192</v>
      </c>
      <c r="D121" s="4" t="s">
        <v>203</v>
      </c>
      <c r="E121" s="4">
        <v>1.0</v>
      </c>
      <c r="F121" s="4" t="str">
        <f>IFERROR(__xludf.DUMMYFUNCTION("GOOGLETRANSLATE(D121)"),"@willienelson 我們需要幫助！馬會死！請RT &amp;amp;簽署請願書！表明立場並為他們發聲！ #gilbert23 https://t.co/e8dl1lNCVu")</f>
        <v>@willienelson 我們需要幫助！馬會死！請RT &amp;amp;簽署請願書！表明立場並為他們發聲！ #gilbert23 https://t.co/e8dl1lNCVu</v>
      </c>
      <c r="G121" s="4" t="str">
        <f>IFERROR(__xludf.DUMMYFUNCTION("GOOGLETRANSLATE(B121)"),"殲滅")</f>
        <v>殲滅</v>
      </c>
    </row>
    <row r="122" ht="15.75" customHeight="1">
      <c r="A122" s="4">
        <v>381.0</v>
      </c>
      <c r="B122" s="4" t="s">
        <v>192</v>
      </c>
      <c r="C122" s="4" t="s">
        <v>204</v>
      </c>
      <c r="D122" s="4" t="s">
        <v>205</v>
      </c>
      <c r="E122" s="4">
        <v>1.0</v>
      </c>
      <c r="F122" s="4" t="str">
        <f>IFERROR(__xludf.DUMMYFUNCTION("GOOGLETRANSLATE(D122)"),"停止消滅鹽河野馬！ http://t.co/wVobVVtXKg 透過 @Change")</f>
        <v>停止消滅鹽河野馬！ http://t.co/wVobVVtXKg 透過 @Change</v>
      </c>
      <c r="G122" s="4" t="str">
        <f>IFERROR(__xludf.DUMMYFUNCTION("GOOGLETRANSLATE(B122)"),"殲滅")</f>
        <v>殲滅</v>
      </c>
    </row>
    <row r="123" ht="15.75" customHeight="1">
      <c r="A123" s="4">
        <v>390.0</v>
      </c>
      <c r="B123" s="4" t="s">
        <v>192</v>
      </c>
      <c r="C123" s="4" t="s">
        <v>206</v>
      </c>
      <c r="D123" s="4" t="s">
        <v>207</v>
      </c>
      <c r="E123" s="4">
        <v>1.0</v>
      </c>
      <c r="F123" s="4" t="str">
        <f>IFERROR(__xludf.DUMMYFUNCTION("GOOGLETRANSLATE(D123)"),"世界毀滅 vs 自我改造 http://t.co/pyehwodWun 外星人攻擊消滅人類 http://t.co/8jxqL8Cv8Z")</f>
        <v>世界毀滅 vs 自我改造 http://t.co/pyehwodWun 外星人攻擊消滅人類 http://t.co/8jxqL8Cv8Z</v>
      </c>
      <c r="G123" s="4" t="str">
        <f>IFERROR(__xludf.DUMMYFUNCTION("GOOGLETRANSLATE(B123)"),"殲滅")</f>
        <v>殲滅</v>
      </c>
    </row>
    <row r="124" ht="15.75" customHeight="1">
      <c r="A124" s="4">
        <v>394.0</v>
      </c>
      <c r="B124" s="4" t="s">
        <v>192</v>
      </c>
      <c r="C124" s="4" t="s">
        <v>208</v>
      </c>
      <c r="D124" s="4" t="s">
        <v>209</v>
      </c>
      <c r="E124" s="4">
        <v>1.0</v>
      </c>
      <c r="F124" s="4" t="str">
        <f>IFERROR(__xludf.DUMMYFUNCTION("GOOGLETRANSLATE(D124)"),"美國國家公園服務通托國家森林：阻止鹽河野馬的滅絕...... http://t.co/SB5R7ShcCJ 來自 @Change")</f>
        <v>美國國家公園服務通托國家森林：阻止鹽河野馬的滅絕...... http://t.co/SB5R7ShcCJ 來自 @Change</v>
      </c>
      <c r="G124" s="4" t="str">
        <f>IFERROR(__xludf.DUMMYFUNCTION("GOOGLETRANSLATE(B124)"),"殲滅")</f>
        <v>殲滅</v>
      </c>
    </row>
    <row r="125" ht="15.75" customHeight="1">
      <c r="A125" s="4">
        <v>397.0</v>
      </c>
      <c r="B125" s="4" t="s">
        <v>210</v>
      </c>
      <c r="C125" s="4" t="s">
        <v>211</v>
      </c>
      <c r="D125" s="4" t="s">
        <v>212</v>
      </c>
      <c r="E125" s="4">
        <v>1.0</v>
      </c>
      <c r="F125" s="4" t="str">
        <f>IFERROR(__xludf.DUMMYFUNCTION("GOOGLETRANSLATE(D125)"),"哦，不，袋谷沒有在天啟中倖存下來，博托感覺很可怕，我可憐的孩子，我的孩子")</f>
        <v>哦，不，袋谷沒有在天啟中倖存下來，博托感覺很可怕，我可憐的孩子，我的孩子</v>
      </c>
      <c r="G125" s="4" t="str">
        <f>IFERROR(__xludf.DUMMYFUNCTION("GOOGLETRANSLATE(B125)"),"啟示錄")</f>
        <v>啟示錄</v>
      </c>
    </row>
    <row r="126" ht="15.75" customHeight="1">
      <c r="A126" s="4">
        <v>404.0</v>
      </c>
      <c r="B126" s="4" t="s">
        <v>210</v>
      </c>
      <c r="C126" s="4" t="s">
        <v>213</v>
      </c>
      <c r="D126" s="4" t="s">
        <v>214</v>
      </c>
      <c r="E126" s="4">
        <v>1.0</v>
      </c>
      <c r="F126" s="4" t="str">
        <f>IFERROR(__xludf.DUMMYFUNCTION("GOOGLETRANSLATE(D126)"),"還有一個小時！現在是 2015 年 8 月 5 日晚上 08:02 這是《紅色漫遊者殭屍啟示錄 2014》！ http://t.co/cf9e6TU3g7 #internetradio #collegeradiÛ_")</f>
        <v>還有一個小時！現在是 2015 年 8 月 5 日晚上 08:02 這是《紅色漫遊者殭屍啟示錄 2014》！ http://t.co/cf9e6TU3g7 #internetradio #collegeradiÛ_</v>
      </c>
      <c r="G126" s="4" t="str">
        <f>IFERROR(__xludf.DUMMYFUNCTION("GOOGLETRANSLATE(B126)"),"啟示錄")</f>
        <v>啟示錄</v>
      </c>
    </row>
    <row r="127" ht="15.75" customHeight="1">
      <c r="A127" s="4">
        <v>410.0</v>
      </c>
      <c r="B127" s="4" t="s">
        <v>210</v>
      </c>
      <c r="C127" s="4" t="s">
        <v>215</v>
      </c>
      <c r="D127" s="4" t="s">
        <v>216</v>
      </c>
      <c r="E127" s="4">
        <v>1.0</v>
      </c>
      <c r="F127" s="4" t="str">
        <f>IFERROR(__xludf.DUMMYFUNCTION("GOOGLETRANSLATE(D127)"),"我知道這是一個解釋問題，但這是世界末日的標誌。我稱之為 https://t.co/my8q1uWIjn")</f>
        <v>我知道這是一個解釋問題，但這是世界末日的標誌。我稱之為 https://t.co/my8q1uWIjn</v>
      </c>
      <c r="G127" s="4" t="str">
        <f>IFERROR(__xludf.DUMMYFUNCTION("GOOGLETRANSLATE(B127)"),"啟示錄")</f>
        <v>啟示錄</v>
      </c>
    </row>
    <row r="128" ht="15.75" customHeight="1">
      <c r="A128" s="4">
        <v>418.0</v>
      </c>
      <c r="B128" s="4" t="s">
        <v>210</v>
      </c>
      <c r="C128" s="4" t="s">
        <v>217</v>
      </c>
      <c r="D128" s="4" t="s">
        <v>218</v>
      </c>
      <c r="E128" s="4">
        <v>1.0</v>
      </c>
      <c r="F128" s="4" t="str">
        <f>IFERROR(__xludf.DUMMYFUNCTION("GOOGLETRANSLATE(D128)"),"雪災大災難的第一天就這樣開始了")</f>
        <v>雪災大災難的第一天就這樣開始了</v>
      </c>
      <c r="G128" s="4" t="str">
        <f>IFERROR(__xludf.DUMMYFUNCTION("GOOGLETRANSLATE(B128)"),"啟示錄")</f>
        <v>啟示錄</v>
      </c>
    </row>
    <row r="129" ht="15.75" customHeight="1">
      <c r="A129" s="4">
        <v>424.0</v>
      </c>
      <c r="B129" s="4" t="s">
        <v>210</v>
      </c>
      <c r="C129" s="4" t="s">
        <v>219</v>
      </c>
      <c r="D129" s="4" t="s">
        <v>220</v>
      </c>
      <c r="E129" s="4">
        <v>1.0</v>
      </c>
      <c r="F129" s="4" t="str">
        <f>IFERROR(__xludf.DUMMYFUNCTION("GOOGLETRANSLATE(D129)"),"爸爸買了一張 DVD，正面看起來像科學文檔，但我讀了背面，實際上是關於即將到來的聖經啟示錄")</f>
        <v>爸爸買了一張 DVD，正面看起來像科學文檔，但我讀了背面，實際上是關於即將到來的聖經啟示錄</v>
      </c>
      <c r="G129" s="4" t="str">
        <f>IFERROR(__xludf.DUMMYFUNCTION("GOOGLETRANSLATE(B129)"),"啟示錄")</f>
        <v>啟示錄</v>
      </c>
    </row>
    <row r="130" ht="15.75" customHeight="1">
      <c r="A130" s="4">
        <v>432.0</v>
      </c>
      <c r="B130" s="4" t="s">
        <v>210</v>
      </c>
      <c r="C130" s="4" t="s">
        <v>221</v>
      </c>
      <c r="D130" s="4" t="s">
        <v>222</v>
      </c>
      <c r="E130" s="4">
        <v>1.0</v>
      </c>
      <c r="F130" s="4" t="str">
        <f>IFERROR(__xludf.DUMMYFUNCTION("GOOGLETRANSLATE(D130)"),"最新的《X 戰警天啟》片場照片中，開羅上空有一場風暴 https://t.co/fS012trUDG 來自 @YahooTV")</f>
        <v>最新的《X 戰警天啟》片場照片中，開羅上空有一場風暴 https://t.co/fS012trUDG 來自 @YahooTV</v>
      </c>
      <c r="G130" s="4" t="str">
        <f>IFERROR(__xludf.DUMMYFUNCTION("GOOGLETRANSLATE(B130)"),"啟示錄")</f>
        <v>啟示錄</v>
      </c>
    </row>
    <row r="131" ht="15.75" customHeight="1">
      <c r="A131" s="4">
        <v>440.0</v>
      </c>
      <c r="B131" s="4" t="s">
        <v>210</v>
      </c>
      <c r="D131" s="4" t="s">
        <v>223</v>
      </c>
      <c r="E131" s="4">
        <v>1.0</v>
      </c>
      <c r="F131" s="4" t="str">
        <f>IFERROR(__xludf.DUMMYFUNCTION("GOOGLETRANSLATE(D131)"),"@BryanSinger 的最新消息揭示了 #Storm 是 #Apocalypse 中的女王 @RuPaul @AlexShipppp http://t.co/oQw8Jx6rTs")</f>
        <v>@BryanSinger 的最新消息揭示了 #Storm 是 #Apocalypse 中的女王 @RuPaul @AlexShipppp http://t.co/oQw8Jx6rTs</v>
      </c>
      <c r="G131" s="4" t="str">
        <f>IFERROR(__xludf.DUMMYFUNCTION("GOOGLETRANSLATE(B131)"),"啟示錄")</f>
        <v>啟示錄</v>
      </c>
    </row>
    <row r="132" ht="15.75" customHeight="1">
      <c r="A132" s="4">
        <v>442.0</v>
      </c>
      <c r="B132" s="4" t="s">
        <v>210</v>
      </c>
      <c r="D132" s="4" t="s">
        <v>224</v>
      </c>
      <c r="E132" s="4">
        <v>1.0</v>
      </c>
      <c r="F132" s="4" t="str">
        <f>IFERROR(__xludf.DUMMYFUNCTION("GOOGLETRANSLATE(D132)"),"太極拳啟示錄")</f>
        <v>太極拳啟示錄</v>
      </c>
      <c r="G132" s="4" t="str">
        <f>IFERROR(__xludf.DUMMYFUNCTION("GOOGLETRANSLATE(B132)"),"啟示錄")</f>
        <v>啟示錄</v>
      </c>
    </row>
    <row r="133" ht="15.75" customHeight="1">
      <c r="A133" s="4">
        <v>443.0</v>
      </c>
      <c r="B133" s="4" t="s">
        <v>210</v>
      </c>
      <c r="D133" s="4" t="s">
        <v>225</v>
      </c>
      <c r="E133" s="4">
        <v>1.0</v>
      </c>
      <c r="F133" s="4" t="str">
        <f>IFERROR(__xludf.DUMMYFUNCTION("GOOGLETRANSLATE(D133)"),"短讀
啟示錄 21:1023
本著精神，天使帶我到了一座巨大的高山之巔，然後...... http://t.co/v8AfTD9zeZ")</f>
        <v>短讀
啟示錄 21:1023
本著精神，天使帶我到了一座巨大的高山之巔，然後...... http://t.co/v8AfTD9zeZ</v>
      </c>
      <c r="G133" s="4" t="str">
        <f>IFERROR(__xludf.DUMMYFUNCTION("GOOGLETRANSLATE(B133)"),"啟示錄")</f>
        <v>啟示錄</v>
      </c>
    </row>
    <row r="134" ht="15.75" customHeight="1">
      <c r="A134" s="4">
        <v>462.0</v>
      </c>
      <c r="B134" s="4" t="s">
        <v>226</v>
      </c>
      <c r="C134" s="4" t="s">
        <v>227</v>
      </c>
      <c r="D134" s="4" t="s">
        <v>228</v>
      </c>
      <c r="E134" s="4">
        <v>1.0</v>
      </c>
      <c r="F134" s="4" t="str">
        <f>IFERROR(__xludf.DUMMYFUNCTION("GOOGLETRANSLATE(D134)"),"#PBBan（臨時：300） hyider_ghost2 @'aRmageddon |不要殺人|僅標誌 |快速 XP 是有原因的")</f>
        <v>#PBBan（臨時：300） hyider_ghost2 @'aRmageddon |不要殺人|僅標誌 |快速 XP 是有原因的</v>
      </c>
      <c r="G134" s="4" t="str">
        <f>IFERROR(__xludf.DUMMYFUNCTION("GOOGLETRANSLATE(B134)"),"世界末日")</f>
        <v>世界末日</v>
      </c>
    </row>
    <row r="135" ht="15.75" customHeight="1">
      <c r="A135" s="4">
        <v>467.0</v>
      </c>
      <c r="B135" s="4" t="s">
        <v>226</v>
      </c>
      <c r="C135" s="4" t="s">
        <v>229</v>
      </c>
      <c r="D135" s="4" t="s">
        <v>230</v>
      </c>
      <c r="E135" s="4">
        <v>1.0</v>
      </c>
      <c r="F135" s="4" t="str">
        <f>IFERROR(__xludf.DUMMYFUNCTION("GOOGLETRANSLATE(D135)"),"世界末日 https://t.co/uCSUDk3q1d")</f>
        <v>世界末日 https://t.co/uCSUDk3q1d</v>
      </c>
      <c r="G135" s="4" t="str">
        <f>IFERROR(__xludf.DUMMYFUNCTION("GOOGLETRANSLATE(B135)"),"世界末日")</f>
        <v>世界末日</v>
      </c>
    </row>
    <row r="136" ht="15.75" customHeight="1">
      <c r="A136" s="4">
        <v>471.0</v>
      </c>
      <c r="B136" s="4" t="s">
        <v>226</v>
      </c>
      <c r="C136" s="4" t="s">
        <v>231</v>
      </c>
      <c r="D136" s="4" t="s">
        <v>232</v>
      </c>
      <c r="E136" s="4">
        <v>1.0</v>
      </c>
      <c r="F136" s="4" t="str">
        <f>IFERROR(__xludf.DUMMYFUNCTION("GOOGLETRANSLATE(D136)"),"弗拉基米爾·普丁發出重大警告，但現在逃離世界末日還來得及嗎？
http://t.co/gBxafy1m1C")</f>
        <v>弗拉基米爾·普丁發出重大警告，但現在逃離世界末日還來得及嗎？
http://t.co/gBxafy1m1C</v>
      </c>
      <c r="G136" s="4" t="str">
        <f>IFERROR(__xludf.DUMMYFUNCTION("GOOGLETRANSLATE(B136)"),"世界末日")</f>
        <v>世界末日</v>
      </c>
    </row>
    <row r="137" ht="15.75" customHeight="1">
      <c r="A137" s="4">
        <v>478.0</v>
      </c>
      <c r="B137" s="4" t="s">
        <v>226</v>
      </c>
      <c r="C137" s="4" t="s">
        <v>233</v>
      </c>
      <c r="D137" s="4" t="s">
        <v>234</v>
      </c>
      <c r="E137" s="4">
        <v>1.0</v>
      </c>
      <c r="F137" s="4" t="str">
        <f>IFERROR(__xludf.DUMMYFUNCTION("GOOGLETRANSLATE(D137)"),"又@Erker？？哎呀！昨天，當我看到那可怕的冰雹時，我想起了你。 #世界末日？")</f>
        <v>又@Erker？？哎呀！昨天，當我看到那可怕的冰雹時，我想起了你。 #世界末日？</v>
      </c>
      <c r="G137" s="4" t="str">
        <f>IFERROR(__xludf.DUMMYFUNCTION("GOOGLETRANSLATE(B137)"),"世界末日")</f>
        <v>世界末日</v>
      </c>
    </row>
    <row r="138" ht="15.75" customHeight="1">
      <c r="A138" s="4">
        <v>490.0</v>
      </c>
      <c r="B138" s="4" t="s">
        <v>226</v>
      </c>
      <c r="D138" s="4" t="s">
        <v>235</v>
      </c>
      <c r="E138" s="4">
        <v>1.0</v>
      </c>
      <c r="F138" s="4" t="str">
        <f>IFERROR(__xludf.DUMMYFUNCTION("GOOGLETRANSLATE(D138)"),"保羅·克雷格·羅伯茨弗拉基米爾·普丁發出重大警告，但現在逃脫是否為時已晚 http://t.co/NVfKzv5FEx #brics #roberts #Russia")</f>
        <v>保羅·克雷格·羅伯茨弗拉基米爾·普丁發出重大警告，但現在逃脫是否為時已晚 http://t.co/NVfKzv5FEx #brics #roberts #Russia</v>
      </c>
      <c r="G138" s="4" t="str">
        <f>IFERROR(__xludf.DUMMYFUNCTION("GOOGLETRANSLATE(B138)"),"世界末日")</f>
        <v>世界末日</v>
      </c>
    </row>
    <row r="139" ht="15.75" customHeight="1">
      <c r="A139" s="4">
        <v>509.0</v>
      </c>
      <c r="B139" s="4" t="s">
        <v>236</v>
      </c>
      <c r="C139" s="4" t="s">
        <v>237</v>
      </c>
      <c r="D139" s="4" t="s">
        <v>238</v>
      </c>
      <c r="E139" s="4">
        <v>1.0</v>
      </c>
      <c r="F139" s="4" t="str">
        <f>IFERROR(__xludf.DUMMYFUNCTION("GOOGLETRANSLATE(D139)"),"救世軍舉辦集會，重新連結父與子女：救世軍正在舉辦返校集會Û_ http://t.co/rDjpor3AZg")</f>
        <v>救世軍舉辦集會，重新連結父與子女：救世軍正在舉辦返校集會Û_ http://t.co/rDjpor3AZg</v>
      </c>
      <c r="G139" s="4" t="str">
        <f>IFERROR(__xludf.DUMMYFUNCTION("GOOGLETRANSLATE(B139)"),"軍隊")</f>
        <v>軍隊</v>
      </c>
    </row>
    <row r="140" ht="15.75" customHeight="1">
      <c r="A140" s="4">
        <v>513.0</v>
      </c>
      <c r="B140" s="4" t="s">
        <v>236</v>
      </c>
      <c r="C140" s="4" t="s">
        <v>239</v>
      </c>
      <c r="D140" s="4" t="s">
        <v>240</v>
      </c>
      <c r="E140" s="4">
        <v>1.0</v>
      </c>
      <c r="F140" s="4" t="str">
        <f>IFERROR(__xludf.DUMMYFUNCTION("GOOGLETRANSLATE(D140)"),"但如果你組建了一支由 100 隻狗組成的軍隊，而他們的領導者是一頭獅子，那麼所有狗都會像獅子一樣戰鬥。")</f>
        <v>但如果你組建了一支由 100 隻狗組成的軍隊，而他們的領導者是一頭獅子，那麼所有狗都會像獅子一樣戰鬥。</v>
      </c>
      <c r="G140" s="4" t="str">
        <f>IFERROR(__xludf.DUMMYFUNCTION("GOOGLETRANSLATE(B140)"),"軍隊")</f>
        <v>軍隊</v>
      </c>
    </row>
    <row r="141" ht="15.75" customHeight="1">
      <c r="A141" s="4">
        <v>516.0</v>
      </c>
      <c r="B141" s="4" t="s">
        <v>236</v>
      </c>
      <c r="D141" s="4" t="s">
        <v>241</v>
      </c>
      <c r="E141" s="4">
        <v>1.0</v>
      </c>
      <c r="F141" s="4" t="str">
        <f>IFERROR(__xludf.DUMMYFUNCTION("GOOGLETRANSLATE(D141)"),"一個方向是我對 http://t.co/q2eBlOKeVE 粉絲軍團的選擇 #Directioners http://t.co/eNCmhz6y34 x1392")</f>
        <v>一個方向是我對 http://t.co/q2eBlOKeVE 粉絲軍團的選擇 #Directioners http://t.co/eNCmhz6y34 x1392</v>
      </c>
      <c r="G141" s="4" t="str">
        <f>IFERROR(__xludf.DUMMYFUNCTION("GOOGLETRANSLATE(B141)"),"軍隊")</f>
        <v>軍隊</v>
      </c>
    </row>
    <row r="142" ht="15.75" customHeight="1">
      <c r="A142" s="4">
        <v>519.0</v>
      </c>
      <c r="B142" s="4" t="s">
        <v>236</v>
      </c>
      <c r="D142" s="4" t="s">
        <v>242</v>
      </c>
      <c r="E142" s="4">
        <v>1.0</v>
      </c>
      <c r="F142" s="4" t="str">
        <f>IFERROR(__xludf.DUMMYFUNCTION("GOOGLETRANSLATE(D142)"),"VICTORINOX 瑞士陸軍日期女士橡膠拖把手錶 241487 http://t.co/yFy3nkkcoH http://t.co/KNEhVvOHVK")</f>
        <v>VICTORINOX 瑞士陸軍日期女士橡膠拖把手錶 241487 http://t.co/yFy3nkkcoH http://t.co/KNEhVvOHVK</v>
      </c>
      <c r="G142" s="4" t="str">
        <f>IFERROR(__xludf.DUMMYFUNCTION("GOOGLETRANSLATE(B142)"),"軍隊")</f>
        <v>軍隊</v>
      </c>
    </row>
    <row r="143" ht="15.75" customHeight="1">
      <c r="A143" s="4">
        <v>538.0</v>
      </c>
      <c r="B143" s="4" t="s">
        <v>236</v>
      </c>
      <c r="C143" s="4" t="s">
        <v>243</v>
      </c>
      <c r="D143" s="4" t="s">
        <v>244</v>
      </c>
      <c r="E143" s="4">
        <v>1.0</v>
      </c>
      <c r="F143" s="4" t="str">
        <f>IFERROR(__xludf.DUMMYFUNCTION("GOOGLETRANSLATE(D143)"),"@美聯社 多麼暴力的國家讓軍隊介入幫助控制殺戮並為窮人帶來和平。")</f>
        <v>@美聯社 多麼暴力的國家讓軍隊介入幫助控制殺戮並為窮人帶來和平。</v>
      </c>
      <c r="G143" s="4" t="str">
        <f>IFERROR(__xludf.DUMMYFUNCTION("GOOGLETRANSLATE(B143)"),"軍隊")</f>
        <v>軍隊</v>
      </c>
    </row>
    <row r="144" ht="15.75" customHeight="1">
      <c r="A144" s="4">
        <v>550.0</v>
      </c>
      <c r="B144" s="4" t="s">
        <v>245</v>
      </c>
      <c r="C144" s="4" t="s">
        <v>246</v>
      </c>
      <c r="D144" s="4" t="s">
        <v>247</v>
      </c>
      <c r="E144" s="4">
        <v>1.0</v>
      </c>
      <c r="F144" s="4" t="str">
        <f>IFERROR(__xludf.DUMMYFUNCTION("GOOGLETRANSLATE(D144)"),"斯波坎當局表示，他們正在努力解決像今天漢密爾頓發生的縱火案。 http://t.co/Qbs2k01WzK http://t.co/mvLZIYsGLL")</f>
        <v>斯波坎當局表示，他們正在努力解決像今天漢密爾頓發生的縱火案。 http://t.co/Qbs2k01WzK http://t.co/mvLZIYsGLL</v>
      </c>
      <c r="G144" s="4" t="str">
        <f>IFERROR(__xludf.DUMMYFUNCTION("GOOGLETRANSLATE(B144)"),"縱火")</f>
        <v>縱火</v>
      </c>
    </row>
    <row r="145" ht="15.75" customHeight="1">
      <c r="A145" s="4">
        <v>551.0</v>
      </c>
      <c r="B145" s="4" t="s">
        <v>245</v>
      </c>
      <c r="C145" s="4" t="s">
        <v>38</v>
      </c>
      <c r="D145" s="4" t="s">
        <v>248</v>
      </c>
      <c r="E145" s="4">
        <v>1.0</v>
      </c>
      <c r="F145" s="4" t="str">
        <f>IFERROR(__xludf.DUMMYFUNCTION("GOOGLETRANSLATE(D145)"),"數千人參加由「立即和平」組織的集會，抗議導致一名男子喪生的縱火襲擊 http://t.co/bvCKd9pdTi")</f>
        <v>數千人參加由「立即和平」組織的集會，抗議導致一名男子喪生的縱火襲擊 http://t.co/bvCKd9pdTi</v>
      </c>
      <c r="G145" s="4" t="str">
        <f>IFERROR(__xludf.DUMMYFUNCTION("GOOGLETRANSLATE(B145)"),"縱火")</f>
        <v>縱火</v>
      </c>
    </row>
    <row r="146" ht="15.75" customHeight="1">
      <c r="A146" s="4">
        <v>556.0</v>
      </c>
      <c r="B146" s="4" t="s">
        <v>245</v>
      </c>
      <c r="C146" s="4" t="s">
        <v>249</v>
      </c>
      <c r="D146" s="4" t="s">
        <v>250</v>
      </c>
      <c r="E146" s="4">
        <v>1.0</v>
      </c>
      <c r="F146" s="4" t="str">
        <f>IFERROR(__xludf.DUMMYFUNCTION("GOOGLETRANSLATE(D146)"),"另一種虛假的仇恨犯罪女同性戀者燒毀了自己的房子。還有什麼新內容：http://t.co/66oBQmxImb")</f>
        <v>另一種虛假的仇恨犯罪女同性戀者燒毀了自己的房子。還有什麼新內容：http://t.co/66oBQmxImb</v>
      </c>
      <c r="G146" s="4" t="str">
        <f>IFERROR(__xludf.DUMMYFUNCTION("GOOGLETRANSLATE(B146)"),"縱火")</f>
        <v>縱火</v>
      </c>
    </row>
    <row r="147" ht="15.75" customHeight="1">
      <c r="A147" s="4">
        <v>558.0</v>
      </c>
      <c r="B147" s="4" t="s">
        <v>245</v>
      </c>
      <c r="D147" s="4" t="s">
        <v>251</v>
      </c>
      <c r="E147" s="4">
        <v>1.0</v>
      </c>
      <c r="F147" s="4" t="str">
        <f>IFERROR(__xludf.DUMMYFUNCTION("GOOGLETRANSLATE(D147)"),"洛杉磯時報：縱火嫌疑犯與北部發生的 30 起火災有關... - http://t.co/xwMs1AWW8m #NewsInTweets http://t.co/TE2YeRugsi")</f>
        <v>洛杉磯時報：縱火嫌疑犯與北部發生的 30 起火災有關... - http://t.co/xwMs1AWW8m #NewsInTweets http://t.co/TE2YeRugsi</v>
      </c>
      <c r="G147" s="4" t="str">
        <f>IFERROR(__xludf.DUMMYFUNCTION("GOOGLETRANSLATE(B147)"),"縱火")</f>
        <v>縱火</v>
      </c>
    </row>
    <row r="148" ht="15.75" customHeight="1">
      <c r="A148" s="4">
        <v>559.0</v>
      </c>
      <c r="B148" s="4" t="s">
        <v>245</v>
      </c>
      <c r="D148" s="4" t="s">
        <v>252</v>
      </c>
      <c r="E148" s="4">
        <v>1.0</v>
      </c>
      <c r="F148" s="4" t="str">
        <f>IFERROR(__xludf.DUMMYFUNCTION("GOOGLETRANSLATE(D148)"),"刺傷縱火受害者的哀悼通知在以色列激起悲傷政治http://t.co/eug6zHciun")</f>
        <v>刺傷縱火受害者的哀悼通知在以色列激起悲傷政治http://t.co/eug6zHciun</v>
      </c>
      <c r="G148" s="4" t="str">
        <f>IFERROR(__xludf.DUMMYFUNCTION("GOOGLETRANSLATE(B148)"),"縱火")</f>
        <v>縱火</v>
      </c>
    </row>
    <row r="149" ht="15.75" customHeight="1">
      <c r="A149" s="4">
        <v>560.0</v>
      </c>
      <c r="B149" s="4" t="s">
        <v>245</v>
      </c>
      <c r="C149" s="4" t="s">
        <v>253</v>
      </c>
      <c r="D149" s="4" t="s">
        <v>254</v>
      </c>
      <c r="E149" s="4">
        <v>1.0</v>
      </c>
      <c r="F149" s="4" t="str">
        <f>IFERROR(__xludf.DUMMYFUNCTION("GOOGLETRANSLATE(D149)"),"刺傷縱火受害者的哀悼通知在以色列激起悲傷政治http://t.co/KkbXIBlAH7")</f>
        <v>刺傷縱火受害者的哀悼通知在以色列激起悲傷政治http://t.co/KkbXIBlAH7</v>
      </c>
      <c r="G149" s="4" t="str">
        <f>IFERROR(__xludf.DUMMYFUNCTION("GOOGLETRANSLATE(B149)"),"縱火")</f>
        <v>縱火</v>
      </c>
    </row>
    <row r="150" ht="15.75" customHeight="1">
      <c r="A150" s="4">
        <v>565.0</v>
      </c>
      <c r="B150" s="4" t="s">
        <v>245</v>
      </c>
      <c r="C150" s="4" t="s">
        <v>255</v>
      </c>
      <c r="D150" s="4" t="s">
        <v>256</v>
      </c>
      <c r="E150" s="4">
        <v>1.0</v>
      </c>
      <c r="F150" s="4" t="str">
        <f>IFERROR(__xludf.DUMMYFUNCTION("GOOGLETRANSLATE(D150)"),"縱火嫌疑犯與北加州發生的 30 起火災有關 http://t.co/EJ2GHNAfHY")</f>
        <v>縱火嫌疑犯與北加州發生的 30 起火災有關 http://t.co/EJ2GHNAfHY</v>
      </c>
      <c r="G150" s="4" t="str">
        <f>IFERROR(__xludf.DUMMYFUNCTION("GOOGLETRANSLATE(B150)"),"縱火")</f>
        <v>縱火</v>
      </c>
    </row>
    <row r="151" ht="15.75" customHeight="1">
      <c r="A151" s="4">
        <v>567.0</v>
      </c>
      <c r="B151" s="4" t="s">
        <v>245</v>
      </c>
      <c r="D151" s="4" t="s">
        <v>257</v>
      </c>
      <c r="E151" s="4">
        <v>1.0</v>
      </c>
      <c r="F151" s="4" t="str">
        <f>IFERROR(__xludf.DUMMYFUNCTION("GOOGLETRANSLATE(D151)"),"被控縱火入室盜竊罪的男子的審判日期已確定 http://t.co/WftCrLz32P")</f>
        <v>被控縱火入室盜竊罪的男子的審判日期已確定 http://t.co/WftCrLz32P</v>
      </c>
      <c r="G151" s="4" t="str">
        <f>IFERROR(__xludf.DUMMYFUNCTION("GOOGLETRANSLATE(B151)"),"縱火")</f>
        <v>縱火</v>
      </c>
    </row>
    <row r="152" ht="15.75" customHeight="1">
      <c r="A152" s="4">
        <v>568.0</v>
      </c>
      <c r="B152" s="4" t="s">
        <v>245</v>
      </c>
      <c r="C152" s="4" t="s">
        <v>258</v>
      </c>
      <c r="D152" s="4" t="s">
        <v>259</v>
      </c>
      <c r="E152" s="4">
        <v>1.0</v>
      </c>
      <c r="F152" s="4" t="str">
        <f>IFERROR(__xludf.DUMMYFUNCTION("GOOGLETRANSLATE(D152)"),"巴勒斯坦幼兒縱火身亡
攻擊以色列鎮壓猶太人")</f>
        <v>巴勒斯坦幼兒縱火身亡
攻擊以色列鎮壓猶太人</v>
      </c>
      <c r="G152" s="4" t="str">
        <f>IFERROR(__xludf.DUMMYFUNCTION("GOOGLETRANSLATE(B152)"),"縱火")</f>
        <v>縱火</v>
      </c>
    </row>
    <row r="153" ht="15.75" customHeight="1">
      <c r="A153" s="4">
        <v>569.0</v>
      </c>
      <c r="B153" s="4" t="s">
        <v>245</v>
      </c>
      <c r="C153" s="4" t="s">
        <v>38</v>
      </c>
      <c r="D153" s="4" t="s">
        <v>260</v>
      </c>
      <c r="E153" s="4">
        <v>1.0</v>
      </c>
      <c r="F153" s="4" t="str">
        <f>IFERROR(__xludf.DUMMYFUNCTION("GOOGLETRANSLATE(D153)"),"巴勒斯坦青少年抗議縱火攻擊中被殺 http://t.co/okVsImoGic")</f>
        <v>巴勒斯坦青少年抗議縱火攻擊中被殺 http://t.co/okVsImoGic</v>
      </c>
      <c r="G153" s="4" t="str">
        <f>IFERROR(__xludf.DUMMYFUNCTION("GOOGLETRANSLATE(B153)"),"縱火")</f>
        <v>縱火</v>
      </c>
    </row>
    <row r="154" ht="15.75" customHeight="1">
      <c r="A154" s="4">
        <v>570.0</v>
      </c>
      <c r="B154" s="4" t="s">
        <v>245</v>
      </c>
      <c r="C154" s="4" t="s">
        <v>261</v>
      </c>
      <c r="D154" s="4" t="s">
        <v>262</v>
      </c>
      <c r="E154" s="4">
        <v>1.0</v>
      </c>
      <c r="F154" s="4" t="str">
        <f>IFERROR(__xludf.DUMMYFUNCTION("GOOGLETRANSLATE(D154)"),"#Kisii 基西警方因未遂縱火陰謀追捕學生：基西警方追捕學生... http://t.co/m5SbFRrSn7 #CountyNews")</f>
        <v>#Kisii 基西警方因未遂縱火陰謀追捕學生：基西警方追捕學生... http://t.co/m5SbFRrSn7 #CountyNews</v>
      </c>
      <c r="G154" s="4" t="str">
        <f>IFERROR(__xludf.DUMMYFUNCTION("GOOGLETRANSLATE(B154)"),"縱火")</f>
        <v>縱火</v>
      </c>
    </row>
    <row r="155" ht="15.75" customHeight="1">
      <c r="A155" s="4">
        <v>571.0</v>
      </c>
      <c r="B155" s="4" t="s">
        <v>245</v>
      </c>
      <c r="C155" s="4" t="s">
        <v>263</v>
      </c>
      <c r="D155" s="4" t="s">
        <v>264</v>
      </c>
      <c r="E155" s="4">
        <v>1.0</v>
      </c>
      <c r="F155" s="4" t="str">
        <f>IFERROR(__xludf.DUMMYFUNCTION("GOOGLETRANSLATE(D155)"),"瑪麗亞可憐的女孩肩膀越來越粗。")</f>
        <v>瑪麗亞可憐的女孩肩膀越來越粗。</v>
      </c>
      <c r="G155" s="4" t="str">
        <f>IFERROR(__xludf.DUMMYFUNCTION("GOOGLETRANSLATE(B155)"),"縱火")</f>
        <v>縱火</v>
      </c>
    </row>
    <row r="156" ht="15.75" customHeight="1">
      <c r="A156" s="4">
        <v>575.0</v>
      </c>
      <c r="B156" s="4" t="s">
        <v>245</v>
      </c>
      <c r="C156" s="4" t="s">
        <v>265</v>
      </c>
      <c r="D156" s="4" t="s">
        <v>266</v>
      </c>
      <c r="E156" s="4">
        <v>1.0</v>
      </c>
      <c r="F156" s="4" t="str">
        <f>IFERROR(__xludf.DUMMYFUNCTION("GOOGLETRANSLATE(D156)"),"RelaxInPR：miprv：RT latimes：縱火嫌疑犯與北加州發生的 30 起火災有關 http://t.co/ylhAyfaOOu")</f>
        <v>RelaxInPR：miprv：RT latimes：縱火嫌疑犯與北加州發生的 30 起火災有關 http://t.co/ylhAyfaOOu</v>
      </c>
      <c r="G156" s="4" t="str">
        <f>IFERROR(__xludf.DUMMYFUNCTION("GOOGLETRANSLATE(B156)"),"縱火")</f>
        <v>縱火</v>
      </c>
    </row>
    <row r="157" ht="15.75" customHeight="1">
      <c r="A157" s="4">
        <v>576.0</v>
      </c>
      <c r="B157" s="4" t="s">
        <v>245</v>
      </c>
      <c r="D157" s="4" t="s">
        <v>267</v>
      </c>
      <c r="E157" s="4">
        <v>1.0</v>
      </c>
      <c r="F157" s="4" t="str">
        <f>IFERROR(__xludf.DUMMYFUNCTION("GOOGLETRANSLATE(D157)"),"猶太領袖在縱火後正在接受治療的巴勒斯坦家庭的醫院祈禱 http://t.co/Wf8iTK2KVx 來自 @HuffPostRelig")</f>
        <v>猶太領袖在縱火後正在接受治療的巴勒斯坦家庭的醫院祈禱 http://t.co/Wf8iTK2KVx 來自 @HuffPostRelig</v>
      </c>
      <c r="G157" s="4" t="str">
        <f>IFERROR(__xludf.DUMMYFUNCTION("GOOGLETRANSLATE(B157)"),"縱火")</f>
        <v>縱火</v>
      </c>
    </row>
    <row r="158" ht="15.75" customHeight="1">
      <c r="A158" s="4">
        <v>579.0</v>
      </c>
      <c r="B158" s="4" t="s">
        <v>245</v>
      </c>
      <c r="C158" s="4" t="s">
        <v>261</v>
      </c>
      <c r="D158" s="4" t="s">
        <v>268</v>
      </c>
      <c r="E158" s="4">
        <v>1.0</v>
      </c>
      <c r="F158" s="4" t="str">
        <f>IFERROR(__xludf.DUMMYFUNCTION("GOOGLETRANSLATE(D158)"),"#Kisii 基西警方因未遂縱火陰謀追捕學生：基西警方追捕學生... http://t.co/5bdrFU1duo #CountyNews")</f>
        <v>#Kisii 基西警方因未遂縱火陰謀追捕學生：基西警方追捕學生... http://t.co/5bdrFU1duo #CountyNews</v>
      </c>
      <c r="G158" s="4" t="str">
        <f>IFERROR(__xludf.DUMMYFUNCTION("GOOGLETRANSLATE(B158)"),"縱火")</f>
        <v>縱火</v>
      </c>
    </row>
    <row r="159" ht="15.75" customHeight="1">
      <c r="A159" s="4">
        <v>580.0</v>
      </c>
      <c r="B159" s="4" t="s">
        <v>245</v>
      </c>
      <c r="D159" s="4" t="s">
        <v>269</v>
      </c>
      <c r="E159" s="4">
        <v>1.0</v>
      </c>
      <c r="F159" s="4" t="str">
        <f>IFERROR(__xludf.DUMMYFUNCTION("GOOGLETRANSLATE(D159)"),"刺傷縱火受害者的哀悼通知在以色列激起悲傷政治http://t.co/Q4L7Dg56JM")</f>
        <v>刺傷縱火受害者的哀悼通知在以色列激起悲傷政治http://t.co/Q4L7Dg56JM</v>
      </c>
      <c r="G159" s="4" t="str">
        <f>IFERROR(__xludf.DUMMYFUNCTION("GOOGLETRANSLATE(B159)"),"縱火")</f>
        <v>縱火</v>
      </c>
    </row>
    <row r="160" ht="15.75" customHeight="1">
      <c r="A160" s="4">
        <v>584.0</v>
      </c>
      <c r="B160" s="4" t="s">
        <v>245</v>
      </c>
      <c r="C160" s="4" t="s">
        <v>270</v>
      </c>
      <c r="D160" s="4" t="s">
        <v>271</v>
      </c>
      <c r="E160" s="4">
        <v>1.0</v>
      </c>
      <c r="F160" s="4" t="str">
        <f>IFERROR(__xludf.DUMMYFUNCTION("GOOGLETRANSLATE(D160)"),"刺傷縱火受害者的哀悼通知在以色列激起悲傷政治http://t.co/GbluHRrlto")</f>
        <v>刺傷縱火受害者的哀悼通知在以色列激起悲傷政治http://t.co/GbluHRrlto</v>
      </c>
      <c r="G160" s="4" t="str">
        <f>IFERROR(__xludf.DUMMYFUNCTION("GOOGLETRANSLATE(B160)"),"縱火")</f>
        <v>縱火</v>
      </c>
    </row>
    <row r="161" ht="15.75" customHeight="1">
      <c r="A161" s="4">
        <v>585.0</v>
      </c>
      <c r="B161" s="4" t="s">
        <v>245</v>
      </c>
      <c r="D161" s="4" t="s">
        <v>272</v>
      </c>
      <c r="E161" s="4">
        <v>1.0</v>
      </c>
      <c r="F161" s="4" t="str">
        <f>IFERROR(__xludf.DUMMYFUNCTION("GOOGLETRANSLATE(D161)"),"芝加哥地區同志酒吧老闆承認縱火案 http://t.co/ZPxE3fMYNG #LGBT")</f>
        <v>芝加哥地區同志酒吧老闆承認縱火案 http://t.co/ZPxE3fMYNG #LGBT</v>
      </c>
      <c r="G161" s="4" t="str">
        <f>IFERROR(__xludf.DUMMYFUNCTION("GOOGLETRANSLATE(B161)"),"縱火")</f>
        <v>縱火</v>
      </c>
    </row>
    <row r="162" ht="15.75" customHeight="1">
      <c r="A162" s="4">
        <v>588.0</v>
      </c>
      <c r="B162" s="4" t="s">
        <v>245</v>
      </c>
      <c r="C162" s="4" t="s">
        <v>273</v>
      </c>
      <c r="D162" s="4" t="s">
        <v>274</v>
      </c>
      <c r="E162" s="4">
        <v>1.0</v>
      </c>
      <c r="F162" s="4" t="str">
        <f>IFERROR(__xludf.DUMMYFUNCTION("GOOGLETRANSLATE(D162)"),"縱火嫌疑犯與北加州發生的 30 起火災有關 http://t.co/wnuqQAtTTP（來自 @latimes）")</f>
        <v>縱火嫌疑犯與北加州發生的 30 起火災有關 http://t.co/wnuqQAtTTP（來自 @latimes）</v>
      </c>
      <c r="G162" s="4" t="str">
        <f>IFERROR(__xludf.DUMMYFUNCTION("GOOGLETRANSLATE(B162)"),"縱火")</f>
        <v>縱火</v>
      </c>
    </row>
    <row r="163" ht="15.75" customHeight="1">
      <c r="A163" s="4">
        <v>589.0</v>
      </c>
      <c r="B163" s="4" t="s">
        <v>245</v>
      </c>
      <c r="D163" s="4" t="s">
        <v>275</v>
      </c>
      <c r="E163" s="4">
        <v>1.0</v>
      </c>
      <c r="F163" s="4" t="str">
        <f>IFERROR(__xludf.DUMMYFUNCTION("GOOGLETRANSLATE(D163)"),"田納西州女同性戀夫婦偽造仇恨犯罪並縱火摧毀了自己的家Û_ http://t.co/10mUEY8PXJ #Lesbian")</f>
        <v>田納西州女同性戀夫婦偽造仇恨犯罪並縱火摧毀了自己的家Û_ http://t.co/10mUEY8PXJ #Lesbian</v>
      </c>
      <c r="G163" s="4" t="str">
        <f>IFERROR(__xludf.DUMMYFUNCTION("GOOGLETRANSLATE(B163)"),"縱火")</f>
        <v>縱火</v>
      </c>
    </row>
    <row r="164" ht="15.75" customHeight="1">
      <c r="A164" s="4">
        <v>592.0</v>
      </c>
      <c r="B164" s="4" t="s">
        <v>245</v>
      </c>
      <c r="D164" s="4" t="s">
        <v>276</v>
      </c>
      <c r="E164" s="4">
        <v>1.0</v>
      </c>
      <c r="F164" s="4" t="str">
        <f>IFERROR(__xludf.DUMMYFUNCTION("GOOGLETRANSLATE(D164)"),"縱火嫌疑犯與北加州發生的 30 起火災有關 - 《洛杉磯時報》http://t.co/PrRB4fhXtv")</f>
        <v>縱火嫌疑犯與北加州發生的 30 起火災有關 - 《洛杉磯時報》http://t.co/PrRB4fhXtv</v>
      </c>
      <c r="G164" s="4" t="str">
        <f>IFERROR(__xludf.DUMMYFUNCTION("GOOGLETRANSLATE(B164)"),"縱火")</f>
        <v>縱火</v>
      </c>
    </row>
    <row r="165" ht="15.75" customHeight="1">
      <c r="A165" s="4">
        <v>594.0</v>
      </c>
      <c r="B165" s="4" t="s">
        <v>245</v>
      </c>
      <c r="D165" s="4" t="s">
        <v>277</v>
      </c>
      <c r="E165" s="4">
        <v>1.0</v>
      </c>
      <c r="F165" s="4" t="str">
        <f>IFERROR(__xludf.DUMMYFUNCTION("GOOGLETRANSLATE(D165)"),"縱火嫌疑犯與北加州發生的 30 起火災有關 http://t.co/u1fuWrGK5U")</f>
        <v>縱火嫌疑犯與北加州發生的 30 起火災有關 http://t.co/u1fuWrGK5U</v>
      </c>
      <c r="G165" s="4" t="str">
        <f>IFERROR(__xludf.DUMMYFUNCTION("GOOGLETRANSLATE(B165)"),"縱火")</f>
        <v>縱火</v>
      </c>
    </row>
    <row r="166" ht="15.75" customHeight="1">
      <c r="A166" s="4">
        <v>598.0</v>
      </c>
      <c r="B166" s="4" t="s">
        <v>278</v>
      </c>
      <c r="C166" s="4" t="s">
        <v>279</v>
      </c>
      <c r="D166" s="4" t="s">
        <v>280</v>
      </c>
      <c r="E166" s="4">
        <v>1.0</v>
      </c>
      <c r="F166" s="4" t="str">
        <f>IFERROR(__xludf.DUMMYFUNCTION("GOOGLETRANSLATE(D166)"),"@_301DC @Cloudy_goldrush 我討厭白人")</f>
        <v>@_301DC @Cloudy_goldrush 我討厭白人</v>
      </c>
      <c r="G166" s="4" t="str">
        <f>IFERROR(__xludf.DUMMYFUNCTION("GOOGLETRANSLATE(B166)"),"縱火犯")</f>
        <v>縱火犯</v>
      </c>
    </row>
    <row r="167" ht="15.75" customHeight="1">
      <c r="A167" s="4">
        <v>600.0</v>
      </c>
      <c r="B167" s="4" t="s">
        <v>278</v>
      </c>
      <c r="C167" s="4" t="s">
        <v>281</v>
      </c>
      <c r="D167" s="4" t="s">
        <v>282</v>
      </c>
      <c r="E167" s="4">
        <v>1.0</v>
      </c>
      <c r="F167" s="4" t="str">
        <f>IFERROR(__xludf.DUMMYFUNCTION("GOOGLETRANSLATE(D167)"),"涉嫌東灣連續縱火犯被捕 http://t.co/WR48AQTUm7")</f>
        <v>涉嫌東灣連續縱火犯被捕 http://t.co/WR48AQTUm7</v>
      </c>
      <c r="G167" s="4" t="str">
        <f>IFERROR(__xludf.DUMMYFUNCTION("GOOGLETRANSLATE(B167)"),"縱火犯")</f>
        <v>縱火犯</v>
      </c>
    </row>
    <row r="168" ht="15.75" customHeight="1">
      <c r="A168" s="4">
        <v>604.0</v>
      </c>
      <c r="B168" s="4" t="s">
        <v>278</v>
      </c>
      <c r="C168" s="4" t="s">
        <v>283</v>
      </c>
      <c r="D168" s="4" t="s">
        <v>284</v>
      </c>
      <c r="E168" s="4">
        <v>1.0</v>
      </c>
      <c r="F168" s="4" t="str">
        <f>IFERROR(__xludf.DUMMYFUNCTION("GOOGLETRANSLATE(D168)"),"連環縱火嫌疑犯在加州被捕。http://t.co/PzotPDGAkI")</f>
        <v>連環縱火嫌疑犯在加州被捕。http://t.co/PzotPDGAkI</v>
      </c>
      <c r="G168" s="4" t="str">
        <f>IFERROR(__xludf.DUMMYFUNCTION("GOOGLETRANSLATE(B168)"),"縱火犯")</f>
        <v>縱火犯</v>
      </c>
    </row>
    <row r="169" ht="15.75" customHeight="1">
      <c r="A169" s="4">
        <v>606.0</v>
      </c>
      <c r="B169" s="4" t="s">
        <v>278</v>
      </c>
      <c r="C169" s="4" t="s">
        <v>285</v>
      </c>
      <c r="D169" s="4" t="s">
        <v>286</v>
      </c>
      <c r="E169" s="4">
        <v>1.0</v>
      </c>
      <c r="F169" s="4" t="str">
        <f>IFERROR(__xludf.DUMMYFUNCTION("GOOGLETRANSLATE(D169)"),"縱火嫌疑犯與北加州發生的 30 起火災有關 http://t.co/mmGsyAHDzb")</f>
        <v>縱火嫌疑犯與北加州發生的 30 起火災有關 http://t.co/mmGsyAHDzb</v>
      </c>
      <c r="G169" s="4" t="str">
        <f>IFERROR(__xludf.DUMMYFUNCTION("GOOGLETRANSLATE(B169)"),"縱火犯")</f>
        <v>縱火犯</v>
      </c>
    </row>
    <row r="170" ht="15.75" customHeight="1">
      <c r="A170" s="4">
        <v>614.0</v>
      </c>
      <c r="B170" s="4" t="s">
        <v>278</v>
      </c>
      <c r="C170" s="4" t="s">
        <v>287</v>
      </c>
      <c r="D170" s="4" t="s">
        <v>288</v>
      </c>
      <c r="E170" s="4">
        <v>1.0</v>
      </c>
      <c r="F170" s="4" t="str">
        <f>IFERROR(__xludf.DUMMYFUNCTION("GOOGLETRANSLATE(D170)"),"#縱火犯因縱火被捕。今晚觀看Ûª的其他#headlines：http://t.co/sqgogJ3S5r。 #Nightbeat @VeronicaDLCruz #2MinuteMix")</f>
        <v>#縱火犯因縱火被捕。今晚觀看Ûª的其他#headlines：http://t.co/sqgogJ3S5r。 #Nightbeat @VeronicaDLCruz #2MinuteMix</v>
      </c>
      <c r="G170" s="4" t="str">
        <f>IFERROR(__xludf.DUMMYFUNCTION("GOOGLETRANSLATE(B170)"),"縱火犯")</f>
        <v>縱火犯</v>
      </c>
    </row>
    <row r="171" ht="15.75" customHeight="1">
      <c r="A171" s="4">
        <v>630.0</v>
      </c>
      <c r="B171" s="4" t="s">
        <v>278</v>
      </c>
      <c r="C171" s="4" t="s">
        <v>289</v>
      </c>
      <c r="D171" s="4" t="s">
        <v>290</v>
      </c>
      <c r="E171" s="4">
        <v>1.0</v>
      </c>
      <c r="F171" s="4" t="str">
        <f>IFERROR(__xludf.DUMMYFUNCTION("GOOGLETRANSLATE(D171)"),"涉嫌東灣連續縱火犯被捕#SanFrancisco - http://t.co/ojuHfkHVb2")</f>
        <v>涉嫌東灣連續縱火犯被捕#SanFrancisco - http://t.co/ojuHfkHVb2</v>
      </c>
      <c r="G171" s="4" t="str">
        <f>IFERROR(__xludf.DUMMYFUNCTION("GOOGLETRANSLATE(B171)"),"縱火犯")</f>
        <v>縱火犯</v>
      </c>
    </row>
    <row r="172" ht="15.75" customHeight="1">
      <c r="A172" s="4">
        <v>635.0</v>
      </c>
      <c r="B172" s="4" t="s">
        <v>278</v>
      </c>
      <c r="C172" s="4" t="s">
        <v>291</v>
      </c>
      <c r="D172" s="4" t="s">
        <v>292</v>
      </c>
      <c r="E172" s="4">
        <v>1.0</v>
      </c>
      <c r="F172" s="4" t="str">
        <f>IFERROR(__xludf.DUMMYFUNCTION("GOOGLETRANSLATE(D172)"),"縱火犯縱火焚燒紐約素食餐廳：警察#NewYork - http://t.co/Nr7usT3uh8")</f>
        <v>縱火犯縱火焚燒紐約素食餐廳：警察#NewYork - http://t.co/Nr7usT3uh8</v>
      </c>
      <c r="G172" s="4" t="str">
        <f>IFERROR(__xludf.DUMMYFUNCTION("GOOGLETRANSLATE(B172)"),"縱火犯")</f>
        <v>縱火犯</v>
      </c>
    </row>
    <row r="173" ht="15.75" customHeight="1">
      <c r="A173" s="4">
        <v>644.0</v>
      </c>
      <c r="B173" s="4" t="s">
        <v>278</v>
      </c>
      <c r="D173" s="4" t="s">
        <v>293</v>
      </c>
      <c r="E173" s="4">
        <v>1.0</v>
      </c>
      <c r="F173" s="4" t="str">
        <f>IFERROR(__xludf.DUMMYFUNCTION("GOOGLETRANSLATE(D173)"),"大頂燃燒縱火犯失蹤女孩的真實故事Û_：http://t.co/QxH1H61cwD。")</f>
        <v>大頂燃燒縱火犯失蹤女孩的真實故事Û_：http://t.co/QxH1H61cwD。</v>
      </c>
      <c r="G173" s="4" t="str">
        <f>IFERROR(__xludf.DUMMYFUNCTION("GOOGLETRANSLATE(B173)"),"縱火犯")</f>
        <v>縱火犯</v>
      </c>
    </row>
    <row r="174" ht="15.75" customHeight="1">
      <c r="A174" s="4">
        <v>646.0</v>
      </c>
      <c r="B174" s="4" t="s">
        <v>294</v>
      </c>
      <c r="C174" s="4" t="s">
        <v>295</v>
      </c>
      <c r="D174" s="4" t="s">
        <v>296</v>
      </c>
      <c r="E174" s="4">
        <v>1.0</v>
      </c>
      <c r="F174" s="4" t="str">
        <f>IFERROR(__xludf.DUMMYFUNCTION("GOOGLETRANSLATE(D174)"),"保持警惕。公民自由不斷受到攻擊。 #native human #myreligion https://t.co/WWu070Tjej")</f>
        <v>保持警惕。公民自由不斷受到攻擊。 #native human #myreligion https://t.co/WWu070Tjej</v>
      </c>
      <c r="G174" s="4" t="str">
        <f>IFERROR(__xludf.DUMMYFUNCTION("GOOGLETRANSLATE(B174)"),"攻擊")</f>
        <v>攻擊</v>
      </c>
    </row>
    <row r="175" ht="15.75" customHeight="1">
      <c r="A175" s="4">
        <v>651.0</v>
      </c>
      <c r="B175" s="4" t="s">
        <v>294</v>
      </c>
      <c r="D175" s="4" t="s">
        <v>297</v>
      </c>
      <c r="E175" s="4">
        <v>1.0</v>
      </c>
      <c r="F175" s="4" t="str">
        <f>IFERROR(__xludf.DUMMYFUNCTION("GOOGLETRANSLATE(D175)"),"http://t.co/pTKrXtZjtV 納許維爾劇院攻擊：搶槍者現在會要求「斧頭控制」嗎？")</f>
        <v>http://t.co/pTKrXtZjtV 納許維爾劇院攻擊：搶槍者現在會要求「斧頭控制」嗎？</v>
      </c>
      <c r="G175" s="4" t="str">
        <f>IFERROR(__xludf.DUMMYFUNCTION("GOOGLETRANSLATE(B175)"),"攻擊")</f>
        <v>攻擊</v>
      </c>
    </row>
    <row r="176" ht="15.75" customHeight="1">
      <c r="A176" s="4">
        <v>652.0</v>
      </c>
      <c r="B176" s="4" t="s">
        <v>294</v>
      </c>
      <c r="C176" s="4" t="s">
        <v>298</v>
      </c>
      <c r="D176" s="4" t="s">
        <v>299</v>
      </c>
      <c r="E176" s="4">
        <v>1.0</v>
      </c>
      <c r="F176" s="4" t="str">
        <f>IFERROR(__xludf.DUMMYFUNCTION("GOOGLETRANSLATE(D176)"),"突發：恐怖攻擊發生
警察哨所#Udhampur")</f>
        <v>突發：恐怖攻擊發生
警察哨所#Udhampur</v>
      </c>
      <c r="G176" s="4" t="str">
        <f>IFERROR(__xludf.DUMMYFUNCTION("GOOGLETRANSLATE(B176)"),"攻擊")</f>
        <v>攻擊</v>
      </c>
    </row>
    <row r="177" ht="15.75" customHeight="1">
      <c r="A177" s="4">
        <v>654.0</v>
      </c>
      <c r="B177" s="4" t="s">
        <v>294</v>
      </c>
      <c r="D177" s="4" t="s">
        <v>300</v>
      </c>
      <c r="E177" s="4">
        <v>1.0</v>
      </c>
      <c r="F177" s="4" t="str">
        <f>IFERROR(__xludf.DUMMYFUNCTION("GOOGLETRANSLATE(D177)"),"讓我害怕的是，有新版本的核攻擊警告，例如只知道政府仍在為此做好準備")</f>
        <v>讓我害怕的是，有新版本的核攻擊警告，例如只知道政府仍在為此做好準備</v>
      </c>
      <c r="G177" s="4" t="str">
        <f>IFERROR(__xludf.DUMMYFUNCTION("GOOGLETRANSLATE(B177)"),"攻擊")</f>
        <v>攻擊</v>
      </c>
    </row>
    <row r="178" ht="15.75" customHeight="1">
      <c r="A178" s="4">
        <v>655.0</v>
      </c>
      <c r="B178" s="4" t="s">
        <v>294</v>
      </c>
      <c r="D178" s="4" t="s">
        <v>301</v>
      </c>
      <c r="E178" s="4">
        <v>1.0</v>
      </c>
      <c r="F178" s="4" t="str">
        <f>IFERROR(__xludf.DUMMYFUNCTION("GOOGLETRANSLATE(D178)"),"ISIL 聲稱沙烏地阿拉伯清真寺發生自殺式爆炸事件，造成至少 15 人死亡 http://t.co/Y8IcF89H6w http://t.co/t9MSnZV1Kb")</f>
        <v>ISIL 聲稱沙烏地阿拉伯清真寺發生自殺式爆炸事件，造成至少 15 人死亡 http://t.co/Y8IcF89H6w http://t.co/t9MSnZV1Kb</v>
      </c>
      <c r="G178" s="4" t="str">
        <f>IFERROR(__xludf.DUMMYFUNCTION("GOOGLETRANSLATE(B178)"),"攻擊")</f>
        <v>攻擊</v>
      </c>
    </row>
    <row r="179" ht="15.75" customHeight="1">
      <c r="A179" s="4">
        <v>657.0</v>
      </c>
      <c r="B179" s="4" t="s">
        <v>294</v>
      </c>
      <c r="C179" s="4" t="s">
        <v>302</v>
      </c>
      <c r="D179" s="4" t="s">
        <v>303</v>
      </c>
      <c r="E179" s="4">
        <v>1.0</v>
      </c>
      <c r="F179" s="4" t="str">
        <f>IFERROR(__xludf.DUMMYFUNCTION("GOOGLETRANSLATE(D179)"),"義大利穆斯林對妻子的可怕攻擊 http://t.co/nY3l1oRZQb LiveLeak #News")</f>
        <v>義大利穆斯林對妻子的可怕攻擊 http://t.co/nY3l1oRZQb LiveLeak #News</v>
      </c>
      <c r="G179" s="4" t="str">
        <f>IFERROR(__xludf.DUMMYFUNCTION("GOOGLETRANSLATE(B179)"),"攻擊")</f>
        <v>攻擊</v>
      </c>
    </row>
    <row r="180" ht="15.75" customHeight="1">
      <c r="A180" s="4">
        <v>658.0</v>
      </c>
      <c r="B180" s="4" t="s">
        <v>294</v>
      </c>
      <c r="D180" s="4" t="s">
        <v>304</v>
      </c>
      <c r="E180" s="4">
        <v>1.0</v>
      </c>
      <c r="F180" s="4" t="str">
        <f>IFERROR(__xludf.DUMMYFUNCTION("GOOGLETRANSLATE(D180)"),"Ûª93 爆炸案被告 Yeda Yakub 在卡拉奇因心臟病去世 http://t.co/mfKqyxd8XG #Mumbai")</f>
        <v>Ûª93 爆炸案被告 Yeda Yakub 在卡拉奇因心臟病去世 http://t.co/mfKqyxd8XG #Mumbai</v>
      </c>
      <c r="G180" s="4" t="str">
        <f>IFERROR(__xludf.DUMMYFUNCTION("GOOGLETRANSLATE(B180)"),"攻擊")</f>
        <v>攻擊</v>
      </c>
    </row>
    <row r="181" ht="15.75" customHeight="1">
      <c r="A181" s="4">
        <v>659.0</v>
      </c>
      <c r="B181" s="4" t="s">
        <v>294</v>
      </c>
      <c r="C181" s="4" t="s">
        <v>305</v>
      </c>
      <c r="D181" s="4" t="s">
        <v>306</v>
      </c>
      <c r="E181" s="4">
        <v>1.0</v>
      </c>
      <c r="F181" s="4" t="str">
        <f>IFERROR(__xludf.DUMMYFUNCTION("GOOGLETRANSLATE(D181)"),"@etribune 美國無人機襲擊在北瓦濟里斯坦殺死了 4 名疑似武裝分子 @AceBreakingNews https://t.co/jB038rdFAK")</f>
        <v>@etribune 美國無人機襲擊在北瓦濟里斯坦殺死了 4 名疑似武裝分子 @AceBreakingNews https://t.co/jB038rdFAK</v>
      </c>
      <c r="G181" s="4" t="str">
        <f>IFERROR(__xludf.DUMMYFUNCTION("GOOGLETRANSLATE(B181)"),"攻擊")</f>
        <v>攻擊</v>
      </c>
    </row>
    <row r="182" ht="15.75" customHeight="1">
      <c r="A182" s="4">
        <v>660.0</v>
      </c>
      <c r="B182" s="4" t="s">
        <v>294</v>
      </c>
      <c r="C182" s="4" t="s">
        <v>307</v>
      </c>
      <c r="D182" s="4" t="s">
        <v>308</v>
      </c>
      <c r="E182" s="4">
        <v>1.0</v>
      </c>
      <c r="F182" s="4" t="str">
        <f>IFERROR(__xludf.DUMMYFUNCTION("GOOGLETRANSLATE(D182)"),"最近劇院襲擊事件的嫌疑犯有心理問題 http://t.co/3huhZxliiG")</f>
        <v>最近劇院襲擊事件的嫌疑犯有心理問題 http://t.co/3huhZxliiG</v>
      </c>
      <c r="G182" s="4" t="str">
        <f>IFERROR(__xludf.DUMMYFUNCTION("GOOGLETRANSLATE(B182)"),"攻擊")</f>
        <v>攻擊</v>
      </c>
    </row>
    <row r="183" ht="15.75" customHeight="1">
      <c r="A183" s="4">
        <v>661.0</v>
      </c>
      <c r="B183" s="4" t="s">
        <v>294</v>
      </c>
      <c r="C183" s="4" t="s">
        <v>34</v>
      </c>
      <c r="D183" s="4" t="s">
        <v>309</v>
      </c>
      <c r="E183" s="4">
        <v>1.0</v>
      </c>
      <c r="F183" s="4" t="str">
        <f>IFERROR(__xludf.DUMMYFUNCTION("GOOGLETRANSLATE(D183)"),"武裝份子襲擊了烏德姆普爾的警察哨所； 2名SPO受傷LiveMint http://t.co/Rptouz2iJs | http://t.co/69mLhfefhr #AllTheNews")</f>
        <v>武裝份子襲擊了烏德姆普爾的警察哨所； 2名SPO受傷LiveMint http://t.co/Rptouz2iJs | http://t.co/69mLhfefhr #AllTheNews</v>
      </c>
      <c r="G183" s="4" t="str">
        <f>IFERROR(__xludf.DUMMYFUNCTION("GOOGLETRANSLATE(B183)"),"攻擊")</f>
        <v>攻擊</v>
      </c>
    </row>
    <row r="184" ht="15.75" customHeight="1">
      <c r="A184" s="4">
        <v>662.0</v>
      </c>
      <c r="B184" s="4" t="s">
        <v>294</v>
      </c>
      <c r="C184" s="4" t="s">
        <v>310</v>
      </c>
      <c r="D184" s="4" t="s">
        <v>311</v>
      </c>
      <c r="E184" s="4">
        <v>1.0</v>
      </c>
      <c r="F184" s="4" t="str">
        <f>IFERROR(__xludf.DUMMYFUNCTION("GOOGLETRANSLATE(D184)"),"突發新聞：歐巴馬官員向穆斯林恐怖分子提供了德州攻擊中使用的武器 http://t.co/qi8QDw5dFG")</f>
        <v>突發新聞：歐巴馬官員向穆斯林恐怖分子提供了德州攻擊中使用的武器 http://t.co/qi8QDw5dFG</v>
      </c>
      <c r="G184" s="4" t="str">
        <f>IFERROR(__xludf.DUMMYFUNCTION("GOOGLETRANSLATE(B184)"),"攻擊")</f>
        <v>攻擊</v>
      </c>
    </row>
    <row r="185" ht="15.75" customHeight="1">
      <c r="A185" s="4">
        <v>664.0</v>
      </c>
      <c r="B185" s="4" t="s">
        <v>294</v>
      </c>
      <c r="D185" s="4" t="s">
        <v>312</v>
      </c>
      <c r="E185" s="4">
        <v>1.0</v>
      </c>
      <c r="F185" s="4" t="str">
        <f>IFERROR(__xludf.DUMMYFUNCTION("GOOGLETRANSLATE(D185)"),"德里政府將為私人醫院的酸襲擊受害者提供免費治療http://t.co/H6PM1W7elL")</f>
        <v>德里政府將為私人醫院的酸襲擊受害者提供免費治療http://t.co/H6PM1W7elL</v>
      </c>
      <c r="G185" s="4" t="str">
        <f>IFERROR(__xludf.DUMMYFUNCTION("GOOGLETRANSLATE(B185)"),"攻擊")</f>
        <v>攻擊</v>
      </c>
    </row>
    <row r="186" ht="15.75" customHeight="1">
      <c r="A186" s="4">
        <v>665.0</v>
      </c>
      <c r="B186" s="4" t="s">
        <v>294</v>
      </c>
      <c r="C186" s="4" t="s">
        <v>313</v>
      </c>
      <c r="D186" s="4" t="s">
        <v>314</v>
      </c>
      <c r="E186" s="4">
        <v>1.0</v>
      </c>
      <c r="F186" s="4" t="str">
        <f>IFERROR(__xludf.DUMMYFUNCTION("GOOGLETRANSLATE(D186)"),"來自 @darkreading http://t.co/8eIJDXApnp 的新帖子 新的 SMB 中繼攻擊透過網路竊取用戶憑證")</f>
        <v>來自 @darkreading http://t.co/8eIJDXApnp 的新帖子 新的 SMB 中繼攻擊透過網路竊取用戶憑證</v>
      </c>
      <c r="G186" s="4" t="str">
        <f>IFERROR(__xludf.DUMMYFUNCTION("GOOGLETRANSLATE(B186)"),"攻擊")</f>
        <v>攻擊</v>
      </c>
    </row>
    <row r="187" ht="15.75" customHeight="1">
      <c r="A187" s="4">
        <v>667.0</v>
      </c>
      <c r="B187" s="4" t="s">
        <v>294</v>
      </c>
      <c r="C187" s="4" t="s">
        <v>315</v>
      </c>
      <c r="D187" s="4" t="s">
        <v>316</v>
      </c>
      <c r="E187" s="4">
        <v>1.0</v>
      </c>
      <c r="F187" s="4" t="str">
        <f>IFERROR(__xludf.DUMMYFUNCTION("GOOGLETRANSLATE(D187)"),"以色列軍隊突襲涉嫌汽車攻擊嫌疑人的家 http://t.co/3GVUS8NPpy #palestine")</f>
        <v>以色列軍隊突襲涉嫌汽車攻擊嫌疑人的家 http://t.co/3GVUS8NPpy #palestine</v>
      </c>
      <c r="G187" s="4" t="str">
        <f>IFERROR(__xludf.DUMMYFUNCTION("GOOGLETRANSLATE(B187)"),"攻擊")</f>
        <v>攻擊</v>
      </c>
    </row>
    <row r="188" ht="15.75" customHeight="1">
      <c r="A188" s="4">
        <v>674.0</v>
      </c>
      <c r="B188" s="4" t="s">
        <v>294</v>
      </c>
      <c r="D188" s="4" t="s">
        <v>317</v>
      </c>
      <c r="E188" s="4">
        <v>1.0</v>
      </c>
      <c r="F188" s="4" t="str">
        <f>IFERROR(__xludf.DUMMYFUNCTION("GOOGLETRANSLATE(D188)"),"#volleyball Attack II 排球訓練機 - 套裝模擬 - http://t.co/dCDeCFv934 http://t.co/dWBC1dUvdk")</f>
        <v>#volleyball Attack II 排球訓練機 - 套裝模擬 - http://t.co/dCDeCFv934 http://t.co/dWBC1dUvdk</v>
      </c>
      <c r="G188" s="4" t="str">
        <f>IFERROR(__xludf.DUMMYFUNCTION("GOOGLETRANSLATE(B188)"),"攻擊")</f>
        <v>攻擊</v>
      </c>
    </row>
    <row r="189" ht="15.75" customHeight="1">
      <c r="A189" s="4">
        <v>675.0</v>
      </c>
      <c r="B189" s="4" t="s">
        <v>294</v>
      </c>
      <c r="C189" s="4" t="s">
        <v>318</v>
      </c>
      <c r="D189" s="4" t="s">
        <v>319</v>
      </c>
      <c r="E189" s="4">
        <v>1.0</v>
      </c>
      <c r="F189" s="4" t="str">
        <f>IFERROR(__xludf.DUMMYFUNCTION("GOOGLETRANSLATE(D189)"),"諾特利對哈珀對艾伯塔省政府的攻擊做出了機智而又非常直接的回應。地獄是啊總理！ http://t.co/rzSUlzMOkX #ableg #cdnpoli")</f>
        <v>諾特利對哈珀對艾伯塔省政府的攻擊做出了機智而又非常直接的回應。地獄是啊總理！ http://t.co/rzSUlzMOkX #ableg #cdnpoli</v>
      </c>
      <c r="G189" s="4" t="str">
        <f>IFERROR(__xludf.DUMMYFUNCTION("GOOGLETRANSLATE(B189)"),"攻擊")</f>
        <v>攻擊</v>
      </c>
    </row>
    <row r="190" ht="15.75" customHeight="1">
      <c r="A190" s="4">
        <v>677.0</v>
      </c>
      <c r="B190" s="4" t="s">
        <v>294</v>
      </c>
      <c r="D190" s="4" t="s">
        <v>320</v>
      </c>
      <c r="E190" s="4">
        <v>1.0</v>
      </c>
      <c r="F190" s="4" t="str">
        <f>IFERROR(__xludf.DUMMYFUNCTION("GOOGLETRANSLATE(D190)"),"警方：美國最新電影院攻擊事件中的攻擊者無家可歸，有心理問題 http://t.co/zdCvlYq6qK")</f>
        <v>警方：美國最新電影院攻擊事件中的攻擊者無家可歸，有心理問題 http://t.co/zdCvlYq6qK</v>
      </c>
      <c r="G190" s="4" t="str">
        <f>IFERROR(__xludf.DUMMYFUNCTION("GOOGLETRANSLATE(B190)"),"攻擊")</f>
        <v>攻擊</v>
      </c>
    </row>
    <row r="191" ht="15.75" customHeight="1">
      <c r="A191" s="4">
        <v>680.0</v>
      </c>
      <c r="B191" s="4" t="s">
        <v>294</v>
      </c>
      <c r="C191" s="4" t="s">
        <v>321</v>
      </c>
      <c r="D191" s="4" t="s">
        <v>322</v>
      </c>
      <c r="E191" s="4">
        <v>1.0</v>
      </c>
      <c r="F191" s="4" t="str">
        <f>IFERROR(__xludf.DUMMYFUNCTION("GOOGLETRANSLATE(D191)"),"美國最新劇院攻擊事件的嫌疑犯有心理問題 http://t.co/OnPnBx0ZEx http://t.co/uM5IcN5Et2")</f>
        <v>美國最新劇院攻擊事件的嫌疑犯有心理問題 http://t.co/OnPnBx0ZEx http://t.co/uM5IcN5Et2</v>
      </c>
      <c r="G191" s="4" t="str">
        <f>IFERROR(__xludf.DUMMYFUNCTION("GOOGLETRANSLATE(B191)"),"攻擊")</f>
        <v>攻擊</v>
      </c>
    </row>
    <row r="192" ht="15.75" customHeight="1">
      <c r="A192" s="4">
        <v>681.0</v>
      </c>
      <c r="B192" s="4" t="s">
        <v>294</v>
      </c>
      <c r="C192" s="4" t="s">
        <v>323</v>
      </c>
      <c r="D192" s="4" t="s">
        <v>324</v>
      </c>
      <c r="E192" s="4">
        <v>1.0</v>
      </c>
      <c r="F192" s="4" t="str">
        <f>IFERROR(__xludf.DUMMYFUNCTION("GOOGLETRANSLATE(D192)"),"印度不應該提供任何證據2 pak。他們將與恐怖分子和恐怖分子分享。用於下次攻擊。與其他國家分享 https://t.co/qioPbTIUVu")</f>
        <v>印度不應該提供任何證據2 pak。他們將與恐怖分子和恐怖分子分享。用於下次攻擊。與其他國家分享 https://t.co/qioPbTIUVu</v>
      </c>
      <c r="G192" s="4" t="str">
        <f>IFERROR(__xludf.DUMMYFUNCTION("GOOGLETRANSLATE(B192)"),"攻擊")</f>
        <v>攻擊</v>
      </c>
    </row>
    <row r="193" ht="15.75" customHeight="1">
      <c r="A193" s="4">
        <v>682.0</v>
      </c>
      <c r="B193" s="4" t="s">
        <v>294</v>
      </c>
      <c r="C193" s="4" t="s">
        <v>325</v>
      </c>
      <c r="D193" s="4" t="s">
        <v>326</v>
      </c>
      <c r="E193" s="4">
        <v>1.0</v>
      </c>
      <c r="F193" s="4" t="str">
        <f>IFERROR(__xludf.DUMMYFUNCTION("GOOGLETRANSLATE(D193)"),"歐巴馬/國土安全部釋放非法移民 4 次被指控強姦和強姦加州聖瑪麗亞女子謀殺案有前科 http://t.co/MqP4hF9GpO")</f>
        <v>歐巴馬/國土安全部釋放非法移民 4 次被指控強姦和強姦加州聖瑪麗亞女子謀殺案有前科 http://t.co/MqP4hF9GpO</v>
      </c>
      <c r="G193" s="4" t="str">
        <f>IFERROR(__xludf.DUMMYFUNCTION("GOOGLETRANSLATE(B193)"),"攻擊")</f>
        <v>攻擊</v>
      </c>
    </row>
    <row r="194" ht="15.75" customHeight="1">
      <c r="A194" s="4">
        <v>683.0</v>
      </c>
      <c r="B194" s="4" t="s">
        <v>294</v>
      </c>
      <c r="C194" s="4" t="s">
        <v>327</v>
      </c>
      <c r="D194" s="4" t="s">
        <v>328</v>
      </c>
      <c r="E194" s="4">
        <v>1.0</v>
      </c>
      <c r="F194" s="4" t="str">
        <f>IFERROR(__xludf.DUMMYFUNCTION("GOOGLETRANSLATE(D194)"),"強烈譴責卡拉奇 ARY 新聞組遇襲事件。對於那些只是想做好自己工作的人來說，這是一種懦弱的行為！")</f>
        <v>強烈譴責卡拉奇 ARY 新聞組遇襲事件。對於那些只是想做好自己工作的人來說，這是一種懦弱的行為！</v>
      </c>
      <c r="G194" s="4" t="str">
        <f>IFERROR(__xludf.DUMMYFUNCTION("GOOGLETRANSLATE(B194)"),"攻擊")</f>
        <v>攻擊</v>
      </c>
    </row>
    <row r="195" ht="15.75" customHeight="1">
      <c r="A195" s="4">
        <v>684.0</v>
      </c>
      <c r="B195" s="4" t="s">
        <v>294</v>
      </c>
      <c r="D195" s="4" t="s">
        <v>329</v>
      </c>
      <c r="E195" s="4">
        <v>1.0</v>
      </c>
      <c r="F195" s="4" t="str">
        <f>IFERROR(__xludf.DUMMYFUNCTION("GOOGLETRANSLATE(D195)"),"納許維爾劇院攻擊：搶槍者現在會要求控制斧頭嗎？http://t.co/OyoGII97yH")</f>
        <v>納許維爾劇院攻擊：搶槍者現在會要求控制斧頭嗎？http://t.co/OyoGII97yH</v>
      </c>
      <c r="G195" s="4" t="str">
        <f>IFERROR(__xludf.DUMMYFUNCTION("GOOGLETRANSLATE(B195)"),"攻擊")</f>
        <v>攻擊</v>
      </c>
    </row>
    <row r="196" ht="15.75" customHeight="1">
      <c r="A196" s="4">
        <v>685.0</v>
      </c>
      <c r="B196" s="4" t="s">
        <v>294</v>
      </c>
      <c r="C196" s="4" t="s">
        <v>330</v>
      </c>
      <c r="D196" s="4" t="s">
        <v>331</v>
      </c>
      <c r="E196" s="4">
        <v>1.0</v>
      </c>
      <c r="F196" s="4" t="str">
        <f>IFERROR(__xludf.DUMMYFUNCTION("GOOGLETRANSLATE(D196)"),"原子彈被稱為“小男孩”和“胖子”，這一事實充分說明了攻擊的心態。")</f>
        <v>原子彈被稱為“小男孩”和“胖子”，這一事實充分說明了攻擊的心態。</v>
      </c>
      <c r="G196" s="4" t="str">
        <f>IFERROR(__xludf.DUMMYFUNCTION("GOOGLETRANSLATE(B196)"),"攻擊")</f>
        <v>攻擊</v>
      </c>
    </row>
    <row r="197" ht="15.75" customHeight="1">
      <c r="A197" s="4">
        <v>688.0</v>
      </c>
      <c r="B197" s="4" t="s">
        <v>294</v>
      </c>
      <c r="C197" s="4" t="s">
        <v>332</v>
      </c>
      <c r="D197" s="4" t="s">
        <v>333</v>
      </c>
      <c r="E197" s="4">
        <v>1.0</v>
      </c>
      <c r="F197" s="4" t="str">
        <f>IFERROR(__xludf.DUMMYFUNCTION("GOOGLETRANSLATE(D197)"),"代頓地區的一個組織告訴我它遭到了網路攻擊：http://t.co/7LhKJz0IVO")</f>
        <v>代頓地區的一個組織告訴我它遭到了網路攻擊：http://t.co/7LhKJz0IVO</v>
      </c>
      <c r="G197" s="4" t="str">
        <f>IFERROR(__xludf.DUMMYFUNCTION("GOOGLETRANSLATE(B197)"),"攻擊")</f>
        <v>攻擊</v>
      </c>
    </row>
    <row r="198" ht="15.75" customHeight="1">
      <c r="A198" s="4">
        <v>690.0</v>
      </c>
      <c r="B198" s="4" t="s">
        <v>294</v>
      </c>
      <c r="C198" s="4" t="s">
        <v>334</v>
      </c>
      <c r="D198" s="4" t="s">
        <v>335</v>
      </c>
      <c r="E198" s="4">
        <v>1.0</v>
      </c>
      <c r="F198" s="4" t="str">
        <f>IFERROR(__xludf.DUMMYFUNCTION("GOOGLETRANSLATE(D198)"),"[infowars] 納許維爾劇院攻擊：搶槍者現在會要求「斧頭控制」嗎？Û http://t.co/n3yJb8TcPm #nwo")</f>
        <v>[infowars] 納許維爾劇院攻擊：搶槍者現在會要求「斧頭控制」嗎？Û http://t.co/n3yJb8TcPm #nwo</v>
      </c>
      <c r="G198" s="4" t="str">
        <f>IFERROR(__xludf.DUMMYFUNCTION("GOOGLETRANSLATE(B198)"),"攻擊")</f>
        <v>攻擊</v>
      </c>
    </row>
    <row r="199" ht="15.75" customHeight="1">
      <c r="A199" s="4">
        <v>699.0</v>
      </c>
      <c r="B199" s="4" t="s">
        <v>336</v>
      </c>
      <c r="C199" s="4" t="s">
        <v>337</v>
      </c>
      <c r="D199" s="4" t="s">
        <v>338</v>
      </c>
      <c r="E199" s="4">
        <v>1.0</v>
      </c>
      <c r="F199" s="4" t="str">
        <f>IFERROR(__xludf.DUMMYFUNCTION("GOOGLETRANSLATE(D199)"),"武裝分子襲擊烏德漢普爾警察哨所，警察在槍戰中受傷：疑似武裝分子襲擊了警察哨所... http://t.co/2h0dPMv2Ef")</f>
        <v>武裝分子襲擊烏德漢普爾警察哨所，警察在槍戰中受傷：疑似武裝分子襲擊了警察哨所... http://t.co/2h0dPMv2Ef</v>
      </c>
      <c r="G199" s="4" t="str">
        <f>IFERROR(__xludf.DUMMYFUNCTION("GOOGLETRANSLATE(B199)"),"受到攻擊")</f>
        <v>受到攻擊</v>
      </c>
    </row>
    <row r="200" ht="15.75" customHeight="1">
      <c r="A200" s="4">
        <v>709.0</v>
      </c>
      <c r="B200" s="4" t="s">
        <v>336</v>
      </c>
      <c r="C200" s="4" t="s">
        <v>339</v>
      </c>
      <c r="D200" s="4" t="s">
        <v>340</v>
      </c>
      <c r="E200" s="4">
        <v>1.0</v>
      </c>
      <c r="F200" s="4" t="str">
        <f>IFERROR(__xludf.DUMMYFUNCTION("GOOGLETRANSLATE(D200)"),"攻擊加薩平民的以色列直升機剛在希臘完成演習。")</f>
        <v>攻擊加薩平民的以色列直升機剛在希臘完成演習。</v>
      </c>
      <c r="G200" s="4" t="str">
        <f>IFERROR(__xludf.DUMMYFUNCTION("GOOGLETRANSLATE(B200)"),"受到攻擊")</f>
        <v>受到攻擊</v>
      </c>
    </row>
    <row r="201" ht="15.75" customHeight="1">
      <c r="A201" s="4">
        <v>710.0</v>
      </c>
      <c r="B201" s="4" t="s">
        <v>336</v>
      </c>
      <c r="C201" s="4" t="s">
        <v>341</v>
      </c>
      <c r="D201" s="4" t="s">
        <v>342</v>
      </c>
      <c r="E201" s="4">
        <v>1.0</v>
      </c>
      <c r="F201" s="4" t="str">
        <f>IFERROR(__xludf.DUMMYFUNCTION("GOOGLETRANSLATE(D201)"),"帕梅拉·蓋勒 (Pamela Geller) 揮舞以色列國旗後，基督徒在聖殿山遭到穆斯林襲擊 - ... http://t.co/5qYcZyWKgG")</f>
        <v>帕梅拉·蓋勒 (Pamela Geller) 揮舞以色列國旗後，基督徒在聖殿山遭到穆斯林襲擊 - ... http://t.co/5qYcZyWKgG</v>
      </c>
      <c r="G201" s="4" t="str">
        <f>IFERROR(__xludf.DUMMYFUNCTION("GOOGLETRANSLATE(B201)"),"受到攻擊")</f>
        <v>受到攻擊</v>
      </c>
    </row>
    <row r="202" ht="15.75" customHeight="1">
      <c r="A202" s="4">
        <v>712.0</v>
      </c>
      <c r="B202" s="4" t="s">
        <v>336</v>
      </c>
      <c r="D202" s="4" t="s">
        <v>343</v>
      </c>
      <c r="E202" s="4">
        <v>1.0</v>
      </c>
      <c r="F202" s="4" t="str">
        <f>IFERROR(__xludf.DUMMYFUNCTION("GOOGLETRANSLATE(D202)"),"帕梅拉·蓋勒 (Pamela Geller) 揮舞以色列國旗後，基督徒在聖殿山遭到穆斯林襲擊 - ... http://t.co/U0kEOe5fMt")</f>
        <v>帕梅拉·蓋勒 (Pamela Geller) 揮舞以色列國旗後，基督徒在聖殿山遭到穆斯林襲擊 - ... http://t.co/U0kEOe5fMt</v>
      </c>
      <c r="G202" s="4" t="str">
        <f>IFERROR(__xludf.DUMMYFUNCTION("GOOGLETRANSLATE(B202)"),"受到攻擊")</f>
        <v>受到攻擊</v>
      </c>
    </row>
    <row r="203" ht="15.75" customHeight="1">
      <c r="A203" s="4">
        <v>713.0</v>
      </c>
      <c r="B203" s="4" t="s">
        <v>336</v>
      </c>
      <c r="D203" s="4" t="s">
        <v>344</v>
      </c>
      <c r="E203" s="4">
        <v>1.0</v>
      </c>
      <c r="F203" s="4" t="str">
        <f>IFERROR(__xludf.DUMMYFUNCTION("GOOGLETRANSLATE(D203)"),"帕梅拉·蓋勒 (Pamela Geller) 揮舞以色列國旗後，基督徒在聖殿山遭到穆斯林襲擊 - ... http://t.co/f5MiuhqaBy")</f>
        <v>帕梅拉·蓋勒 (Pamela Geller) 揮舞以色列國旗後，基督徒在聖殿山遭到穆斯林襲擊 - ... http://t.co/f5MiuhqaBy</v>
      </c>
      <c r="G203" s="4" t="str">
        <f>IFERROR(__xludf.DUMMYFUNCTION("GOOGLETRANSLATE(B203)"),"受到攻擊")</f>
        <v>受到攻擊</v>
      </c>
    </row>
    <row r="204" ht="15.75" customHeight="1">
      <c r="A204" s="4">
        <v>714.0</v>
      </c>
      <c r="B204" s="4" t="s">
        <v>336</v>
      </c>
      <c r="D204" s="4" t="s">
        <v>345</v>
      </c>
      <c r="E204" s="4">
        <v>1.0</v>
      </c>
      <c r="F204" s="4" t="str">
        <f>IFERROR(__xludf.DUMMYFUNCTION("GOOGLETRANSLATE(D204)"),"#PT：被伊斯蘭國攻擊的部隊負責針對穆斯林學者並監禁青少年。 http://t.co/f4LhfmEhzh")</f>
        <v>#PT：被伊斯蘭國攻擊的部隊負責針對穆斯林學者並監禁青少年。 http://t.co/f4LhfmEhzh</v>
      </c>
      <c r="G204" s="4" t="str">
        <f>IFERROR(__xludf.DUMMYFUNCTION("GOOGLETRANSLATE(B204)"),"受到攻擊")</f>
        <v>受到攻擊</v>
      </c>
    </row>
    <row r="205" ht="15.75" customHeight="1">
      <c r="A205" s="4">
        <v>716.0</v>
      </c>
      <c r="B205" s="4" t="s">
        <v>336</v>
      </c>
      <c r="D205" s="4" t="s">
        <v>346</v>
      </c>
      <c r="E205" s="4">
        <v>1.0</v>
      </c>
      <c r="F205" s="4" t="str">
        <f>IFERROR(__xludf.DUMMYFUNCTION("GOOGLETRANSLATE(D205)"),"Telnet 從 124.13.172.40 (STREAMYX-HOME-SOUTHERN MY) 受到攻擊")</f>
        <v>Telnet 從 124.13.172.40 (STREAMYX-HOME-SOUTHERN MY) 受到攻擊</v>
      </c>
      <c r="G205" s="4" t="str">
        <f>IFERROR(__xludf.DUMMYFUNCTION("GOOGLETRANSLATE(B205)"),"受到攻擊")</f>
        <v>受到攻擊</v>
      </c>
    </row>
    <row r="206" ht="15.75" customHeight="1">
      <c r="A206" s="4">
        <v>717.0</v>
      </c>
      <c r="B206" s="4" t="s">
        <v>336</v>
      </c>
      <c r="C206" s="4" t="s">
        <v>183</v>
      </c>
      <c r="D206" s="4" t="s">
        <v>347</v>
      </c>
      <c r="E206" s="4">
        <v>1.0</v>
      </c>
      <c r="F206" s="4" t="str">
        <f>IFERROR(__xludf.DUMMYFUNCTION("GOOGLETRANSLATE(D206)"),"帕梅拉·蓋勒 (Pamela Geller) 揮舞以色列國旗後，基督徒在聖殿山遭到穆斯林襲擊 - ... http://t.co/wGWiQmICL1")</f>
        <v>帕梅拉·蓋勒 (Pamela Geller) 揮舞以色列國旗後，基督徒在聖殿山遭到穆斯林襲擊 - ... http://t.co/wGWiQmICL1</v>
      </c>
      <c r="G206" s="4" t="str">
        <f>IFERROR(__xludf.DUMMYFUNCTION("GOOGLETRANSLATE(B206)"),"受到攻擊")</f>
        <v>受到攻擊</v>
      </c>
    </row>
    <row r="207" ht="15.75" customHeight="1">
      <c r="A207" s="4">
        <v>724.0</v>
      </c>
      <c r="B207" s="4" t="s">
        <v>336</v>
      </c>
      <c r="D207" s="4" t="s">
        <v>348</v>
      </c>
      <c r="E207" s="4">
        <v>1.0</v>
      </c>
      <c r="F207" s="4" t="str">
        <f>IFERROR(__xludf.DUMMYFUNCTION("GOOGLETRANSLATE(D207)"),"帕梅拉·蓋勒 (Pamela Geller) 揮舞以色列國旗後，基督徒在聖殿山遭到穆斯林襲擊 - ... http://t.co/NhxSe3RTHX")</f>
        <v>帕梅拉·蓋勒 (Pamela Geller) 揮舞以色列國旗後，基督徒在聖殿山遭到穆斯林襲擊 - ... http://t.co/NhxSe3RTHX</v>
      </c>
      <c r="G207" s="4" t="str">
        <f>IFERROR(__xludf.DUMMYFUNCTION("GOOGLETRANSLATE(B207)"),"受到攻擊")</f>
        <v>受到攻擊</v>
      </c>
    </row>
    <row r="208" ht="15.75" customHeight="1">
      <c r="A208" s="4">
        <v>725.0</v>
      </c>
      <c r="B208" s="4" t="s">
        <v>336</v>
      </c>
      <c r="C208" s="4" t="s">
        <v>349</v>
      </c>
      <c r="D208" s="4" t="s">
        <v>350</v>
      </c>
      <c r="E208" s="4">
        <v>1.0</v>
      </c>
      <c r="F208" s="4" t="str">
        <f>IFERROR(__xludf.DUMMYFUNCTION("GOOGLETRANSLATE(D208)"),"帕梅拉·蓋勒 (Pamela Geller) 揮舞以色列國旗後，基督徒在聖殿山遭到穆斯林襲擊 - ... http://t.co/LHBZHWq4B9")</f>
        <v>帕梅拉·蓋勒 (Pamela Geller) 揮舞以色列國旗後，基督徒在聖殿山遭到穆斯林襲擊 - ... http://t.co/LHBZHWq4B9</v>
      </c>
      <c r="G208" s="4" t="str">
        <f>IFERROR(__xludf.DUMMYFUNCTION("GOOGLETRANSLATE(B208)"),"受到攻擊")</f>
        <v>受到攻擊</v>
      </c>
    </row>
    <row r="209" ht="15.75" customHeight="1">
      <c r="A209" s="4">
        <v>727.0</v>
      </c>
      <c r="B209" s="4" t="s">
        <v>336</v>
      </c>
      <c r="C209" s="4" t="s">
        <v>351</v>
      </c>
      <c r="D209" s="4" t="s">
        <v>352</v>
      </c>
      <c r="E209" s="4">
        <v>1.0</v>
      </c>
      <c r="F209" s="4" t="str">
        <f>IFERROR(__xludf.DUMMYFUNCTION("GOOGLETRANSLATE(D209)"),"凱利奧斯本因唐納德川普在 The View 上發表關於拉丁裔的種族主義言論而受到攻擊 http://t.co/7nAgdSAdWP")</f>
        <v>凱利奧斯本因唐納德川普在 The View 上發表關於拉丁裔的種族主義言論而受到攻擊 http://t.co/7nAgdSAdWP</v>
      </c>
      <c r="G209" s="4" t="str">
        <f>IFERROR(__xludf.DUMMYFUNCTION("GOOGLETRANSLATE(B209)"),"受到攻擊")</f>
        <v>受到攻擊</v>
      </c>
    </row>
    <row r="210" ht="15.75" customHeight="1">
      <c r="A210" s="4">
        <v>729.0</v>
      </c>
      <c r="B210" s="4" t="s">
        <v>336</v>
      </c>
      <c r="C210" s="4" t="s">
        <v>353</v>
      </c>
      <c r="D210" s="4" t="s">
        <v>354</v>
      </c>
      <c r="E210" s="4">
        <v>1.0</v>
      </c>
      <c r="F210" s="4" t="str">
        <f>IFERROR(__xludf.DUMMYFUNCTION("GOOGLETRANSLATE(D210)"),"帕梅拉·蓋勒 (Pamela Geller) 揮舞以色列國旗後，基督徒在聖殿山遭到穆斯林襲擊 - ... http://t.co/mXZ7yX8ld1")</f>
        <v>帕梅拉·蓋勒 (Pamela Geller) 揮舞以色列國旗後，基督徒在聖殿山遭到穆斯林襲擊 - ... http://t.co/mXZ7yX8ld1</v>
      </c>
      <c r="G210" s="4" t="str">
        <f>IFERROR(__xludf.DUMMYFUNCTION("GOOGLETRANSLATE(B210)"),"受到攻擊")</f>
        <v>受到攻擊</v>
      </c>
    </row>
    <row r="211" ht="15.75" customHeight="1">
      <c r="A211" s="4">
        <v>730.0</v>
      </c>
      <c r="B211" s="4" t="s">
        <v>336</v>
      </c>
      <c r="C211" s="4" t="s">
        <v>355</v>
      </c>
      <c r="D211" s="4" t="s">
        <v>356</v>
      </c>
      <c r="E211" s="4">
        <v>1.0</v>
      </c>
      <c r="F211" s="4" t="str">
        <f>IFERROR(__xludf.DUMMYFUNCTION("GOOGLETRANSLATE(D211)"),"帕梅拉·蓋勒 (Pamela Geller) 揮舞以色列國旗後，基督徒在聖殿山遭到穆斯林襲擊 - ... http://t.co/e4YDbM4Dx6")</f>
        <v>帕梅拉·蓋勒 (Pamela Geller) 揮舞以色列國旗後，基督徒在聖殿山遭到穆斯林襲擊 - ... http://t.co/e4YDbM4Dx6</v>
      </c>
      <c r="G211" s="4" t="str">
        <f>IFERROR(__xludf.DUMMYFUNCTION("GOOGLETRANSLATE(B211)"),"受到攻擊")</f>
        <v>受到攻擊</v>
      </c>
    </row>
    <row r="212" ht="15.75" customHeight="1">
      <c r="A212" s="4">
        <v>731.0</v>
      </c>
      <c r="B212" s="4" t="s">
        <v>336</v>
      </c>
      <c r="C212" s="4" t="s">
        <v>357</v>
      </c>
      <c r="D212" s="4" t="s">
        <v>358</v>
      </c>
      <c r="E212" s="4">
        <v>1.0</v>
      </c>
      <c r="F212" s="4" t="str">
        <f>IFERROR(__xludf.DUMMYFUNCTION("GOOGLETRANSLATE(D212)"),"帕梅拉·蓋勒 (Pamela Geller) 揮舞以色列國旗後，基督徒在聖殿山遭到穆斯林襲擊 - ... http://t.co/T1aa5Ov7Eg")</f>
        <v>帕梅拉·蓋勒 (Pamela Geller) 揮舞以色列國旗後，基督徒在聖殿山遭到穆斯林襲擊 - ... http://t.co/T1aa5Ov7Eg</v>
      </c>
      <c r="G212" s="4" t="str">
        <f>IFERROR(__xludf.DUMMYFUNCTION("GOOGLETRANSLATE(B212)"),"受到攻擊")</f>
        <v>受到攻擊</v>
      </c>
    </row>
    <row r="213" ht="15.75" customHeight="1">
      <c r="A213" s="4">
        <v>734.0</v>
      </c>
      <c r="B213" s="4" t="s">
        <v>336</v>
      </c>
      <c r="C213" s="4" t="s">
        <v>359</v>
      </c>
      <c r="D213" s="4" t="s">
        <v>360</v>
      </c>
      <c r="E213" s="4">
        <v>1.0</v>
      </c>
      <c r="F213" s="4" t="str">
        <f>IFERROR(__xludf.DUMMYFUNCTION("GOOGLETRANSLATE(D213)"),"帕梅拉·蓋勒 (Pamela Geller) 揮舞以色列國旗後，基督徒在聖殿山遭到穆斯林襲擊 - ... http://t.co/EMDJNNltP0")</f>
        <v>帕梅拉·蓋勒 (Pamela Geller) 揮舞以色列國旗後，基督徒在聖殿山遭到穆斯林襲擊 - ... http://t.co/EMDJNNltP0</v>
      </c>
      <c r="G213" s="4" t="str">
        <f>IFERROR(__xludf.DUMMYFUNCTION("GOOGLETRANSLATE(B213)"),"受到攻擊")</f>
        <v>受到攻擊</v>
      </c>
    </row>
    <row r="214" ht="15.75" customHeight="1">
      <c r="A214" s="4">
        <v>736.0</v>
      </c>
      <c r="B214" s="4" t="s">
        <v>336</v>
      </c>
      <c r="C214" s="4" t="s">
        <v>38</v>
      </c>
      <c r="D214" s="4" t="s">
        <v>361</v>
      </c>
      <c r="E214" s="4">
        <v>1.0</v>
      </c>
      <c r="F214" s="4" t="str">
        <f>IFERROR(__xludf.DUMMYFUNCTION("GOOGLETRANSLATE(D214)"),"帕梅拉·蓋勒 (Pamela Geller) 揮舞以色列國旗後，基督徒在聖殿山遭到穆斯林襲擊 - ... http://t.co/a6wmbnR51S")</f>
        <v>帕梅拉·蓋勒 (Pamela Geller) 揮舞以色列國旗後，基督徒在聖殿山遭到穆斯林襲擊 - ... http://t.co/a6wmbnR51S</v>
      </c>
      <c r="G214" s="4" t="str">
        <f>IFERROR(__xludf.DUMMYFUNCTION("GOOGLETRANSLATE(B214)"),"受到攻擊")</f>
        <v>受到攻擊</v>
      </c>
    </row>
    <row r="215" ht="15.75" customHeight="1">
      <c r="A215" s="4">
        <v>737.0</v>
      </c>
      <c r="B215" s="4" t="s">
        <v>336</v>
      </c>
      <c r="C215" s="4" t="s">
        <v>362</v>
      </c>
      <c r="D215" s="4" t="s">
        <v>363</v>
      </c>
      <c r="E215" s="4">
        <v>1.0</v>
      </c>
      <c r="F215" s="4" t="str">
        <f>IFERROR(__xludf.DUMMYFUNCTION("GOOGLETRANSLATE(D215)"),"帕梅拉·蓋勒 (Pamela Geller) 揮舞以色列國旗後，基督徒在聖殿山遭到穆斯林襲擊 - ... http://t.co/ETg0prBP4G")</f>
        <v>帕梅拉·蓋勒 (Pamela Geller) 揮舞以色列國旗後，基督徒在聖殿山遭到穆斯林襲擊 - ... http://t.co/ETg0prBP4G</v>
      </c>
      <c r="G215" s="4" t="str">
        <f>IFERROR(__xludf.DUMMYFUNCTION("GOOGLETRANSLATE(B215)"),"受到攻擊")</f>
        <v>受到攻擊</v>
      </c>
    </row>
    <row r="216" ht="15.75" customHeight="1">
      <c r="A216" s="4">
        <v>738.0</v>
      </c>
      <c r="B216" s="4" t="s">
        <v>336</v>
      </c>
      <c r="C216" s="4" t="s">
        <v>364</v>
      </c>
      <c r="D216" s="4" t="s">
        <v>365</v>
      </c>
      <c r="E216" s="4">
        <v>1.0</v>
      </c>
      <c r="F216" s="4" t="str">
        <f>IFERROR(__xludf.DUMMYFUNCTION("GOOGLETRANSLATE(D216)"),"帕梅拉·蓋勒 (Pamela Geller) 揮舞以色列國旗後，基督徒在聖殿山遭到穆斯林襲擊 - ... http://t.co/yUBKHf9iyh")</f>
        <v>帕梅拉·蓋勒 (Pamela Geller) 揮舞以色列國旗後，基督徒在聖殿山遭到穆斯林襲擊 - ... http://t.co/yUBKHf9iyh</v>
      </c>
      <c r="G216" s="4" t="str">
        <f>IFERROR(__xludf.DUMMYFUNCTION("GOOGLETRANSLATE(B216)"),"受到攻擊")</f>
        <v>受到攻擊</v>
      </c>
    </row>
    <row r="217" ht="15.75" customHeight="1">
      <c r="A217" s="4">
        <v>739.0</v>
      </c>
      <c r="B217" s="4" t="s">
        <v>336</v>
      </c>
      <c r="C217" s="4" t="s">
        <v>366</v>
      </c>
      <c r="D217" s="4" t="s">
        <v>367</v>
      </c>
      <c r="E217" s="4">
        <v>1.0</v>
      </c>
      <c r="F217" s="4" t="str">
        <f>IFERROR(__xludf.DUMMYFUNCTION("GOOGLETRANSLATE(D217)"),"我看到電視節目說，美國飛機飛到福島鈾礦，學生軍挖掘鈾礦時遭到機關槍攻擊。")</f>
        <v>我看到電視節目說，美國飛機飛到福島鈾礦，學生軍挖掘鈾礦時遭到機關槍攻擊。</v>
      </c>
      <c r="G217" s="4" t="str">
        <f>IFERROR(__xludf.DUMMYFUNCTION("GOOGLETRANSLATE(B217)"),"受到攻擊")</f>
        <v>受到攻擊</v>
      </c>
    </row>
    <row r="218" ht="15.75" customHeight="1">
      <c r="A218" s="4">
        <v>740.0</v>
      </c>
      <c r="B218" s="4" t="s">
        <v>336</v>
      </c>
      <c r="C218" s="4" t="s">
        <v>368</v>
      </c>
      <c r="D218" s="4" t="s">
        <v>369</v>
      </c>
      <c r="E218" s="4">
        <v>1.0</v>
      </c>
      <c r="F218" s="4" t="str">
        <f>IFERROR(__xludf.DUMMYFUNCTION("GOOGLETRANSLATE(D218)"),"帕梅拉·蓋勒 (Pamela Geller) 揮舞以色列國旗後，基督徒在聖殿山遭到穆斯林襲擊 - ... http://t.co/e4wK8Uri8A")</f>
        <v>帕梅拉·蓋勒 (Pamela Geller) 揮舞以色列國旗後，基督徒在聖殿山遭到穆斯林襲擊 - ... http://t.co/e4wK8Uri8A</v>
      </c>
      <c r="G218" s="4" t="str">
        <f>IFERROR(__xludf.DUMMYFUNCTION("GOOGLETRANSLATE(B218)"),"受到攻擊")</f>
        <v>受到攻擊</v>
      </c>
    </row>
    <row r="219" ht="15.75" customHeight="1">
      <c r="A219" s="4">
        <v>745.0</v>
      </c>
      <c r="B219" s="4" t="s">
        <v>336</v>
      </c>
      <c r="C219" s="4" t="s">
        <v>370</v>
      </c>
      <c r="D219" s="4" t="s">
        <v>371</v>
      </c>
      <c r="E219" s="4">
        <v>1.0</v>
      </c>
      <c r="F219" s="4" t="str">
        <f>IFERROR(__xludf.DUMMYFUNCTION("GOOGLETRANSLATE(D219)"),"帕梅拉·蓋勒 (Pamela Geller) 揮舞以色列國旗後，基督徒在聖殿山遭到穆斯林襲擊 - ... http://t.co/1pDJoq4Jc1")</f>
        <v>帕梅拉·蓋勒 (Pamela Geller) 揮舞以色列國旗後，基督徒在聖殿山遭到穆斯林襲擊 - ... http://t.co/1pDJoq4Jc1</v>
      </c>
      <c r="G219" s="4" t="str">
        <f>IFERROR(__xludf.DUMMYFUNCTION("GOOGLETRANSLATE(B219)"),"受到攻擊")</f>
        <v>受到攻擊</v>
      </c>
    </row>
    <row r="220" ht="15.75" customHeight="1">
      <c r="A220" s="4">
        <v>775.0</v>
      </c>
      <c r="B220" s="4" t="s">
        <v>372</v>
      </c>
      <c r="D220" s="4" t="s">
        <v>373</v>
      </c>
      <c r="E220" s="4">
        <v>1.0</v>
      </c>
      <c r="F220" s="4" t="str">
        <f>IFERROR(__xludf.DUMMYFUNCTION("GOOGLETRANSLATE(D220)"),"擁有汽車一週後駕駛雪崩就像駕駛坦克")</f>
        <v>擁有汽車一週後駕駛雪崩就像駕駛坦克</v>
      </c>
      <c r="G220" s="4" t="str">
        <f>IFERROR(__xludf.DUMMYFUNCTION("GOOGLETRANSLATE(B220)"),"雪崩")</f>
        <v>雪崩</v>
      </c>
    </row>
    <row r="221" ht="15.75" customHeight="1">
      <c r="A221" s="4">
        <v>779.0</v>
      </c>
      <c r="B221" s="4" t="s">
        <v>372</v>
      </c>
      <c r="C221" s="4" t="s">
        <v>374</v>
      </c>
      <c r="D221" s="4" t="s">
        <v>375</v>
      </c>
      <c r="E221" s="4">
        <v>1.0</v>
      </c>
      <c r="F221" s="4" t="str">
        <f>IFERROR(__xludf.DUMMYFUNCTION("GOOGLETRANSLATE(D221)"),"Chiasson Sens 無法來處理 #ColoradoAvalanche #Avalanche http://t.co/2bk7laGMa9 http://t.co/bkDGCfsuiQ")</f>
        <v>Chiasson Sens 無法來處理 #ColoradoAvalanche #Avalanche http://t.co/2bk7laGMa9 http://t.co/bkDGCfsuiQ</v>
      </c>
      <c r="G221" s="4" t="str">
        <f>IFERROR(__xludf.DUMMYFUNCTION("GOOGLETRANSLATE(B221)"),"雪崩")</f>
        <v>雪崩</v>
      </c>
    </row>
    <row r="222" ht="15.75" customHeight="1">
      <c r="A222" s="4">
        <v>791.0</v>
      </c>
      <c r="B222" s="4" t="s">
        <v>372</v>
      </c>
      <c r="C222" s="4" t="s">
        <v>376</v>
      </c>
      <c r="D222" s="4" t="s">
        <v>377</v>
      </c>
      <c r="E222" s="4">
        <v>1.0</v>
      </c>
      <c r="F222" s="4" t="str">
        <f>IFERROR(__xludf.DUMMYFUNCTION("GOOGLETRANSLATE(D222)"),"雪崩城 - 日落 http://t.co/48h3tLvLXr #nowplay #listen #radio")</f>
        <v>雪崩城 - 日落 http://t.co/48h3tLvLXr #nowplay #listen #radio</v>
      </c>
      <c r="G222" s="4" t="str">
        <f>IFERROR(__xludf.DUMMYFUNCTION("GOOGLETRANSLATE(B222)"),"雪崩")</f>
        <v>雪崩</v>
      </c>
    </row>
    <row r="223" ht="15.75" customHeight="1">
      <c r="A223" s="4">
        <v>794.0</v>
      </c>
      <c r="B223" s="4" t="s">
        <v>372</v>
      </c>
      <c r="D223" s="4" t="s">
        <v>378</v>
      </c>
      <c r="E223" s="4">
        <v>1.0</v>
      </c>
      <c r="F223" s="4" t="str">
        <f>IFERROR(__xludf.DUMMYFUNCTION("GOOGLETRANSLATE(D223)"),"雪佛蘭：Avalanche LT 2011 lt 二手 5.3 l v 8 16 v 自動 4 輪驅動皮卡 Premium bÛ_ http://t.co/OBkY8Pc89H http://t.co/dXIRnTdSrd")</f>
        <v>雪佛蘭：Avalanche LT 2011 lt 二手 5.3 l v 8 16 v 自動 4 輪驅動皮卡 Premium bÛ_ http://t.co/OBkY8Pc89H http://t.co/dXIRnTdSrd</v>
      </c>
      <c r="G223" s="4" t="str">
        <f>IFERROR(__xludf.DUMMYFUNCTION("GOOGLETRANSLATE(B223)"),"雪崩")</f>
        <v>雪崩</v>
      </c>
    </row>
    <row r="224" ht="15.75" customHeight="1">
      <c r="A224" s="4">
        <v>796.0</v>
      </c>
      <c r="B224" s="4" t="s">
        <v>379</v>
      </c>
      <c r="C224" s="4" t="s">
        <v>291</v>
      </c>
      <c r="D224" s="4" t="s">
        <v>380</v>
      </c>
      <c r="E224" s="4">
        <v>1.0</v>
      </c>
      <c r="F224" s="4" t="str">
        <f>IFERROR(__xludf.DUMMYFUNCTION("GOOGLETRANSLATE(D224)"),"星際大戰絕地之力系列 1 戰鬥機器人孩之寶 - eBay 完整閱讀 http://t.co/xFguklrlTf http://t.co/FeGu8hWMc4")</f>
        <v>星際大戰絕地之力系列 1 戰鬥機器人孩之寶 - eBay 完整閱讀 http://t.co/xFguklrlTf http://t.co/FeGu8hWMc4</v>
      </c>
      <c r="G224" s="4" t="str">
        <f>IFERROR(__xludf.DUMMYFUNCTION("GOOGLETRANSLATE(B224)"),"戰鬥")</f>
        <v>戰鬥</v>
      </c>
    </row>
    <row r="225" ht="15.75" customHeight="1">
      <c r="A225" s="4">
        <v>797.0</v>
      </c>
      <c r="B225" s="4" t="s">
        <v>379</v>
      </c>
      <c r="D225" s="4" t="s">
        <v>381</v>
      </c>
      <c r="E225" s="4">
        <v>1.0</v>
      </c>
      <c r="F225" s="4" t="str">
        <f>IFERROR(__xludf.DUMMYFUNCTION("GOOGLETRANSLATE(D225)"),"內戰將軍公牛奔跑英雄上校第二封新罕布夏州信件簽名！ http://t.co/Ot0tFFpBYB http://t.co/zaRBwep9LD")</f>
        <v>內戰將軍公牛奔跑英雄上校第二封新罕布夏州信件簽名！ http://t.co/Ot0tFFpBYB http://t.co/zaRBwep9LD</v>
      </c>
      <c r="G225" s="4" t="str">
        <f>IFERROR(__xludf.DUMMYFUNCTION("GOOGLETRANSLATE(B225)"),"戰鬥")</f>
        <v>戰鬥</v>
      </c>
    </row>
    <row r="226" ht="15.75" customHeight="1">
      <c r="A226" s="4">
        <v>801.0</v>
      </c>
      <c r="B226" s="4" t="s">
        <v>379</v>
      </c>
      <c r="C226" s="4" t="s">
        <v>382</v>
      </c>
      <c r="D226" s="4" t="s">
        <v>383</v>
      </c>
      <c r="E226" s="4">
        <v>1.0</v>
      </c>
      <c r="F226" s="4" t="str">
        <f>IFERROR(__xludf.DUMMYFUNCTION("GOOGLETRANSLATE(D226)"),"的確！！我對那場戰鬥瞭如指掌！我支持你這場戰鬥！！ https://t.co/MctJnZX4H8")</f>
        <v>的確！！我對那場戰鬥瞭如指掌！我支持你這場戰鬥！！ https://t.co/MctJnZX4H8</v>
      </c>
      <c r="G226" s="4" t="str">
        <f>IFERROR(__xludf.DUMMYFUNCTION("GOOGLETRANSLATE(B226)"),"戰鬥")</f>
        <v>戰鬥</v>
      </c>
    </row>
    <row r="227" ht="15.75" customHeight="1">
      <c r="A227" s="4">
        <v>805.0</v>
      </c>
      <c r="B227" s="4" t="s">
        <v>379</v>
      </c>
      <c r="C227" s="4" t="s">
        <v>38</v>
      </c>
      <c r="D227" s="4" t="s">
        <v>384</v>
      </c>
      <c r="E227" s="4">
        <v>1.0</v>
      </c>
      <c r="F227" s="4" t="str">
        <f>IFERROR(__xludf.DUMMYFUNCTION("GOOGLETRANSLATE(D227)"),"黑眼9：M27329星發生太空戰鬥，涉及1支艦隊，總計1236艘艦船，其中7艘被摧毀")</f>
        <v>黑眼9：M27329星發生太空戰鬥，涉及1支艦隊，總計1236艘艦船，其中7艘被摧毀</v>
      </c>
      <c r="G227" s="4" t="str">
        <f>IFERROR(__xludf.DUMMYFUNCTION("GOOGLETRANSLATE(B227)"),"戰鬥")</f>
        <v>戰鬥</v>
      </c>
    </row>
    <row r="228" ht="15.75" customHeight="1">
      <c r="A228" s="4">
        <v>814.0</v>
      </c>
      <c r="B228" s="4" t="s">
        <v>379</v>
      </c>
      <c r="D228" s="4" t="s">
        <v>385</v>
      </c>
      <c r="E228" s="4">
        <v>1.0</v>
      </c>
      <c r="F228" s="4" t="str">
        <f>IFERROR(__xludf.DUMMYFUNCTION("GOOGLETRANSLATE(D228)"),"一名年輕的德國衝鋒隊員參加了 1916 年索姆河戰役。[800 ÌÑ 582 ] http://t.co/yxvMifLvc4")</f>
        <v>一名年輕的德國衝鋒隊員參加了 1916 年索姆河戰役。[800 ÌÑ 582 ] http://t.co/yxvMifLvc4</v>
      </c>
      <c r="G228" s="4" t="str">
        <f>IFERROR(__xludf.DUMMYFUNCTION("GOOGLETRANSLATE(B228)"),"戰鬥")</f>
        <v>戰鬥</v>
      </c>
    </row>
    <row r="229" ht="15.75" customHeight="1">
      <c r="A229" s="4">
        <v>829.0</v>
      </c>
      <c r="B229" s="4" t="s">
        <v>386</v>
      </c>
      <c r="C229" s="4" t="s">
        <v>387</v>
      </c>
      <c r="D229" s="4" t="s">
        <v>388</v>
      </c>
      <c r="E229" s="4">
        <v>1.0</v>
      </c>
      <c r="F229" s="4" t="str">
        <f>IFERROR(__xludf.DUMMYFUNCTION("GOOGLETRANSLATE(D229)"),"新聞：炭疽實驗室事故發生後，聯邦快遞不再運送生物恐怖細菌 http://t.co/xteZGjfs8A")</f>
        <v>新聞：炭疽實驗室事故發生後，聯邦快遞不再運送生物恐怖細菌 http://t.co/xteZGjfs8A</v>
      </c>
      <c r="G229" s="4" t="str">
        <f>IFERROR(__xludf.DUMMYFUNCTION("GOOGLETRANSLATE(B229)"),"生物恐怖")</f>
        <v>生物恐怖</v>
      </c>
    </row>
    <row r="230" ht="15.75" customHeight="1">
      <c r="A230" s="4">
        <v>834.0</v>
      </c>
      <c r="B230" s="4" t="s">
        <v>386</v>
      </c>
      <c r="C230" s="4" t="s">
        <v>389</v>
      </c>
      <c r="D230" s="4" t="s">
        <v>390</v>
      </c>
      <c r="E230" s="4">
        <v>1.0</v>
      </c>
      <c r="F230" s="4" t="str">
        <f>IFERROR(__xludf.DUMMYFUNCTION("GOOGLETRANSLATE(D230)"),"炭疽實驗室事故發生後，聯邦快遞不再運送生物恐怖細菌 http://t.co/HQsU8LWltH via @usatoday")</f>
        <v>炭疽實驗室事故發生後，聯邦快遞不再運送生物恐怖細菌 http://t.co/HQsU8LWltH via @usatoday</v>
      </c>
      <c r="G230" s="4" t="str">
        <f>IFERROR(__xludf.DUMMYFUNCTION("GOOGLETRANSLATE(B230)"),"生物恐怖")</f>
        <v>生物恐怖</v>
      </c>
    </row>
    <row r="231" ht="15.75" customHeight="1">
      <c r="A231" s="4">
        <v>835.0</v>
      </c>
      <c r="B231" s="4" t="s">
        <v>386</v>
      </c>
      <c r="D231" s="4" t="s">
        <v>391</v>
      </c>
      <c r="E231" s="4">
        <v>1.0</v>
      </c>
      <c r="F231" s="4" t="str">
        <f>IFERROR(__xludf.DUMMYFUNCTION("GOOGLETRANSLATE(D231)"),"傑克遜維爾商業區聯邦快遞停止運送潛在的生物恐怖病原體 http://t.co/sHzsYmaUSi")</f>
        <v>傑克遜維爾商業區聯邦快遞停止運送潛在的生物恐怖病原體 http://t.co/sHzsYmaUSi</v>
      </c>
      <c r="G231" s="4" t="str">
        <f>IFERROR(__xludf.DUMMYFUNCTION("GOOGLETRANSLATE(B231)"),"生物恐怖")</f>
        <v>生物恐怖</v>
      </c>
    </row>
    <row r="232" ht="15.75" customHeight="1">
      <c r="A232" s="4">
        <v>837.0</v>
      </c>
      <c r="B232" s="4" t="s">
        <v>386</v>
      </c>
      <c r="C232" s="4" t="s">
        <v>392</v>
      </c>
      <c r="D232" s="4" t="s">
        <v>393</v>
      </c>
      <c r="E232" s="4">
        <v>1.0</v>
      </c>
      <c r="F232" s="4" t="str">
        <f>IFERROR(__xludf.DUMMYFUNCTION("GOOGLETRANSLATE(D232)"),".@APHL 回應：在炭疽實驗室事故發生後，聯邦快遞不再運送生物恐怖細菌 http://t.co/cGdj3dRso9")</f>
        <v>.@APHL 回應：在炭疽實驗室事故發生後，聯邦快遞不再運送生物恐怖細菌 http://t.co/cGdj3dRso9</v>
      </c>
      <c r="G232" s="4" t="str">
        <f>IFERROR(__xludf.DUMMYFUNCTION("GOOGLETRANSLATE(B232)"),"生物恐怖")</f>
        <v>生物恐怖</v>
      </c>
    </row>
    <row r="233" ht="15.75" customHeight="1">
      <c r="A233" s="4">
        <v>838.0</v>
      </c>
      <c r="B233" s="4" t="s">
        <v>386</v>
      </c>
      <c r="C233" s="4" t="s">
        <v>38</v>
      </c>
      <c r="D233" s="4" t="s">
        <v>394</v>
      </c>
      <c r="E233" s="4">
        <v>1.0</v>
      </c>
      <c r="F233" s="4" t="str">
        <f>IFERROR(__xludf.DUMMYFUNCTION("GOOGLETRANSLATE(D233)"),"#News 聯邦快遞在炭疽實驗室事故後不再運送生物恐怖細菌（說什麼？）：åÊFedEx 不... http://t.co/K0Y7xFxmXA #TCOT")</f>
        <v>#News 聯邦快遞在炭疽實驗室事故後不再運送生物恐怖細菌（說什麼？）：åÊFedEx 不... http://t.co/K0Y7xFxmXA #TCOT</v>
      </c>
      <c r="G233" s="4" t="str">
        <f>IFERROR(__xludf.DUMMYFUNCTION("GOOGLETRANSLATE(B233)"),"生物恐怖")</f>
        <v>生物恐怖</v>
      </c>
    </row>
    <row r="234" ht="15.75" customHeight="1">
      <c r="A234" s="4">
        <v>840.0</v>
      </c>
      <c r="B234" s="4" t="s">
        <v>386</v>
      </c>
      <c r="C234" s="4" t="s">
        <v>395</v>
      </c>
      <c r="D234" s="4" t="s">
        <v>396</v>
      </c>
      <c r="E234" s="4">
        <v>1.0</v>
      </c>
      <c r="F234" s="4" t="str">
        <f>IFERROR(__xludf.DUMMYFUNCTION("GOOGLETRANSLATE(D234)"),"聯邦快遞在實驗室事故後停止運輸生物恐怖細菌：聯邦快遞已停止運輸某些研究成果...... http://t.co/y3dM9uLqxG")</f>
        <v>聯邦快遞在實驗室事故後停止運輸生物恐怖細菌：聯邦快遞已停止運輸某些研究成果...... http://t.co/y3dM9uLqxG</v>
      </c>
      <c r="G234" s="4" t="str">
        <f>IFERROR(__xludf.DUMMYFUNCTION("GOOGLETRANSLATE(B234)"),"生物恐怖")</f>
        <v>生物恐怖</v>
      </c>
    </row>
    <row r="235" ht="15.75" customHeight="1">
      <c r="A235" s="4">
        <v>845.0</v>
      </c>
      <c r="B235" s="4" t="s">
        <v>386</v>
      </c>
      <c r="D235" s="4" t="s">
        <v>397</v>
      </c>
      <c r="E235" s="4">
        <v>1.0</v>
      </c>
      <c r="F235" s="4" t="str">
        <f>IFERROR(__xludf.DUMMYFUNCTION("GOOGLETRANSLATE(D235)"),"房屋能源與能源商務小組委員會將於 7 月 28 日舉行聽證會，討論 CDC 對生物恐怖實驗室陸軍炭疽事故的監督情況。 httÛ_")</f>
        <v>房屋能源與能源商務小組委員會將於 7 月 28 日舉行聽證會，討論 CDC 對生物恐怖實驗室陸軍炭疽事故的監督情況。 httÛ_</v>
      </c>
      <c r="G235" s="4" t="str">
        <f>IFERROR(__xludf.DUMMYFUNCTION("GOOGLETRANSLATE(B235)"),"生物恐怖")</f>
        <v>生物恐怖</v>
      </c>
    </row>
    <row r="236" ht="15.75" customHeight="1">
      <c r="A236" s="4">
        <v>846.0</v>
      </c>
      <c r="B236" s="4" t="s">
        <v>386</v>
      </c>
      <c r="C236" s="4" t="s">
        <v>398</v>
      </c>
      <c r="D236" s="4" t="s">
        <v>399</v>
      </c>
      <c r="E236" s="4">
        <v>1.0</v>
      </c>
      <c r="F236" s="4" t="str">
        <f>IFERROR(__xludf.DUMMYFUNCTION("GOOGLETRANSLATE(D236)"),"炭疽實驗室事故發生後，聯邦快遞不願運送潛在生物恐怖病原體的研究樣本 http://t.co/cM8UnI1mRG")</f>
        <v>炭疽實驗室事故發生後，聯邦快遞不願運送潛在生物恐怖病原體的研究樣本 http://t.co/cM8UnI1mRG</v>
      </c>
      <c r="G236" s="4" t="str">
        <f>IFERROR(__xludf.DUMMYFUNCTION("GOOGLETRANSLATE(B236)"),"生物恐怖")</f>
        <v>生物恐怖</v>
      </c>
    </row>
    <row r="237" ht="15.75" customHeight="1">
      <c r="A237" s="4">
        <v>848.0</v>
      </c>
      <c r="B237" s="4" t="s">
        <v>386</v>
      </c>
      <c r="C237" s="4" t="s">
        <v>400</v>
      </c>
      <c r="D237" s="4" t="s">
        <v>401</v>
      </c>
      <c r="E237" s="4">
        <v>1.0</v>
      </c>
      <c r="F237" s="4" t="str">
        <f>IFERROR(__xludf.DUMMYFUNCTION("GOOGLETRANSLATE(D237)"),"#world FedEx 因炭疽實驗室事故而不再運送生物恐怖細菌 http://t.co/wvExJjRG6E")</f>
        <v>#world FedEx 因炭疽實驗室事故而不再運送生物恐怖細菌 http://t.co/wvExJjRG6E</v>
      </c>
      <c r="G237" s="4" t="str">
        <f>IFERROR(__xludf.DUMMYFUNCTION("GOOGLETRANSLATE(B237)"),"生物恐怖")</f>
        <v>生物恐怖</v>
      </c>
    </row>
    <row r="238" ht="15.75" customHeight="1">
      <c r="A238" s="4">
        <v>849.0</v>
      </c>
      <c r="B238" s="4" t="s">
        <v>386</v>
      </c>
      <c r="D238" s="4" t="s">
        <v>402</v>
      </c>
      <c r="E238" s="4">
        <v>1.0</v>
      </c>
      <c r="F238" s="4" t="str">
        <f>IFERROR(__xludf.DUMMYFUNCTION("GOOGLETRANSLATE(D238)"),"炭疽實驗室事故發生後，聯邦快遞不再運送生物恐怖細菌 http://t.co/P96rgBbaYL #news #phone #apple #mobile")</f>
        <v>炭疽實驗室事故發生後，聯邦快遞不再運送生物恐怖細菌 http://t.co/P96rgBbaYL #news #phone #apple #mobile</v>
      </c>
      <c r="G238" s="4" t="str">
        <f>IFERROR(__xludf.DUMMYFUNCTION("GOOGLETRANSLATE(B238)"),"生物恐怖")</f>
        <v>生物恐怖</v>
      </c>
    </row>
    <row r="239" ht="15.75" customHeight="1">
      <c r="A239" s="4">
        <v>852.0</v>
      </c>
      <c r="B239" s="4" t="s">
        <v>386</v>
      </c>
      <c r="C239" s="4" t="s">
        <v>403</v>
      </c>
      <c r="D239" s="4" t="s">
        <v>404</v>
      </c>
      <c r="E239" s="4">
        <v>1.0</v>
      </c>
      <c r="F239" s="4" t="str">
        <f>IFERROR(__xludf.DUMMYFUNCTION("GOOGLETRANSLATE(D239)"),"嗯...這對一些研究人員來說可能是個問題：聯邦快遞不再透過 @usatoday 運輸精選代理商http://t.co/9vIibxgjAV")</f>
        <v>嗯...這對一些研究人員來說可能是個問題：聯邦快遞不再透過 @usatoday 運輸精選代理商http://t.co/9vIibxgjAV</v>
      </c>
      <c r="G239" s="4" t="str">
        <f>IFERROR(__xludf.DUMMYFUNCTION("GOOGLETRANSLATE(B239)"),"生物恐怖")</f>
        <v>生物恐怖</v>
      </c>
    </row>
    <row r="240" ht="15.75" customHeight="1">
      <c r="A240" s="4">
        <v>856.0</v>
      </c>
      <c r="B240" s="4" t="s">
        <v>386</v>
      </c>
      <c r="C240" s="4" t="s">
        <v>405</v>
      </c>
      <c r="D240" s="4" t="s">
        <v>406</v>
      </c>
      <c r="E240" s="4">
        <v>1.0</v>
      </c>
      <c r="F240" s="4" t="str">
        <f>IFERROR(__xludf.DUMMYFUNCTION("GOOGLETRANSLATE(D240)"),"炭疽實驗室事故發生後，聯邦快遞不再運送生物恐怖細菌 http://t.co/pWAMG8oZj4")</f>
        <v>炭疽實驗室事故發生後，聯邦快遞不再運送生物恐怖細菌 http://t.co/pWAMG8oZj4</v>
      </c>
      <c r="G240" s="4" t="str">
        <f>IFERROR(__xludf.DUMMYFUNCTION("GOOGLETRANSLATE(B240)"),"生物恐怖")</f>
        <v>生物恐怖</v>
      </c>
    </row>
    <row r="241" ht="15.75" customHeight="1">
      <c r="A241" s="4">
        <v>857.0</v>
      </c>
      <c r="B241" s="4" t="s">
        <v>386</v>
      </c>
      <c r="C241" s="4" t="s">
        <v>407</v>
      </c>
      <c r="D241" s="4" t="s">
        <v>408</v>
      </c>
      <c r="E241" s="4">
        <v>1.0</v>
      </c>
      <c r="F241" s="4" t="str">
        <f>IFERROR(__xludf.DUMMYFUNCTION("GOOGLETRANSLATE(D241)"),"聯邦快遞將不再運送潛在的生物恐怖病原體 - 聯邦快遞公司（NYSE：FDX）將不再運送包裹... http://t.co/2kdq56xTWs")</f>
        <v>聯邦快遞將不再運送潛在的生物恐怖病原體 - 聯邦快遞公司（NYSE：FDX）將不再運送包裹... http://t.co/2kdq56xTWs</v>
      </c>
      <c r="G241" s="4" t="str">
        <f>IFERROR(__xludf.DUMMYFUNCTION("GOOGLETRANSLATE(B241)"),"生物恐怖")</f>
        <v>生物恐怖</v>
      </c>
    </row>
    <row r="242" ht="15.75" customHeight="1">
      <c r="A242" s="4">
        <v>863.0</v>
      </c>
      <c r="B242" s="4" t="s">
        <v>386</v>
      </c>
      <c r="C242" s="4" t="s">
        <v>291</v>
      </c>
      <c r="D242" s="4" t="s">
        <v>409</v>
      </c>
      <c r="E242" s="4">
        <v>1.0</v>
      </c>
      <c r="F242" s="4" t="str">
        <f>IFERROR(__xludf.DUMMYFUNCTION("GOOGLETRANSLATE(D242)"),"#NowPlaying at #orchardalley in #nyc ‘bioterror-製造恐懼和國家鎮壓’@abcnorio #gardens http://t.co/Ba2rRXUgsG")</f>
        <v>#NowPlaying at #orchardalley in #nyc ‘bioterror-製造恐懼和國家鎮壓’@abcnorio #gardens http://t.co/Ba2rRXUgsG</v>
      </c>
      <c r="G242" s="4" t="str">
        <f>IFERROR(__xludf.DUMMYFUNCTION("GOOGLETRANSLATE(B242)"),"生物恐怖")</f>
        <v>生物恐怖</v>
      </c>
    </row>
    <row r="243" ht="15.75" customHeight="1">
      <c r="A243" s="4">
        <v>866.0</v>
      </c>
      <c r="B243" s="4" t="s">
        <v>386</v>
      </c>
      <c r="C243" s="4" t="s">
        <v>410</v>
      </c>
      <c r="D243" s="4" t="s">
        <v>411</v>
      </c>
      <c r="E243" s="4">
        <v>1.0</v>
      </c>
      <c r="F243" s="4" t="str">
        <f>IFERROR(__xludf.DUMMYFUNCTION("GOOGLETRANSLATE(D243)"),"[JAX Biz Journal] 聯邦快遞停止運送潛在的生物恐怖病原體 http://t.co/R33nCvjovC")</f>
        <v>[JAX Biz Journal] 聯邦快遞停止運送潛在的生物恐怖病原體 http://t.co/R33nCvjovC</v>
      </c>
      <c r="G243" s="4" t="str">
        <f>IFERROR(__xludf.DUMMYFUNCTION("GOOGLETRANSLATE(B243)"),"生物恐怖")</f>
        <v>生物恐怖</v>
      </c>
    </row>
    <row r="244" ht="15.75" customHeight="1">
      <c r="A244" s="4">
        <v>867.0</v>
      </c>
      <c r="B244" s="4" t="s">
        <v>386</v>
      </c>
      <c r="C244" s="4" t="s">
        <v>412</v>
      </c>
      <c r="D244" s="4" t="s">
        <v>413</v>
      </c>
      <c r="E244" s="4">
        <v>1.0</v>
      </c>
      <c r="F244" s="4" t="str">
        <f>IFERROR(__xludf.DUMMYFUNCTION("GOOGLETRANSLATE(D244)"),"《今日美國》：今天的#frontpage：#Bioterror 實驗室面臨秘密製裁。 #RickPerry 並未入選 FoxNewÛ_ http://t.co/5uKOHk7SoB")</f>
        <v>《今日美國》：今天的#frontpage：#Bioterror 實驗室面臨秘密製裁。 #RickPerry 並未入選 FoxNewÛ_ http://t.co/5uKOHk7SoB</v>
      </c>
      <c r="G244" s="4" t="str">
        <f>IFERROR(__xludf.DUMMYFUNCTION("GOOGLETRANSLATE(B244)"),"生物恐怖")</f>
        <v>生物恐怖</v>
      </c>
    </row>
    <row r="245" ht="15.75" customHeight="1">
      <c r="A245" s="4">
        <v>870.0</v>
      </c>
      <c r="B245" s="4" t="s">
        <v>386</v>
      </c>
      <c r="C245" s="4" t="s">
        <v>414</v>
      </c>
      <c r="D245" s="4" t="s">
        <v>415</v>
      </c>
      <c r="E245" s="4">
        <v>1.0</v>
      </c>
      <c r="F245" s="4" t="str">
        <f>IFERROR(__xludf.DUMMYFUNCTION("GOOGLETRANSLATE(D245)"),"炭疽實驗室事故發生後，聯邦快遞不再運送生物恐怖細菌 http://t.co/c0p3SEsqWm via @usatoday")</f>
        <v>炭疽實驗室事故發生後，聯邦快遞不再運送生物恐怖細菌 http://t.co/c0p3SEsqWm via @usatoday</v>
      </c>
      <c r="G245" s="4" t="str">
        <f>IFERROR(__xludf.DUMMYFUNCTION("GOOGLETRANSLATE(B245)"),"生物恐怖")</f>
        <v>生物恐怖</v>
      </c>
    </row>
    <row r="246" ht="15.75" customHeight="1">
      <c r="A246" s="4">
        <v>871.0</v>
      </c>
      <c r="B246" s="4" t="s">
        <v>386</v>
      </c>
      <c r="C246" s="4" t="s">
        <v>283</v>
      </c>
      <c r="D246" s="4" t="s">
        <v>416</v>
      </c>
      <c r="E246" s="4">
        <v>1.0</v>
      </c>
      <c r="F246" s="4" t="str">
        <f>IFERROR(__xludf.DUMMYFUNCTION("GOOGLETRANSLATE(D246)"),"聯邦快遞停止運送潛在的生物恐怖病原體 http://t.co/tkeOAeDQKq #trucking")</f>
        <v>聯邦快遞停止運送潛在的生物恐怖病原體 http://t.co/tkeOAeDQKq #trucking</v>
      </c>
      <c r="G246" s="4" t="str">
        <f>IFERROR(__xludf.DUMMYFUNCTION("GOOGLETRANSLATE(B246)"),"生物恐怖")</f>
        <v>生物恐怖</v>
      </c>
    </row>
    <row r="247" ht="15.75" customHeight="1">
      <c r="A247" s="4">
        <v>872.0</v>
      </c>
      <c r="B247" s="4" t="s">
        <v>386</v>
      </c>
      <c r="D247" s="4" t="s">
        <v>417</v>
      </c>
      <c r="E247" s="4">
        <v>1.0</v>
      </c>
      <c r="F247" s="4" t="str">
        <f>IFERROR(__xludf.DUMMYFUNCTION("GOOGLETRANSLATE(D247)"),"炭疽實驗室事故發生後，聯邦快遞不再運送生物恐怖細菌 http://t.co/MqbYrAvK6h")</f>
        <v>炭疽實驗室事故發生後，聯邦快遞不再運送生物恐怖細菌 http://t.co/MqbYrAvK6h</v>
      </c>
      <c r="G247" s="4" t="str">
        <f>IFERROR(__xludf.DUMMYFUNCTION("GOOGLETRANSLATE(B247)"),"生物恐怖")</f>
        <v>生物恐怖</v>
      </c>
    </row>
    <row r="248" ht="15.75" customHeight="1">
      <c r="A248" s="4">
        <v>873.0</v>
      </c>
      <c r="B248" s="4" t="s">
        <v>386</v>
      </c>
      <c r="C248" s="4" t="s">
        <v>418</v>
      </c>
      <c r="D248" s="4" t="s">
        <v>419</v>
      </c>
      <c r="E248" s="4">
        <v>1.0</v>
      </c>
      <c r="F248" s="4" t="str">
        <f>IFERROR(__xludf.DUMMYFUNCTION("GOOGLETRANSLATE(D248)"),"#聯邦快遞在炭疽實驗室事故發生後不再運送生物恐怖細菌http://t.co/S4SiCMYRmH")</f>
        <v>#聯邦快遞在炭疽實驗室事故發生後不再運送生物恐怖細菌http://t.co/S4SiCMYRmH</v>
      </c>
      <c r="G248" s="4" t="str">
        <f>IFERROR(__xludf.DUMMYFUNCTION("GOOGLETRANSLATE(B248)"),"生物恐怖")</f>
        <v>生物恐怖</v>
      </c>
    </row>
    <row r="249" ht="15.75" customHeight="1">
      <c r="A249" s="4">
        <v>876.0</v>
      </c>
      <c r="B249" s="4" t="s">
        <v>386</v>
      </c>
      <c r="C249" s="4" t="s">
        <v>420</v>
      </c>
      <c r="D249" s="4" t="s">
        <v>421</v>
      </c>
      <c r="E249" s="4">
        <v>1.0</v>
      </c>
      <c r="F249" s="4" t="str">
        <f>IFERROR(__xludf.DUMMYFUNCTION("GOOGLETRANSLATE(D249)"),"《今日美國》：今天的#frontpage：#Bioterror 實驗室面臨秘密製裁。 #RickPerry 並未入選 FoxNewÛ_ http://t.co/xFHh2XF9Ga")</f>
        <v>《今日美國》：今天的#frontpage：#Bioterror 實驗室面臨秘密製裁。 #RickPerry 並未入選 FoxNewÛ_ http://t.co/xFHh2XF9Ga</v>
      </c>
      <c r="G249" s="4" t="str">
        <f>IFERROR(__xludf.DUMMYFUNCTION("GOOGLETRANSLATE(B249)"),"生物恐怖")</f>
        <v>生物恐怖</v>
      </c>
    </row>
    <row r="250" ht="15.75" customHeight="1">
      <c r="A250" s="4">
        <v>877.0</v>
      </c>
      <c r="B250" s="4" t="s">
        <v>386</v>
      </c>
      <c r="D250" s="4" t="s">
        <v>422</v>
      </c>
      <c r="E250" s="4">
        <v>1.0</v>
      </c>
      <c r="F250" s="4" t="str">
        <f>IFERROR(__xludf.DUMMYFUNCTION("GOOGLETRANSLATE(D250)"),"炭疽實驗室事故發生後，聯邦快遞不再運送生物恐怖細菌 http://t.co/4M5UHeyfDo via @USATODAY")</f>
        <v>炭疽實驗室事故發生後，聯邦快遞不再運送生物恐怖細菌 http://t.co/4M5UHeyfDo via @USATODAY</v>
      </c>
      <c r="G250" s="4" t="str">
        <f>IFERROR(__xludf.DUMMYFUNCTION("GOOGLETRANSLATE(B250)"),"生物恐怖")</f>
        <v>生物恐怖</v>
      </c>
    </row>
    <row r="251" ht="15.75" customHeight="1">
      <c r="A251" s="4">
        <v>881.0</v>
      </c>
      <c r="B251" s="4" t="s">
        <v>423</v>
      </c>
      <c r="D251" s="4" t="s">
        <v>424</v>
      </c>
      <c r="E251" s="4">
        <v>1.0</v>
      </c>
      <c r="F251" s="4" t="str">
        <f>IFERROR(__xludf.DUMMYFUNCTION("GOOGLETRANSLATE(D251)"),"先生，為了打擊生物恐怖主義。")</f>
        <v>先生，為了打擊生物恐怖主義。</v>
      </c>
      <c r="G251" s="4" t="str">
        <f>IFERROR(__xludf.DUMMYFUNCTION("GOOGLETRANSLATE(B251)"),"生物恐怖主義")</f>
        <v>生物恐怖主義</v>
      </c>
    </row>
    <row r="252" ht="15.75" customHeight="1">
      <c r="A252" s="4">
        <v>882.0</v>
      </c>
      <c r="B252" s="4" t="s">
        <v>423</v>
      </c>
      <c r="C252" s="4" t="s">
        <v>425</v>
      </c>
      <c r="D252" s="4" t="s">
        <v>426</v>
      </c>
      <c r="E252" s="4">
        <v>1.0</v>
      </c>
      <c r="F252" s="4" t="str">
        <f>IFERROR(__xludf.DUMMYFUNCTION("GOOGLETRANSLATE(D252)"),"我喜歡 @YouTube 影片 http://t.co/XO2ZbPBJB3 FEMA REGION III 針對生物恐怖主義！ NASA - 日本用鋰進行火箭發射")</f>
        <v>我喜歡 @YouTube 影片 http://t.co/XO2ZbPBJB3 FEMA REGION III 針對生物恐怖主義！ NASA - 日本用鋰進行火箭發射</v>
      </c>
      <c r="G252" s="4" t="str">
        <f>IFERROR(__xludf.DUMMYFUNCTION("GOOGLETRANSLATE(B252)"),"生物恐怖主義")</f>
        <v>生物恐怖主義</v>
      </c>
    </row>
    <row r="253" ht="15.75" customHeight="1">
      <c r="A253" s="4">
        <v>883.0</v>
      </c>
      <c r="B253" s="4" t="s">
        <v>423</v>
      </c>
      <c r="C253" s="4" t="s">
        <v>427</v>
      </c>
      <c r="D253" s="4" t="s">
        <v>428</v>
      </c>
      <c r="E253" s="4">
        <v>1.0</v>
      </c>
      <c r="F253" s="4" t="str">
        <f>IFERROR(__xludf.DUMMYFUNCTION("GOOGLETRANSLATE(D253)"),"#anthrax #biocrime CDC將對實驗室安全和病原體處理程序進行廣泛審查http://t.co/bCLqpWFDOd")</f>
        <v>#anthrax #biocrime CDC將對實驗室安全和病原體處理程序進行廣泛審查http://t.co/bCLqpWFDOd</v>
      </c>
      <c r="G253" s="4" t="str">
        <f>IFERROR(__xludf.DUMMYFUNCTION("GOOGLETRANSLATE(B253)"),"生物恐怖主義")</f>
        <v>生物恐怖主義</v>
      </c>
    </row>
    <row r="254" ht="15.75" customHeight="1">
      <c r="A254" s="4">
        <v>885.0</v>
      </c>
      <c r="B254" s="4" t="s">
        <v>423</v>
      </c>
      <c r="D254" s="4" t="s">
        <v>429</v>
      </c>
      <c r="E254" s="4">
        <v>1.0</v>
      </c>
      <c r="F254" s="4" t="str">
        <f>IFERROR(__xludf.DUMMYFUNCTION("GOOGLETRANSLATE(D254)"),"@CAgov 如果 90BLKs&amp;amp;8WHTs 串通 2 拿走 WHT F @USAgov AUTH 人質&amp;amp;2 讓她看起來像生物恐怖主義的 BLK&amp;amp;使用她的 lgl/org IDis ID 仍然是她的？@VP")</f>
        <v>@CAgov 如果 90BLKs&amp;amp;8WHTs 串通 2 拿走 WHT F @USAgov AUTH 人質&amp;amp;2 讓她看起來像生物恐怖主義的 BLK&amp;amp;使用她的 lgl/org IDis ID 仍然是她的？@VP</v>
      </c>
      <c r="G254" s="4" t="str">
        <f>IFERROR(__xludf.DUMMYFUNCTION("GOOGLETRANSLATE(B254)"),"生物恐怖主義")</f>
        <v>生物恐怖主義</v>
      </c>
    </row>
    <row r="255" ht="15.75" customHeight="1">
      <c r="A255" s="4">
        <v>886.0</v>
      </c>
      <c r="B255" s="4" t="s">
        <v>423</v>
      </c>
      <c r="D255" s="4" t="s">
        <v>430</v>
      </c>
      <c r="E255" s="4">
        <v>1.0</v>
      </c>
      <c r="F255" s="4" t="str">
        <f>IFERROR(__xludf.DUMMYFUNCTION("GOOGLETRANSLATE(D255)"),"@DarrellIssa 那份「偉大的伊朗協議」是否涵蓋生物恐怖主義？你被他們切斷了可怕的聯繫。保持良好的工作。")</f>
        <v>@DarrellIssa 那份「偉大的伊朗協議」是否涵蓋生物恐怖主義？你被他們切斷了可怕的聯繫。保持良好的工作。</v>
      </c>
      <c r="G255" s="4" t="str">
        <f>IFERROR(__xludf.DUMMYFUNCTION("GOOGLETRANSLATE(B255)"),"生物恐怖主義")</f>
        <v>生物恐怖主義</v>
      </c>
    </row>
    <row r="256" ht="15.75" customHeight="1">
      <c r="A256" s="4">
        <v>888.0</v>
      </c>
      <c r="B256" s="4" t="s">
        <v>423</v>
      </c>
      <c r="C256" s="4" t="s">
        <v>351</v>
      </c>
      <c r="D256" s="4" t="s">
        <v>431</v>
      </c>
      <c r="E256" s="4">
        <v>1.0</v>
      </c>
      <c r="F256" s="4" t="str">
        <f>IFERROR(__xludf.DUMMYFUNCTION("GOOGLETRANSLATE(D256)"),"兩個痘的故事 - 身體恐怖 http://t.co/W2IXT1k0AB #virus #infectiousdiseases #biochemistry")</f>
        <v>兩個痘的故事 - 身體恐怖 http://t.co/W2IXT1k0AB #virus #infectiousdiseases #biochemistry</v>
      </c>
      <c r="G256" s="4" t="str">
        <f>IFERROR(__xludf.DUMMYFUNCTION("GOOGLETRANSLATE(B256)"),"生物恐怖主義")</f>
        <v>生物恐怖主義</v>
      </c>
    </row>
    <row r="257" ht="15.75" customHeight="1">
      <c r="A257" s="4">
        <v>890.0</v>
      </c>
      <c r="B257" s="4" t="s">
        <v>423</v>
      </c>
      <c r="D257" s="4" t="s">
        <v>432</v>
      </c>
      <c r="E257" s="4">
        <v>1.0</v>
      </c>
      <c r="F257" s="4" t="str">
        <f>IFERROR(__xludf.DUMMYFUNCTION("GOOGLETRANSLATE(D257)"),"生物恐怖主義公共衛生超級細菌生物實驗室流行病生物監測爆發|國土安全通訊社 http://t.co/cvhYGwcBZv")</f>
        <v>生物恐怖主義公共衛生超級細菌生物實驗室流行病生物監測爆發|國土安全通訊社 http://t.co/cvhYGwcBZv</v>
      </c>
      <c r="G257" s="4" t="str">
        <f>IFERROR(__xludf.DUMMYFUNCTION("GOOGLETRANSLATE(B257)"),"生物恐怖主義")</f>
        <v>生物恐怖主義</v>
      </c>
    </row>
    <row r="258" ht="15.75" customHeight="1">
      <c r="A258" s="4">
        <v>893.0</v>
      </c>
      <c r="B258" s="4" t="s">
        <v>423</v>
      </c>
      <c r="D258" s="4" t="s">
        <v>433</v>
      </c>
      <c r="E258" s="4">
        <v>1.0</v>
      </c>
      <c r="F258" s="4" t="str">
        <f>IFERROR(__xludf.DUMMYFUNCTION("GOOGLETRANSLATE(D258)"),"@O_Magazine 撒旦的女兒影子戰士在 50 英尺女性又名變性模式 PS 紐約即將折疊額外的生物恐怖主義中心")</f>
        <v>@O_Magazine 撒旦的女兒影子戰士在 50 英尺女性又名變性模式 PS 紐約即將折疊額外的生物恐怖主義中心</v>
      </c>
      <c r="G258" s="4" t="str">
        <f>IFERROR(__xludf.DUMMYFUNCTION("GOOGLETRANSLATE(B258)"),"生物恐怖主義")</f>
        <v>生物恐怖主義</v>
      </c>
    </row>
    <row r="259" ht="15.75" customHeight="1">
      <c r="A259" s="4">
        <v>894.0</v>
      </c>
      <c r="B259" s="4" t="s">
        <v>423</v>
      </c>
      <c r="C259" s="4" t="s">
        <v>434</v>
      </c>
      <c r="D259" s="4" t="s">
        <v>435</v>
      </c>
      <c r="E259" s="4">
        <v>1.0</v>
      </c>
      <c r="F259" s="4" t="str">
        <f>IFERROR(__xludf.DUMMYFUNCTION("GOOGLETRANSLATE(D259)"),"@DrRichardBesser 是的。我認為不會。但自從大學88-92年以來，很難不去想到生物恐怖主義，尤其是。 bc「分散」。")</f>
        <v>@DrRichardBesser 是的。我認為不會。但自從大學88-92年以來，很難不去想到生物恐怖主義，尤其是。 bc「分散」。</v>
      </c>
      <c r="G259" s="4" t="str">
        <f>IFERROR(__xludf.DUMMYFUNCTION("GOOGLETRANSLATE(B259)"),"生物恐怖主義")</f>
        <v>生物恐怖主義</v>
      </c>
    </row>
    <row r="260" ht="15.75" customHeight="1">
      <c r="A260" s="4">
        <v>895.0</v>
      </c>
      <c r="B260" s="4" t="s">
        <v>423</v>
      </c>
      <c r="C260" s="4" t="s">
        <v>436</v>
      </c>
      <c r="D260" s="4" t="s">
        <v>437</v>
      </c>
      <c r="E260" s="4">
        <v>1.0</v>
      </c>
      <c r="F260" s="4" t="str">
        <f>IFERROR(__xludf.DUMMYFUNCTION("GOOGLETRANSLATE(D260)"),"志工需要參與模擬生物恐怖主義災難的緊急準備演習：http://t.co/NWV2RvGHf3 @HVnewsnetwork")</f>
        <v>志工需要參與模擬生物恐怖主義災難的緊急準備演習：http://t.co/NWV2RvGHf3 @HVnewsnetwork</v>
      </c>
      <c r="G260" s="4" t="str">
        <f>IFERROR(__xludf.DUMMYFUNCTION("GOOGLETRANSLATE(B260)"),"生物恐怖主義")</f>
        <v>生物恐怖主義</v>
      </c>
    </row>
    <row r="261" ht="15.75" customHeight="1">
      <c r="A261" s="4">
        <v>896.0</v>
      </c>
      <c r="B261" s="4" t="s">
        <v>423</v>
      </c>
      <c r="C261" s="4" t="s">
        <v>438</v>
      </c>
      <c r="D261" s="4" t="s">
        <v>439</v>
      </c>
      <c r="E261" s="4">
        <v>1.0</v>
      </c>
      <c r="F261" s="4" t="str">
        <f>IFERROR(__xludf.DUMMYFUNCTION("GOOGLETRANSLATE(D261)"),"@MeyerBjoern @thelonevirologi @MackayIM 美國一家主要報紙在 2/n 上運行了一系列關於所有涉嫌生物恐怖主義研究的文章")</f>
        <v>@MeyerBjoern @thelonevirologi @MackayIM 美國一家主要報紙在 2/n 上運行了一系列關於所有涉嫌生物恐怖主義研究的文章</v>
      </c>
      <c r="G261" s="4" t="str">
        <f>IFERROR(__xludf.DUMMYFUNCTION("GOOGLETRANSLATE(B261)"),"生物恐怖主義")</f>
        <v>生物恐怖主義</v>
      </c>
    </row>
    <row r="262" ht="15.75" customHeight="1">
      <c r="A262" s="4">
        <v>899.0</v>
      </c>
      <c r="B262" s="4" t="s">
        <v>423</v>
      </c>
      <c r="D262" s="4" t="s">
        <v>440</v>
      </c>
      <c r="E262" s="4">
        <v>1.0</v>
      </c>
      <c r="F262" s="4" t="str">
        <f>IFERROR(__xludf.DUMMYFUNCTION("GOOGLETRANSLATE(D262)"),"CDC 有一份非常酷的所有生物恐怖分子名單：3")</f>
        <v>CDC 有一份非常酷的所有生物恐怖分子名單：3</v>
      </c>
      <c r="G262" s="4" t="str">
        <f>IFERROR(__xludf.DUMMYFUNCTION("GOOGLETRANSLATE(B262)"),"生物恐怖主義")</f>
        <v>生物恐怖主義</v>
      </c>
    </row>
    <row r="263" ht="15.75" customHeight="1">
      <c r="A263" s="4">
        <v>902.0</v>
      </c>
      <c r="B263" s="4" t="s">
        <v>423</v>
      </c>
      <c r="C263" s="4" t="s">
        <v>441</v>
      </c>
      <c r="D263" s="4" t="s">
        <v>442</v>
      </c>
      <c r="E263" s="4">
        <v>1.0</v>
      </c>
      <c r="F263" s="4" t="str">
        <f>IFERROR(__xludf.DUMMYFUNCTION("GOOGLETRANSLATE(D263)"),"政府專家擔心可能使用基因改造生物進行生物恐怖主義：科學家擔心... http://t.co/SuMe5prO0F")</f>
        <v>政府專家擔心可能使用基因改造生物進行生物恐怖主義：科學家擔心... http://t.co/SuMe5prO0F</v>
      </c>
      <c r="G263" s="4" t="str">
        <f>IFERROR(__xludf.DUMMYFUNCTION("GOOGLETRANSLATE(B263)"),"生物恐怖主義")</f>
        <v>生物恐怖主義</v>
      </c>
    </row>
    <row r="264" ht="15.75" customHeight="1">
      <c r="A264" s="4">
        <v>905.0</v>
      </c>
      <c r="B264" s="4" t="s">
        <v>423</v>
      </c>
      <c r="D264" s="4" t="s">
        <v>443</v>
      </c>
      <c r="E264" s="4">
        <v>1.0</v>
      </c>
      <c r="F264" s="4" t="str">
        <f>IFERROR(__xludf.DUMMYFUNCTION("GOOGLETRANSLATE(D264)"),"@StationCDRKelly 任何支援系統 4 @USAgov AUTH 被 BLK 美國神職人員扣為人質，強迫 2 人存在更年輕且被生物恐怖主義嚴重毀容？@AP")</f>
        <v>@StationCDRKelly 任何支援系統 4 @USAgov AUTH 被 BLK 美國神職人員扣為人質，強迫 2 人存在更年輕且被生物恐怖主義嚴重毀容？@AP</v>
      </c>
      <c r="G264" s="4" t="str">
        <f>IFERROR(__xludf.DUMMYFUNCTION("GOOGLETRANSLATE(B264)"),"生物恐怖主義")</f>
        <v>生物恐怖主義</v>
      </c>
    </row>
    <row r="265" ht="15.75" customHeight="1">
      <c r="A265" s="4">
        <v>907.0</v>
      </c>
      <c r="B265" s="4" t="s">
        <v>423</v>
      </c>
      <c r="D265" s="4" t="s">
        <v>424</v>
      </c>
      <c r="E265" s="4">
        <v>1.0</v>
      </c>
      <c r="F265" s="4" t="str">
        <f>IFERROR(__xludf.DUMMYFUNCTION("GOOGLETRANSLATE(D265)"),"先生，為了打擊生物恐怖主義。")</f>
        <v>先生，為了打擊生物恐怖主義。</v>
      </c>
      <c r="G265" s="4" t="str">
        <f>IFERROR(__xludf.DUMMYFUNCTION("GOOGLETRANSLATE(B265)"),"生物恐怖主義")</f>
        <v>生物恐怖主義</v>
      </c>
    </row>
    <row r="266" ht="15.75" customHeight="1">
      <c r="A266" s="4">
        <v>912.0</v>
      </c>
      <c r="B266" s="4" t="s">
        <v>423</v>
      </c>
      <c r="D266" s="4" t="s">
        <v>444</v>
      </c>
      <c r="E266" s="4">
        <v>1.0</v>
      </c>
      <c r="F266" s="4" t="str">
        <f>IFERROR(__xludf.DUMMYFUNCTION("GOOGLETRANSLATE(D266)"),"@APhiABeta1907 醜陋是由於 2 你的“醜陋”@AMESocialAction Frat 的 BIOTERRORISMI 她是 @FBI ID U $tolewant'g another in my Home.@ABC")</f>
        <v>@APhiABeta1907 醜陋是由於 2 你的“醜陋”@AMESocialAction Frat 的 BIOTERRORISMI 她是 @FBI ID U $tolewant'g another in my Home.@ABC</v>
      </c>
      <c r="G266" s="4" t="str">
        <f>IFERROR(__xludf.DUMMYFUNCTION("GOOGLETRANSLATE(B266)"),"生物恐怖主義")</f>
        <v>生物恐怖主義</v>
      </c>
    </row>
    <row r="267" ht="15.75" customHeight="1">
      <c r="A267" s="4">
        <v>915.0</v>
      </c>
      <c r="B267" s="4" t="s">
        <v>423</v>
      </c>
      <c r="D267" s="4" t="s">
        <v>445</v>
      </c>
      <c r="E267" s="4">
        <v>1.0</v>
      </c>
      <c r="F267" s="4" t="str">
        <f>IFERROR(__xludf.DUMMYFUNCTION("GOOGLETRANSLATE(D267)"),"@HowardU 如果 90BLKs&amp;amp;8WHTs 勾結 2 拿走 WHT F @USAgov AUTH 人質&amp;amp;2 讓她看起來像生物恐怖主義的 BLK&amp;amp;使用她的 lgl/org IDis ID 仍然是她的嗎？")</f>
        <v>@HowardU 如果 90BLKs&amp;amp;8WHTs 勾結 2 拿走 WHT F @USAgov AUTH 人質&amp;amp;2 讓她看起來像生物恐怖主義的 BLK&amp;amp;使用她的 lgl/org IDis ID 仍然是她的嗎？</v>
      </c>
      <c r="G267" s="4" t="str">
        <f>IFERROR(__xludf.DUMMYFUNCTION("GOOGLETRANSLATE(B267)"),"生物恐怖主義")</f>
        <v>生物恐怖主義</v>
      </c>
    </row>
    <row r="268" ht="15.75" customHeight="1">
      <c r="A268" s="4">
        <v>919.0</v>
      </c>
      <c r="B268" s="4" t="s">
        <v>423</v>
      </c>
      <c r="D268" s="4" t="s">
        <v>446</v>
      </c>
      <c r="E268" s="4">
        <v>1.0</v>
      </c>
      <c r="F268" s="4" t="str">
        <f>IFERROR(__xludf.DUMMYFUNCTION("GOOGLETRANSLATE(D268)"),"@cspanwj 如果 90BLKs&amp;amp;8WHTs 勾結 2 拿 WHT F @USAgov AUTH 人質&amp;amp;2 讓她看起來像 BLK 與生物恐怖主義&amp;amp;使用她的 lgl/org IDis ID 仍然是她的嗎？")</f>
        <v>@cspanwj 如果 90BLKs&amp;amp;8WHTs 勾結 2 拿 WHT F @USAgov AUTH 人質&amp;amp;2 讓她看起來像 BLK 與生物恐怖主義&amp;amp;使用她的 lgl/org IDis ID 仍然是她的嗎？</v>
      </c>
      <c r="G268" s="4" t="str">
        <f>IFERROR(__xludf.DUMMYFUNCTION("GOOGLETRANSLATE(B268)"),"生物恐怖主義")</f>
        <v>生物恐怖主義</v>
      </c>
    </row>
    <row r="269" ht="15.75" customHeight="1">
      <c r="A269" s="4">
        <v>923.0</v>
      </c>
      <c r="B269" s="4" t="s">
        <v>423</v>
      </c>
      <c r="D269" s="4" t="s">
        <v>447</v>
      </c>
      <c r="E269" s="4">
        <v>1.0</v>
      </c>
      <c r="F269" s="4" t="str">
        <f>IFERROR(__xludf.DUMMYFUNCTION("GOOGLETRANSLATE(D269)"),"#IranDeal 僅涵蓋核子活動。他們對生物恐怖主義做了什麼？伊朗也違反了至少 27 項其他協議。")</f>
        <v>#IranDeal 僅涵蓋核子活動。他們對生物恐怖主義做了什麼？伊朗也違反了至少 27 項其他協議。</v>
      </c>
      <c r="G269" s="4" t="str">
        <f>IFERROR(__xludf.DUMMYFUNCTION("GOOGLETRANSLATE(B269)"),"生物恐怖主義")</f>
        <v>生物恐怖主義</v>
      </c>
    </row>
    <row r="270" ht="15.75" customHeight="1">
      <c r="A270" s="4">
        <v>926.0</v>
      </c>
      <c r="B270" s="4" t="s">
        <v>423</v>
      </c>
      <c r="C270" s="4" t="s">
        <v>448</v>
      </c>
      <c r="D270" s="4" t="s">
        <v>449</v>
      </c>
      <c r="E270" s="4">
        <v>1.0</v>
      </c>
      <c r="F270" s="4" t="str">
        <f>IFERROR(__xludf.DUMMYFUNCTION("GOOGLETRANSLATE(D270)"),"威脅|炭疽病 | CDC http://t.co/q6oxzq45VE 來自 @CDCgov")</f>
        <v>威脅|炭疽病 | CDC http://t.co/q6oxzq45VE 來自 @CDCgov</v>
      </c>
      <c r="G270" s="4" t="str">
        <f>IFERROR(__xludf.DUMMYFUNCTION("GOOGLETRANSLATE(B270)"),"生物恐怖主義")</f>
        <v>生物恐怖主義</v>
      </c>
    </row>
    <row r="271" ht="15.75" customHeight="1">
      <c r="A271" s="4">
        <v>928.0</v>
      </c>
      <c r="B271" s="4" t="s">
        <v>423</v>
      </c>
      <c r="C271" s="4" t="s">
        <v>427</v>
      </c>
      <c r="D271" s="4" t="s">
        <v>450</v>
      </c>
      <c r="E271" s="4">
        <v>1.0</v>
      </c>
      <c r="F271" s="4" t="str">
        <f>IFERROR(__xludf.DUMMYFUNCTION("GOOGLETRANSLATE(D271)"),"#生物恐怖主義 當局在裡約奧運會馬術測試賽之前緩解 #glanders 的擔憂 http://t.co/UotPNSQpz5 來自 @HorsetalkNZ")</f>
        <v>#生物恐怖主義 當局在裡約奧運會馬術測試賽之前緩解 #glanders 的擔憂 http://t.co/UotPNSQpz5 來自 @HorsetalkNZ</v>
      </c>
      <c r="G271" s="4" t="str">
        <f>IFERROR(__xludf.DUMMYFUNCTION("GOOGLETRANSLATE(B271)"),"生物恐怖主義")</f>
        <v>生物恐怖主義</v>
      </c>
    </row>
    <row r="272" ht="15.75" customHeight="1">
      <c r="A272" s="4">
        <v>938.0</v>
      </c>
      <c r="B272" s="4" t="s">
        <v>451</v>
      </c>
      <c r="C272" s="4" t="s">
        <v>452</v>
      </c>
      <c r="D272" s="4" t="s">
        <v>453</v>
      </c>
      <c r="E272" s="4">
        <v>1.0</v>
      </c>
      <c r="F272" s="4" t="str">
        <f>IFERROR(__xludf.DUMMYFUNCTION("GOOGLETRANSLATE(D272)"),"彭德爾頓媒體辦公室表示，目前基地內唯一起火的是霍諾大火。")</f>
        <v>彭德爾頓媒體辦公室表示，目前基地內唯一起火的是霍諾大火。</v>
      </c>
      <c r="G272" s="4" t="str">
        <f>IFERROR(__xludf.DUMMYFUNCTION("GOOGLETRANSLATE(B272)"),"火焰")</f>
        <v>火焰</v>
      </c>
    </row>
    <row r="273" ht="15.75" customHeight="1">
      <c r="A273" s="4">
        <v>940.0</v>
      </c>
      <c r="B273" s="4" t="s">
        <v>451</v>
      </c>
      <c r="C273" s="4" t="s">
        <v>454</v>
      </c>
      <c r="D273" s="4" t="s">
        <v>455</v>
      </c>
      <c r="E273" s="4">
        <v>1.0</v>
      </c>
      <c r="F273" s="4" t="str">
        <f>IFERROR(__xludf.DUMMYFUNCTION("GOOGLETRANSLATE(D273)"),"喜歡一個人生活。我可以在我的公寓內或陽台上燃燒")</f>
        <v>喜歡一個人生活。我可以在我的公寓內或陽台上燃燒</v>
      </c>
      <c r="G273" s="4" t="str">
        <f>IFERROR(__xludf.DUMMYFUNCTION("GOOGLETRANSLATE(B273)"),"火焰")</f>
        <v>火焰</v>
      </c>
    </row>
    <row r="274" ht="15.75" customHeight="1">
      <c r="A274" s="4">
        <v>945.0</v>
      </c>
      <c r="B274" s="4" t="s">
        <v>451</v>
      </c>
      <c r="C274" s="4" t="s">
        <v>54</v>
      </c>
      <c r="D274" s="4" t="s">
        <v>456</v>
      </c>
      <c r="E274" s="4">
        <v>1.0</v>
      </c>
      <c r="F274" s="4" t="str">
        <f>IFERROR(__xludf.DUMMYFUNCTION("GOOGLETRANSLATE(D274)"),"加州野火造成的財產損失在一週之內的大火中幾乎翻了一番 http://t.co/E0UUsnpsq5")</f>
        <v>加州野火造成的財產損失在一週之內的大火中幾乎翻了一番 http://t.co/E0UUsnpsq5</v>
      </c>
      <c r="G274" s="4" t="str">
        <f>IFERROR(__xludf.DUMMYFUNCTION("GOOGLETRANSLATE(B274)"),"火焰")</f>
        <v>火焰</v>
      </c>
    </row>
    <row r="275" ht="15.75" customHeight="1">
      <c r="A275" s="4">
        <v>946.0</v>
      </c>
      <c r="B275" s="4" t="s">
        <v>451</v>
      </c>
      <c r="C275" s="4" t="s">
        <v>457</v>
      </c>
      <c r="D275" s="4" t="s">
        <v>458</v>
      </c>
      <c r="E275" s="4">
        <v>1.0</v>
      </c>
      <c r="F275" s="4" t="str">
        <f>IFERROR(__xludf.DUMMYFUNCTION("GOOGLETRANSLATE(D275)"),"#breaking 消防員在東卡里公寓大樓與大火搏鬥 http://t.co/mIM8hH2ce6")</f>
        <v>#breaking 消防員在東卡里公寓大樓與大火搏鬥 http://t.co/mIM8hH2ce6</v>
      </c>
      <c r="G275" s="4" t="str">
        <f>IFERROR(__xludf.DUMMYFUNCTION("GOOGLETRANSLATE(B275)"),"火焰")</f>
        <v>火焰</v>
      </c>
    </row>
    <row r="276" ht="15.75" customHeight="1">
      <c r="A276" s="4">
        <v>964.0</v>
      </c>
      <c r="B276" s="4" t="s">
        <v>451</v>
      </c>
      <c r="C276" s="4" t="s">
        <v>459</v>
      </c>
      <c r="D276" s="4" t="s">
        <v>460</v>
      </c>
      <c r="E276" s="4">
        <v>1.0</v>
      </c>
      <c r="F276" s="4" t="str">
        <f>IFERROR(__xludf.DUMMYFUNCTION("GOOGLETRANSLATE(D276)"),"#加州野火造成的財產損失幾乎是一週前火災的兩倍：火災Û_ http://t.co/MsdizftZ2g")</f>
        <v>#加州野火造成的財產損失幾乎是一週前火災的兩倍：火災Û_ http://t.co/MsdizftZ2g</v>
      </c>
      <c r="G276" s="4" t="str">
        <f>IFERROR(__xludf.DUMMYFUNCTION("GOOGLETRANSLATE(B276)"),"火焰")</f>
        <v>火焰</v>
      </c>
    </row>
    <row r="277" ht="15.75" customHeight="1">
      <c r="A277" s="4">
        <v>982.0</v>
      </c>
      <c r="B277" s="4" t="s">
        <v>461</v>
      </c>
      <c r="C277" s="4" t="s">
        <v>462</v>
      </c>
      <c r="D277" s="4" t="s">
        <v>463</v>
      </c>
      <c r="E277" s="4">
        <v>1.0</v>
      </c>
      <c r="F277" s="4" t="str">
        <f>IFERROR(__xludf.DUMMYFUNCTION("GOOGLETRANSLATE(D277)"),"蒙哥馬利來是為了炎熱的天氣……留下來是為了性病。又一個被拒絕的城市口號。")</f>
        <v>蒙哥馬利來是為了炎熱的天氣……留下來是為了性病。又一個被拒絕的城市口號。</v>
      </c>
      <c r="G277" s="4" t="str">
        <f>IFERROR(__xludf.DUMMYFUNCTION("GOOGLETRANSLATE(B277)"),"熾烈")</f>
        <v>熾烈</v>
      </c>
    </row>
    <row r="278" ht="15.75" customHeight="1">
      <c r="A278" s="4">
        <v>1040.0</v>
      </c>
      <c r="B278" s="4" t="s">
        <v>464</v>
      </c>
      <c r="C278" s="4" t="s">
        <v>465</v>
      </c>
      <c r="D278" s="4" t="s">
        <v>466</v>
      </c>
      <c r="E278" s="4">
        <v>1.0</v>
      </c>
      <c r="F278" s="4" t="str">
        <f>IFERROR(__xludf.DUMMYFUNCTION("GOOGLETRANSLATE(D278)"),"你可以在我背後捅我一刀，但我保證你會是那個流血的人")</f>
        <v>你可以在我背後捅我一刀，但我保證你會是那個流血的人</v>
      </c>
      <c r="G278" s="4" t="str">
        <f>IFERROR(__xludf.DUMMYFUNCTION("GOOGLETRANSLATE(B278)"),"流血的")</f>
        <v>流血的</v>
      </c>
    </row>
    <row r="279" ht="15.75" customHeight="1">
      <c r="A279" s="4">
        <v>1051.0</v>
      </c>
      <c r="B279" s="4" t="s">
        <v>464</v>
      </c>
      <c r="D279" s="4" t="s">
        <v>467</v>
      </c>
      <c r="E279" s="4">
        <v>1.0</v>
      </c>
      <c r="F279" s="4" t="str">
        <f>IFERROR(__xludf.DUMMYFUNCTION("GOOGLETRANSLATE(D279)"),"我等了 2.5 個小時才叫到計程車 我的腳都流血了")</f>
        <v>我等了 2.5 個小時才叫到計程車 我的腳都流血了</v>
      </c>
      <c r="G279" s="4" t="str">
        <f>IFERROR(__xludf.DUMMYFUNCTION("GOOGLETRANSLATE(B279)"),"流血的")</f>
        <v>流血的</v>
      </c>
    </row>
    <row r="280" ht="15.75" customHeight="1">
      <c r="A280" s="4">
        <v>1061.0</v>
      </c>
      <c r="B280" s="4" t="s">
        <v>464</v>
      </c>
      <c r="C280" s="4" t="s">
        <v>468</v>
      </c>
      <c r="D280" s="4" t="s">
        <v>469</v>
      </c>
      <c r="E280" s="4">
        <v>1.0</v>
      </c>
      <c r="F280" s="4" t="str">
        <f>IFERROR(__xludf.DUMMYFUNCTION("GOOGLETRANSLATE(D280)"),"@KatRamsland 是的，我是一個熱血的自由主義者。")</f>
        <v>@KatRamsland 是的，我是一個熱血的自由主義者。</v>
      </c>
      <c r="G280" s="4" t="str">
        <f>IFERROR(__xludf.DUMMYFUNCTION("GOOGLETRANSLATE(B280)"),"流血的")</f>
        <v>流血的</v>
      </c>
    </row>
    <row r="281" ht="15.75" customHeight="1">
      <c r="A281" s="4">
        <v>1065.0</v>
      </c>
      <c r="B281" s="4" t="s">
        <v>464</v>
      </c>
      <c r="C281" s="4" t="s">
        <v>470</v>
      </c>
      <c r="D281" s="4" t="s">
        <v>471</v>
      </c>
      <c r="E281" s="4">
        <v>1.0</v>
      </c>
      <c r="F281" s="4" t="str">
        <f>IFERROR(__xludf.DUMMYFUNCTION("GOOGLETRANSLATE(D281)"),"@beckyfeigin 當它停止流血時我一定會的！")</f>
        <v>@beckyfeigin 當它停止流血時我一定會的！</v>
      </c>
      <c r="G281" s="4" t="str">
        <f>IFERROR(__xludf.DUMMYFUNCTION("GOOGLETRANSLATE(B281)"),"流血的")</f>
        <v>流血的</v>
      </c>
    </row>
    <row r="282" ht="15.75" customHeight="1">
      <c r="A282" s="4">
        <v>1075.0</v>
      </c>
      <c r="B282" s="4" t="s">
        <v>464</v>
      </c>
      <c r="C282" s="4" t="s">
        <v>472</v>
      </c>
      <c r="D282" s="4" t="s">
        <v>473</v>
      </c>
      <c r="E282" s="4">
        <v>1.0</v>
      </c>
      <c r="F282" s="4" t="str">
        <f>IFERROR(__xludf.DUMMYFUNCTION("GOOGLETRANSLATE(D282)"),"@Benjm1 @TourofUtah @B1Grego 看到電視上連環相撞甚至流血了")</f>
        <v>@Benjm1 @TourofUtah @B1Grego 看到電視上連環相撞甚至流血了</v>
      </c>
      <c r="G282" s="4" t="str">
        <f>IFERROR(__xludf.DUMMYFUNCTION("GOOGLETRANSLATE(B282)"),"流血的")</f>
        <v>流血的</v>
      </c>
    </row>
    <row r="283" ht="15.75" customHeight="1">
      <c r="A283" s="4">
        <v>1085.0</v>
      </c>
      <c r="B283" s="4" t="s">
        <v>474</v>
      </c>
      <c r="D283" s="4" t="s">
        <v>475</v>
      </c>
      <c r="E283" s="4">
        <v>1.0</v>
      </c>
      <c r="F283" s="4" t="str">
        <f>IFERROR(__xludf.DUMMYFUNCTION("GOOGLETRANSLATE(D283)"),"@BenKin97 @Mili_5499 還記得你在一場比賽中以 4-0 領先並輸掉比賽的時候嗎？你可能不會，因為那是在國王贏得獎杯之前")</f>
        <v>@BenKin97 @Mili_5499 還記得你在一場比賽中以 4-0 領先並輸掉比賽的時候嗎？你可能不會，因為那是在國王贏得獎杯之前</v>
      </c>
      <c r="G283" s="4" t="str">
        <f>IFERROR(__xludf.DUMMYFUNCTION("GOOGLETRANSLATE(B283)"),"爆炸%20up")</f>
        <v>爆炸%20up</v>
      </c>
    </row>
    <row r="284" ht="15.75" customHeight="1">
      <c r="A284" s="4">
        <v>1122.0</v>
      </c>
      <c r="B284" s="4" t="s">
        <v>474</v>
      </c>
      <c r="D284" s="4" t="s">
        <v>476</v>
      </c>
      <c r="E284" s="4">
        <v>1.0</v>
      </c>
      <c r="F284" s="4" t="str">
        <f>IFERROR(__xludf.DUMMYFUNCTION("GOOGLETRANSLATE(D284)"),"有其他人看到那個火球落到地球上嗎？看起來就像一架飛機爆炸了。")</f>
        <v>有其他人看到那個火球落到地球上嗎？看起來就像一架飛機爆炸了。</v>
      </c>
      <c r="G284" s="4" t="str">
        <f>IFERROR(__xludf.DUMMYFUNCTION("GOOGLETRANSLATE(B284)"),"爆炸%20up")</f>
        <v>爆炸%20up</v>
      </c>
    </row>
    <row r="285" ht="15.75" customHeight="1">
      <c r="A285" s="4">
        <v>1143.0</v>
      </c>
      <c r="B285" s="4" t="s">
        <v>477</v>
      </c>
      <c r="C285" s="4" t="s">
        <v>478</v>
      </c>
      <c r="D285" s="4" t="s">
        <v>479</v>
      </c>
      <c r="E285" s="4">
        <v>1.0</v>
      </c>
      <c r="F285" s="4" t="str">
        <f>IFERROR(__xludf.DUMMYFUNCTION("GOOGLETRANSLATE(D285)"),"@todd_calfee 所以@mattburgener 想看看你得到的關於枯萎病的信息")</f>
        <v>@todd_calfee 所以@mattburgener 想看看你得到的關於枯萎病的信息</v>
      </c>
      <c r="G285" s="4" t="str">
        <f>IFERROR(__xludf.DUMMYFUNCTION("GOOGLETRANSLATE(B285)"),"枯萎病")</f>
        <v>枯萎病</v>
      </c>
    </row>
    <row r="286" ht="15.75" customHeight="1">
      <c r="A286" s="4">
        <v>1174.0</v>
      </c>
      <c r="B286" s="4" t="s">
        <v>477</v>
      </c>
      <c r="C286" s="4" t="s">
        <v>89</v>
      </c>
      <c r="D286" s="4" t="s">
        <v>480</v>
      </c>
      <c r="E286" s="4">
        <v>1.0</v>
      </c>
      <c r="F286" s="4" t="str">
        <f>IFERROR(__xludf.DUMMYFUNCTION("GOOGLETRANSLATE(D286)"),"#巴勒斯坦#難民悲劇是對人類和人類的災難。每個#Israeli 都應該為與之共存而感到羞恥。 https://t.co/gAAE0nO5du")</f>
        <v>#巴勒斯坦#難民悲劇是對人類和人類的災難。每個#Israeli 都應該為與之共存而感到羞恥。 https://t.co/gAAE0nO5du</v>
      </c>
      <c r="G286" s="4" t="str">
        <f>IFERROR(__xludf.DUMMYFUNCTION("GOOGLETRANSLATE(B286)"),"枯萎病")</f>
        <v>枯萎病</v>
      </c>
    </row>
    <row r="287" ht="15.75" customHeight="1">
      <c r="A287" s="4">
        <v>1190.0</v>
      </c>
      <c r="B287" s="4" t="s">
        <v>481</v>
      </c>
      <c r="C287" s="4" t="s">
        <v>482</v>
      </c>
      <c r="D287" s="4" t="s">
        <v>483</v>
      </c>
      <c r="E287" s="4">
        <v>1.0</v>
      </c>
      <c r="F287" s="4" t="str">
        <f>IFERROR(__xludf.DUMMYFUNCTION("GOOGLETRANSLATE(D287)"),"@Ashayo @MsMiggi 嗨，Ashayo！我相信演示結束後 YouTube 上會有視訊點播，但沒有什麼比現場觀看更好的了:)")</f>
        <v>@Ashayo @MsMiggi 嗨，Ashayo！我相信演示結束後 YouTube 上會有視訊點播，但沒有什麼比現場觀看更好的了:)</v>
      </c>
      <c r="G287" s="4" t="str">
        <f>IFERROR(__xludf.DUMMYFUNCTION("GOOGLETRANSLATE(B287)"),"暴風雪")</f>
        <v>暴風雪</v>
      </c>
    </row>
    <row r="288" ht="15.75" customHeight="1">
      <c r="A288" s="4">
        <v>1195.0</v>
      </c>
      <c r="B288" s="4" t="s">
        <v>481</v>
      </c>
      <c r="C288" s="4" t="s">
        <v>484</v>
      </c>
      <c r="D288" s="4" t="s">
        <v>485</v>
      </c>
      <c r="E288" s="4">
        <v>1.0</v>
      </c>
      <c r="F288" s="4" t="str">
        <f>IFERROR(__xludf.DUMMYFUNCTION("GOOGLETRANSLATE(D288)"),"#Tweet4Taiji 是一個基於迷信的海豚崇拜團體！看看他們的推文就知道了！")</f>
        <v>#Tweet4Taiji 是一個基於迷信的海豚崇拜團體！看看他們的推文就知道了！</v>
      </c>
      <c r="G288" s="4" t="str">
        <f>IFERROR(__xludf.DUMMYFUNCTION("GOOGLETRANSLATE(B288)"),"暴風雪")</f>
        <v>暴風雪</v>
      </c>
    </row>
    <row r="289" ht="15.75" customHeight="1">
      <c r="A289" s="4">
        <v>1214.0</v>
      </c>
      <c r="B289" s="4" t="s">
        <v>481</v>
      </c>
      <c r="C289" s="4" t="s">
        <v>486</v>
      </c>
      <c r="D289" s="4" t="s">
        <v>487</v>
      </c>
      <c r="E289" s="4">
        <v>1.0</v>
      </c>
      <c r="F289" s="4" t="str">
        <f>IFERROR(__xludf.DUMMYFUNCTION("GOOGLETRANSLATE(D289)"),"@BubblyCuteOne ?????????好吧，好吧，好吧，我採取正確的行動......即將迎來這場暴風雪")</f>
        <v>@BubblyCuteOne ?????????好吧，好吧，好吧，我採取正確的行動......即將迎來這場暴風雪</v>
      </c>
      <c r="G289" s="4" t="str">
        <f>IFERROR(__xludf.DUMMYFUNCTION("GOOGLETRANSLATE(B289)"),"暴風雪")</f>
        <v>暴風雪</v>
      </c>
    </row>
    <row r="290" ht="15.75" customHeight="1">
      <c r="A290" s="4">
        <v>1222.0</v>
      </c>
      <c r="B290" s="4" t="s">
        <v>481</v>
      </c>
      <c r="D290" s="4" t="s">
        <v>488</v>
      </c>
      <c r="E290" s="4">
        <v>1.0</v>
      </c>
      <c r="F290" s="4" t="str">
        <f>IFERROR(__xludf.DUMMYFUNCTION("GOOGLETRANSLATE(D290)"),"我稱它為你的暴風雪的一點點？")</f>
        <v>我稱它為你的暴風雪的一點點？</v>
      </c>
      <c r="G290" s="4" t="str">
        <f>IFERROR(__xludf.DUMMYFUNCTION("GOOGLETRANSLATE(B290)"),"暴風雪")</f>
        <v>暴風雪</v>
      </c>
    </row>
    <row r="291" ht="15.75" customHeight="1">
      <c r="A291" s="4">
        <v>1239.0</v>
      </c>
      <c r="B291" s="4" t="s">
        <v>489</v>
      </c>
      <c r="C291" s="4" t="s">
        <v>490</v>
      </c>
      <c r="D291" s="4" t="s">
        <v>491</v>
      </c>
      <c r="E291" s="4">
        <v>1.0</v>
      </c>
      <c r="F291" s="4" t="str">
        <f>IFERROR(__xludf.DUMMYFUNCTION("GOOGLETRANSLATE(D291)"),"那裡有#紋身的人..你是否可以捐血和接受血液？")</f>
        <v>那裡有#紋身的人..你是否可以捐血和接受血液？</v>
      </c>
      <c r="G291" s="4" t="str">
        <f>IFERROR(__xludf.DUMMYFUNCTION("GOOGLETRANSLATE(B291)"),"血")</f>
        <v>血</v>
      </c>
    </row>
    <row r="292" ht="15.75" customHeight="1">
      <c r="A292" s="4">
        <v>1245.0</v>
      </c>
      <c r="B292" s="4" t="s">
        <v>489</v>
      </c>
      <c r="D292" s="4" t="s">
        <v>492</v>
      </c>
      <c r="E292" s="4">
        <v>1.0</v>
      </c>
      <c r="F292" s="4" t="str">
        <f>IFERROR(__xludf.DUMMYFUNCTION("GOOGLETRANSLATE(D292)"),"不敢相信更多 20 多歲的人沒有高血壓。生活壓力很大。 #DecisionsOnDecisions")</f>
        <v>不敢相信更多 20 多歲的人沒有高血壓。生活壓力很大。 #DecisionsOnDecisions</v>
      </c>
      <c r="G292" s="4" t="str">
        <f>IFERROR(__xludf.DUMMYFUNCTION("GOOGLETRANSLATE(B292)"),"血")</f>
        <v>血</v>
      </c>
    </row>
    <row r="293" ht="15.75" customHeight="1">
      <c r="A293" s="4">
        <v>1259.0</v>
      </c>
      <c r="B293" s="4" t="s">
        <v>489</v>
      </c>
      <c r="C293" s="4" t="s">
        <v>493</v>
      </c>
      <c r="D293" s="4" t="s">
        <v>494</v>
      </c>
      <c r="E293" s="4">
        <v>1.0</v>
      </c>
      <c r="F293" s="4" t="str">
        <f>IFERROR(__xludf.DUMMYFUNCTION("GOOGLETRANSLATE(D293)"),"我的血液裡沒有鋤頭")</f>
        <v>我的血液裡沒有鋤頭</v>
      </c>
      <c r="G293" s="4" t="str">
        <f>IFERROR(__xludf.DUMMYFUNCTION("GOOGLETRANSLATE(B293)"),"血")</f>
        <v>血</v>
      </c>
    </row>
    <row r="294" ht="15.75" customHeight="1">
      <c r="A294" s="4">
        <v>1269.0</v>
      </c>
      <c r="B294" s="4" t="s">
        <v>489</v>
      </c>
      <c r="C294" s="4" t="s">
        <v>495</v>
      </c>
      <c r="D294" s="4" t="s">
        <v>496</v>
      </c>
      <c r="E294" s="4">
        <v>1.0</v>
      </c>
      <c r="F294" s="4" t="str">
        <f>IFERROR(__xludf.DUMMYFUNCTION("GOOGLETRANSLATE(D294)"),"私人口渴的夜晚？悲傷的血液搖滾？ #??")</f>
        <v>私人口渴的夜晚？悲傷的血液搖滾？ #??</v>
      </c>
      <c r="G294" s="4" t="str">
        <f>IFERROR(__xludf.DUMMYFUNCTION("GOOGLETRANSLATE(B294)"),"血")</f>
        <v>血</v>
      </c>
    </row>
    <row r="295" ht="15.75" customHeight="1">
      <c r="A295" s="4">
        <v>1277.0</v>
      </c>
      <c r="B295" s="4" t="s">
        <v>489</v>
      </c>
      <c r="C295" s="4" t="s">
        <v>112</v>
      </c>
      <c r="D295" s="4" t="s">
        <v>497</v>
      </c>
      <c r="E295" s="4">
        <v>1.0</v>
      </c>
      <c r="F295" s="4" t="str">
        <f>IFERROR(__xludf.DUMMYFUNCTION("GOOGLETRANSLATE(D295)"),"這不是一個很大的刺，但刺得很深，到處都是血")</f>
        <v>這不是一個很大的刺，但刺得很深，到處都是血</v>
      </c>
      <c r="G295" s="4" t="str">
        <f>IFERROR(__xludf.DUMMYFUNCTION("GOOGLETRANSLATE(B295)"),"血")</f>
        <v>血</v>
      </c>
    </row>
    <row r="296" ht="15.75" customHeight="1">
      <c r="A296" s="4">
        <v>1294.0</v>
      </c>
      <c r="B296" s="4" t="s">
        <v>498</v>
      </c>
      <c r="C296" s="4" t="s">
        <v>499</v>
      </c>
      <c r="D296" s="4" t="s">
        <v>500</v>
      </c>
      <c r="E296" s="4">
        <v>1.0</v>
      </c>
      <c r="F296" s="4" t="str">
        <f>IFERROR(__xludf.DUMMYFUNCTION("GOOGLETRANSLATE(D296)"),"@TradCatKnight (1) 俄羅斯可能有道理，但這個連結是廢話。岡輪是血腥的，主線入侵看起來就像是血腥的")</f>
        <v>@TradCatKnight (1) 俄羅斯可能有道理，但這個連結是廢話。岡輪是血腥的，主線入侵看起來就像是血腥的</v>
      </c>
      <c r="G296" s="4" t="str">
        <f>IFERROR(__xludf.DUMMYFUNCTION("GOOGLETRANSLATE(B296)"),"血腥")</f>
        <v>血腥</v>
      </c>
    </row>
    <row r="297" ht="15.75" customHeight="1">
      <c r="A297" s="4">
        <v>1296.0</v>
      </c>
      <c r="B297" s="4" t="s">
        <v>498</v>
      </c>
      <c r="C297" s="4" t="s">
        <v>501</v>
      </c>
      <c r="D297" s="4" t="s">
        <v>502</v>
      </c>
      <c r="E297" s="4">
        <v>1.0</v>
      </c>
      <c r="F297" s="4" t="str">
        <f>IFERROR(__xludf.DUMMYFUNCTION("GOOGLETRANSLATE(D297)"),"又失眠了！咕嚕！！ ＃失眠")</f>
        <v>又失眠了！咕嚕！！ ＃失眠</v>
      </c>
      <c r="G297" s="4" t="str">
        <f>IFERROR(__xludf.DUMMYFUNCTION("GOOGLETRANSLATE(B297)"),"血腥")</f>
        <v>血腥</v>
      </c>
    </row>
    <row r="298" ht="15.75" customHeight="1">
      <c r="A298" s="4">
        <v>1324.0</v>
      </c>
      <c r="B298" s="4" t="s">
        <v>498</v>
      </c>
      <c r="C298" s="4" t="s">
        <v>503</v>
      </c>
      <c r="D298" s="4" t="s">
        <v>504</v>
      </c>
      <c r="E298" s="4">
        <v>1.0</v>
      </c>
      <c r="F298" s="4" t="str">
        <f>IFERROR(__xludf.DUMMYFUNCTION("GOOGLETRANSLATE(D298)"),"「我是來殺印度人的……為了好玩」：影片中，巴基斯坦殺手傻笑著、冷酷無情，他在吹噓自己。 http://t.co/FPjLwOXKlg")</f>
        <v>「我是來殺印度人的……為了好玩」：影片中，巴基斯坦殺手傻笑著、冷酷無情，他在吹噓自己。 http://t.co/FPjLwOXKlg</v>
      </c>
      <c r="G298" s="4" t="str">
        <f>IFERROR(__xludf.DUMMYFUNCTION("GOOGLETRANSLATE(B298)"),"血腥")</f>
        <v>血腥</v>
      </c>
    </row>
    <row r="299" ht="15.75" customHeight="1">
      <c r="A299" s="4">
        <v>1341.0</v>
      </c>
      <c r="B299" s="4" t="s">
        <v>505</v>
      </c>
      <c r="C299" s="4" t="s">
        <v>506</v>
      </c>
      <c r="D299" s="4" t="s">
        <v>507</v>
      </c>
      <c r="E299" s="4">
        <v>1.0</v>
      </c>
      <c r="F299" s="4" t="str">
        <f>IFERROR(__xludf.DUMMYFUNCTION("GOOGLETRANSLATE(D299)"),"懷特家族（據說代表了美國偉大的價值觀）在一次可怕的 CGI 核打擊中被炸毀......LMFAOOOO!!!!!!!!!!!!")</f>
        <v>懷特家族（據說代表了美國偉大的價值觀）在一次可怕的 CGI 核打擊中被炸毀......LMFAOOOO!!!!!!!!!!!!</v>
      </c>
      <c r="G299" s="4" t="str">
        <f>IFERROR(__xludf.DUMMYFUNCTION("GOOGLETRANSLATE(B299)"),"吹%20up")</f>
        <v>吹%20up</v>
      </c>
    </row>
    <row r="300" ht="15.75" customHeight="1">
      <c r="A300" s="4">
        <v>1346.0</v>
      </c>
      <c r="B300" s="4" t="s">
        <v>505</v>
      </c>
      <c r="C300" s="4" t="s">
        <v>508</v>
      </c>
      <c r="D300" s="4" t="s">
        <v>509</v>
      </c>
      <c r="E300" s="4">
        <v>1.0</v>
      </c>
      <c r="F300" s="4" t="str">
        <f>IFERROR(__xludf.DUMMYFUNCTION("GOOGLETRANSLATE(D300)"),"1862 年#ThisDayInHistory 上，南方聯盟的船隻被船員炸毀。透過@History了解更多http://t.co/IW7ELSzIfZ")</f>
        <v>1862 年#ThisDayInHistory 上，南方聯盟的船隻被船員炸毀。透過@History了解更多http://t.co/IW7ELSzIfZ</v>
      </c>
      <c r="G300" s="4" t="str">
        <f>IFERROR(__xludf.DUMMYFUNCTION("GOOGLETRANSLATE(B300)"),"吹%20up")</f>
        <v>吹%20up</v>
      </c>
    </row>
    <row r="301" ht="15.75" customHeight="1">
      <c r="A301" s="4">
        <v>1349.0</v>
      </c>
      <c r="B301" s="4" t="s">
        <v>505</v>
      </c>
      <c r="C301" s="4" t="s">
        <v>510</v>
      </c>
      <c r="D301" s="4" t="s">
        <v>511</v>
      </c>
      <c r="E301" s="4">
        <v>1.0</v>
      </c>
      <c r="F301" s="4" t="str">
        <f>IFERROR(__xludf.DUMMYFUNCTION("GOOGLETRANSLATE(D301)"),"“如果一卡車士兵被炸死，沒有人會驚慌，但當一隻小獅子死時，每個人都會失去理智”
http://t.co/wjNTaOkdHf")</f>
        <v>“如果一卡車士兵被炸死，沒有人會驚慌，但當一隻小獅子死時，每個人都會失去理智”
http://t.co/wjNTaOkdHf</v>
      </c>
      <c r="G301" s="4" t="str">
        <f>IFERROR(__xludf.DUMMYFUNCTION("GOOGLETRANSLATE(B301)"),"吹%20up")</f>
        <v>吹%20up</v>
      </c>
    </row>
    <row r="302" ht="15.75" customHeight="1">
      <c r="A302" s="4">
        <v>1360.0</v>
      </c>
      <c r="B302" s="4" t="s">
        <v>505</v>
      </c>
      <c r="C302" s="4" t="s">
        <v>512</v>
      </c>
      <c r="D302" s="4" t="s">
        <v>513</v>
      </c>
      <c r="E302" s="4">
        <v>1.0</v>
      </c>
      <c r="F302" s="4" t="str">
        <f>IFERROR(__xludf.DUMMYFUNCTION("GOOGLETRANSLATE(D302)"),"儘管BSG多年來一直對我大肆宣傳，但我不知何故推遲了觀看它，但我完全被徹底震撼了。")</f>
        <v>儘管BSG多年來一直對我大肆宣傳，但我不知何故推遲了觀看它，但我完全被徹底震撼了。</v>
      </c>
      <c r="G302" s="4" t="str">
        <f>IFERROR(__xludf.DUMMYFUNCTION("GOOGLETRANSLATE(B302)"),"吹%20up")</f>
        <v>吹%20up</v>
      </c>
    </row>
    <row r="303" ht="15.75" customHeight="1">
      <c r="A303" s="4">
        <v>1375.0</v>
      </c>
      <c r="B303" s="4" t="s">
        <v>505</v>
      </c>
      <c r="C303" s="4" t="s">
        <v>514</v>
      </c>
      <c r="D303" s="4" t="s">
        <v>515</v>
      </c>
      <c r="E303" s="4">
        <v>1.0</v>
      </c>
      <c r="F303" s="4" t="str">
        <f>IFERROR(__xludf.DUMMYFUNCTION("GOOGLETRANSLATE(D303)"),"@HopefulBatgirl 倒下了，我被毆打並被炸毀。接下來，我知道 Ra Al Ghul 讓我復活了，我逃脫了——")</f>
        <v>@HopefulBatgirl 倒下了，我被毆打並被炸毀。接下來，我知道 Ra Al Ghul 讓我復活了，我逃脫了——</v>
      </c>
      <c r="G303" s="4" t="str">
        <f>IFERROR(__xludf.DUMMYFUNCTION("GOOGLETRANSLATE(B303)"),"吹%20up")</f>
        <v>吹%20up</v>
      </c>
    </row>
    <row r="304" ht="15.75" customHeight="1">
      <c r="A304" s="4">
        <v>1409.0</v>
      </c>
      <c r="B304" s="4" t="s">
        <v>516</v>
      </c>
      <c r="C304" s="4" t="s">
        <v>517</v>
      </c>
      <c r="D304" s="4" t="s">
        <v>518</v>
      </c>
      <c r="E304" s="4">
        <v>1.0</v>
      </c>
      <c r="F304" s="4" t="str">
        <f>IFERROR(__xludf.DUMMYFUNCTION("GOOGLETRANSLATE(D304)"),"??新款女士單肩手提包 #Handbag 人造皮革 Hobo 皮夾斜背包 #Womens http://t.co/zujwUiomb3 http://t.co/iap4LwvqsW")</f>
        <v>??新款女士單肩手提包 #Handbag 人造皮革 Hobo 皮夾斜背包 #Womens http://t.co/zujwUiomb3 http://t.co/iap4LwvqsW</v>
      </c>
      <c r="G304" s="4" t="str">
        <f>IFERROR(__xludf.DUMMYFUNCTION("GOOGLETRANSLATE(B304)"),"本體%20bag")</f>
        <v>本體%20bag</v>
      </c>
    </row>
    <row r="305" ht="15.75" customHeight="1">
      <c r="A305" s="4">
        <v>1433.0</v>
      </c>
      <c r="B305" s="4" t="s">
        <v>519</v>
      </c>
      <c r="C305" s="4" t="s">
        <v>520</v>
      </c>
      <c r="D305" s="4" t="s">
        <v>521</v>
      </c>
      <c r="E305" s="4">
        <v>1.0</v>
      </c>
      <c r="F305" s="4" t="str">
        <f>IFERROR(__xludf.DUMMYFUNCTION("GOOGLETRANSLATE(D305)"),"@fuckyeahcarey @BornVerified 德雷克殺死了這個傢伙，並在此時將屍體裝入袋中")</f>
        <v>@fuckyeahcarey @BornVerified 德雷克殺死了這個傢伙，並在此時將屍體裝入袋中</v>
      </c>
      <c r="G305" s="4" t="str">
        <f>IFERROR(__xludf.DUMMYFUNCTION("GOOGLETRANSLATE(B305)"),"主體%20裝袋")</f>
        <v>主體%20裝袋</v>
      </c>
    </row>
    <row r="306" ht="15.75" customHeight="1">
      <c r="A306" s="4">
        <v>1440.0</v>
      </c>
      <c r="B306" s="4" t="s">
        <v>519</v>
      </c>
      <c r="C306" s="4" t="s">
        <v>522</v>
      </c>
      <c r="D306" s="4" t="s">
        <v>523</v>
      </c>
      <c r="E306" s="4">
        <v>1.0</v>
      </c>
      <c r="F306" s="4" t="str">
        <f>IFERROR(__xludf.DUMMYFUNCTION("GOOGLETRANSLATE(D306)"),"@Yankees 身體裝袋 mfs")</f>
        <v>@Yankees 身體裝袋 mfs</v>
      </c>
      <c r="G306" s="4" t="str">
        <f>IFERROR(__xludf.DUMMYFUNCTION("GOOGLETRANSLATE(B306)"),"主體%20裝袋")</f>
        <v>主體%20裝袋</v>
      </c>
    </row>
    <row r="307" ht="15.75" customHeight="1">
      <c r="A307" s="4">
        <v>1458.0</v>
      </c>
      <c r="B307" s="4" t="s">
        <v>519</v>
      </c>
      <c r="C307" s="4" t="s">
        <v>524</v>
      </c>
      <c r="D307" s="4" t="s">
        <v>525</v>
      </c>
      <c r="E307" s="4">
        <v>1.0</v>
      </c>
      <c r="F307" s="4" t="str">
        <f>IFERROR(__xludf.DUMMYFUNCTION("GOOGLETRANSLATE(D307)"),"「我又做了一件，我又做了一件。你還沒對另一個人做過什麼。黑鬼身體裝袋溫順。")</f>
        <v>「我又做了一件，我又做了一件。你還沒對另一個人做過什麼。黑鬼身體裝袋溫順。</v>
      </c>
      <c r="G307" s="4" t="str">
        <f>IFERROR(__xludf.DUMMYFUNCTION("GOOGLETRANSLATE(B307)"),"主體%20裝袋")</f>
        <v>主體%20裝袋</v>
      </c>
    </row>
    <row r="308" ht="15.75" customHeight="1">
      <c r="A308" s="4">
        <v>1473.0</v>
      </c>
      <c r="B308" s="4" t="s">
        <v>519</v>
      </c>
      <c r="D308" s="4" t="s">
        <v>526</v>
      </c>
      <c r="E308" s="4">
        <v>1.0</v>
      </c>
      <c r="F308" s="4" t="str">
        <f>IFERROR(__xludf.DUMMYFUNCTION("GOOGLETRANSLATE(D308)"),"ÛÏ@MacDaddy_Leo：??????無需字幕？ ？。新生...http://t.co/k8ughv2aifÛ我的黑鬼史黛西身體裝袋黑鬼！ ????")</f>
        <v>ÛÏ@MacDaddy_Leo：??????無需字幕？ ？。新生...http://t.co/k8ughv2aifÛ我的黑鬼史黛西身體裝袋黑鬼！ ????</v>
      </c>
      <c r="G308" s="4" t="str">
        <f>IFERROR(__xludf.DUMMYFUNCTION("GOOGLETRANSLATE(B308)"),"主體%20裝袋")</f>
        <v>主體%20裝袋</v>
      </c>
    </row>
    <row r="309" ht="15.75" customHeight="1">
      <c r="A309" s="4">
        <v>1474.0</v>
      </c>
      <c r="B309" s="4" t="s">
        <v>519</v>
      </c>
      <c r="C309" s="4" t="s">
        <v>527</v>
      </c>
      <c r="D309" s="4" t="s">
        <v>528</v>
      </c>
      <c r="E309" s="4">
        <v>1.0</v>
      </c>
      <c r="F309" s="4" t="str">
        <f>IFERROR(__xludf.DUMMYFUNCTION("GOOGLETRANSLATE(D309)"),"奧布里真的在這裡對米克進行身體包裝。")</f>
        <v>奧布里真的在這裡對米克進行身體包裝。</v>
      </c>
      <c r="G309" s="4" t="str">
        <f>IFERROR(__xludf.DUMMYFUNCTION("GOOGLETRANSLATE(B309)"),"主體%20裝袋")</f>
        <v>主體%20裝袋</v>
      </c>
    </row>
    <row r="310" ht="15.75" customHeight="1">
      <c r="A310" s="4">
        <v>1479.0</v>
      </c>
      <c r="B310" s="4" t="s">
        <v>529</v>
      </c>
      <c r="C310" s="4" t="s">
        <v>530</v>
      </c>
      <c r="D310" s="4" t="s">
        <v>531</v>
      </c>
      <c r="E310" s="4">
        <v>1.0</v>
      </c>
      <c r="F310" s="4" t="str">
        <f>IFERROR(__xludf.DUMMYFUNCTION("GOOGLETRANSLATE(D310)"),"@FoxNews @JenGriffinFNC 當你打電話報告危險活動時，告訴他們在抵達時準備好屍袋。")</f>
        <v>@FoxNews @JenGriffinFNC 當你打電話報告危險活動時，告訴他們在抵達時準備好屍袋。</v>
      </c>
      <c r="G310" s="4" t="str">
        <f>IFERROR(__xludf.DUMMYFUNCTION("GOOGLETRANSLATE(B310)"),"本體%20袋")</f>
        <v>本體%20袋</v>
      </c>
    </row>
    <row r="311" ht="15.75" customHeight="1">
      <c r="A311" s="4">
        <v>1532.0</v>
      </c>
      <c r="B311" s="4" t="s">
        <v>532</v>
      </c>
      <c r="C311" s="4" t="s">
        <v>533</v>
      </c>
      <c r="D311" s="4" t="s">
        <v>534</v>
      </c>
      <c r="E311" s="4">
        <v>1.0</v>
      </c>
      <c r="F311" s="4" t="str">
        <f>IFERROR(__xludf.DUMMYFUNCTION("GOOGLETRANSLATE(D311)"),"the_af 對「日本在二戰末期製造原子彈的努力的新證據」發表評論 - http://t.co/hcTxghR2Yf")</f>
        <v>the_af 對「日本在二戰末期製造原子彈的努力的新證據」發表評論 - http://t.co/hcTxghR2Yf</v>
      </c>
      <c r="G311" s="4" t="str">
        <f>IFERROR(__xludf.DUMMYFUNCTION("GOOGLETRANSLATE(B311)"),"炸彈")</f>
        <v>炸彈</v>
      </c>
    </row>
    <row r="312" ht="15.75" customHeight="1">
      <c r="A312" s="4">
        <v>1534.0</v>
      </c>
      <c r="B312" s="4" t="s">
        <v>532</v>
      </c>
      <c r="C312" s="4" t="s">
        <v>535</v>
      </c>
      <c r="D312" s="4" t="s">
        <v>536</v>
      </c>
      <c r="E312" s="4">
        <v>1.0</v>
      </c>
      <c r="F312" s="4" t="str">
        <f>IFERROR(__xludf.DUMMYFUNCTION("GOOGLETRANSLATE(D312)"),"廣島準備紀念原子彈投下的那一天 http://t.co/oJHCGZXLSt")</f>
        <v>廣島準備紀念原子彈投下的那一天 http://t.co/oJHCGZXLSt</v>
      </c>
      <c r="G312" s="4" t="str">
        <f>IFERROR(__xludf.DUMMYFUNCTION("GOOGLETRANSLATE(B312)"),"炸彈")</f>
        <v>炸彈</v>
      </c>
    </row>
    <row r="313" ht="15.75" customHeight="1">
      <c r="A313" s="4">
        <v>1535.0</v>
      </c>
      <c r="B313" s="4" t="s">
        <v>532</v>
      </c>
      <c r="D313" s="4" t="s">
        <v>537</v>
      </c>
      <c r="E313" s="4">
        <v>1.0</v>
      </c>
      <c r="F313" s="4" t="str">
        <f>IFERROR(__xludf.DUMMYFUNCTION("GOOGLETRANSLATE(D313)"),"衛報對廣島遺產的看法：仍處於原子彈的陰影之下社論：世界渴望... http://t.co/RhxMGhsPd7")</f>
        <v>衛報對廣島遺產的看法：仍處於原子彈的陰影之下社論：世界渴望... http://t.co/RhxMGhsPd7</v>
      </c>
      <c r="G313" s="4" t="str">
        <f>IFERROR(__xludf.DUMMYFUNCTION("GOOGLETRANSLATE(B313)"),"炸彈")</f>
        <v>炸彈</v>
      </c>
    </row>
    <row r="314" ht="15.75" customHeight="1">
      <c r="A314" s="4">
        <v>1545.0</v>
      </c>
      <c r="B314" s="4" t="s">
        <v>532</v>
      </c>
      <c r="C314" s="4" t="s">
        <v>54</v>
      </c>
      <c r="D314" s="4" t="s">
        <v>538</v>
      </c>
      <c r="E314" s="4">
        <v>1.0</v>
      </c>
      <c r="F314" s="4" t="str">
        <f>IFERROR(__xludf.DUMMYFUNCTION("GOOGLETRANSLATE(D314)"),"發現指向日本二戰原子彈計畫的新文件 http://t.co/IucPcSfbMT")</f>
        <v>發現指向日本二戰原子彈計畫的新文件 http://t.co/IucPcSfbMT</v>
      </c>
      <c r="G314" s="4" t="str">
        <f>IFERROR(__xludf.DUMMYFUNCTION("GOOGLETRANSLATE(B314)"),"炸彈")</f>
        <v>炸彈</v>
      </c>
    </row>
    <row r="315" ht="15.75" customHeight="1">
      <c r="A315" s="4">
        <v>1549.0</v>
      </c>
      <c r="B315" s="4" t="s">
        <v>532</v>
      </c>
      <c r="D315" s="4" t="s">
        <v>539</v>
      </c>
      <c r="E315" s="4">
        <v>1.0</v>
      </c>
      <c r="F315" s="4" t="str">
        <f>IFERROR(__xludf.DUMMYFUNCTION("GOOGLETRANSLATE(D315)"),"@smallforestelf 嗯，因為一把槍阻止了攜帶炸彈的槍手！")</f>
        <v>@smallforestelf 嗯，因為一把槍阻止了攜帶炸彈的槍手！</v>
      </c>
      <c r="G315" s="4" t="str">
        <f>IFERROR(__xludf.DUMMYFUNCTION("GOOGLETRANSLATE(B315)"),"炸彈")</f>
        <v>炸彈</v>
      </c>
    </row>
    <row r="316" ht="15.75" customHeight="1">
      <c r="A316" s="4">
        <v>1554.0</v>
      </c>
      <c r="B316" s="4" t="s">
        <v>532</v>
      </c>
      <c r="D316" s="4" t="s">
        <v>540</v>
      </c>
      <c r="E316" s="4">
        <v>1.0</v>
      </c>
      <c r="F316" s="4" t="str">
        <f>IFERROR(__xludf.DUMMYFUNCTION("GOOGLETRANSLATE(D316)"),"發現指向日本二戰原子彈計劃的新文件 http://t.co/M9mowCMVNj")</f>
        <v>發現指向日本二戰原子彈計劃的新文件 http://t.co/M9mowCMVNj</v>
      </c>
      <c r="G316" s="4" t="str">
        <f>IFERROR(__xludf.DUMMYFUNCTION("GOOGLETRANSLATE(B316)"),"炸彈")</f>
        <v>炸彈</v>
      </c>
    </row>
    <row r="317" ht="15.75" customHeight="1">
      <c r="A317" s="4">
        <v>1555.0</v>
      </c>
      <c r="B317" s="4" t="s">
        <v>532</v>
      </c>
      <c r="D317" s="4" t="s">
        <v>541</v>
      </c>
      <c r="E317" s="4">
        <v>1.0</v>
      </c>
      <c r="F317" s="4" t="str">
        <f>IFERROR(__xludf.DUMMYFUNCTION("GOOGLETRANSLATE(D317)"),"廣島紀念原子彈爆炸 70 週年 http://t.co/3u6MDLk7dI")</f>
        <v>廣島紀念原子彈爆炸 70 週年 http://t.co/3u6MDLk7dI</v>
      </c>
      <c r="G317" s="4" t="str">
        <f>IFERROR(__xludf.DUMMYFUNCTION("GOOGLETRANSLATE(B317)"),"炸彈")</f>
        <v>炸彈</v>
      </c>
    </row>
    <row r="318" ht="15.75" customHeight="1">
      <c r="A318" s="4">
        <v>1556.0</v>
      </c>
      <c r="B318" s="4" t="s">
        <v>532</v>
      </c>
      <c r="C318" s="4" t="s">
        <v>542</v>
      </c>
      <c r="D318" s="4" t="s">
        <v>543</v>
      </c>
      <c r="E318" s="4">
        <v>1.0</v>
      </c>
      <c r="F318" s="4" t="str">
        <f>IFERROR(__xludf.DUMMYFUNCTION("GOOGLETRANSLATE(D318)"),"#EnolaGay 上的船員已解除了船上核彈的武裝。距離 #Hiroshima 15 分鐘，他們準備武裝小男孩 http://t.co/JB25fHKe6q")</f>
        <v>#EnolaGay 上的船員已解除了船上核彈的武裝。距離 #Hiroshima 15 分鐘，他們準備武裝小男孩 http://t.co/JB25fHKe6q</v>
      </c>
      <c r="G318" s="4" t="str">
        <f>IFERROR(__xludf.DUMMYFUNCTION("GOOGLETRANSLATE(B318)"),"炸彈")</f>
        <v>炸彈</v>
      </c>
    </row>
    <row r="319" ht="15.75" customHeight="1">
      <c r="A319" s="4">
        <v>1560.0</v>
      </c>
      <c r="B319" s="4" t="s">
        <v>532</v>
      </c>
      <c r="C319" s="4" t="s">
        <v>544</v>
      </c>
      <c r="D319" s="4" t="s">
        <v>545</v>
      </c>
      <c r="E319" s="4">
        <v>1.0</v>
      </c>
      <c r="F319" s="4" t="str">
        <f>IFERROR(__xludf.DUMMYFUNCTION("GOOGLETRANSLATE(D319)"),"如果我摔倒了，上帝@Praiz8 就是 d 炸彈，自從 2008 年以來一直都知道更大，我祈禱先生")</f>
        <v>如果我摔倒了，上帝@Praiz8 就是 d 炸彈，自從 2008 年以來一直都知道更大，我祈禱先生</v>
      </c>
      <c r="G319" s="4" t="str">
        <f>IFERROR(__xludf.DUMMYFUNCTION("GOOGLETRANSLATE(B319)"),"炸彈")</f>
        <v>炸彈</v>
      </c>
    </row>
    <row r="320" ht="15.75" customHeight="1">
      <c r="A320" s="4">
        <v>1561.0</v>
      </c>
      <c r="B320" s="4" t="s">
        <v>532</v>
      </c>
      <c r="C320" s="4" t="s">
        <v>546</v>
      </c>
      <c r="D320" s="4" t="s">
        <v>547</v>
      </c>
      <c r="E320" s="4">
        <v>1.0</v>
      </c>
      <c r="F320" s="4" t="str">
        <f>IFERROR(__xludf.DUMMYFUNCTION("GOOGLETRANSLATE(D320)"),"我想出了一個關於沐浴炸彈香水概念的想法，名為《敵人之血》。所以你可以說這就是你洗澡的地方。")</f>
        <v>我想出了一個關於沐浴炸彈香水概念的想法，名為《敵人之血》。所以你可以說這就是你洗澡的地方。</v>
      </c>
      <c r="G320" s="4" t="str">
        <f>IFERROR(__xludf.DUMMYFUNCTION("GOOGLETRANSLATE(B320)"),"炸彈")</f>
        <v>炸彈</v>
      </c>
    </row>
    <row r="321" ht="15.75" customHeight="1">
      <c r="A321" s="4">
        <v>1567.0</v>
      </c>
      <c r="B321" s="4" t="s">
        <v>532</v>
      </c>
      <c r="C321" s="4" t="s">
        <v>548</v>
      </c>
      <c r="D321" s="4" t="s">
        <v>549</v>
      </c>
      <c r="E321" s="4">
        <v>1.0</v>
      </c>
      <c r="F321" s="4" t="str">
        <f>IFERROR(__xludf.DUMMYFUNCTION("GOOGLETRANSLATE(D321)"),"@SwellyJetEvo 迪士尼樂園！炸玉米餅裡有炸彈！")</f>
        <v>@SwellyJetEvo 迪士尼樂園！炸玉米餅裡有炸彈！</v>
      </c>
      <c r="G321" s="4" t="str">
        <f>IFERROR(__xludf.DUMMYFUNCTION("GOOGLETRANSLATE(B321)"),"炸彈")</f>
        <v>炸彈</v>
      </c>
    </row>
    <row r="322" ht="15.75" customHeight="1">
      <c r="A322" s="4">
        <v>1569.0</v>
      </c>
      <c r="B322" s="4" t="s">
        <v>532</v>
      </c>
      <c r="D322" s="4" t="s">
        <v>550</v>
      </c>
      <c r="E322" s="4">
        <v>1.0</v>
      </c>
      <c r="F322" s="4" t="str">
        <f>IFERROR(__xludf.DUMMYFUNCTION("GOOGLETRANSLATE(D322)"),"如果廣島原子彈攻擊底特律會是什麼樣子？：週四是美國成立 70 週年…http://t.co/6sy44kyYsD")</f>
        <v>如果廣島原子彈攻擊底特律會是什麼樣子？：週四是美國成立 70 週年…http://t.co/6sy44kyYsD</v>
      </c>
      <c r="G322" s="4" t="str">
        <f>IFERROR(__xludf.DUMMYFUNCTION("GOOGLETRANSLATE(B322)"),"炸彈")</f>
        <v>炸彈</v>
      </c>
    </row>
    <row r="323" ht="15.75" customHeight="1">
      <c r="A323" s="4">
        <v>1573.0</v>
      </c>
      <c r="B323" s="4" t="s">
        <v>532</v>
      </c>
      <c r="D323" s="4" t="s">
        <v>551</v>
      </c>
      <c r="E323" s="4">
        <v>1.0</v>
      </c>
      <c r="F323" s="4" t="str">
        <f>IFERROR(__xludf.DUMMYFUNCTION("GOOGLETRANSLATE(D323)"),"持斧頭的槍手身上有胡椒噴霧和假炸彈？！？！？")</f>
        <v>持斧頭的槍手身上有胡椒噴霧和假炸彈？！？！？</v>
      </c>
      <c r="G323" s="4" t="str">
        <f>IFERROR(__xludf.DUMMYFUNCTION("GOOGLETRANSLATE(B323)"),"炸彈")</f>
        <v>炸彈</v>
      </c>
    </row>
    <row r="324" ht="15.75" customHeight="1">
      <c r="A324" s="4">
        <v>1574.0</v>
      </c>
      <c r="B324" s="4" t="s">
        <v>532</v>
      </c>
      <c r="C324" s="4" t="s">
        <v>552</v>
      </c>
      <c r="D324" s="4" t="s">
        <v>553</v>
      </c>
      <c r="E324" s="4">
        <v>1.0</v>
      </c>
      <c r="F324" s="4" t="str">
        <f>IFERROR(__xludf.DUMMYFUNCTION("GOOGLETRANSLATE(D324)"),"哎呀。
H 彈在距離沖繩海岸 70 英哩的地方遺失。
1965年從船上墜落。
http://t.co/yVsJyzwxJR")</f>
        <v>哎呀。
H 彈在距離沖繩海岸 70 英哩的地方遺失。
1965年從船上墜落。
http://t.co/yVsJyzwxJR</v>
      </c>
      <c r="G324" s="4" t="str">
        <f>IFERROR(__xludf.DUMMYFUNCTION("GOOGLETRANSLATE(B324)"),"炸彈")</f>
        <v>炸彈</v>
      </c>
    </row>
    <row r="325" ht="15.75" customHeight="1">
      <c r="A325" s="4">
        <v>1575.0</v>
      </c>
      <c r="B325" s="4" t="s">
        <v>532</v>
      </c>
      <c r="D325" s="4" t="s">
        <v>554</v>
      </c>
      <c r="E325" s="4">
        <v>1.0</v>
      </c>
      <c r="F325" s="4" t="str">
        <f>IFERROR(__xludf.DUMMYFUNCTION("GOOGLETRANSLATE(D325)"),"衛報對廣島遺產的看法：仍處於原子彈的陰影之下社論：世界渴望... http://t.co/ct2JUtvYTg")</f>
        <v>衛報對廣島遺產的看法：仍處於原子彈的陰影之下社論：世界渴望... http://t.co/ct2JUtvYTg</v>
      </c>
      <c r="G325" s="4" t="str">
        <f>IFERROR(__xludf.DUMMYFUNCTION("GOOGLETRANSLATE(B325)"),"炸彈")</f>
        <v>炸彈</v>
      </c>
    </row>
    <row r="326" ht="15.75" customHeight="1">
      <c r="A326" s="4">
        <v>1582.0</v>
      </c>
      <c r="B326" s="4" t="s">
        <v>555</v>
      </c>
      <c r="D326" s="4" t="s">
        <v>556</v>
      </c>
      <c r="E326" s="4">
        <v>1.0</v>
      </c>
      <c r="F326" s="4" t="str">
        <f>IFERROR(__xludf.DUMMYFUNCTION("GOOGLETRANSLATE(D326)"),"@SweetieBirks @mirrorlady2 @SLATUKIP 那麼，列出過去 5 年來我們入侵/轟炸的所有國家，除了北非的利比亞...")</f>
        <v>@SweetieBirks @mirrorlady2 @SLATUKIP 那麼，列出過去 5 年來我們入侵/轟炸的所有國家，除了北非的利比亞...</v>
      </c>
      <c r="G326" s="4" t="str">
        <f>IFERROR(__xludf.DUMMYFUNCTION("GOOGLETRANSLATE(B326)"),"被轟炸")</f>
        <v>被轟炸</v>
      </c>
    </row>
    <row r="327" ht="15.75" customHeight="1">
      <c r="A327" s="4">
        <v>1585.0</v>
      </c>
      <c r="B327" s="4" t="s">
        <v>555</v>
      </c>
      <c r="C327" s="4" t="s">
        <v>291</v>
      </c>
      <c r="D327" s="4" t="s">
        <v>557</v>
      </c>
      <c r="E327" s="4">
        <v>1.0</v>
      </c>
      <c r="F327" s="4" t="str">
        <f>IFERROR(__xludf.DUMMYFUNCTION("GOOGLETRANSLATE(D327)"),"70年前的今天，美國轟炸了廣島。看看戰爭以來發生的變化：http://t.co/UQnj6nk9y3 http://t.co/QLnnMxzFqK")</f>
        <v>70年前的今天，美國轟炸了廣島。看看戰爭以來發生的變化：http://t.co/UQnj6nk9y3 http://t.co/QLnnMxzFqK</v>
      </c>
      <c r="G327" s="4" t="str">
        <f>IFERROR(__xludf.DUMMYFUNCTION("GOOGLETRANSLATE(B327)"),"被轟炸")</f>
        <v>被轟炸</v>
      </c>
    </row>
    <row r="328" ht="15.75" customHeight="1">
      <c r="A328" s="4">
        <v>1590.0</v>
      </c>
      <c r="B328" s="4" t="s">
        <v>555</v>
      </c>
      <c r="C328" s="4" t="s">
        <v>558</v>
      </c>
      <c r="D328" s="4" t="s">
        <v>559</v>
      </c>
      <c r="E328" s="4">
        <v>1.0</v>
      </c>
      <c r="F328" s="4" t="str">
        <f>IFERROR(__xludf.DUMMYFUNCTION("GOOGLETRANSLATE(D328)"),"美國無人機從土耳其起飛後轟炸了敘利亞的伊斯蘭國目標：一架美國武裝無人機轟炸了一個目標...http://t.co/m0daP5xLwo")</f>
        <v>美國無人機從土耳其起飛後轟炸了敘利亞的伊斯蘭國目標：一架美國武裝無人機轟炸了一個目標...http://t.co/m0daP5xLwo</v>
      </c>
      <c r="G328" s="4" t="str">
        <f>IFERROR(__xludf.DUMMYFUNCTION("GOOGLETRANSLATE(B328)"),"被轟炸")</f>
        <v>被轟炸</v>
      </c>
    </row>
    <row r="329" ht="15.75" customHeight="1">
      <c r="A329" s="4">
        <v>1591.0</v>
      </c>
      <c r="B329" s="4" t="s">
        <v>555</v>
      </c>
      <c r="C329" s="4" t="s">
        <v>560</v>
      </c>
      <c r="D329" s="4" t="s">
        <v>561</v>
      </c>
      <c r="E329" s="4">
        <v>1.0</v>
      </c>
      <c r="F329" s="4" t="str">
        <f>IFERROR(__xludf.DUMMYFUNCTION("GOOGLETRANSLATE(D329)"),"@CyhiThePrynce 在 #ElephantInTheRoom 中對 Kanye 進行了轟炸?????????")</f>
        <v>@CyhiThePrynce 在 #ElephantInTheRoom 中對 Kanye 進行了轟炸?????????</v>
      </c>
      <c r="G329" s="4" t="str">
        <f>IFERROR(__xludf.DUMMYFUNCTION("GOOGLETRANSLATE(B329)"),"被轟炸")</f>
        <v>被轟炸</v>
      </c>
    </row>
    <row r="330" ht="15.75" customHeight="1">
      <c r="A330" s="4">
        <v>1593.0</v>
      </c>
      <c r="B330" s="4" t="s">
        <v>555</v>
      </c>
      <c r="D330" s="4" t="s">
        <v>562</v>
      </c>
      <c r="E330" s="4">
        <v>1.0</v>
      </c>
      <c r="F330" s="4" t="str">
        <f>IFERROR(__xludf.DUMMYFUNCTION("GOOGLETRANSLATE(D330)"),"飛機首先轟炸了該市的主要街道，然後急劇墜落，大部分受害者是地面平民")</f>
        <v>飛機首先轟炸了該市的主要街道，然後急劇墜落，大部分受害者是地面平民</v>
      </c>
      <c r="G330" s="4" t="str">
        <f>IFERROR(__xludf.DUMMYFUNCTION("GOOGLETRANSLATE(B330)"),"被轟炸")</f>
        <v>被轟炸</v>
      </c>
    </row>
    <row r="331" ht="15.75" customHeight="1">
      <c r="A331" s="4">
        <v>1594.0</v>
      </c>
      <c r="B331" s="4" t="s">
        <v>555</v>
      </c>
      <c r="C331" s="4" t="s">
        <v>563</v>
      </c>
      <c r="D331" s="4" t="s">
        <v>564</v>
      </c>
      <c r="E331" s="4">
        <v>1.0</v>
      </c>
      <c r="F331" s="4" t="str">
        <f>IFERROR(__xludf.DUMMYFUNCTION("GOOGLETRANSLATE(D331)"),"70年前的這個時候，美國對廣島進行了原子彈轟炸，造成20萬平民死亡。永遠不要忘記罪行，永遠不要重蹈覆轍。和平 ？？")</f>
        <v>70年前的這個時候，美國對廣島進行了原子彈轟炸，造成20萬平民死亡。永遠不要忘記罪行，永遠不要重蹈覆轍。和平 ？？</v>
      </c>
      <c r="G331" s="4" t="str">
        <f>IFERROR(__xludf.DUMMYFUNCTION("GOOGLETRANSLATE(B331)"),"被轟炸")</f>
        <v>被轟炸</v>
      </c>
    </row>
    <row r="332" ht="15.75" customHeight="1">
      <c r="A332" s="4">
        <v>1595.0</v>
      </c>
      <c r="B332" s="4" t="s">
        <v>555</v>
      </c>
      <c r="C332" s="4" t="s">
        <v>565</v>
      </c>
      <c r="D332" s="4" t="s">
        <v>566</v>
      </c>
      <c r="E332" s="4">
        <v>1.0</v>
      </c>
      <c r="F332" s="4" t="str">
        <f>IFERROR(__xludf.DUMMYFUNCTION("GOOGLETRANSLATE(D332)"),"8 月 1 日#土耳其戰機轟炸了 Qendil 的 Zergele 村，造成 8 名平民死亡，另有 15 人受傷")</f>
        <v>8 月 1 日#土耳其戰機轟炸了 Qendil 的 Zergele 村，造成 8 名平民死亡，另有 15 人受傷</v>
      </c>
      <c r="G332" s="4" t="str">
        <f>IFERROR(__xludf.DUMMYFUNCTION("GOOGLETRANSLATE(B332)"),"被轟炸")</f>
        <v>被轟炸</v>
      </c>
    </row>
    <row r="333" ht="15.75" customHeight="1">
      <c r="A333" s="4">
        <v>1596.0</v>
      </c>
      <c r="B333" s="4" t="s">
        <v>555</v>
      </c>
      <c r="C333" s="4" t="s">
        <v>567</v>
      </c>
      <c r="D333" s="4" t="s">
        <v>568</v>
      </c>
      <c r="E333" s="4">
        <v>1.0</v>
      </c>
      <c r="F333" s="4" t="str">
        <f>IFERROR(__xludf.DUMMYFUNCTION("GOOGLETRANSLATE(D333)"),"@NickLee8 我在被炸毀的倫敦東區上學，3個家庭住在一棟房子裡，廁所外面沒有浴室。可憐那你的意思是什麼")</f>
        <v>@NickLee8 我在被炸毀的倫敦東區上學，3個家庭住在一棟房子裡，廁所外面沒有浴室。可憐那你的意思是什麼</v>
      </c>
      <c r="G333" s="4" t="str">
        <f>IFERROR(__xludf.DUMMYFUNCTION("GOOGLETRANSLATE(B333)"),"被轟炸")</f>
        <v>被轟炸</v>
      </c>
    </row>
    <row r="334" ht="15.75" customHeight="1">
      <c r="A334" s="4">
        <v>1600.0</v>
      </c>
      <c r="B334" s="4" t="s">
        <v>555</v>
      </c>
      <c r="C334" s="4" t="s">
        <v>569</v>
      </c>
      <c r="D334" s="4" t="s">
        <v>570</v>
      </c>
      <c r="E334" s="4">
        <v>1.0</v>
      </c>
      <c r="F334" s="4" t="str">
        <f>IFERROR(__xludf.DUMMYFUNCTION("GOOGLETRANSLATE(D334)"),"《第三代原子彈爆炸倖存者》攝影展8月6日11:00至18:00。
#?? #廣島http://t.co/gVAipmLSl0")</f>
        <v>《第三代原子彈爆炸倖存者》攝影展8月6日11:00至18:00。
#?? #廣島http://t.co/gVAipmLSl0</v>
      </c>
      <c r="G334" s="4" t="str">
        <f>IFERROR(__xludf.DUMMYFUNCTION("GOOGLETRANSLATE(B334)"),"被轟炸")</f>
        <v>被轟炸</v>
      </c>
    </row>
    <row r="335" ht="15.75" customHeight="1">
      <c r="A335" s="4">
        <v>1603.0</v>
      </c>
      <c r="B335" s="4" t="s">
        <v>555</v>
      </c>
      <c r="C335" s="4" t="s">
        <v>571</v>
      </c>
      <c r="D335" s="4" t="s">
        <v>572</v>
      </c>
      <c r="E335" s="4">
        <v>1.0</v>
      </c>
      <c r="F335" s="4" t="str">
        <f>IFERROR(__xludf.DUMMYFUNCTION("GOOGLETRANSLATE(D335)"),"暗影烈焰與幽靈：轟炸 http://t.co/LDBaO0rSuz 來自 @amazon")</f>
        <v>暗影烈焰與幽靈：轟炸 http://t.co/LDBaO0rSuz 來自 @amazon</v>
      </c>
      <c r="G335" s="4" t="str">
        <f>IFERROR(__xludf.DUMMYFUNCTION("GOOGLETRANSLATE(B335)"),"被轟炸")</f>
        <v>被轟炸</v>
      </c>
    </row>
    <row r="336" ht="15.75" customHeight="1">
      <c r="A336" s="4">
        <v>1604.0</v>
      </c>
      <c r="B336" s="4" t="s">
        <v>555</v>
      </c>
      <c r="C336" s="4" t="s">
        <v>573</v>
      </c>
      <c r="D336" s="4" t="s">
        <v>574</v>
      </c>
      <c r="E336" s="4">
        <v>1.0</v>
      </c>
      <c r="F336" s="4" t="str">
        <f>IFERROR(__xludf.DUMMYFUNCTION("GOOGLETRANSLATE(D336)"),"@WhiteHouse @POTUS 只是因為德國入侵波蘭 日本轟炸珍珠港 先發制人自殺 http://t.co/I2AAG6Lp6W")</f>
        <v>@WhiteHouse @POTUS 只是因為德國入侵波蘭 日本轟炸珍珠港 先發制人自殺 http://t.co/I2AAG6Lp6W</v>
      </c>
      <c r="G336" s="4" t="str">
        <f>IFERROR(__xludf.DUMMYFUNCTION("GOOGLETRANSLATE(B336)"),"被轟炸")</f>
        <v>被轟炸</v>
      </c>
    </row>
    <row r="337" ht="15.75" customHeight="1">
      <c r="A337" s="4">
        <v>1610.0</v>
      </c>
      <c r="B337" s="4" t="s">
        <v>555</v>
      </c>
      <c r="C337" s="4" t="s">
        <v>575</v>
      </c>
      <c r="D337" s="4" t="s">
        <v>576</v>
      </c>
      <c r="E337" s="4">
        <v>1.0</v>
      </c>
      <c r="F337" s="4" t="str">
        <f>IFERROR(__xludf.DUMMYFUNCTION("GOOGLETRANSLATE(D337)"),"http://t.co/wMNOnHxEIr “長崎永遠是最後一個被核武轟炸的城市。” #bannukes")</f>
        <v>http://t.co/wMNOnHxEIr “長崎永遠是最後一個被核武轟炸的城市。” #bannukes</v>
      </c>
      <c r="G337" s="4" t="str">
        <f>IFERROR(__xludf.DUMMYFUNCTION("GOOGLETRANSLATE(B337)"),"被轟炸")</f>
        <v>被轟炸</v>
      </c>
    </row>
    <row r="338" ht="15.75" customHeight="1">
      <c r="A338" s="4">
        <v>1614.0</v>
      </c>
      <c r="B338" s="4" t="s">
        <v>555</v>
      </c>
      <c r="C338" s="4" t="s">
        <v>577</v>
      </c>
      <c r="D338" s="4" t="s">
        <v>578</v>
      </c>
      <c r="E338" s="4">
        <v>1.0</v>
      </c>
      <c r="F338" s="4" t="str">
        <f>IFERROR(__xludf.DUMMYFUNCTION("GOOGLETRANSLATE(D338)"),".@Vagersedolla 訪問最近被土耳其轟炸的村莊，發現人們厭倦了庫德工人黨 http://t.co/UUWEiKD7sP")</f>
        <v>.@Vagersedolla 訪問最近被土耳其轟炸的村莊，發現人們厭倦了庫德工人黨 http://t.co/UUWEiKD7sP</v>
      </c>
      <c r="G338" s="4" t="str">
        <f>IFERROR(__xludf.DUMMYFUNCTION("GOOGLETRANSLATE(B338)"),"被轟炸")</f>
        <v>被轟炸</v>
      </c>
    </row>
    <row r="339" ht="15.75" customHeight="1">
      <c r="A339" s="4">
        <v>1615.0</v>
      </c>
      <c r="B339" s="4" t="s">
        <v>555</v>
      </c>
      <c r="C339" s="4" t="s">
        <v>579</v>
      </c>
      <c r="D339" s="4" t="s">
        <v>580</v>
      </c>
      <c r="E339" s="4">
        <v>1.0</v>
      </c>
      <c r="F339" s="4" t="str">
        <f>IFERROR(__xludf.DUMMYFUNCTION("GOOGLETRANSLATE(D339)"),"@antpips67 @JohnEJefferson 顯然我知道並非所有 AS 都來自我們轟炸過的國家，但很多人正在逃離衝突")</f>
        <v>@antpips67 @JohnEJefferson 顯然我知道並非所有 AS 都來自我們轟炸過的國家，但很多人正在逃離衝突</v>
      </c>
      <c r="G339" s="4" t="str">
        <f>IFERROR(__xludf.DUMMYFUNCTION("GOOGLETRANSLATE(B339)"),"被轟炸")</f>
        <v>被轟炸</v>
      </c>
    </row>
    <row r="340" ht="15.75" customHeight="1">
      <c r="A340" s="4">
        <v>1617.0</v>
      </c>
      <c r="B340" s="4" t="s">
        <v>555</v>
      </c>
      <c r="C340" s="4" t="s">
        <v>581</v>
      </c>
      <c r="D340" s="4" t="s">
        <v>582</v>
      </c>
      <c r="E340" s="4">
        <v>1.0</v>
      </c>
      <c r="F340" s="4" t="str">
        <f>IFERROR(__xludf.DUMMYFUNCTION("GOOGLETRANSLATE(D340)"),"「紅皮隊 WR 羅伯茨腹部爆炸」來自 @TeamStream http://t.co/GbcvVEvDTY")</f>
        <v>「紅皮隊 WR 羅伯茨腹部爆炸」來自 @TeamStream http://t.co/GbcvVEvDTY</v>
      </c>
      <c r="G340" s="4" t="str">
        <f>IFERROR(__xludf.DUMMYFUNCTION("GOOGLETRANSLATE(B340)"),"被轟炸")</f>
        <v>被轟炸</v>
      </c>
    </row>
    <row r="341" ht="15.75" customHeight="1">
      <c r="A341" s="4">
        <v>1621.0</v>
      </c>
      <c r="B341" s="4" t="s">
        <v>555</v>
      </c>
      <c r="C341" s="4" t="s">
        <v>583</v>
      </c>
      <c r="D341" s="4" t="s">
        <v>584</v>
      </c>
      <c r="E341" s="4">
        <v>1.0</v>
      </c>
      <c r="F341" s="4" t="str">
        <f>IFERROR(__xludf.DUMMYFUNCTION("GOOGLETRANSLATE(D341)"),"今天，日本紀念美國 (A) 轟炸 2 個城市、造成 12 萬人死亡的 70 週年，但我們必須擔心伊朗 http://t.co/FcIXk23XQH")</f>
        <v>今天，日本紀念美國 (A) 轟炸 2 個城市、造成 12 萬人死亡的 70 週年，但我們必須擔心伊朗 http://t.co/FcIXk23XQH</v>
      </c>
      <c r="G341" s="4" t="str">
        <f>IFERROR(__xludf.DUMMYFUNCTION("GOOGLETRANSLATE(B341)"),"被轟炸")</f>
        <v>被轟炸</v>
      </c>
    </row>
    <row r="342" ht="15.75" customHeight="1">
      <c r="A342" s="4">
        <v>1623.0</v>
      </c>
      <c r="B342" s="4" t="s">
        <v>555</v>
      </c>
      <c r="D342" s="4" t="s">
        <v>585</v>
      </c>
      <c r="E342" s="4">
        <v>1.0</v>
      </c>
      <c r="F342" s="4" t="str">
        <f>IFERROR(__xludf.DUMMYFUNCTION("GOOGLETRANSLATE(D342)"),"她甚至沒有註意到我在後台我是一個漂浮的頭#bombed http://t.co/JA0WGp8sPe")</f>
        <v>她甚至沒有註意到我在後台我是一個漂浮的頭#bombed http://t.co/JA0WGp8sPe</v>
      </c>
      <c r="G342" s="4" t="str">
        <f>IFERROR(__xludf.DUMMYFUNCTION("GOOGLETRANSLATE(B342)"),"被轟炸")</f>
        <v>被轟炸</v>
      </c>
    </row>
    <row r="343" ht="15.75" customHeight="1">
      <c r="A343" s="4">
        <v>1625.0</v>
      </c>
      <c r="B343" s="4" t="s">
        <v>555</v>
      </c>
      <c r="C343" s="4" t="s">
        <v>586</v>
      </c>
      <c r="D343" s="4" t="s">
        <v>587</v>
      </c>
      <c r="E343" s="4">
        <v>1.0</v>
      </c>
      <c r="F343" s="4" t="str">
        <f>IFERROR(__xludf.DUMMYFUNCTION("GOOGLETRANSLATE(D343)"),"70年前的今天，美國轟炸了日本廣島。")</f>
        <v>70年前的今天，美國轟炸了日本廣島。</v>
      </c>
      <c r="G343" s="4" t="str">
        <f>IFERROR(__xludf.DUMMYFUNCTION("GOOGLETRANSLATE(B343)"),"被轟炸")</f>
        <v>被轟炸</v>
      </c>
    </row>
    <row r="344" ht="15.75" customHeight="1">
      <c r="A344" s="4">
        <v>1626.0</v>
      </c>
      <c r="B344" s="4" t="s">
        <v>555</v>
      </c>
      <c r="C344" s="4" t="s">
        <v>588</v>
      </c>
      <c r="D344" s="4" t="s">
        <v>589</v>
      </c>
      <c r="E344" s="4">
        <v>1.0</v>
      </c>
      <c r="F344" s="4" t="str">
        <f>IFERROR(__xludf.DUMMYFUNCTION("GOOGLETRANSLATE(D344)"),"羅德島州的風暴比上次颶風還要嚴重。我的城市和其他三個城市受災最嚴重。我的院子看起來像是被炸毀了。 20000K左右還是沒電")</f>
        <v>羅德島州的風暴比上次颶風還要嚴重。我的城市和其他三個城市受災最嚴重。我的院子看起來像是被炸毀了。 20000K左右還是沒電</v>
      </c>
      <c r="G344" s="4" t="str">
        <f>IFERROR(__xludf.DUMMYFUNCTION("GOOGLETRANSLATE(B344)"),"被轟炸")</f>
        <v>被轟炸</v>
      </c>
    </row>
    <row r="345" ht="15.75" customHeight="1">
      <c r="A345" s="4">
        <v>1631.0</v>
      </c>
      <c r="B345" s="4" t="s">
        <v>590</v>
      </c>
      <c r="D345" s="4" t="s">
        <v>591</v>
      </c>
      <c r="E345" s="4">
        <v>1.0</v>
      </c>
      <c r="F345" s="4" t="str">
        <f>IFERROR(__xludf.DUMMYFUNCTION("GOOGLETRANSLATE(D345)"),"英國和法國正在轟炸敘利亞的達伊沙 - 伏爾泰網絡 http://t.co/zYSsObXNtC")</f>
        <v>英國和法國正在轟炸敘利亞的達伊沙 - 伏爾泰網絡 http://t.co/zYSsObXNtC</v>
      </c>
      <c r="G345" s="4" t="str">
        <f>IFERROR(__xludf.DUMMYFUNCTION("GOOGLETRANSLATE(B345)"),"轟炸")</f>
        <v>轟炸</v>
      </c>
    </row>
    <row r="346" ht="15.75" customHeight="1">
      <c r="A346" s="4">
        <v>1632.0</v>
      </c>
      <c r="B346" s="4" t="s">
        <v>590</v>
      </c>
      <c r="C346" s="4" t="s">
        <v>592</v>
      </c>
      <c r="D346" s="4" t="s">
        <v>593</v>
      </c>
      <c r="E346" s="4">
        <v>1.0</v>
      </c>
      <c r="F346" s="4" t="str">
        <f>IFERROR(__xludf.DUMMYFUNCTION("GOOGLETRANSLATE(D346)"),"廣島原子彈爆炸已經過了 70 年（零 1 小時）。讓我們用這個時間來紀念一下。")</f>
        <v>廣島原子彈爆炸已經過了 70 年（零 1 小時）。讓我們用這個時間來紀念一下。</v>
      </c>
      <c r="G346" s="4" t="str">
        <f>IFERROR(__xludf.DUMMYFUNCTION("GOOGLETRANSLATE(B346)"),"轟炸")</f>
        <v>轟炸</v>
      </c>
    </row>
    <row r="347" ht="15.75" customHeight="1">
      <c r="A347" s="4">
        <v>1633.0</v>
      </c>
      <c r="B347" s="4" t="s">
        <v>590</v>
      </c>
      <c r="D347" s="4" t="s">
        <v>594</v>
      </c>
      <c r="E347" s="4">
        <v>1.0</v>
      </c>
      <c r="F347" s="4" t="str">
        <f>IFERROR(__xludf.DUMMYFUNCTION("GOOGLETRANSLATE(D347)"),"指導廣島轟炸任務飛行員的神秘話語 http://t.co/FCe0K1Ihti")</f>
        <v>指導廣島轟炸任務飛行員的神秘話語 http://t.co/FCe0K1Ihti</v>
      </c>
      <c r="G347" s="4" t="str">
        <f>IFERROR(__xludf.DUMMYFUNCTION("GOOGLETRANSLATE(B347)"),"轟炸")</f>
        <v>轟炸</v>
      </c>
    </row>
    <row r="348" ht="15.75" customHeight="1">
      <c r="A348" s="4">
        <v>1634.0</v>
      </c>
      <c r="B348" s="4" t="s">
        <v>590</v>
      </c>
      <c r="D348" s="4" t="s">
        <v>595</v>
      </c>
      <c r="E348" s="4">
        <v>1.0</v>
      </c>
      <c r="F348" s="4" t="str">
        <f>IFERROR(__xludf.DUMMYFUNCTION("GOOGLETRANSLATE(D348)"),"週四，日本將與華盛頓有史以來最高級別的官員一起紀念廣島原子彈爆炸 70 週年")</f>
        <v>週四，日本將與華盛頓有史以來最高級別的官員一起紀念廣島原子彈爆炸 70 週年</v>
      </c>
      <c r="G348" s="4" t="str">
        <f>IFERROR(__xludf.DUMMYFUNCTION("GOOGLETRANSLATE(B348)"),"轟炸")</f>
        <v>轟炸</v>
      </c>
    </row>
    <row r="349" ht="15.75" customHeight="1">
      <c r="A349" s="4">
        <v>1636.0</v>
      </c>
      <c r="B349" s="4" t="s">
        <v>590</v>
      </c>
      <c r="C349" s="4" t="s">
        <v>596</v>
      </c>
      <c r="D349" s="4" t="s">
        <v>597</v>
      </c>
      <c r="E349" s="4">
        <v>1.0</v>
      </c>
      <c r="F349" s="4" t="str">
        <f>IFERROR(__xludf.DUMMYFUNCTION("GOOGLETRANSLATE(D349)"),"今天是廣島原子彈爆炸 70 週年紀念日，我在 2013 年 11 月訪問過這座城市，並為之感到謙卑 http://t.co/AcC1z5Q9Zw")</f>
        <v>今天是廣島原子彈爆炸 70 週年紀念日，我在 2013 年 11 月訪問過這座城市，並為之感到謙卑 http://t.co/AcC1z5Q9Zw</v>
      </c>
      <c r="G349" s="4" t="str">
        <f>IFERROR(__xludf.DUMMYFUNCTION("GOOGLETRANSLATE(B349)"),"轟炸")</f>
        <v>轟炸</v>
      </c>
    </row>
    <row r="350" ht="15.75" customHeight="1">
      <c r="A350" s="4">
        <v>1637.0</v>
      </c>
      <c r="B350" s="4" t="s">
        <v>590</v>
      </c>
      <c r="D350" s="4" t="s">
        <v>598</v>
      </c>
      <c r="E350" s="4">
        <v>1.0</v>
      </c>
      <c r="F350" s="4" t="str">
        <f>IFERROR(__xludf.DUMMYFUNCTION("GOOGLETRANSLATE(D350)"),"@moscow_ghost @sayed_ridha @Amin_Akh 祝賀您在經過三個月的陸路狂轟濫炸後佔領了一座被圍困的城市。空氣")</f>
        <v>@moscow_ghost @sayed_ridha @Amin_Akh 祝賀您在經過三個月的陸路狂轟濫炸後佔領了一座被圍困的城市。空氣</v>
      </c>
      <c r="G350" s="4" t="str">
        <f>IFERROR(__xludf.DUMMYFUNCTION("GOOGLETRANSLATE(B350)"),"轟炸")</f>
        <v>轟炸</v>
      </c>
    </row>
    <row r="351" ht="15.75" customHeight="1">
      <c r="A351" s="4">
        <v>1638.0</v>
      </c>
      <c r="B351" s="4" t="s">
        <v>590</v>
      </c>
      <c r="D351" s="4" t="s">
        <v>599</v>
      </c>
      <c r="E351" s="4">
        <v>1.0</v>
      </c>
      <c r="F351" s="4" t="str">
        <f>IFERROR(__xludf.DUMMYFUNCTION("GOOGLETRANSLATE(D351)"),"唯一佔據道德高地的國家是唯一投下原子彈的國家。 #廣島#BanTheBomb
http://t.co/6G49ywwsQJ")</f>
        <v>唯一佔據道德高地的國家是唯一投下原子彈的國家。 #廣島#BanTheBomb
http://t.co/6G49ywwsQJ</v>
      </c>
      <c r="G351" s="4" t="str">
        <f>IFERROR(__xludf.DUMMYFUNCTION("GOOGLETRANSLATE(B351)"),"轟炸")</f>
        <v>轟炸</v>
      </c>
    </row>
    <row r="352" ht="15.75" customHeight="1">
      <c r="A352" s="4">
        <v>1639.0</v>
      </c>
      <c r="B352" s="4" t="s">
        <v>590</v>
      </c>
      <c r="D352" s="4" t="s">
        <v>600</v>
      </c>
      <c r="E352" s="4">
        <v>1.0</v>
      </c>
      <c r="F352" s="4" t="str">
        <f>IFERROR(__xludf.DUMMYFUNCTION("GOOGLETRANSLATE(D352)"),"指導廣島轟炸任務飛行員的神秘話語 http://t.co/nSS5L64cvR #canada")</f>
        <v>指導廣島轟炸任務飛行員的神秘話語 http://t.co/nSS5L64cvR #canada</v>
      </c>
      <c r="G352" s="4" t="str">
        <f>IFERROR(__xludf.DUMMYFUNCTION("GOOGLETRANSLATE(B352)"),"轟炸")</f>
        <v>轟炸</v>
      </c>
    </row>
    <row r="353" ht="15.75" customHeight="1">
      <c r="A353" s="4">
        <v>1643.0</v>
      </c>
      <c r="B353" s="4" t="s">
        <v>590</v>
      </c>
      <c r="D353" s="4" t="s">
        <v>601</v>
      </c>
      <c r="E353" s="4">
        <v>1.0</v>
      </c>
      <c r="F353" s="4" t="str">
        <f>IFERROR(__xludf.DUMMYFUNCTION("GOOGLETRANSLATE(D353)"),"#Setting4Success 鐘聲在廣島敲響，日本紀念原子彈爆炸 70 週年 #News #smallbusiness #entrepreneur")</f>
        <v>#Setting4Success 鐘聲在廣島敲響，日本紀念原子彈爆炸 70 週年 #News #smallbusiness #entrepreneur</v>
      </c>
      <c r="G353" s="4" t="str">
        <f>IFERROR(__xludf.DUMMYFUNCTION("GOOGLETRANSLATE(B353)"),"轟炸")</f>
        <v>轟炸</v>
      </c>
    </row>
    <row r="354" ht="15.75" customHeight="1">
      <c r="A354" s="4">
        <v>1644.0</v>
      </c>
      <c r="B354" s="4" t="s">
        <v>590</v>
      </c>
      <c r="C354" s="4" t="s">
        <v>602</v>
      </c>
      <c r="D354" s="4" t="s">
        <v>603</v>
      </c>
      <c r="E354" s="4">
        <v>1.0</v>
      </c>
      <c r="F354" s="4" t="str">
        <f>IFERROR(__xludf.DUMMYFUNCTION("GOOGLETRANSLATE(D354)"),"#澳洲#新聞； #日本紀念 #廣島原子彈爆炸 70 週年 http://t.co/7aD0L7cgee 了解更多； http://t.co/hHzQl9tzNP")</f>
        <v>#澳洲#新聞； #日本紀念 #廣島原子彈爆炸 70 週年 http://t.co/7aD0L7cgee 了解更多； http://t.co/hHzQl9tzNP</v>
      </c>
      <c r="G354" s="4" t="str">
        <f>IFERROR(__xludf.DUMMYFUNCTION("GOOGLETRANSLATE(B354)"),"轟炸")</f>
        <v>轟炸</v>
      </c>
    </row>
    <row r="355" ht="15.75" customHeight="1">
      <c r="A355" s="4">
        <v>1645.0</v>
      </c>
      <c r="B355" s="4" t="s">
        <v>590</v>
      </c>
      <c r="D355" s="4" t="s">
        <v>604</v>
      </c>
      <c r="E355" s="4">
        <v>1.0</v>
      </c>
      <c r="F355" s="4" t="str">
        <f>IFERROR(__xludf.DUMMYFUNCTION("GOOGLETRANSLATE(D355)"),"@NBCNews 是的，轟炸#pearlharbor 不是一個好主意！")</f>
        <v>@NBCNews 是的，轟炸#pearlharbor 不是一個好主意！</v>
      </c>
      <c r="G355" s="4" t="str">
        <f>IFERROR(__xludf.DUMMYFUNCTION("GOOGLETRANSLATE(B355)"),"轟炸")</f>
        <v>轟炸</v>
      </c>
    </row>
    <row r="356" ht="15.75" customHeight="1">
      <c r="A356" s="4">
        <v>1646.0</v>
      </c>
      <c r="B356" s="4" t="s">
        <v>590</v>
      </c>
      <c r="D356" s="4" t="s">
        <v>605</v>
      </c>
      <c r="E356" s="4">
        <v>1.0</v>
      </c>
      <c r="F356" s="4" t="str">
        <f>IFERROR(__xludf.DUMMYFUNCTION("GOOGLETRANSLATE(D356)"),"指導廣島轟炸任務飛行員的神秘話語 http://t.co/39IAbcC5pK")</f>
        <v>指導廣島轟炸任務飛行員的神秘話語 http://t.co/39IAbcC5pK</v>
      </c>
      <c r="G356" s="4" t="str">
        <f>IFERROR(__xludf.DUMMYFUNCTION("GOOGLETRANSLATE(B356)"),"轟炸")</f>
        <v>轟炸</v>
      </c>
    </row>
    <row r="357" ht="15.75" customHeight="1">
      <c r="A357" s="4">
        <v>1647.0</v>
      </c>
      <c r="B357" s="4" t="s">
        <v>590</v>
      </c>
      <c r="D357" s="4" t="s">
        <v>606</v>
      </c>
      <c r="E357" s="4">
        <v>1.0</v>
      </c>
      <c r="F357" s="4" t="str">
        <f>IFERROR(__xludf.DUMMYFUNCTION("GOOGLETRANSLATE(D357)"),"廣島原子彈爆炸 70 週年紀念 http://t.co/1mGvd4x5Oe")</f>
        <v>廣島原子彈爆炸 70 週年紀念 http://t.co/1mGvd4x5Oe</v>
      </c>
      <c r="G357" s="4" t="str">
        <f>IFERROR(__xludf.DUMMYFUNCTION("GOOGLETRANSLATE(B357)"),"轟炸")</f>
        <v>轟炸</v>
      </c>
    </row>
    <row r="358" ht="15.75" customHeight="1">
      <c r="A358" s="4">
        <v>1648.0</v>
      </c>
      <c r="B358" s="4" t="s">
        <v>590</v>
      </c>
      <c r="D358" s="4" t="s">
        <v>607</v>
      </c>
      <c r="E358" s="4">
        <v>1.0</v>
      </c>
      <c r="F358" s="4" t="str">
        <f>IFERROR(__xludf.DUMMYFUNCTION("GOOGLETRANSLATE(D358)"),"日本紀念廣島原子彈爆炸 70 週年 http://t.co/93vqkdFgnr")</f>
        <v>日本紀念廣島原子彈爆炸 70 週年 http://t.co/93vqkdFgnr</v>
      </c>
      <c r="G358" s="4" t="str">
        <f>IFERROR(__xludf.DUMMYFUNCTION("GOOGLETRANSLATE(B358)"),"轟炸")</f>
        <v>轟炸</v>
      </c>
    </row>
    <row r="359" ht="15.75" customHeight="1">
      <c r="A359" s="4">
        <v>1649.0</v>
      </c>
      <c r="B359" s="4" t="s">
        <v>590</v>
      </c>
      <c r="C359" s="4" t="s">
        <v>608</v>
      </c>
      <c r="D359" s="4" t="s">
        <v>609</v>
      </c>
      <c r="E359" s="4">
        <v>1.0</v>
      </c>
      <c r="F359" s="4" t="str">
        <f>IFERROR(__xludf.DUMMYFUNCTION("GOOGLETRANSLATE(D359)"),"日本紀念廣島原子彈爆炸 70 週年 http://t.co/cQLM9jOJOP")</f>
        <v>日本紀念廣島原子彈爆炸 70 週年 http://t.co/cQLM9jOJOP</v>
      </c>
      <c r="G359" s="4" t="str">
        <f>IFERROR(__xludf.DUMMYFUNCTION("GOOGLETRANSLATE(B359)"),"轟炸")</f>
        <v>轟炸</v>
      </c>
    </row>
    <row r="360" ht="15.75" customHeight="1">
      <c r="A360" s="4">
        <v>1650.0</v>
      </c>
      <c r="B360" s="4" t="s">
        <v>590</v>
      </c>
      <c r="C360" s="4" t="s">
        <v>610</v>
      </c>
      <c r="D360" s="4" t="s">
        <v>611</v>
      </c>
      <c r="E360" s="4">
        <v>1.0</v>
      </c>
      <c r="F360" s="4" t="str">
        <f>IFERROR(__xludf.DUMMYFUNCTION("GOOGLETRANSLATE(D360)"),"日本紀念廣島原子彈爆炸 70 週年 http://t.co/3EV07PPaPn")</f>
        <v>日本紀念廣島原子彈爆炸 70 週年 http://t.co/3EV07PPaPn</v>
      </c>
      <c r="G360" s="4" t="str">
        <f>IFERROR(__xludf.DUMMYFUNCTION("GOOGLETRANSLATE(B360)"),"轟炸")</f>
        <v>轟炸</v>
      </c>
    </row>
    <row r="361" ht="15.75" customHeight="1">
      <c r="A361" s="4">
        <v>1652.0</v>
      </c>
      <c r="B361" s="4" t="s">
        <v>590</v>
      </c>
      <c r="C361" s="4" t="s">
        <v>612</v>
      </c>
      <c r="D361" s="4" t="s">
        <v>613</v>
      </c>
      <c r="E361" s="4">
        <v>1.0</v>
      </c>
      <c r="F361" s="4" t="str">
        <f>IFERROR(__xludf.DUMMYFUNCTION("GOOGLETRANSLATE(D361)"),"日本紀念廣島原子彈爆炸 70 週年 http://t.co/jzgxwRgFQg")</f>
        <v>日本紀念廣島原子彈爆炸 70 週年 http://t.co/jzgxwRgFQg</v>
      </c>
      <c r="G361" s="4" t="str">
        <f>IFERROR(__xludf.DUMMYFUNCTION("GOOGLETRANSLATE(B361)"),"轟炸")</f>
        <v>轟炸</v>
      </c>
    </row>
    <row r="362" ht="15.75" customHeight="1">
      <c r="A362" s="4">
        <v>1653.0</v>
      </c>
      <c r="B362" s="4" t="s">
        <v>590</v>
      </c>
      <c r="C362" s="4" t="s">
        <v>614</v>
      </c>
      <c r="D362" s="4" t="s">
        <v>615</v>
      </c>
      <c r="E362" s="4">
        <v>1.0</v>
      </c>
      <c r="F362" s="4" t="str">
        <f>IFERROR(__xludf.DUMMYFUNCTION("GOOGLETRANSLATE(D362)"),"@rinkydnk2 @ZaibatsuNews @NeoProgressive1 當push2Left talk='生態'&amp;'人類rts'&amp;'民主'時。阿富汗戰爭=「左翼」人道轟炸")</f>
        <v>@rinkydnk2 @ZaibatsuNews @NeoProgressive1 當push2Left talk='生態'&amp;'人類rts'&amp;'民主'時。阿富汗戰爭=「左翼」人道轟炸</v>
      </c>
      <c r="G362" s="4" t="str">
        <f>IFERROR(__xludf.DUMMYFUNCTION("GOOGLETRANSLATE(B362)"),"轟炸")</f>
        <v>轟炸</v>
      </c>
    </row>
    <row r="363" ht="15.75" customHeight="1">
      <c r="A363" s="4">
        <v>1654.0</v>
      </c>
      <c r="B363" s="4" t="s">
        <v>590</v>
      </c>
      <c r="C363" s="4" t="s">
        <v>616</v>
      </c>
      <c r="D363" s="4" t="s">
        <v>617</v>
      </c>
      <c r="E363" s="4">
        <v>1.0</v>
      </c>
      <c r="F363" s="4" t="str">
        <f>IFERROR(__xludf.DUMMYFUNCTION("GOOGLETRANSLATE(D363)"),"廣島爆炸是合理的：即使在今天，大多數美國人 - 印度斯坦時報 http://t.co/cC9z5asVZh")</f>
        <v>廣島爆炸是合理的：即使在今天，大多數美國人 - 印度斯坦時報 http://t.co/cC9z5asVZh</v>
      </c>
      <c r="G363" s="4" t="str">
        <f>IFERROR(__xludf.DUMMYFUNCTION("GOOGLETRANSLATE(B363)"),"轟炸")</f>
        <v>轟炸</v>
      </c>
    </row>
    <row r="364" ht="15.75" customHeight="1">
      <c r="A364" s="4">
        <v>1657.0</v>
      </c>
      <c r="B364" s="4" t="s">
        <v>590</v>
      </c>
      <c r="D364" s="4" t="s">
        <v>618</v>
      </c>
      <c r="E364" s="4">
        <v>1.0</v>
      </c>
      <c r="F364" s="4" t="str">
        <f>IFERROR(__xludf.DUMMYFUNCTION("GOOGLETRANSLATE(D364)"),"@snapharmony：日本紀念原子彈爆炸 70 週年之際，廣島的鐘聲敲響了 http://t.co/yPvvqZ8jzt")</f>
        <v>@snapharmony：日本紀念原子彈爆炸 70 週年之際，廣島的鐘聲敲響了 http://t.co/yPvvqZ8jzt</v>
      </c>
      <c r="G364" s="4" t="str">
        <f>IFERROR(__xludf.DUMMYFUNCTION("GOOGLETRANSLATE(B364)"),"轟炸")</f>
        <v>轟炸</v>
      </c>
    </row>
    <row r="365" ht="15.75" customHeight="1">
      <c r="A365" s="4">
        <v>1658.0</v>
      </c>
      <c r="B365" s="4" t="s">
        <v>590</v>
      </c>
      <c r="D365" s="4" t="s">
        <v>619</v>
      </c>
      <c r="E365" s="4">
        <v>1.0</v>
      </c>
      <c r="F365" s="4" t="str">
        <f>IFERROR(__xludf.DUMMYFUNCTION("GOOGLETRANSLATE(D365)"),"日本紀念廣島原子彈爆炸 70 週年 http://t.co/a2SS7pr4gW")</f>
        <v>日本紀念廣島原子彈爆炸 70 週年 http://t.co/a2SS7pr4gW</v>
      </c>
      <c r="G365" s="4" t="str">
        <f>IFERROR(__xludf.DUMMYFUNCTION("GOOGLETRANSLATE(B365)"),"轟炸")</f>
        <v>轟炸</v>
      </c>
    </row>
    <row r="366" ht="15.75" customHeight="1">
      <c r="A366" s="4">
        <v>1660.0</v>
      </c>
      <c r="B366" s="4" t="s">
        <v>590</v>
      </c>
      <c r="C366" s="4" t="s">
        <v>620</v>
      </c>
      <c r="D366" s="4" t="s">
        <v>621</v>
      </c>
      <c r="E366" s="4">
        <v>1.0</v>
      </c>
      <c r="F366" s="4" t="str">
        <f>IFERROR(__xludf.DUMMYFUNCTION("GOOGLETRANSLATE(D366)"),"#日本紀念 #廣島原子彈爆炸 70 週年（來自 @AP）http://t.co/qREInWg0GS")</f>
        <v>#日本紀念 #廣島原子彈爆炸 70 週年（來自 @AP）http://t.co/qREInWg0GS</v>
      </c>
      <c r="G366" s="4" t="str">
        <f>IFERROR(__xludf.DUMMYFUNCTION("GOOGLETRANSLATE(B366)"),"轟炸")</f>
        <v>轟炸</v>
      </c>
    </row>
    <row r="367" ht="15.75" customHeight="1">
      <c r="A367" s="4">
        <v>1661.0</v>
      </c>
      <c r="B367" s="4" t="s">
        <v>590</v>
      </c>
      <c r="D367" s="4" t="s">
        <v>622</v>
      </c>
      <c r="E367" s="4">
        <v>1.0</v>
      </c>
      <c r="F367" s="4" t="str">
        <f>IFERROR(__xludf.DUMMYFUNCTION("GOOGLETRANSLATE(D367)"),"今天是 70 年前廣島原子彈爆炸的日子。 - 廣島原子彈爆炸的「經過淨化的敘述」http://t.co/GKpANz7vg0")</f>
        <v>今天是 70 年前廣島原子彈爆炸的日子。 - 廣島原子彈爆炸的「經過淨化的敘述」http://t.co/GKpANz7vg0</v>
      </c>
      <c r="G367" s="4" t="str">
        <f>IFERROR(__xludf.DUMMYFUNCTION("GOOGLETRANSLATE(B367)"),"轟炸")</f>
        <v>轟炸</v>
      </c>
    </row>
    <row r="368" ht="15.75" customHeight="1">
      <c r="A368" s="4">
        <v>1662.0</v>
      </c>
      <c r="B368" s="4" t="s">
        <v>590</v>
      </c>
      <c r="C368" s="4" t="s">
        <v>623</v>
      </c>
      <c r="D368" s="4" t="s">
        <v>624</v>
      </c>
      <c r="E368" s="4">
        <v>1.0</v>
      </c>
      <c r="F368" s="4" t="str">
        <f>IFERROR(__xludf.DUMMYFUNCTION("GOOGLETRANSLATE(D368)"),"廣島原子彈爆炸的倖存者是什麼感覺
http://t.co/LGrOcbXPqo")</f>
        <v>廣島原子彈爆炸的倖存者是什麼感覺
http://t.co/LGrOcbXPqo</v>
      </c>
      <c r="G368" s="4" t="str">
        <f>IFERROR(__xludf.DUMMYFUNCTION("GOOGLETRANSLATE(B368)"),"轟炸")</f>
        <v>轟炸</v>
      </c>
    </row>
    <row r="369" ht="15.75" customHeight="1">
      <c r="A369" s="4">
        <v>1665.0</v>
      </c>
      <c r="B369" s="4" t="s">
        <v>590</v>
      </c>
      <c r="C369" s="4" t="s">
        <v>625</v>
      </c>
      <c r="D369" s="4" t="s">
        <v>595</v>
      </c>
      <c r="E369" s="4">
        <v>1.0</v>
      </c>
      <c r="F369" s="4" t="str">
        <f>IFERROR(__xludf.DUMMYFUNCTION("GOOGLETRANSLATE(D369)"),"週四，日本將與華盛頓有史以來最高級別的官員一起紀念廣島原子彈爆炸 70 週年")</f>
        <v>週四，日本將與華盛頓有史以來最高級別的官員一起紀念廣島原子彈爆炸 70 週年</v>
      </c>
      <c r="G369" s="4" t="str">
        <f>IFERROR(__xludf.DUMMYFUNCTION("GOOGLETRANSLATE(B369)"),"轟炸")</f>
        <v>轟炸</v>
      </c>
    </row>
    <row r="370" ht="15.75" customHeight="1">
      <c r="A370" s="4">
        <v>1669.0</v>
      </c>
      <c r="B370" s="4" t="s">
        <v>590</v>
      </c>
      <c r="C370" s="4" t="s">
        <v>183</v>
      </c>
      <c r="D370" s="4" t="s">
        <v>626</v>
      </c>
      <c r="E370" s="4">
        <v>1.0</v>
      </c>
      <c r="F370" s="4" t="str">
        <f>IFERROR(__xludf.DUMMYFUNCTION("GOOGLETRANSLATE(D370)"),"日本紀念廣島原子彈爆炸 70 週年：週四，廣島敲響了日本紀念 70 週年的鐘聲 http://t.co/NBZiKcJpHp")</f>
        <v>日本紀念廣島原子彈爆炸 70 週年：週四，廣島敲響了日本紀念 70 週年的鐘聲 http://t.co/NBZiKcJpHp</v>
      </c>
      <c r="G370" s="4" t="str">
        <f>IFERROR(__xludf.DUMMYFUNCTION("GOOGLETRANSLATE(B370)"),"轟炸")</f>
        <v>轟炸</v>
      </c>
    </row>
    <row r="371" ht="15.75" customHeight="1">
      <c r="A371" s="4">
        <v>1670.0</v>
      </c>
      <c r="B371" s="4" t="s">
        <v>590</v>
      </c>
      <c r="C371" s="4" t="s">
        <v>627</v>
      </c>
      <c r="D371" s="4" t="s">
        <v>628</v>
      </c>
      <c r="E371" s="4">
        <v>1.0</v>
      </c>
      <c r="F371" s="4" t="str">
        <f>IFERROR(__xludf.DUMMYFUNCTION("GOOGLETRANSLATE(D371)"),"日本紀念廣島原子彈爆炸 70 週年#Generalnews http://t.co/M9o08GUrT4")</f>
        <v>日本紀念廣島原子彈爆炸 70 週年#Generalnews http://t.co/M9o08GUrT4</v>
      </c>
      <c r="G371" s="4" t="str">
        <f>IFERROR(__xludf.DUMMYFUNCTION("GOOGLETRANSLATE(B371)"),"轟炸")</f>
        <v>轟炸</v>
      </c>
    </row>
    <row r="372" ht="15.75" customHeight="1">
      <c r="A372" s="4">
        <v>1672.0</v>
      </c>
      <c r="B372" s="4" t="s">
        <v>629</v>
      </c>
      <c r="C372" s="4" t="s">
        <v>323</v>
      </c>
      <c r="D372" s="4" t="s">
        <v>630</v>
      </c>
      <c r="E372" s="4">
        <v>1.0</v>
      </c>
      <c r="F372" s="4" t="str">
        <f>IFERROR(__xludf.DUMMYFUNCTION("GOOGLETRANSLATE(D372)"),"@ameenshaikh3，作者：你。邏輯如果橋樑沒有倒塌那麼第二個火車引擎應該穿過橋樑然後@sanjaynirupam @sureshprabhu")</f>
        <v>@ameenshaikh3，作者：你。邏輯如果橋樑沒有倒塌那麼第二個火車引擎應該穿過橋樑然後@sanjaynirupam @sureshprabhu</v>
      </c>
      <c r="G372" s="4" t="str">
        <f>IFERROR(__xludf.DUMMYFUNCTION("GOOGLETRANSLATE(B372)"),"橋樑%20塌陷")</f>
        <v>橋樑%20塌陷</v>
      </c>
    </row>
    <row r="373" ht="15.75" customHeight="1">
      <c r="A373" s="4">
        <v>1673.0</v>
      </c>
      <c r="B373" s="4" t="s">
        <v>629</v>
      </c>
      <c r="D373" s="4" t="s">
        <v>631</v>
      </c>
      <c r="E373" s="4">
        <v>1.0</v>
      </c>
      <c r="F373" s="4" t="str">
        <f>IFERROR(__xludf.DUMMYFUNCTION("GOOGLETRANSLATE(D373)"),"澳洲的灰燼災難 - 特倫特大橋的倒塌是如何展開的... http://t.co/Dq3ddGvgBF
 ＃蟋蟀")</f>
        <v>澳洲的灰燼災難 - 特倫特大橋的倒塌是如何展開的... http://t.co/Dq3ddGvgBF
 ＃蟋蟀</v>
      </c>
      <c r="G373" s="4" t="str">
        <f>IFERROR(__xludf.DUMMYFUNCTION("GOOGLETRANSLATE(B373)"),"橋樑%20塌陷")</f>
        <v>橋樑%20塌陷</v>
      </c>
    </row>
    <row r="374" ht="15.75" customHeight="1">
      <c r="A374" s="4">
        <v>1675.0</v>
      </c>
      <c r="B374" s="4" t="s">
        <v>629</v>
      </c>
      <c r="D374" s="4" t="s">
        <v>632</v>
      </c>
      <c r="E374" s="4">
        <v>1.0</v>
      </c>
      <c r="F374" s="4" t="str">
        <f>IFERROR(__xludf.DUMMYFUNCTION("GOOGLETRANSLATE(D374)"),"蘇城消防官員認為橋樑倒塌導致水泥車側翻 - 蘇城事務：蘇城... http://t.co/sZTGmbkoHG")</f>
        <v>蘇城消防官員認為橋樑倒塌導致水泥車側翻 - 蘇城事務：蘇城... http://t.co/sZTGmbkoHG</v>
      </c>
      <c r="G374" s="4" t="str">
        <f>IFERROR(__xludf.DUMMYFUNCTION("GOOGLETRANSLATE(B374)"),"橋樑%20塌陷")</f>
        <v>橋樑%20塌陷</v>
      </c>
    </row>
    <row r="375" ht="15.75" customHeight="1">
      <c r="A375" s="4">
        <v>1676.0</v>
      </c>
      <c r="B375" s="4" t="s">
        <v>629</v>
      </c>
      <c r="C375" s="4" t="s">
        <v>633</v>
      </c>
      <c r="D375" s="4" t="s">
        <v>634</v>
      </c>
      <c r="E375" s="4">
        <v>1.0</v>
      </c>
      <c r="F375" s="4" t="str">
        <f>IFERROR(__xludf.DUMMYFUNCTION("GOOGLETRANSLATE(D375)"),"2015 年灰燼：澳洲特倫特橋倒塌是歷史上最嚴重的倒塌之一：英格蘭以 60 分擊敗澳洲... http://t.co/985DwWPdEt")</f>
        <v>2015 年灰燼：澳洲特倫特橋倒塌是歷史上最嚴重的倒塌之一：英格蘭以 60 分擊敗澳洲... http://t.co/985DwWPdEt</v>
      </c>
      <c r="G375" s="4" t="str">
        <f>IFERROR(__xludf.DUMMYFUNCTION("GOOGLETRANSLATE(B375)"),"橋樑%20塌陷")</f>
        <v>橋樑%20塌陷</v>
      </c>
    </row>
    <row r="376" ht="15.75" customHeight="1">
      <c r="A376" s="4">
        <v>1677.0</v>
      </c>
      <c r="B376" s="4" t="s">
        <v>629</v>
      </c>
      <c r="C376" s="4" t="s">
        <v>635</v>
      </c>
      <c r="D376" s="4" t="s">
        <v>636</v>
      </c>
      <c r="E376" s="4">
        <v>1.0</v>
      </c>
      <c r="F376" s="4" t="str">
        <f>IFERROR(__xludf.DUMMYFUNCTION("GOOGLETRANSLATE(D376)"),"墨西哥中部橋樑垮塌 2人受傷1人失蹤 http://t.co/kHF0iH05A9")</f>
        <v>墨西哥中部橋樑垮塌 2人受傷1人失蹤 http://t.co/kHF0iH05A9</v>
      </c>
      <c r="G376" s="4" t="str">
        <f>IFERROR(__xludf.DUMMYFUNCTION("GOOGLETRANSLATE(B376)"),"橋樑%20塌陷")</f>
        <v>橋樑%20塌陷</v>
      </c>
    </row>
    <row r="377" ht="15.75" customHeight="1">
      <c r="A377" s="4">
        <v>1679.0</v>
      </c>
      <c r="B377" s="4" t="s">
        <v>629</v>
      </c>
      <c r="D377" s="4" t="s">
        <v>637</v>
      </c>
      <c r="E377" s="4">
        <v>1.0</v>
      </c>
      <c r="F377" s="4" t="str">
        <f>IFERROR(__xludf.DUMMYFUNCTION("GOOGLETRANSLATE(D377)"),"我從來不知道堪薩斯城凱悅大橋倒塌和橋樑倒塌之間的關係。 AIA 的 COTE。 http://t.co/ThS9IqSWP3 來自 @HuffPostArts")</f>
        <v>我從來不知道堪薩斯城凱悅大橋倒塌和橋樑倒塌之間的關係。 AIA 的 COTE。 http://t.co/ThS9IqSWP3 來自 @HuffPostArts</v>
      </c>
      <c r="G377" s="4" t="str">
        <f>IFERROR(__xludf.DUMMYFUNCTION("GOOGLETRANSLATE(B377)"),"橋樑%20塌陷")</f>
        <v>橋樑%20塌陷</v>
      </c>
    </row>
    <row r="378" ht="15.75" customHeight="1">
      <c r="A378" s="4">
        <v>1683.0</v>
      </c>
      <c r="B378" s="4" t="s">
        <v>629</v>
      </c>
      <c r="C378" s="4" t="s">
        <v>638</v>
      </c>
      <c r="D378" s="4" t="s">
        <v>639</v>
      </c>
      <c r="E378" s="4">
        <v>1.0</v>
      </c>
      <c r="F378" s="4" t="str">
        <f>IFERROR(__xludf.DUMMYFUNCTION("GOOGLETRANSLATE(D378)"),"特倫特橋到底發生了什麼事？讓我想起了上世紀九十年代英格蘭在加勒比海的崩潰......")</f>
        <v>特倫特橋到底發生了什麼事？讓我想起了上世紀九十年代英格蘭在加勒比海的崩潰......</v>
      </c>
      <c r="G378" s="4" t="str">
        <f>IFERROR(__xludf.DUMMYFUNCTION("GOOGLETRANSLATE(B378)"),"橋樑%20塌陷")</f>
        <v>橋樑%20塌陷</v>
      </c>
    </row>
    <row r="379" ht="15.75" customHeight="1">
      <c r="A379" s="4">
        <v>1684.0</v>
      </c>
      <c r="B379" s="4" t="s">
        <v>629</v>
      </c>
      <c r="D379" s="4" t="s">
        <v>640</v>
      </c>
      <c r="E379" s="4">
        <v>1.0</v>
      </c>
      <c r="F379" s="4" t="str">
        <f>IFERROR(__xludf.DUMMYFUNCTION("GOOGLETRANSLATE(D379)"),"瑞士猶太潔食飯店橋樑倒塌造成五人受傷 - http://t.co/TxIestoX5n @JewishPress")</f>
        <v>瑞士猶太潔食飯店橋樑倒塌造成五人受傷 - http://t.co/TxIestoX5n @JewishPress</v>
      </c>
      <c r="G379" s="4" t="str">
        <f>IFERROR(__xludf.DUMMYFUNCTION("GOOGLETRANSLATE(B379)"),"橋樑%20塌陷")</f>
        <v>橋樑%20塌陷</v>
      </c>
    </row>
    <row r="380" ht="15.75" customHeight="1">
      <c r="A380" s="4">
        <v>1686.0</v>
      </c>
      <c r="B380" s="4" t="s">
        <v>629</v>
      </c>
      <c r="C380" s="4" t="s">
        <v>641</v>
      </c>
      <c r="D380" s="4" t="s">
        <v>642</v>
      </c>
      <c r="E380" s="4">
        <v>1.0</v>
      </c>
      <c r="F380" s="4" t="str">
        <f>IFERROR(__xludf.DUMMYFUNCTION("GOOGLETRANSLATE(D380)"),"橋樑倒塌不是天災而是人為：MPP痛斥國會 - KanglaOnline http://t.co/jp9XylA3C5 #Yugvani")</f>
        <v>橋樑倒塌不是天災而是人為：MPP痛斥國會 - KanglaOnline http://t.co/jp9XylA3C5 #Yugvani</v>
      </c>
      <c r="G380" s="4" t="str">
        <f>IFERROR(__xludf.DUMMYFUNCTION("GOOGLETRANSLATE(B380)"),"橋樑%20塌陷")</f>
        <v>橋樑%20塌陷</v>
      </c>
    </row>
    <row r="381" ht="15.75" customHeight="1">
      <c r="A381" s="4">
        <v>1687.0</v>
      </c>
      <c r="B381" s="4" t="s">
        <v>629</v>
      </c>
      <c r="D381" s="4" t="s">
        <v>643</v>
      </c>
      <c r="E381" s="4">
        <v>1.0</v>
      </c>
      <c r="F381" s="4" t="str">
        <f>IFERROR(__xludf.DUMMYFUNCTION("GOOGLETRANSLATE(D381)"),"兩台支撐橋樑的巨型起重機倒塌到附近的房屋 http://t.co/OQpsvrGbJc")</f>
        <v>兩台支撐橋樑的巨型起重機倒塌到附近的房屋 http://t.co/OQpsvrGbJc</v>
      </c>
      <c r="G381" s="4" t="str">
        <f>IFERROR(__xludf.DUMMYFUNCTION("GOOGLETRANSLATE(B381)"),"橋樑%20塌陷")</f>
        <v>橋樑%20塌陷</v>
      </c>
    </row>
    <row r="382" ht="15.75" customHeight="1">
      <c r="A382" s="4">
        <v>1688.0</v>
      </c>
      <c r="B382" s="4" t="s">
        <v>629</v>
      </c>
      <c r="C382" s="4" t="s">
        <v>501</v>
      </c>
      <c r="D382" s="4" t="s">
        <v>644</v>
      </c>
      <c r="E382" s="4">
        <v>1.0</v>
      </c>
      <c r="F382" s="4" t="str">
        <f>IFERROR(__xludf.DUMMYFUNCTION("GOOGLETRANSLATE(D382)"),"ICYMI - #Ashes 2015：澳洲特倫特橋倒塌 - Twitter 的反應 http://t.co/gl6eeJyJkY http://t.co/wqtDnP3w5a")</f>
        <v>ICYMI - #Ashes 2015：澳洲特倫特橋倒塌 - Twitter 的反應 http://t.co/gl6eeJyJkY http://t.co/wqtDnP3w5a</v>
      </c>
      <c r="G382" s="4" t="str">
        <f>IFERROR(__xludf.DUMMYFUNCTION("GOOGLETRANSLATE(B382)"),"橋樑%20塌陷")</f>
        <v>橋樑%20塌陷</v>
      </c>
    </row>
    <row r="383" ht="15.75" customHeight="1">
      <c r="A383" s="4">
        <v>1689.0</v>
      </c>
      <c r="B383" s="4" t="s">
        <v>629</v>
      </c>
      <c r="C383" s="4" t="s">
        <v>645</v>
      </c>
      <c r="D383" s="4" t="s">
        <v>646</v>
      </c>
      <c r="E383" s="4">
        <v>1.0</v>
      </c>
      <c r="F383" s="4" t="str">
        <f>IFERROR(__xludf.DUMMYFUNCTION("GOOGLETRANSLATE(D383)"),"沃恩對澳洲特倫特大橋的史詩般的倒塌感到震驚：約翰內斯堡 8 月 6 日（ANI）：傳奇澳洲...... http://t.co/LwwoJXtTIV")</f>
        <v>沃恩對澳洲特倫特大橋的史詩般的倒塌感到震驚：約翰內斯堡 8 月 6 日（ANI）：傳奇澳洲...... http://t.co/LwwoJXtTIV</v>
      </c>
      <c r="G383" s="4" t="str">
        <f>IFERROR(__xludf.DUMMYFUNCTION("GOOGLETRANSLATE(B383)"),"橋樑%20塌陷")</f>
        <v>橋樑%20塌陷</v>
      </c>
    </row>
    <row r="384" ht="15.75" customHeight="1">
      <c r="A384" s="4">
        <v>1690.0</v>
      </c>
      <c r="B384" s="4" t="s">
        <v>629</v>
      </c>
      <c r="D384" s="4" t="s">
        <v>647</v>
      </c>
      <c r="E384" s="4">
        <v>1.0</v>
      </c>
      <c r="F384" s="4" t="str">
        <f>IFERROR(__xludf.DUMMYFUNCTION("GOOGLETRANSLATE(D384)"),"兩台支撐橋樑的巨型起重機倒塌到附近的房屋 http://t.co/UmANaaHwMI")</f>
        <v>兩台支撐橋樑的巨型起重機倒塌到附近的房屋 http://t.co/UmANaaHwMI</v>
      </c>
      <c r="G384" s="4" t="str">
        <f>IFERROR(__xludf.DUMMYFUNCTION("GOOGLETRANSLATE(B384)"),"橋樑%20塌陷")</f>
        <v>橋樑%20塌陷</v>
      </c>
    </row>
    <row r="385" ht="15.75" customHeight="1">
      <c r="A385" s="4">
        <v>1692.0</v>
      </c>
      <c r="B385" s="4" t="s">
        <v>629</v>
      </c>
      <c r="D385" s="4" t="s">
        <v>648</v>
      </c>
      <c r="E385" s="4">
        <v>1.0</v>
      </c>
      <c r="F385" s="4" t="str">
        <f>IFERROR(__xludf.DUMMYFUNCTION("GOOGLETRANSLATE(D385)"),"墨西哥中部橋樑垮塌 2 人受傷 1 人失蹤 - Fox News Latino http://t.co/l0UnaFLy0Y")</f>
        <v>墨西哥中部橋樑垮塌 2 人受傷 1 人失蹤 - Fox News Latino http://t.co/l0UnaFLy0Y</v>
      </c>
      <c r="G385" s="4" t="str">
        <f>IFERROR(__xludf.DUMMYFUNCTION("GOOGLETRANSLATE(B385)"),"橋樑%20塌陷")</f>
        <v>橋樑%20塌陷</v>
      </c>
    </row>
    <row r="386" ht="15.75" customHeight="1">
      <c r="A386" s="4">
        <v>1693.0</v>
      </c>
      <c r="B386" s="4" t="s">
        <v>629</v>
      </c>
      <c r="C386" s="4" t="s">
        <v>178</v>
      </c>
      <c r="D386" s="4" t="s">
        <v>649</v>
      </c>
      <c r="E386" s="4">
        <v>1.0</v>
      </c>
      <c r="F386" s="4" t="str">
        <f>IFERROR(__xludf.DUMMYFUNCTION("GOOGLETRANSLATE(D386)"),"兩台支撐橋樑的巨型起重機倒塌到附近的房屋 http://t.co/5t69Ev0xTi 來自 http://t.co/Nyp8OQ2Z9T")</f>
        <v>兩台支撐橋樑的巨型起重機倒塌到附近的房屋 http://t.co/5t69Ev0xTi 來自 http://t.co/Nyp8OQ2Z9T</v>
      </c>
      <c r="G386" s="4" t="str">
        <f>IFERROR(__xludf.DUMMYFUNCTION("GOOGLETRANSLATE(B386)"),"橋樑%20塌陷")</f>
        <v>橋樑%20塌陷</v>
      </c>
    </row>
    <row r="387" ht="15.75" customHeight="1">
      <c r="A387" s="4">
        <v>1694.0</v>
      </c>
      <c r="B387" s="4" t="s">
        <v>629</v>
      </c>
      <c r="C387" s="4" t="s">
        <v>650</v>
      </c>
      <c r="D387" s="4" t="s">
        <v>651</v>
      </c>
      <c r="E387" s="4">
        <v>1.0</v>
      </c>
      <c r="F387" s="4" t="str">
        <f>IFERROR(__xludf.DUMMYFUNCTION("GOOGLETRANSLATE(D387)"),"#TrainTragedy - 由於橋樑倒塌而發生在 MP，現在我不敢搭乘長途火車。 http://t.co/JthusynJaH")</f>
        <v>#TrainTragedy - 由於橋樑倒塌而發生在 MP，現在我不敢搭乘長途火車。 http://t.co/JthusynJaH</v>
      </c>
      <c r="G387" s="4" t="str">
        <f>IFERROR(__xludf.DUMMYFUNCTION("GOOGLETRANSLATE(B387)"),"橋樑%20塌陷")</f>
        <v>橋樑%20塌陷</v>
      </c>
    </row>
    <row r="388" ht="15.75" customHeight="1">
      <c r="A388" s="4">
        <v>1699.0</v>
      </c>
      <c r="B388" s="4" t="s">
        <v>629</v>
      </c>
      <c r="C388" s="4" t="s">
        <v>405</v>
      </c>
      <c r="D388" s="4" t="s">
        <v>652</v>
      </c>
      <c r="E388" s="4">
        <v>1.0</v>
      </c>
      <c r="F388" s="4" t="str">
        <f>IFERROR(__xludf.DUMMYFUNCTION("GOOGLETRANSLATE(D388)"),"兩台支撐橋樑的巨型起重機倒塌到附近的房屋 http://t.co/jBJRg3eP1Q")</f>
        <v>兩台支撐橋樑的巨型起重機倒塌到附近的房屋 http://t.co/jBJRg3eP1Q</v>
      </c>
      <c r="G388" s="4" t="str">
        <f>IFERROR(__xludf.DUMMYFUNCTION("GOOGLETRANSLATE(B388)"),"橋樑%20塌陷")</f>
        <v>橋樑%20塌陷</v>
      </c>
    </row>
    <row r="389" ht="15.75" customHeight="1">
      <c r="A389" s="4">
        <v>1700.0</v>
      </c>
      <c r="B389" s="4" t="s">
        <v>629</v>
      </c>
      <c r="D389" s="4" t="s">
        <v>653</v>
      </c>
      <c r="E389" s="4">
        <v>1.0</v>
      </c>
      <c r="F389" s="4" t="str">
        <f>IFERROR(__xludf.DUMMYFUNCTION("GOOGLETRANSLATE(D389)"),"兩台支撐橋樑的巨型起重機倒塌到附近的房屋 http://t.co/gSKJqWyI2d")</f>
        <v>兩台支撐橋樑的巨型起重機倒塌到附近的房屋 http://t.co/gSKJqWyI2d</v>
      </c>
      <c r="G389" s="4" t="str">
        <f>IFERROR(__xludf.DUMMYFUNCTION("GOOGLETRANSLATE(B389)"),"橋樑%20塌陷")</f>
        <v>橋樑%20塌陷</v>
      </c>
    </row>
    <row r="390" ht="15.75" customHeight="1">
      <c r="A390" s="4">
        <v>1701.0</v>
      </c>
      <c r="B390" s="4" t="s">
        <v>629</v>
      </c>
      <c r="C390" s="4" t="s">
        <v>289</v>
      </c>
      <c r="D390" s="4" t="s">
        <v>654</v>
      </c>
      <c r="E390" s="4">
        <v>1.0</v>
      </c>
      <c r="F390" s="4" t="str">
        <f>IFERROR(__xludf.DUMMYFUNCTION("GOOGLETRANSLATE(D390)"),"#computers #gadgets 兩台支撐橋樑的巨型起重機倒塌到附近的房屋 http://t.co/UZIWgZRynY #slingnews")</f>
        <v>#computers #gadgets 兩台支撐橋樑的巨型起重機倒塌到附近的房屋 http://t.co/UZIWgZRynY #slingnews</v>
      </c>
      <c r="G390" s="4" t="str">
        <f>IFERROR(__xludf.DUMMYFUNCTION("GOOGLETRANSLATE(B390)"),"橋樑%20塌陷")</f>
        <v>橋樑%20塌陷</v>
      </c>
    </row>
    <row r="391" ht="15.75" customHeight="1">
      <c r="A391" s="4">
        <v>1702.0</v>
      </c>
      <c r="B391" s="4" t="s">
        <v>629</v>
      </c>
      <c r="C391" s="4" t="s">
        <v>89</v>
      </c>
      <c r="D391" s="4" t="s">
        <v>655</v>
      </c>
      <c r="E391" s="4">
        <v>1.0</v>
      </c>
      <c r="F391" s="4" t="str">
        <f>IFERROR(__xludf.DUMMYFUNCTION("GOOGLETRANSLATE(D391)"),"澳洲灰燼災難 - 特倫特橋倒塌是如何發生的 - Telegraph http://t.co/6FYnerMUsG")</f>
        <v>澳洲灰燼災難 - 特倫特橋倒塌是如何發生的 - Telegraph http://t.co/6FYnerMUsG</v>
      </c>
      <c r="G391" s="4" t="str">
        <f>IFERROR(__xludf.DUMMYFUNCTION("GOOGLETRANSLATE(B391)"),"橋樑%20塌陷")</f>
        <v>橋樑%20塌陷</v>
      </c>
    </row>
    <row r="392" ht="15.75" customHeight="1">
      <c r="A392" s="4">
        <v>1703.0</v>
      </c>
      <c r="B392" s="4" t="s">
        <v>629</v>
      </c>
      <c r="C392" s="4" t="s">
        <v>656</v>
      </c>
      <c r="D392" s="4" t="s">
        <v>657</v>
      </c>
      <c r="E392" s="4">
        <v>1.0</v>
      </c>
      <c r="F392" s="4" t="str">
        <f>IFERROR(__xludf.DUMMYFUNCTION("GOOGLETRANSLATE(D392)"),"@followlasg 這很緊急，目前在 B 教堂/Oworoshoki 站第三大陸橋有一座 3 層樓的建築，可能會倒塌")</f>
        <v>@followlasg 這很緊急，目前在 B 教堂/Oworoshoki 站第三大陸橋有一座 3 層樓的建築，可能會倒塌</v>
      </c>
      <c r="G392" s="4" t="str">
        <f>IFERROR(__xludf.DUMMYFUNCTION("GOOGLETRANSLATE(B392)"),"橋樑%20塌陷")</f>
        <v>橋樑%20塌陷</v>
      </c>
    </row>
    <row r="393" ht="15.75" customHeight="1">
      <c r="A393" s="4">
        <v>1705.0</v>
      </c>
      <c r="B393" s="4" t="s">
        <v>629</v>
      </c>
      <c r="C393" s="4" t="s">
        <v>658</v>
      </c>
      <c r="D393" s="4" t="s">
        <v>659</v>
      </c>
      <c r="E393" s="4">
        <v>1.0</v>
      </c>
      <c r="F393" s="4" t="str">
        <f>IFERROR(__xludf.DUMMYFUNCTION("GOOGLETRANSLATE(D393)"),"兩台支撐橋樑的巨型起重機倒塌到附近的房屋中 http://t.co/lSQe7nu6kl")</f>
        <v>兩台支撐橋樑的巨型起重機倒塌到附近的房屋中 http://t.co/lSQe7nu6kl</v>
      </c>
      <c r="G393" s="4" t="str">
        <f>IFERROR(__xludf.DUMMYFUNCTION("GOOGLETRANSLATE(B393)"),"橋樑%20塌陷")</f>
        <v>橋樑%20塌陷</v>
      </c>
    </row>
    <row r="394" ht="15.75" customHeight="1">
      <c r="A394" s="4">
        <v>1706.0</v>
      </c>
      <c r="B394" s="4" t="s">
        <v>629</v>
      </c>
      <c r="D394" s="4" t="s">
        <v>660</v>
      </c>
      <c r="E394" s="4">
        <v>1.0</v>
      </c>
      <c r="F394" s="4" t="str">
        <f>IFERROR(__xludf.DUMMYFUNCTION("GOOGLETRANSLATE(D394)"),"兩台支撐橋樑的巨型起重機倒塌到附近的房屋 http://t.co/q5q1x5Vcqk")</f>
        <v>兩台支撐橋樑的巨型起重機倒塌到附近的房屋 http://t.co/q5q1x5Vcqk</v>
      </c>
      <c r="G394" s="4" t="str">
        <f>IFERROR(__xludf.DUMMYFUNCTION("GOOGLETRANSLATE(B394)"),"橋樑%20塌陷")</f>
        <v>橋樑%20塌陷</v>
      </c>
    </row>
    <row r="395" ht="15.75" customHeight="1">
      <c r="A395" s="4">
        <v>1709.0</v>
      </c>
      <c r="B395" s="4" t="s">
        <v>629</v>
      </c>
      <c r="D395" s="4" t="s">
        <v>661</v>
      </c>
      <c r="E395" s="4">
        <v>1.0</v>
      </c>
      <c r="F395" s="4" t="str">
        <f>IFERROR(__xludf.DUMMYFUNCTION("GOOGLETRANSLATE(D395)"),"2015 年灰燼：澳洲在特倫特橋倒塌 - Twitter 的反應 http://t.co/ik7mGidvbm http://t.co/AF1yzUS8LN")</f>
        <v>2015 年灰燼：澳洲在特倫特橋倒塌 - Twitter 的反應 http://t.co/ik7mGidvbm http://t.co/AF1yzUS8LN</v>
      </c>
      <c r="G395" s="4" t="str">
        <f>IFERROR(__xludf.DUMMYFUNCTION("GOOGLETRANSLATE(B395)"),"橋樑%20塌陷")</f>
        <v>橋樑%20塌陷</v>
      </c>
    </row>
    <row r="396" ht="15.75" customHeight="1">
      <c r="A396" s="4">
        <v>1710.0</v>
      </c>
      <c r="B396" s="4" t="s">
        <v>629</v>
      </c>
      <c r="D396" s="4" t="s">
        <v>662</v>
      </c>
      <c r="E396" s="4">
        <v>1.0</v>
      </c>
      <c r="F396" s="4" t="str">
        <f>IFERROR(__xludf.DUMMYFUNCTION("GOOGLETRANSLATE(D396)"),"墨西哥：橋樑施工垮塌造成一人死亡 http://t.co/I2C00FcOwb http://t.co/jAAgcFaRTW")</f>
        <v>墨西哥：橋樑施工垮塌造成一人死亡 http://t.co/I2C00FcOwb http://t.co/jAAgcFaRTW</v>
      </c>
      <c r="G396" s="4" t="str">
        <f>IFERROR(__xludf.DUMMYFUNCTION("GOOGLETRANSLATE(B396)"),"橋樑%20塌陷")</f>
        <v>橋樑%20塌陷</v>
      </c>
    </row>
    <row r="397" ht="15.75" customHeight="1">
      <c r="A397" s="4">
        <v>1712.0</v>
      </c>
      <c r="B397" s="4" t="s">
        <v>629</v>
      </c>
      <c r="D397" s="4" t="s">
        <v>663</v>
      </c>
      <c r="E397" s="4">
        <v>1.0</v>
      </c>
      <c r="F397" s="4" t="str">
        <f>IFERROR(__xludf.DUMMYFUNCTION("GOOGLETRANSLATE(D397)"),"荷蘭中部小鎮萊茵河畔阿爾芬的兩台起重機正在修復一座橋樑，橋樑倒塌倒塌，救援人員正在搜尋人員")</f>
        <v>荷蘭中部小鎮萊茵河畔阿爾芬的兩台起重機正在修復一座橋樑，橋樑倒塌倒塌，救援人員正在搜尋人員</v>
      </c>
      <c r="G397" s="4" t="str">
        <f>IFERROR(__xludf.DUMMYFUNCTION("GOOGLETRANSLATE(B397)"),"橋樑%20塌陷")</f>
        <v>橋樑%20塌陷</v>
      </c>
    </row>
    <row r="398" ht="15.75" customHeight="1">
      <c r="A398" s="4">
        <v>1716.0</v>
      </c>
      <c r="B398" s="4" t="s">
        <v>629</v>
      </c>
      <c r="D398" s="4" t="s">
        <v>664</v>
      </c>
      <c r="E398" s="4">
        <v>1.0</v>
      </c>
      <c r="F398" s="4" t="str">
        <f>IFERROR(__xludf.DUMMYFUNCTION("GOOGLETRANSLATE(D398)"),"兩台支撐橋樑的巨型起重機倒塌到附近的房屋 http://t.co/9asc1hhFNJ")</f>
        <v>兩台支撐橋樑的巨型起重機倒塌到附近的房屋 http://t.co/9asc1hhFNJ</v>
      </c>
      <c r="G398" s="4" t="str">
        <f>IFERROR(__xludf.DUMMYFUNCTION("GOOGLETRANSLATE(B398)"),"橋樑%20塌陷")</f>
        <v>橋樑%20塌陷</v>
      </c>
    </row>
    <row r="399" ht="15.75" customHeight="1">
      <c r="A399" s="4">
        <v>1718.0</v>
      </c>
      <c r="B399" s="4" t="s">
        <v>629</v>
      </c>
      <c r="C399" s="4" t="s">
        <v>665</v>
      </c>
      <c r="D399" s="4" t="s">
        <v>666</v>
      </c>
      <c r="E399" s="4">
        <v>1.0</v>
      </c>
      <c r="F399" s="4" t="str">
        <f>IFERROR(__xludf.DUMMYFUNCTION("GOOGLETRANSLATE(D399)"),"美國不升級基礎建設？ http://t.co/NGEHhG9YGa'這是一個糟糕的情況，它很快就會變得醜陋#USA #sustainability")</f>
        <v>美國不升級基礎建設？ http://t.co/NGEHhG9YGa'這是一個糟糕的情況，它很快就會變得醜陋#USA #sustainability</v>
      </c>
      <c r="G399" s="4" t="str">
        <f>IFERROR(__xludf.DUMMYFUNCTION("GOOGLETRANSLATE(B399)"),"橋樑%20塌陷")</f>
        <v>橋樑%20塌陷</v>
      </c>
    </row>
    <row r="400" ht="15.75" customHeight="1">
      <c r="A400" s="4">
        <v>1720.0</v>
      </c>
      <c r="B400" s="4" t="s">
        <v>629</v>
      </c>
      <c r="C400" s="4" t="s">
        <v>323</v>
      </c>
      <c r="D400" s="4" t="s">
        <v>667</v>
      </c>
      <c r="E400" s="4">
        <v>1.0</v>
      </c>
      <c r="F400" s="4" t="str">
        <f>IFERROR(__xludf.DUMMYFUNCTION("GOOGLETRANSLATE(D400)"),"@ameenshaikh3 先生，我只是想就你提出的@sureshpprabhu 提出一個觀點，並說他在橋樑倒塌問題上撒了謊。")</f>
        <v>@ameenshaikh3 先生，我只是想就你提出的@sureshpprabhu 提出一個觀點，並說他在橋樑倒塌問題上撒了謊。</v>
      </c>
      <c r="G400" s="4" t="str">
        <f>IFERROR(__xludf.DUMMYFUNCTION("GOOGLETRANSLATE(B400)"),"橋樑%20塌陷")</f>
        <v>橋樑%20塌陷</v>
      </c>
    </row>
    <row r="401" ht="15.75" customHeight="1">
      <c r="A401" s="4">
        <v>1722.0</v>
      </c>
      <c r="B401" s="4" t="s">
        <v>668</v>
      </c>
      <c r="D401" s="4" t="s">
        <v>669</v>
      </c>
      <c r="E401" s="4">
        <v>1.0</v>
      </c>
      <c r="F401" s="4" t="str">
        <f>IFERROR(__xludf.DUMMYFUNCTION("GOOGLETRANSLATE(D401)"),"「我是雙子座」*孩子們尖叫著遠處的建築物燃燒著警笛*")</f>
        <v>「我是雙子座」*孩子們尖叫著遠處的建築物燃燒著警笛*</v>
      </c>
      <c r="G401" s="4" t="str">
        <f>IFERROR(__xludf.DUMMYFUNCTION("GOOGLETRANSLATE(B401)"),"建築物%20燃燒")</f>
        <v>建築物%20燃燒</v>
      </c>
    </row>
    <row r="402" ht="15.75" customHeight="1">
      <c r="A402" s="4">
        <v>1723.0</v>
      </c>
      <c r="B402" s="4" t="s">
        <v>668</v>
      </c>
      <c r="C402" s="4" t="s">
        <v>670</v>
      </c>
      <c r="D402" s="4" t="s">
        <v>671</v>
      </c>
      <c r="E402" s="4">
        <v>1.0</v>
      </c>
      <c r="F402" s="4" t="str">
        <f>IFERROR(__xludf.DUMMYFUNCTION("GOOGLETRANSLATE(D402)"),"嗯嗯，我正在燃燒......我正在燃燒我正在建造的建築物......哦哦哦哦哦......")</f>
        <v>嗯嗯，我正在燃燒......我正在燃燒我正在建造的建築物......哦哦哦哦哦......</v>
      </c>
      <c r="G402" s="4" t="str">
        <f>IFERROR(__xludf.DUMMYFUNCTION("GOOGLETRANSLATE(B402)"),"建築物%20燃燒")</f>
        <v>建築物%20燃燒</v>
      </c>
    </row>
    <row r="403" ht="15.75" customHeight="1">
      <c r="A403" s="4">
        <v>1724.0</v>
      </c>
      <c r="B403" s="4" t="s">
        <v>668</v>
      </c>
      <c r="C403" s="4" t="s">
        <v>672</v>
      </c>
      <c r="D403" s="4" t="s">
        <v>673</v>
      </c>
      <c r="E403" s="4">
        <v>1.0</v>
      </c>
      <c r="F403" s="4" t="str">
        <f>IFERROR(__xludf.DUMMYFUNCTION("GOOGLETRANSLATE(D403)"),"@DougMartin17 消防員艾德跑進燃燒的建築物，而其他人則跑出去道格，他值得你的尊重??????")</f>
        <v>@DougMartin17 消防員艾德跑進燃燒的建築物，而其他人則跑出去道格，他值得你的尊重??????</v>
      </c>
      <c r="G403" s="4" t="str">
        <f>IFERROR(__xludf.DUMMYFUNCTION("GOOGLETRANSLATE(B403)"),"建築物%20燃燒")</f>
        <v>建築物%20燃燒</v>
      </c>
    </row>
    <row r="404" ht="15.75" customHeight="1">
      <c r="A404" s="4">
        <v>1725.0</v>
      </c>
      <c r="B404" s="4" t="s">
        <v>668</v>
      </c>
      <c r="C404" s="4" t="s">
        <v>674</v>
      </c>
      <c r="D404" s="4" t="s">
        <v>675</v>
      </c>
      <c r="E404" s="4">
        <v>1.0</v>
      </c>
      <c r="F404" s="4" t="str">
        <f>IFERROR(__xludf.DUMMYFUNCTION("GOOGLETRANSLATE(D404)"),"@themagickidraps 並不對一場集會感到不安，因為焚燒建築物的企業執行與此無關的警察等")</f>
        <v>@themagickidraps 並不對一場集會感到不安，因為焚燒建築物的企業執行與此無關的警察等</v>
      </c>
      <c r="G404" s="4" t="str">
        <f>IFERROR(__xludf.DUMMYFUNCTION("GOOGLETRANSLATE(B404)"),"建築物%20燃燒")</f>
        <v>建築物%20燃燒</v>
      </c>
    </row>
    <row r="405" ht="15.75" customHeight="1">
      <c r="A405" s="4">
        <v>1727.0</v>
      </c>
      <c r="B405" s="4" t="s">
        <v>668</v>
      </c>
      <c r="C405" s="4" t="s">
        <v>676</v>
      </c>
      <c r="D405" s="4" t="s">
        <v>677</v>
      </c>
      <c r="E405" s="4">
        <v>1.0</v>
      </c>
      <c r="F405" s="4" t="str">
        <f>IFERROR(__xludf.DUMMYFUNCTION("GOOGLETRANSLATE(D405)"),"@_minimehh @cjoyner 我一定是在俯瞰燃燒的建築物？ #黑人的命也是命")</f>
        <v>@_minimehh @cjoyner 我一定是在俯瞰燃燒的建築物？ #黑人的命也是命</v>
      </c>
      <c r="G405" s="4" t="str">
        <f>IFERROR(__xludf.DUMMYFUNCTION("GOOGLETRANSLATE(B405)"),"建築物%20燃燒")</f>
        <v>建築物%20燃燒</v>
      </c>
    </row>
    <row r="406" ht="15.75" customHeight="1">
      <c r="A406" s="4">
        <v>1728.0</v>
      </c>
      <c r="B406" s="4" t="s">
        <v>668</v>
      </c>
      <c r="D406" s="4" t="s">
        <v>678</v>
      </c>
      <c r="E406" s="4">
        <v>1.0</v>
      </c>
      <c r="F406" s="4" t="str">
        <f>IFERROR(__xludf.DUMMYFUNCTION("GOOGLETRANSLATE(D406)"),"@fewmoretweets 所有的生命都很重要。只是不喜歡燒毀建築物並從鄰居那裡偷東西來“抗議”")</f>
        <v>@fewmoretweets 所有的生命都很重要。只是不喜歡燒毀建築物並從鄰居那裡偷東西來“抗議”</v>
      </c>
      <c r="G406" s="4" t="str">
        <f>IFERROR(__xludf.DUMMYFUNCTION("GOOGLETRANSLATE(B406)"),"建築物%20燃燒")</f>
        <v>建築物%20燃燒</v>
      </c>
    </row>
    <row r="407" ht="15.75" customHeight="1">
      <c r="A407" s="4">
        <v>1735.0</v>
      </c>
      <c r="B407" s="4" t="s">
        <v>668</v>
      </c>
      <c r="C407" s="4" t="s">
        <v>679</v>
      </c>
      <c r="D407" s="4" t="s">
        <v>680</v>
      </c>
      <c r="E407" s="4">
        <v>1.0</v>
      </c>
      <c r="F407" s="4" t="str">
        <f>IFERROR(__xludf.DUMMYFUNCTION("GOOGLETRANSLATE(D407)"),"加州北部燃燒的洛基大火仍然威脅著 7000 多座建築物。這是該州最大的 #9newsmornings")</f>
        <v>加州北部燃燒的洛基大火仍然威脅著 7000 多座建築物。這是該州最大的 #9newsmornings</v>
      </c>
      <c r="G407" s="4" t="str">
        <f>IFERROR(__xludf.DUMMYFUNCTION("GOOGLETRANSLATE(B407)"),"建築物%20燃燒")</f>
        <v>建築物%20燃燒</v>
      </c>
    </row>
    <row r="408" ht="15.75" customHeight="1">
      <c r="A408" s="4">
        <v>1739.0</v>
      </c>
      <c r="B408" s="4" t="s">
        <v>668</v>
      </c>
      <c r="C408" s="4" t="s">
        <v>681</v>
      </c>
      <c r="D408" s="4" t="s">
        <v>682</v>
      </c>
      <c r="E408" s="4">
        <v>1.0</v>
      </c>
      <c r="F408" s="4" t="str">
        <f>IFERROR(__xludf.DUMMYFUNCTION("GOOGLETRANSLATE(D408)"),"梅西：有紋身不能捐血
羅納多：衝進燃燒的建築物救狗#respect")</f>
        <v>梅西：有紋身不能捐血
羅納多：衝進燃燒的建築物救狗#respect</v>
      </c>
      <c r="G408" s="4" t="str">
        <f>IFERROR(__xludf.DUMMYFUNCTION("GOOGLETRANSLATE(B408)"),"建築物%20燃燒")</f>
        <v>建築物%20燃燒</v>
      </c>
    </row>
    <row r="409" ht="15.75" customHeight="1">
      <c r="A409" s="4">
        <v>1740.0</v>
      </c>
      <c r="B409" s="4" t="s">
        <v>668</v>
      </c>
      <c r="D409" s="4" t="s">
        <v>683</v>
      </c>
      <c r="E409" s="4">
        <v>1.0</v>
      </c>
      <c r="F409" s="4" t="str">
        <f>IFERROR(__xludf.DUMMYFUNCTION("GOOGLETRANSLATE(D409)"),"我可能可以跳過幾天這些基本的生活維持事情。 （切到燃燒的建築物，人們在街上尖叫）")</f>
        <v>我可能可以跳過幾天這些基本的生活維持事情。 （切到燃燒的建築物，人們在街上尖叫）</v>
      </c>
      <c r="G409" s="4" t="str">
        <f>IFERROR(__xludf.DUMMYFUNCTION("GOOGLETRANSLATE(B409)"),"建築物%20燃燒")</f>
        <v>建築物%20燃燒</v>
      </c>
    </row>
    <row r="410" ht="15.75" customHeight="1">
      <c r="A410" s="4">
        <v>1741.0</v>
      </c>
      <c r="B410" s="4" t="s">
        <v>668</v>
      </c>
      <c r="C410" s="4" t="s">
        <v>684</v>
      </c>
      <c r="D410" s="4" t="s">
        <v>685</v>
      </c>
      <c r="E410" s="4">
        <v>1.0</v>
      </c>
      <c r="F410" s="4" t="str">
        <f>IFERROR(__xludf.DUMMYFUNCTION("GOOGLETRANSLATE(D410)"),"@1acd4900c1424d1 @FoxNews 沒有人發生騷亂、燒毀建築物或搶劫。")</f>
        <v>@1acd4900c1424d1 @FoxNews 沒有人發生騷亂、燒毀建築物或搶劫。</v>
      </c>
      <c r="G410" s="4" t="str">
        <f>IFERROR(__xludf.DUMMYFUNCTION("GOOGLETRANSLATE(B410)"),"建築物%20燃燒")</f>
        <v>建築物%20燃燒</v>
      </c>
    </row>
    <row r="411" ht="15.75" customHeight="1">
      <c r="A411" s="4">
        <v>1745.0</v>
      </c>
      <c r="B411" s="4" t="s">
        <v>668</v>
      </c>
      <c r="C411" s="4" t="s">
        <v>686</v>
      </c>
      <c r="D411" s="4" t="s">
        <v>687</v>
      </c>
      <c r="E411" s="4">
        <v>1.0</v>
      </c>
      <c r="F411" s="4" t="str">
        <f>IFERROR(__xludf.DUMMYFUNCTION("GOOGLETRANSLATE(D411)"),"進入燃燒的該死的建築物（2/2）")</f>
        <v>進入燃燒的該死的建築物（2/2）</v>
      </c>
      <c r="G411" s="4" t="str">
        <f>IFERROR(__xludf.DUMMYFUNCTION("GOOGLETRANSLATE(B411)"),"建築物%20燃燒")</f>
        <v>建築物%20燃燒</v>
      </c>
    </row>
    <row r="412" ht="15.75" customHeight="1">
      <c r="A412" s="4">
        <v>1750.0</v>
      </c>
      <c r="B412" s="4" t="s">
        <v>668</v>
      </c>
      <c r="C412" s="4" t="s">
        <v>688</v>
      </c>
      <c r="D412" s="4" t="s">
        <v>689</v>
      </c>
      <c r="E412" s="4">
        <v>1.0</v>
      </c>
      <c r="F412" s="4" t="str">
        <f>IFERROR(__xludf.DUMMYFUNCTION("GOOGLETRANSLATE(D412)"),"烏幹達西部的學校仍在罷工期間燒毀建築物......烏幹達西部的罷工總是點燃......")</f>
        <v>烏幹達西部的學校仍在罷工期間燒毀建築物......烏幹達西部的罷工總是點燃......</v>
      </c>
      <c r="G412" s="4" t="str">
        <f>IFERROR(__xludf.DUMMYFUNCTION("GOOGLETRANSLATE(B412)"),"建築物%20燃燒")</f>
        <v>建築物%20燃燒</v>
      </c>
    </row>
    <row r="413" ht="15.75" customHeight="1">
      <c r="A413" s="4">
        <v>1753.0</v>
      </c>
      <c r="B413" s="4" t="s">
        <v>668</v>
      </c>
      <c r="C413" s="4" t="s">
        <v>690</v>
      </c>
      <c r="D413" s="4" t="s">
        <v>691</v>
      </c>
      <c r="E413" s="4">
        <v>1.0</v>
      </c>
      <c r="F413" s="4" t="str">
        <f>IFERROR(__xludf.DUMMYFUNCTION("GOOGLETRANSLATE(D413)"),"@DoctorFluxx @StefanEJones @spinnellii @themermacorn 在暴動期間不要焚燒建築物和搶劫。這很尷尬&amp;amp;毀了這個國家。")</f>
        <v>@DoctorFluxx @StefanEJones @spinnellii @themermacorn 在暴動期間不要焚燒建築物和搶劫。這很尷尬&amp;amp;毀了這個國家。</v>
      </c>
      <c r="G413" s="4" t="str">
        <f>IFERROR(__xludf.DUMMYFUNCTION("GOOGLETRANSLATE(B413)"),"建築物%20燃燒")</f>
        <v>建築物%20燃燒</v>
      </c>
    </row>
    <row r="414" ht="15.75" customHeight="1">
      <c r="A414" s="4">
        <v>1754.0</v>
      </c>
      <c r="B414" s="4" t="s">
        <v>668</v>
      </c>
      <c r="C414" s="4" t="s">
        <v>692</v>
      </c>
      <c r="D414" s="4" t="s">
        <v>693</v>
      </c>
      <c r="E414" s="4">
        <v>1.0</v>
      </c>
      <c r="F414" s="4" t="str">
        <f>IFERROR(__xludf.DUMMYFUNCTION("GOOGLETRANSLATE(D414)"),"人們更擔心建築物被燒毀，而不是令人厭惡的黑人喪生。")</f>
        <v>人們更擔心建築物被燒毀，而不是令人厭惡的黑人喪生。</v>
      </c>
      <c r="G414" s="4" t="str">
        <f>IFERROR(__xludf.DUMMYFUNCTION("GOOGLETRANSLATE(B414)"),"建築物%20燃燒")</f>
        <v>建築物%20燃燒</v>
      </c>
    </row>
    <row r="415" ht="15.75" customHeight="1">
      <c r="A415" s="4">
        <v>1755.0</v>
      </c>
      <c r="B415" s="4" t="s">
        <v>668</v>
      </c>
      <c r="D415" s="4" t="s">
        <v>694</v>
      </c>
      <c r="E415" s="4">
        <v>1.0</v>
      </c>
      <c r="F415" s="4" t="str">
        <f>IFERROR(__xludf.DUMMYFUNCTION("GOOGLETRANSLATE(D415)"),"布拉德福德。回到做我們最擅長的事。燒毀我們自己的建築物。讀它並為利茲哭泣。 https://t.co/OLnfzb86zb")</f>
        <v>布拉德福德。回到做我們最擅長的事。燒毀我們自己的建築物。讀它並為利茲哭泣。 https://t.co/OLnfzb86zb</v>
      </c>
      <c r="G415" s="4" t="str">
        <f>IFERROR(__xludf.DUMMYFUNCTION("GOOGLETRANSLATE(B415)"),"建築物%20燃燒")</f>
        <v>建築物%20燃燒</v>
      </c>
    </row>
    <row r="416" ht="15.75" customHeight="1">
      <c r="A416" s="4">
        <v>1756.0</v>
      </c>
      <c r="B416" s="4" t="s">
        <v>668</v>
      </c>
      <c r="C416" s="4" t="s">
        <v>695</v>
      </c>
      <c r="D416" s="4" t="s">
        <v>696</v>
      </c>
      <c r="E416" s="4">
        <v>1.0</v>
      </c>
      <c r="F416" s="4" t="str">
        <f>IFERROR(__xludf.DUMMYFUNCTION("GOOGLETRANSLATE(D416)"),"@EPCOTExplorer 我嫉妒的淚水隨著一千座被洗劫的建築物的大火而燃燒。太棒了eeeeee")</f>
        <v>@EPCOTExplorer 我嫉妒的淚水隨著一千座被洗劫的建築物的大火而燃燒。太棒了eeeeee</v>
      </c>
      <c r="G416" s="4" t="str">
        <f>IFERROR(__xludf.DUMMYFUNCTION("GOOGLETRANSLATE(B416)"),"建築物%20燃燒")</f>
        <v>建築物%20燃燒</v>
      </c>
    </row>
    <row r="417" ht="15.75" customHeight="1">
      <c r="A417" s="4">
        <v>1757.0</v>
      </c>
      <c r="B417" s="4" t="s">
        <v>668</v>
      </c>
      <c r="D417" s="4" t="s">
        <v>697</v>
      </c>
      <c r="E417" s="4">
        <v>1.0</v>
      </c>
      <c r="F417" s="4" t="str">
        <f>IFERROR(__xludf.DUMMYFUNCTION("GOOGLETRANSLATE(D417)"),"@zourryart 我忘了添加燃燒的建築物和尖叫的嬰兒")</f>
        <v>@zourryart 我忘了添加燃燒的建築物和尖叫的嬰兒</v>
      </c>
      <c r="G417" s="4" t="str">
        <f>IFERROR(__xludf.DUMMYFUNCTION("GOOGLETRANSLATE(B417)"),"建築物%20燃燒")</f>
        <v>建築物%20燃燒</v>
      </c>
    </row>
    <row r="418" ht="15.75" customHeight="1">
      <c r="A418" s="4">
        <v>1759.0</v>
      </c>
      <c r="B418" s="4" t="s">
        <v>668</v>
      </c>
      <c r="C418" s="4" t="s">
        <v>698</v>
      </c>
      <c r="D418" s="4" t="s">
        <v>699</v>
      </c>
      <c r="E418" s="4">
        <v>1.0</v>
      </c>
      <c r="F418" s="4" t="str">
        <f>IFERROR(__xludf.DUMMYFUNCTION("GOOGLETRANSLATE(D418)"),"沉船燃燒建築物和掉落的物體讓我想起了過去的我們。")</f>
        <v>沉船燃燒建築物和掉落的物體讓我想起了過去的我們。</v>
      </c>
      <c r="G418" s="4" t="str">
        <f>IFERROR(__xludf.DUMMYFUNCTION("GOOGLETRANSLATE(B418)"),"建築物%20燃燒")</f>
        <v>建築物%20燃燒</v>
      </c>
    </row>
    <row r="419" ht="15.75" customHeight="1">
      <c r="A419" s="4">
        <v>1760.0</v>
      </c>
      <c r="B419" s="4" t="s">
        <v>668</v>
      </c>
      <c r="C419" s="4" t="s">
        <v>700</v>
      </c>
      <c r="D419" s="4" t="s">
        <v>701</v>
      </c>
      <c r="E419" s="4">
        <v>1.0</v>
      </c>
      <c r="F419" s="4" t="str">
        <f>IFERROR(__xludf.DUMMYFUNCTION("GOOGLETRANSLATE(D419)"),"就像音樂錄影帶一樣，我想要一些真實的動作，例如燃燒的建築物和警察追逐，而不是一些軟弱的本溫斯頓狗屎")</f>
        <v>就像音樂錄影帶一樣，我想要一些真實的動作，例如燃燒的建築物和警察追逐，而不是一些軟弱的本溫斯頓狗屎</v>
      </c>
      <c r="G419" s="4" t="str">
        <f>IFERROR(__xludf.DUMMYFUNCTION("GOOGLETRANSLATE(B419)"),"建築物%20燃燒")</f>
        <v>建築物%20燃燒</v>
      </c>
    </row>
    <row r="420" ht="15.75" customHeight="1">
      <c r="A420" s="4">
        <v>1761.0</v>
      </c>
      <c r="B420" s="4" t="s">
        <v>668</v>
      </c>
      <c r="C420" s="4" t="s">
        <v>702</v>
      </c>
      <c r="D420" s="4" t="s">
        <v>703</v>
      </c>
      <c r="E420" s="4">
        <v>1.0</v>
      </c>
      <c r="F420" s="4" t="str">
        <f>IFERROR(__xludf.DUMMYFUNCTION("GOOGLETRANSLATE(D420)"),"燃燒建築物？媒體憤怒？ http://t.co/pHixZnv1YN")</f>
        <v>燃燒建築物？媒體憤怒？ http://t.co/pHixZnv1YN</v>
      </c>
      <c r="G420" s="4" t="str">
        <f>IFERROR(__xludf.DUMMYFUNCTION("GOOGLETRANSLATE(B420)"),"建築物%20燃燒")</f>
        <v>建築物%20燃燒</v>
      </c>
    </row>
    <row r="421" ht="15.75" customHeight="1">
      <c r="A421" s="4">
        <v>1762.0</v>
      </c>
      <c r="B421" s="4" t="s">
        <v>668</v>
      </c>
      <c r="C421" s="4" t="s">
        <v>704</v>
      </c>
      <c r="D421" s="4" t="s">
        <v>705</v>
      </c>
      <c r="E421" s="4">
        <v>1.0</v>
      </c>
      <c r="F421" s="4" t="str">
        <f>IFERROR(__xludf.DUMMYFUNCTION("GOOGLETRANSLATE(D421)"),"在燃燒的建築物中一定會變熱
-失去追蹤者- https://t.co/8sP8xLbbDR")</f>
        <v>在燃燒的建築物中一定會變熱
-失去追蹤者- https://t.co/8sP8xLbbDR</v>
      </c>
      <c r="G421" s="4" t="str">
        <f>IFERROR(__xludf.DUMMYFUNCTION("GOOGLETRANSLATE(B421)"),"建築物%20燃燒")</f>
        <v>建築物%20燃燒</v>
      </c>
    </row>
    <row r="422" ht="15.75" customHeight="1">
      <c r="A422" s="4">
        <v>1768.0</v>
      </c>
      <c r="B422" s="4" t="s">
        <v>668</v>
      </c>
      <c r="C422" s="4" t="s">
        <v>706</v>
      </c>
      <c r="D422" s="4" t="s">
        <v>707</v>
      </c>
      <c r="E422" s="4">
        <v>1.0</v>
      </c>
      <c r="F422" s="4" t="str">
        <f>IFERROR(__xludf.DUMMYFUNCTION("GOOGLETRANSLATE(D422)"),"目擊者影片顯示汽車在今天下午第二街燃燒的建築物後面爆炸 #Manchester http://t.co/cgmJlSEYLo 來自 @MikeCroninWMUR")</f>
        <v>目擊者影片顯示汽車在今天下午第二街燃燒的建築物後面爆炸 #Manchester http://t.co/cgmJlSEYLo 來自 @MikeCroninWMUR</v>
      </c>
      <c r="G422" s="4" t="str">
        <f>IFERROR(__xludf.DUMMYFUNCTION("GOOGLETRANSLATE(B422)"),"建築物%20燃燒")</f>
        <v>建築物%20燃燒</v>
      </c>
    </row>
    <row r="423" ht="15.75" customHeight="1">
      <c r="A423" s="4">
        <v>1769.0</v>
      </c>
      <c r="B423" s="4" t="s">
        <v>668</v>
      </c>
      <c r="C423" s="4" t="s">
        <v>708</v>
      </c>
      <c r="D423" s="4" t="s">
        <v>709</v>
      </c>
      <c r="E423" s="4">
        <v>1.0</v>
      </c>
      <c r="F423" s="4" t="str">
        <f>IFERROR(__xludf.DUMMYFUNCTION("GOOGLETRANSLATE(D423)"),"昨晚看著 Xela 消防員用舊設備奮力拯救燃燒的建築物，讓我非常感激 DCFD @ChR3lyc @IAFF36")</f>
        <v>昨晚看著 Xela 消防員用舊設備奮力拯救燃燒的建築物，讓我非常感激 DCFD @ChR3lyc @IAFF36</v>
      </c>
      <c r="G423" s="4" t="str">
        <f>IFERROR(__xludf.DUMMYFUNCTION("GOOGLETRANSLATE(B423)"),"建築物%20燃燒")</f>
        <v>建築物%20燃燒</v>
      </c>
    </row>
    <row r="424" ht="15.75" customHeight="1">
      <c r="A424" s="4">
        <v>1770.0</v>
      </c>
      <c r="B424" s="4" t="s">
        <v>668</v>
      </c>
      <c r="D424" s="4" t="s">
        <v>710</v>
      </c>
      <c r="E424" s="4">
        <v>1.0</v>
      </c>
      <c r="F424" s="4" t="str">
        <f>IFERROR(__xludf.DUMMYFUNCTION("GOOGLETRANSLATE(D424)"),"http://t.co/WRB7Xd8W5y
克羅伊登暴動 - 第二天：高街和倫敦的建築物被焚燒里夫斯角的人群
克羅伊登化
2011年8月")</f>
        <v>http://t.co/WRB7Xd8W5y
克羅伊登暴動 - 第二天：高街和倫敦的建築物被焚燒里夫斯角的人群
克羅伊登化
2011年8月</v>
      </c>
      <c r="G424" s="4" t="str">
        <f>IFERROR(__xludf.DUMMYFUNCTION("GOOGLETRANSLATE(B424)"),"建築物%20燃燒")</f>
        <v>建築物%20燃燒</v>
      </c>
    </row>
    <row r="425" ht="15.75" customHeight="1">
      <c r="A425" s="4">
        <v>1771.0</v>
      </c>
      <c r="B425" s="4" t="s">
        <v>711</v>
      </c>
      <c r="C425" s="4" t="s">
        <v>712</v>
      </c>
      <c r="D425" s="4" t="s">
        <v>713</v>
      </c>
      <c r="E425" s="4">
        <v>1.0</v>
      </c>
      <c r="F425" s="4" t="str">
        <f>IFERROR(__xludf.DUMMYFUNCTION("GOOGLETRANSLATE(D425)"),"與在 http://t.co/bTPQdehl3p 上安裝不合規外部覆層相關的火災危險 - 作者：@www.cbplawyers")</f>
        <v>與在 http://t.co/bTPQdehl3p 上安裝不合規外部覆層相關的火災危險 - 作者：@www.cbplawyers</v>
      </c>
      <c r="G425" s="4" t="str">
        <f>IFERROR(__xludf.DUMMYFUNCTION("GOOGLETRANSLATE(B425)"),"建築物%20on%20火災")</f>
        <v>建築物%20on%20火災</v>
      </c>
    </row>
    <row r="426" ht="15.75" customHeight="1">
      <c r="A426" s="4">
        <v>1772.0</v>
      </c>
      <c r="B426" s="4" t="s">
        <v>711</v>
      </c>
      <c r="C426" s="4" t="s">
        <v>714</v>
      </c>
      <c r="D426" s="4" t="s">
        <v>715</v>
      </c>
      <c r="E426" s="4">
        <v>1.0</v>
      </c>
      <c r="F426" s="4" t="str">
        <f>IFERROR(__xludf.DUMMYFUNCTION("GOOGLETRANSLATE(D426)"),".@greenbuildermag @NFPA 將在美國東部時間 8 月 19 日下午 2 點舉辦關於 #wildfire 緩解措施的免費網路研討會。 http://t.co/xmsvOHKccP @Firewise @Michele_NFPA")</f>
        <v>.@greenbuildermag @NFPA 將在美國東部時間 8 月 19 日下午 2 點舉辦關於 #wildfire 緩解措施的免費網路研討會。 http://t.co/xmsvOHKccP @Firewise @Michele_NFPA</v>
      </c>
      <c r="G426" s="4" t="str">
        <f>IFERROR(__xludf.DUMMYFUNCTION("GOOGLETRANSLATE(B426)"),"建築物%20on%20火災")</f>
        <v>建築物%20on%20火災</v>
      </c>
    </row>
    <row r="427" ht="15.75" customHeight="1">
      <c r="A427" s="4">
        <v>1774.0</v>
      </c>
      <c r="B427" s="4" t="s">
        <v>711</v>
      </c>
      <c r="C427" s="4" t="s">
        <v>706</v>
      </c>
      <c r="D427" s="4" t="s">
        <v>716</v>
      </c>
      <c r="E427" s="4">
        <v>1.0</v>
      </c>
      <c r="F427" s="4" t="str">
        <f>IFERROR(__xludf.DUMMYFUNCTION("GOOGLETRANSLATE(D427)"),"影片：曼徹斯特大火燒毀兩棟公寓大樓並炸毀汽車 http://t.co/5BGcw3EzB5")</f>
        <v>影片：曼徹斯特大火燒毀兩棟公寓大樓並炸毀汽車 http://t.co/5BGcw3EzB5</v>
      </c>
      <c r="G427" s="4" t="str">
        <f>IFERROR(__xludf.DUMMYFUNCTION("GOOGLETRANSLATE(B427)"),"建築物%20on%20火災")</f>
        <v>建築物%20on%20火災</v>
      </c>
    </row>
    <row r="428" ht="15.75" customHeight="1">
      <c r="A428" s="4">
        <v>1775.0</v>
      </c>
      <c r="B428" s="4" t="s">
        <v>711</v>
      </c>
      <c r="C428" s="4" t="s">
        <v>74</v>
      </c>
      <c r="D428" s="4" t="s">
        <v>717</v>
      </c>
      <c r="E428" s="4">
        <v>1.0</v>
      </c>
      <c r="F428" s="4" t="str">
        <f>IFERROR(__xludf.DUMMYFUNCTION("GOOGLETRANSLATE(D428)"),"大火摧毀了 #Manchester 第二街的兩座建築 http://t.co/Tqh5amoknd")</f>
        <v>大火摧毀了 #Manchester 第二街的兩座建築 http://t.co/Tqh5amoknd</v>
      </c>
      <c r="G428" s="4" t="str">
        <f>IFERROR(__xludf.DUMMYFUNCTION("GOOGLETRANSLATE(B428)"),"建築物%20on%20火災")</f>
        <v>建築物%20on%20火災</v>
      </c>
    </row>
    <row r="429" ht="15.75" customHeight="1">
      <c r="A429" s="4">
        <v>1776.0</v>
      </c>
      <c r="B429" s="4" t="s">
        <v>711</v>
      </c>
      <c r="C429" s="4" t="s">
        <v>718</v>
      </c>
      <c r="D429" s="4" t="s">
        <v>719</v>
      </c>
      <c r="E429" s="4">
        <v>1.0</v>
      </c>
      <c r="F429" s="4" t="str">
        <f>IFERROR(__xludf.DUMMYFUNCTION("GOOGLETRANSLATE(D429)"),"欣頓市中心多棟建築物起火 http://t.co/P6kdh0p0Sp http://t.co/WaetKGsZA9")</f>
        <v>欣頓市中心多棟建築物起火 http://t.co/P6kdh0p0Sp http://t.co/WaetKGsZA9</v>
      </c>
      <c r="G429" s="4" t="str">
        <f>IFERROR(__xludf.DUMMYFUNCTION("GOOGLETRANSLATE(B429)"),"建築物%20on%20火災")</f>
        <v>建築物%20on%20火災</v>
      </c>
    </row>
    <row r="430" ht="15.75" customHeight="1">
      <c r="A430" s="4">
        <v>1779.0</v>
      </c>
      <c r="B430" s="4" t="s">
        <v>711</v>
      </c>
      <c r="D430" s="4" t="s">
        <v>720</v>
      </c>
      <c r="E430" s="4">
        <v>1.0</v>
      </c>
      <c r="F430" s="4" t="str">
        <f>IFERROR(__xludf.DUMMYFUNCTION("GOOGLETRANSLATE(D430)"),"建築物著火了，他們有時間參加商務會議#TheStrain")</f>
        <v>建築物著火了，他們有時間參加商務會議#TheStrain</v>
      </c>
      <c r="G430" s="4" t="str">
        <f>IFERROR(__xludf.DUMMYFUNCTION("GOOGLETRANSLATE(B430)"),"建築物%20on%20火災")</f>
        <v>建築物%20on%20火災</v>
      </c>
    </row>
    <row r="431" ht="15.75" customHeight="1">
      <c r="A431" s="4">
        <v>1780.0</v>
      </c>
      <c r="B431" s="4" t="s">
        <v>711</v>
      </c>
      <c r="C431" s="4" t="s">
        <v>721</v>
      </c>
      <c r="D431" s="4" t="s">
        <v>722</v>
      </c>
      <c r="E431" s="4">
        <v>1.0</v>
      </c>
      <c r="F431" s="4" t="str">
        <f>IFERROR(__xludf.DUMMYFUNCTION("GOOGLETRANSLATE(D431)"),"奧本羅斯 160 號的一棟新公寓大樓冒出大量煙霧。多輛消防車趕到現場。 http://t.co/AHVYmSQHqC")</f>
        <v>奧本羅斯 160 號的一棟新公寓大樓冒出大量煙霧。多輛消防車趕到現場。 http://t.co/AHVYmSQHqC</v>
      </c>
      <c r="G431" s="4" t="str">
        <f>IFERROR(__xludf.DUMMYFUNCTION("GOOGLETRANSLATE(B431)"),"建築物%20on%20火災")</f>
        <v>建築物%20on%20火災</v>
      </c>
    </row>
    <row r="432" ht="15.75" customHeight="1">
      <c r="A432" s="4">
        <v>1786.0</v>
      </c>
      <c r="B432" s="4" t="s">
        <v>711</v>
      </c>
      <c r="D432" s="4" t="s">
        <v>723</v>
      </c>
      <c r="E432" s="4">
        <v>1.0</v>
      </c>
      <c r="F432" s="4" t="str">
        <f>IFERROR(__xludf.DUMMYFUNCTION("GOOGLETRANSLATE(D432)"),"並非所有建築物都需要煙霧偵測器：Shevlin-Hixon Drive 的一棟辦公大樓著火。我們在那裡... http://t.co/z6Ee1jVhNi")</f>
        <v>並非所有建築物都需要煙霧偵測器：Shevlin-Hixon Drive 的一棟辦公大樓著火。我們在那裡... http://t.co/z6Ee1jVhNi</v>
      </c>
      <c r="G432" s="4" t="str">
        <f>IFERROR(__xludf.DUMMYFUNCTION("GOOGLETRANSLATE(B432)"),"建築物%20on%20火災")</f>
        <v>建築物%20on%20火災</v>
      </c>
    </row>
    <row r="433" ht="15.75" customHeight="1">
      <c r="A433" s="4">
        <v>1787.0</v>
      </c>
      <c r="B433" s="4" t="s">
        <v>711</v>
      </c>
      <c r="C433" s="4" t="s">
        <v>724</v>
      </c>
      <c r="D433" s="4" t="s">
        <v>725</v>
      </c>
      <c r="E433" s="4">
        <v>1.0</v>
      </c>
      <c r="F433" s="4" t="str">
        <f>IFERROR(__xludf.DUMMYFUNCTION("GOOGLETRANSLATE(D433)"),"有人：提到甘西著火了
我衝破了七座不同建築物的磚牆：")</f>
        <v>有人：提到甘西著火了
我衝破了七座不同建築物的磚牆：</v>
      </c>
      <c r="G433" s="4" t="str">
        <f>IFERROR(__xludf.DUMMYFUNCTION("GOOGLETRANSLATE(B433)"),"建築物%20on%20火災")</f>
        <v>建築物%20on%20火災</v>
      </c>
    </row>
    <row r="434" ht="15.75" customHeight="1">
      <c r="A434" s="4">
        <v>1789.0</v>
      </c>
      <c r="B434" s="4" t="s">
        <v>711</v>
      </c>
      <c r="C434" s="4" t="s">
        <v>142</v>
      </c>
      <c r="D434" s="4" t="s">
        <v>726</v>
      </c>
      <c r="E434" s="4">
        <v>1.0</v>
      </c>
      <c r="F434" s="4" t="str">
        <f>IFERROR(__xludf.DUMMYFUNCTION("GOOGLETRANSLATE(D434)"),"#NYC 如此美麗的建築，我喜歡建築物上的那些消防逃生路線。 #newyorkÛ_ https://t.co/fW1PtaElgV")</f>
        <v>#NYC 如此美麗的建築，我喜歡建築物上的那些消防逃生路線。 #newyorkÛ_ https://t.co/fW1PtaElgV</v>
      </c>
      <c r="G434" s="4" t="str">
        <f>IFERROR(__xludf.DUMMYFUNCTION("GOOGLETRANSLATE(B434)"),"建築物%20on%20火災")</f>
        <v>建築物%20on%20火災</v>
      </c>
    </row>
    <row r="435" ht="15.75" customHeight="1">
      <c r="A435" s="4">
        <v>1790.0</v>
      </c>
      <c r="B435" s="4" t="s">
        <v>711</v>
      </c>
      <c r="C435" s="4" t="s">
        <v>727</v>
      </c>
      <c r="D435" s="4" t="s">
        <v>728</v>
      </c>
      <c r="E435" s="4">
        <v>1.0</v>
      </c>
      <c r="F435" s="4" t="str">
        <f>IFERROR(__xludf.DUMMYFUNCTION("GOOGLETRANSLATE(D435)"),"#TweetLikeItsSeptember11th2001 這兩棟建築著火了")</f>
        <v>#TweetLikeItsSeptember11th2001 這兩棟建築著火了</v>
      </c>
      <c r="G435" s="4" t="str">
        <f>IFERROR(__xludf.DUMMYFUNCTION("GOOGLETRANSLATE(B435)"),"建築物%20on%20火災")</f>
        <v>建築物%20on%20火災</v>
      </c>
    </row>
    <row r="436" ht="15.75" customHeight="1">
      <c r="A436" s="4">
        <v>1791.0</v>
      </c>
      <c r="B436" s="4" t="s">
        <v>711</v>
      </c>
      <c r="C436" s="4" t="s">
        <v>729</v>
      </c>
      <c r="D436" s="4" t="s">
        <v>730</v>
      </c>
      <c r="E436" s="4">
        <v>1.0</v>
      </c>
      <c r="F436" s="4" t="str">
        <f>IFERROR(__xludf.DUMMYFUNCTION("GOOGLETRANSLATE(D436)"),"剛剛發生：#kenya：據報道，下午 2:22 靠近水壩莊園#langata 的幾座建築物著火。")</f>
        <v>剛剛發生：#kenya：據報道，下午 2:22 靠近水壩莊園#langata 的幾座建築物著火。</v>
      </c>
      <c r="G436" s="4" t="str">
        <f>IFERROR(__xludf.DUMMYFUNCTION("GOOGLETRANSLATE(B436)"),"建築物%20on%20火災")</f>
        <v>建築物%20on%20火災</v>
      </c>
    </row>
    <row r="437" ht="15.75" customHeight="1">
      <c r="A437" s="4">
        <v>1792.0</v>
      </c>
      <c r="B437" s="4" t="s">
        <v>711</v>
      </c>
      <c r="C437" s="4" t="s">
        <v>731</v>
      </c>
      <c r="D437" s="4" t="s">
        <v>732</v>
      </c>
      <c r="E437" s="4">
        <v>1.0</v>
      </c>
      <c r="F437" s="4" t="str">
        <f>IFERROR(__xludf.DUMMYFUNCTION("GOOGLETRANSLATE(D437)"),"他們正在疏散 20 號國道附近的建築物。我們仍然無法確認起火原因。")</f>
        <v>他們正在疏散 20 號國道附近的建築物。我們仍然無法確認起火原因。</v>
      </c>
      <c r="G437" s="4" t="str">
        <f>IFERROR(__xludf.DUMMYFUNCTION("GOOGLETRANSLATE(B437)"),"建築物%20on%20火災")</f>
        <v>建築物%20on%20火災</v>
      </c>
    </row>
    <row r="438" ht="15.75" customHeight="1">
      <c r="A438" s="4">
        <v>1796.0</v>
      </c>
      <c r="B438" s="4" t="s">
        <v>711</v>
      </c>
      <c r="C438" s="4" t="s">
        <v>733</v>
      </c>
      <c r="D438" s="4" t="s">
        <v>734</v>
      </c>
      <c r="E438" s="4">
        <v>1.0</v>
      </c>
      <c r="F438" s="4" t="str">
        <f>IFERROR(__xludf.DUMMYFUNCTION("GOOGLETRANSLATE(D438)"),"槍擊事件、爆炸、向汽車和房屋投擲手榴彈以及車輛和建築物著火。這一切都讓我困惑。這是瑞典嗎？")</f>
        <v>槍擊事件、爆炸、向汽車和房屋投擲手榴彈以及車輛和建築物著火。這一切都讓我困惑。這是瑞典嗎？</v>
      </c>
      <c r="G438" s="4" t="str">
        <f>IFERROR(__xludf.DUMMYFUNCTION("GOOGLETRANSLATE(B438)"),"建築物%20on%20火災")</f>
        <v>建築物%20on%20火災</v>
      </c>
    </row>
    <row r="439" ht="15.75" customHeight="1">
      <c r="A439" s="4">
        <v>1802.0</v>
      </c>
      <c r="B439" s="4" t="s">
        <v>711</v>
      </c>
      <c r="C439" s="4" t="s">
        <v>735</v>
      </c>
      <c r="D439" s="4" t="s">
        <v>736</v>
      </c>
      <c r="E439" s="4">
        <v>1.0</v>
      </c>
      <c r="F439" s="4" t="str">
        <f>IFERROR(__xludf.DUMMYFUNCTION("GOOGLETRANSLATE(D439)"),"火災造成家庭流離失所並損害特洛伊的兩棟建築：Û_第四街發生火災 http://t.co/6HKw5qLPPt #Albany #NY #News")</f>
        <v>火災造成家庭流離失所並損害特洛伊的兩棟建築：Û_第四街發生火災 http://t.co/6HKw5qLPPt #Albany #NY #News</v>
      </c>
      <c r="G439" s="4" t="str">
        <f>IFERROR(__xludf.DUMMYFUNCTION("GOOGLETRANSLATE(B439)"),"建築物%20on%20火災")</f>
        <v>建築物%20on%20火災</v>
      </c>
    </row>
    <row r="440" ht="15.75" customHeight="1">
      <c r="A440" s="4">
        <v>1803.0</v>
      </c>
      <c r="B440" s="4" t="s">
        <v>711</v>
      </c>
      <c r="C440" s="4" t="s">
        <v>737</v>
      </c>
      <c r="D440" s="4" t="s">
        <v>738</v>
      </c>
      <c r="E440" s="4">
        <v>1.0</v>
      </c>
      <c r="F440" s="4" t="str">
        <f>IFERROR(__xludf.DUMMYFUNCTION("GOOGLETRANSLATE(D440)"),"我錯過了哪些新聞報道？是否有因影片而導致建築物起火、有人被槍擊等情況？ #PPSellsBabyParts https://t.co/Wzc5r4XOqZ")</f>
        <v>我錯過了哪些新聞報道？是否有因影片而導致建築物起火、有人被槍擊等情況？ #PPSellsBabyParts https://t.co/Wzc5r4XOqZ</v>
      </c>
      <c r="G440" s="4" t="str">
        <f>IFERROR(__xludf.DUMMYFUNCTION("GOOGLETRANSLATE(B440)"),"建築物%20on%20火災")</f>
        <v>建築物%20on%20火災</v>
      </c>
    </row>
    <row r="441" ht="15.75" customHeight="1">
      <c r="A441" s="4">
        <v>1807.0</v>
      </c>
      <c r="B441" s="4" t="s">
        <v>711</v>
      </c>
      <c r="C441" s="4" t="s">
        <v>89</v>
      </c>
      <c r="D441" s="4" t="s">
        <v>728</v>
      </c>
      <c r="E441" s="4">
        <v>1.0</v>
      </c>
      <c r="F441" s="4" t="str">
        <f>IFERROR(__xludf.DUMMYFUNCTION("GOOGLETRANSLATE(D441)"),"#TweetLikeItsSeptember11th2001 這兩棟建築著火了")</f>
        <v>#TweetLikeItsSeptember11th2001 這兩棟建築著火了</v>
      </c>
      <c r="G441" s="4" t="str">
        <f>IFERROR(__xludf.DUMMYFUNCTION("GOOGLETRANSLATE(B441)"),"建築物%20on%20火災")</f>
        <v>建築物%20on%20火災</v>
      </c>
    </row>
    <row r="442" ht="15.75" customHeight="1">
      <c r="A442" s="4">
        <v>1808.0</v>
      </c>
      <c r="B442" s="4" t="s">
        <v>711</v>
      </c>
      <c r="C442" s="4" t="s">
        <v>739</v>
      </c>
      <c r="D442" s="4" t="s">
        <v>740</v>
      </c>
      <c r="E442" s="4">
        <v>1.0</v>
      </c>
      <c r="F442" s="4" t="str">
        <f>IFERROR(__xludf.DUMMYFUNCTION("GOOGLETRANSLATE(D442)"),"現在http://t.co/3sTH9lrBUn：照片：曼徹斯特建築在三級火災中熊熊燃燒 http://t.co/jQxM4gcQZ3 #NH1News")</f>
        <v>現在http://t.co/3sTH9lrBUn：照片：曼徹斯特建築在三級火災中熊熊燃燒 http://t.co/jQxM4gcQZ3 #NH1News</v>
      </c>
      <c r="G442" s="4" t="str">
        <f>IFERROR(__xludf.DUMMYFUNCTION("GOOGLETRANSLATE(B442)"),"建築物%20on%20火災")</f>
        <v>建築物%20on%20火災</v>
      </c>
    </row>
    <row r="443" ht="15.75" customHeight="1">
      <c r="A443" s="4">
        <v>1809.0</v>
      </c>
      <c r="B443" s="4" t="s">
        <v>711</v>
      </c>
      <c r="C443" s="4" t="s">
        <v>741</v>
      </c>
      <c r="D443" s="4" t="s">
        <v>742</v>
      </c>
      <c r="E443" s="4">
        <v>1.0</v>
      </c>
      <c r="F443" s="4" t="str">
        <f>IFERROR(__xludf.DUMMYFUNCTION("GOOGLETRANSLATE(D443)"),"@BigSim50 不，費城專家是原因的一半。他們放火焚燒建築物來報告建築物起火的情況。")</f>
        <v>@BigSim50 不，費城專家是原因的一半。他們放火焚燒建築物來報告建築物起火的情況。</v>
      </c>
      <c r="G443" s="4" t="str">
        <f>IFERROR(__xludf.DUMMYFUNCTION("GOOGLETRANSLATE(B443)"),"建築物%20on%20火災")</f>
        <v>建築物%20on%20火災</v>
      </c>
    </row>
    <row r="444" ht="15.75" customHeight="1">
      <c r="A444" s="4">
        <v>1810.0</v>
      </c>
      <c r="B444" s="4" t="s">
        <v>711</v>
      </c>
      <c r="C444" s="4" t="s">
        <v>743</v>
      </c>
      <c r="D444" s="4" t="s">
        <v>744</v>
      </c>
      <c r="E444" s="4">
        <v>1.0</v>
      </c>
      <c r="F444" s="4" t="str">
        <f>IFERROR(__xludf.DUMMYFUNCTION("GOOGLETRANSLATE(D444)"),"MaFireEMS：RT WMUR9：#曼徹斯特第二街的兩棟建築物發生火災。 WMUR9 http://t.co/QUFwXRJIql 透過 KCarosaWMUR")</f>
        <v>MaFireEMS：RT WMUR9：#曼徹斯特第二街的兩棟建築物發生火災。 WMUR9 http://t.co/QUFwXRJIql 透過 KCarosaWMUR</v>
      </c>
      <c r="G444" s="4" t="str">
        <f>IFERROR(__xludf.DUMMYFUNCTION("GOOGLETRANSLATE(B444)"),"建築物%20on%20火災")</f>
        <v>建築物%20on%20火災</v>
      </c>
    </row>
    <row r="445" ht="15.75" customHeight="1">
      <c r="A445" s="4">
        <v>1811.0</v>
      </c>
      <c r="B445" s="4" t="s">
        <v>711</v>
      </c>
      <c r="C445" s="4" t="s">
        <v>745</v>
      </c>
      <c r="D445" s="4" t="s">
        <v>746</v>
      </c>
      <c r="E445" s="4">
        <v>1.0</v>
      </c>
      <c r="F445" s="4" t="str">
        <f>IFERROR(__xludf.DUMMYFUNCTION("GOOGLETRANSLATE(D445)"),"現在在 WSLS 上：#Montgomery Co 中的火災燒毀了多座建築物，建議降低兒童保育費用並減少兒童保育費用。雨。加入@jennasjems @PatrickWSLS")</f>
        <v>現在在 WSLS 上：#Montgomery Co 中的火災燒毀了多座建築物，建議降低兒童保育費用並減少兒童保育費用。雨。加入@jennasjems @PatrickWSLS</v>
      </c>
      <c r="G445" s="4" t="str">
        <f>IFERROR(__xludf.DUMMYFUNCTION("GOOGLETRANSLATE(B445)"),"建築物%20on%20火災")</f>
        <v>建築物%20on%20火災</v>
      </c>
    </row>
    <row r="446" ht="15.75" customHeight="1">
      <c r="A446" s="4">
        <v>1812.0</v>
      </c>
      <c r="B446" s="4" t="s">
        <v>711</v>
      </c>
      <c r="C446" s="4" t="s">
        <v>747</v>
      </c>
      <c r="D446" s="4" t="s">
        <v>748</v>
      </c>
      <c r="E446" s="4">
        <v>1.0</v>
      </c>
      <c r="F446" s="4" t="str">
        <f>IFERROR(__xludf.DUMMYFUNCTION("GOOGLETRANSLATE(D446)"),"我只是想看紙鎮，但建築物著火了？？？")</f>
        <v>我只是想看紙鎮，但建築物著火了？？？</v>
      </c>
      <c r="G446" s="4" t="str">
        <f>IFERROR(__xludf.DUMMYFUNCTION("GOOGLETRANSLATE(B446)"),"建築物%20on%20火災")</f>
        <v>建築物%20on%20火災</v>
      </c>
    </row>
    <row r="447" ht="15.75" customHeight="1">
      <c r="A447" s="4">
        <v>1813.0</v>
      </c>
      <c r="B447" s="4" t="s">
        <v>711</v>
      </c>
      <c r="D447" s="4" t="s">
        <v>749</v>
      </c>
      <c r="E447" s="4">
        <v>1.0</v>
      </c>
      <c r="F447" s="4" t="str">
        <f>IFERROR(__xludf.DUMMYFUNCTION("GOOGLETRANSLATE(D447)"),"我希望我唯一一次出現在電視上是當我因縱火焚燒建築物而被捕時。")</f>
        <v>我希望我唯一一次出現在電視上是當我因縱火焚燒建築物而被捕時。</v>
      </c>
      <c r="G447" s="4" t="str">
        <f>IFERROR(__xludf.DUMMYFUNCTION("GOOGLETRANSLATE(B447)"),"建築物%20on%20火災")</f>
        <v>建築物%20on%20火災</v>
      </c>
    </row>
    <row r="448" ht="15.75" customHeight="1">
      <c r="A448" s="4">
        <v>1814.0</v>
      </c>
      <c r="B448" s="4" t="s">
        <v>711</v>
      </c>
      <c r="C448" s="4" t="s">
        <v>750</v>
      </c>
      <c r="D448" s="4" t="s">
        <v>751</v>
      </c>
      <c r="E448" s="4">
        <v>1.0</v>
      </c>
      <c r="F448" s="4" t="str">
        <f>IFERROR(__xludf.DUMMYFUNCTION("GOOGLETRANSLATE(D448)"),"新罕布夏州曼徹斯特第二街兩棟建築發生火災，鄰近房屋被燒焦 http://t.co/Ja3W1S3tmr")</f>
        <v>新罕布夏州曼徹斯特第二街兩棟建築發生火災，鄰近房屋被燒焦 http://t.co/Ja3W1S3tmr</v>
      </c>
      <c r="G448" s="4" t="str">
        <f>IFERROR(__xludf.DUMMYFUNCTION("GOOGLETRANSLATE(B448)"),"建築物%20on%20火災")</f>
        <v>建築物%20on%20火災</v>
      </c>
    </row>
    <row r="449" ht="15.75" customHeight="1">
      <c r="A449" s="4">
        <v>1815.0</v>
      </c>
      <c r="B449" s="4" t="s">
        <v>711</v>
      </c>
      <c r="C449" s="4" t="s">
        <v>752</v>
      </c>
      <c r="D449" s="4" t="s">
        <v>753</v>
      </c>
      <c r="E449" s="4">
        <v>1.0</v>
      </c>
      <c r="F449" s="4" t="str">
        <f>IFERROR(__xludf.DUMMYFUNCTION("GOOGLETRANSLATE(D449)"),"週日下午，新罕布夏州曼徹斯特發生三級火災，兩棟住宅大樓被一輛汽車摧毀 http://t.co/rVkyj3YUVK")</f>
        <v>週日下午，新罕布夏州曼徹斯特發生三級火災，兩棟住宅大樓被一輛汽車摧毀 http://t.co/rVkyj3YUVK</v>
      </c>
      <c r="G449" s="4" t="str">
        <f>IFERROR(__xludf.DUMMYFUNCTION("GOOGLETRANSLATE(B449)"),"建築物%20on%20火災")</f>
        <v>建築物%20on%20火災</v>
      </c>
    </row>
    <row r="450" ht="15.75" customHeight="1">
      <c r="A450" s="4">
        <v>1816.0</v>
      </c>
      <c r="B450" s="4" t="s">
        <v>711</v>
      </c>
      <c r="C450" s="4" t="s">
        <v>712</v>
      </c>
      <c r="D450" s="4" t="s">
        <v>754</v>
      </c>
      <c r="E450" s="4">
        <v>1.0</v>
      </c>
      <c r="F450" s="4" t="str">
        <f>IFERROR(__xludf.DUMMYFUNCTION("GOOGLETRANSLATE(D450)"),"1943 年：波蘭 - 特雷布林卡納粹死亡集中營的工作隊囚犯發動叛亂，繳獲小型武器並縱火焚燒建築物。 ＃歷史")</f>
        <v>1943 年：波蘭 - 特雷布林卡納粹死亡集中營的工作隊囚犯發動叛亂，繳獲小型武器並縱火焚燒建築物。 ＃歷史</v>
      </c>
      <c r="G450" s="4" t="str">
        <f>IFERROR(__xludf.DUMMYFUNCTION("GOOGLETRANSLATE(B450)"),"建築物%20on%20火災")</f>
        <v>建築物%20on%20火災</v>
      </c>
    </row>
    <row r="451" ht="15.75" customHeight="1">
      <c r="A451" s="4">
        <v>1817.0</v>
      </c>
      <c r="B451" s="4" t="s">
        <v>711</v>
      </c>
      <c r="C451" s="4" t="s">
        <v>706</v>
      </c>
      <c r="D451" s="4" t="s">
        <v>755</v>
      </c>
      <c r="E451" s="4">
        <v>1.0</v>
      </c>
      <c r="F451" s="4" t="str">
        <f>IFERROR(__xludf.DUMMYFUNCTION("GOOGLETRANSLATE(D451)"),"曼徹斯特第二街兩棟公寓大樓發生三級火災，造成 17 人流離失所。 -- http://t.co/NzqwTCYidv #MHT")</f>
        <v>曼徹斯特第二街兩棟公寓大樓發生三級火災，造成 17 人流離失所。 -- http://t.co/NzqwTCYidv #MHT</v>
      </c>
      <c r="G451" s="4" t="str">
        <f>IFERROR(__xludf.DUMMYFUNCTION("GOOGLETRANSLATE(B451)"),"建築物%20on%20火災")</f>
        <v>建築物%20on%20火災</v>
      </c>
    </row>
    <row r="452" ht="15.75" customHeight="1">
      <c r="A452" s="4">
        <v>1818.0</v>
      </c>
      <c r="B452" s="4" t="s">
        <v>711</v>
      </c>
      <c r="C452" s="4" t="s">
        <v>756</v>
      </c>
      <c r="D452" s="4" t="s">
        <v>757</v>
      </c>
      <c r="E452" s="4">
        <v>1.0</v>
      </c>
      <c r="F452" s="4" t="str">
        <f>IFERROR(__xludf.DUMMYFUNCTION("GOOGLETRANSLATE(D452)"),"欣頓市官員證實，多棟建築物著火，目前正在疏散大街上的人員。我們正在路上@OKCFOX")</f>
        <v>欣頓市官員證實，多棟建築物著火，目前正在疏散大街上的人員。我們正在路上@OKCFOX</v>
      </c>
      <c r="G452" s="4" t="str">
        <f>IFERROR(__xludf.DUMMYFUNCTION("GOOGLETRANSLATE(B452)"),"建築物%20on%20火災")</f>
        <v>建築物%20on%20火災</v>
      </c>
    </row>
    <row r="453" ht="15.75" customHeight="1">
      <c r="A453" s="4">
        <v>1822.0</v>
      </c>
      <c r="B453" s="4" t="s">
        <v>758</v>
      </c>
      <c r="C453" s="4" t="s">
        <v>759</v>
      </c>
      <c r="D453" s="4" t="s">
        <v>760</v>
      </c>
      <c r="E453" s="4">
        <v>1.0</v>
      </c>
      <c r="F453" s="4" t="str">
        <f>IFERROR(__xludf.DUMMYFUNCTION("GOOGLETRANSLATE(D453)"),"彭德爾頓 (Pendleton) 大火已燒毀 300 英畝：據報道煙霧飄過特曼庫拉 (Temecula) 上空。 http://t.co/ZR5RgbGh03")</f>
        <v>彭德爾頓 (Pendleton) 大火已燒毀 300 英畝：據報道煙霧飄過特曼庫拉 (Temecula) 上空。 http://t.co/ZR5RgbGh03</v>
      </c>
      <c r="G453" s="4" t="str">
        <f>IFERROR(__xludf.DUMMYFUNCTION("GOOGLETRANSLATE(B453)"),"燒毀")</f>
        <v>燒毀</v>
      </c>
    </row>
    <row r="454" ht="15.75" customHeight="1">
      <c r="A454" s="4">
        <v>1836.0</v>
      </c>
      <c r="B454" s="4" t="s">
        <v>758</v>
      </c>
      <c r="D454" s="4" t="s">
        <v>761</v>
      </c>
      <c r="E454" s="4">
        <v>1.0</v>
      </c>
      <c r="F454" s="4" t="str">
        <f>IFERROR(__xludf.DUMMYFUNCTION("GOOGLETRANSLATE(D454)"),"你所要做的就是在谷歌上查找體育騷亂，你會看到的不僅僅是沙發被燒毀。你必須去https://t.co/P1AmgINsYs")</f>
        <v>你所要做的就是在谷歌上查找體育騷亂，你會看到的不僅僅是沙發被燒毀。你必須去https://t.co/P1AmgINsYs</v>
      </c>
      <c r="G454" s="4" t="str">
        <f>IFERROR(__xludf.DUMMYFUNCTION("GOOGLETRANSLATE(B454)"),"燒毀")</f>
        <v>燒毀</v>
      </c>
    </row>
    <row r="455" ht="15.75" customHeight="1">
      <c r="A455" s="4">
        <v>1840.0</v>
      </c>
      <c r="B455" s="4" t="s">
        <v>758</v>
      </c>
      <c r="C455" s="4" t="s">
        <v>762</v>
      </c>
      <c r="D455" s="4" t="s">
        <v>763</v>
      </c>
      <c r="E455" s="4">
        <v>1.0</v>
      </c>
      <c r="F455" s="4" t="str">
        <f>IFERROR(__xludf.DUMMYFUNCTION("GOOGLETRANSLATE(D455)"),"以 3.5 英里/小時的快步步行 24 分鐘，燃燒 129 卡路里#myfitnesspal")</f>
        <v>以 3.5 英里/小時的快步步行 24 分鐘，燃燒 129 卡路里#myfitnesspal</v>
      </c>
      <c r="G455" s="4" t="str">
        <f>IFERROR(__xludf.DUMMYFUNCTION("GOOGLETRANSLATE(B455)"),"燒毀")</f>
        <v>燒毀</v>
      </c>
    </row>
    <row r="456" ht="15.75" customHeight="1">
      <c r="A456" s="4">
        <v>1842.0</v>
      </c>
      <c r="B456" s="4" t="s">
        <v>758</v>
      </c>
      <c r="C456" s="4" t="s">
        <v>764</v>
      </c>
      <c r="D456" s="4" t="s">
        <v>765</v>
      </c>
      <c r="E456" s="4">
        <v>1.0</v>
      </c>
      <c r="F456" s="4" t="str">
        <f>IFERROR(__xludf.DUMMYFUNCTION("GOOGLETRANSLATE(D456)"),"燒傷的狗與年幼的燒傷受害者找到了新家http://t.co/Pqrjvgvgxg")</f>
        <v>燒傷的狗與年幼的燒傷受害者找到了新家http://t.co/Pqrjvgvgxg</v>
      </c>
      <c r="G456" s="4" t="str">
        <f>IFERROR(__xludf.DUMMYFUNCTION("GOOGLETRANSLATE(B456)"),"燒毀")</f>
        <v>燒毀</v>
      </c>
    </row>
    <row r="457" ht="15.75" customHeight="1">
      <c r="A457" s="4">
        <v>1861.0</v>
      </c>
      <c r="B457" s="4" t="s">
        <v>758</v>
      </c>
      <c r="D457" s="4" t="s">
        <v>766</v>
      </c>
      <c r="E457" s="4">
        <v>1.0</v>
      </c>
      <c r="F457" s="4" t="str">
        <f>IFERROR(__xludf.DUMMYFUNCTION("GOOGLETRANSLATE(D457)"),"Mad River Complex 火災已燒毀 14028 英畝，其中 8% 已控制：三一縣 Mad River Complex 火災...... http://t.co/LfNIPpNOtO")</f>
        <v>Mad River Complex 火災已燒毀 14028 英畝，其中 8% 已控制：三一縣 Mad River Complex 火災...... http://t.co/LfNIPpNOtO</v>
      </c>
      <c r="G457" s="4" t="str">
        <f>IFERROR(__xludf.DUMMYFUNCTION("GOOGLETRANSLATE(B457)"),"燒毀")</f>
        <v>燒毀</v>
      </c>
    </row>
    <row r="458" ht="15.75" customHeight="1">
      <c r="A458" s="4">
        <v>1865.0</v>
      </c>
      <c r="B458" s="4" t="s">
        <v>758</v>
      </c>
      <c r="D458" s="4" t="s">
        <v>767</v>
      </c>
      <c r="E458" s="4">
        <v>1.0</v>
      </c>
      <c r="F458" s="4" t="str">
        <f>IFERROR(__xludf.DUMMYFUNCTION("GOOGLETRANSLATE(D458)"),"看看今年這個傻瓜在報道中受到的傷害有多嚴重。這傢伙是全職業訓練隊的材料")</f>
        <v>看看今年這個傻瓜在報道中受到的傷害有多嚴重。這傢伙是全職業訓練隊的材料</v>
      </c>
      <c r="G458" s="4" t="str">
        <f>IFERROR(__xludf.DUMMYFUNCTION("GOOGLETRANSLATE(B458)"),"燒毀")</f>
        <v>燒毀</v>
      </c>
    </row>
    <row r="459" ht="15.75" customHeight="1">
      <c r="A459" s="4">
        <v>1870.0</v>
      </c>
      <c r="B459" s="4" t="s">
        <v>758</v>
      </c>
      <c r="C459" s="4" t="s">
        <v>768</v>
      </c>
      <c r="D459" s="4" t="s">
        <v>769</v>
      </c>
      <c r="E459" s="4">
        <v>1.0</v>
      </c>
      <c r="F459" s="4" t="str">
        <f>IFERROR(__xludf.DUMMYFUNCTION("GOOGLETRANSLATE(D459)"),"布萊頓金屬切割引發灌木叢火災：地主切割金屬引發的灌木叢火災燒毀 10Û_ http://t.co/rj7m42AtWS")</f>
        <v>布萊頓金屬切割引發灌木叢火災：地主切割金屬引發的灌木叢火災燒毀 10Û_ http://t.co/rj7m42AtWS</v>
      </c>
      <c r="G459" s="4" t="str">
        <f>IFERROR(__xludf.DUMMYFUNCTION("GOOGLETRANSLATE(B459)"),"燒毀")</f>
        <v>燒毀</v>
      </c>
    </row>
    <row r="460" ht="15.75" customHeight="1">
      <c r="A460" s="4">
        <v>1880.0</v>
      </c>
      <c r="B460" s="4" t="s">
        <v>770</v>
      </c>
      <c r="C460" s="4" t="s">
        <v>771</v>
      </c>
      <c r="D460" s="4" t="s">
        <v>772</v>
      </c>
      <c r="E460" s="4">
        <v>1.0</v>
      </c>
      <c r="F460" s="4" t="str">
        <f>IFERROR(__xludf.DUMMYFUNCTION("GOOGLETRANSLATE(D460)"),"托特納姆的 501 天空新聞 Mandem 瘋狂燒毀聯邦汽車和 dem ting dere")</f>
        <v>托特納姆的 501 天空新聞 Mandem 瘋狂燒毀聯邦汽車和 dem ting dere</v>
      </c>
      <c r="G460" s="4" t="str">
        <f>IFERROR(__xludf.DUMMYFUNCTION("GOOGLETRANSLATE(B460)"),"燃燒")</f>
        <v>燃燒</v>
      </c>
    </row>
    <row r="461" ht="15.75" customHeight="1">
      <c r="A461" s="4">
        <v>1883.0</v>
      </c>
      <c r="B461" s="4" t="s">
        <v>770</v>
      </c>
      <c r="D461" s="4" t="s">
        <v>773</v>
      </c>
      <c r="E461" s="4">
        <v>1.0</v>
      </c>
      <c r="F461" s="4" t="str">
        <f>IFERROR(__xludf.DUMMYFUNCTION("GOOGLETRANSLATE(D461)"),"¤ 防彈，黑色如葬禮；我們周圍的世界正在燃燒，但我們卻很冷。 http://t.co/uqssnAAtTu")</f>
        <v>¤ 防彈，黑色如葬禮；我們周圍的世界正在燃燒，但我們卻很冷。 http://t.co/uqssnAAtTu</v>
      </c>
      <c r="G461" s="4" t="str">
        <f>IFERROR(__xludf.DUMMYFUNCTION("GOOGLETRANSLATE(B461)"),"燃燒")</f>
        <v>燃燒</v>
      </c>
    </row>
    <row r="462" ht="15.75" customHeight="1">
      <c r="A462" s="4">
        <v>1885.0</v>
      </c>
      <c r="B462" s="4" t="s">
        <v>770</v>
      </c>
      <c r="C462" s="4" t="s">
        <v>774</v>
      </c>
      <c r="D462" s="4" t="s">
        <v>775</v>
      </c>
      <c r="E462" s="4">
        <v>1.0</v>
      </c>
      <c r="F462" s="4" t="str">
        <f>IFERROR(__xludf.DUMMYFUNCTION("GOOGLETRANSLATE(D462)"),".@StacDemon 在 2015-16 年向 Chris Mullin 和 St. John¤Ûªs 提出五個緊迫問題：http://t.co/NmRVTHkvAh #SJUBB")</f>
        <v>.@StacDemon 在 2015-16 年向 Chris Mullin 和 St. John¤Ûªs 提出五個緊迫問題：http://t.co/NmRVTHkvAh #SJUBB</v>
      </c>
      <c r="G462" s="4" t="str">
        <f>IFERROR(__xludf.DUMMYFUNCTION("GOOGLETRANSLATE(B462)"),"燃燒")</f>
        <v>燃燒</v>
      </c>
    </row>
    <row r="463" ht="15.75" customHeight="1">
      <c r="A463" s="4">
        <v>1887.0</v>
      </c>
      <c r="B463" s="4" t="s">
        <v>770</v>
      </c>
      <c r="C463" s="4" t="s">
        <v>776</v>
      </c>
      <c r="D463" s="4" t="s">
        <v>777</v>
      </c>
      <c r="E463" s="4">
        <v>1.0</v>
      </c>
      <c r="F463" s="4" t="str">
        <f>IFERROR(__xludf.DUMMYFUNCTION("GOOGLETRANSLATE(D463)"),"#猶太復國主義領導人停止燃燒#Babies https://t.co/6xYsDN2Xz0")</f>
        <v>#猶太復國主義領導人停止燃燒#Babies https://t.co/6xYsDN2Xz0</v>
      </c>
      <c r="G463" s="4" t="str">
        <f>IFERROR(__xludf.DUMMYFUNCTION("GOOGLETRANSLATE(B463)"),"燃燒")</f>
        <v>燃燒</v>
      </c>
    </row>
    <row r="464" ht="15.75" customHeight="1">
      <c r="A464" s="4">
        <v>1890.0</v>
      </c>
      <c r="B464" s="4" t="s">
        <v>770</v>
      </c>
      <c r="C464" s="4" t="s">
        <v>778</v>
      </c>
      <c r="D464" s="4" t="s">
        <v>779</v>
      </c>
      <c r="E464" s="4">
        <v>1.0</v>
      </c>
      <c r="F464" s="4" t="str">
        <f>IFERROR(__xludf.DUMMYFUNCTION("GOOGLETRANSLATE(D464)"),"圖森山脈的火焰可見：閃電引起的火災在山區陡峭的岩石地形中燃燒Û_ http://t.co/zRTRPL77QV")</f>
        <v>圖森山脈的火焰可見：閃電引起的火災在山區陡峭的岩石地形中燃燒Û_ http://t.co/zRTRPL77QV</v>
      </c>
      <c r="G464" s="4" t="str">
        <f>IFERROR(__xludf.DUMMYFUNCTION("GOOGLETRANSLATE(B464)"),"燃燒")</f>
        <v>燃燒</v>
      </c>
    </row>
    <row r="465" ht="15.75" customHeight="1">
      <c r="A465" s="4">
        <v>1892.0</v>
      </c>
      <c r="B465" s="4" t="s">
        <v>770</v>
      </c>
      <c r="C465" s="4" t="s">
        <v>780</v>
      </c>
      <c r="D465" s="4" t="s">
        <v>781</v>
      </c>
      <c r="E465" s="4">
        <v>1.0</v>
      </c>
      <c r="F465" s="4" t="str">
        <f>IFERROR(__xludf.DUMMYFUNCTION("GOOGLETRANSLATE(D465)"),"我們會像霓虹燈一樣燃燒？？？？？？")</f>
        <v>我們會像霓虹燈一樣燃燒？？？？？？</v>
      </c>
      <c r="G465" s="4" t="str">
        <f>IFERROR(__xludf.DUMMYFUNCTION("GOOGLETRANSLATE(B465)"),"燃燒")</f>
        <v>燃燒</v>
      </c>
    </row>
    <row r="466" ht="15.75" customHeight="1">
      <c r="A466" s="4">
        <v>1899.0</v>
      </c>
      <c r="B466" s="4" t="s">
        <v>770</v>
      </c>
      <c r="D466" s="4" t="s">
        <v>782</v>
      </c>
      <c r="E466" s="4">
        <v>1.0</v>
      </c>
      <c r="F466" s="4" t="str">
        <f>IFERROR(__xludf.DUMMYFUNCTION("GOOGLETRANSLATE(D466)"),"我的手在燃燒")</f>
        <v>我的手在燃燒</v>
      </c>
      <c r="G466" s="4" t="str">
        <f>IFERROR(__xludf.DUMMYFUNCTION("GOOGLETRANSLATE(B466)"),"燃燒")</f>
        <v>燃燒</v>
      </c>
    </row>
    <row r="467" ht="15.75" customHeight="1">
      <c r="A467" s="4">
        <v>1910.0</v>
      </c>
      <c r="B467" s="4" t="s">
        <v>770</v>
      </c>
      <c r="C467" s="4" t="s">
        <v>783</v>
      </c>
      <c r="D467" s="4" t="s">
        <v>784</v>
      </c>
      <c r="E467" s="4">
        <v>1.0</v>
      </c>
      <c r="F467" s="4" t="str">
        <f>IFERROR(__xludf.DUMMYFUNCTION("GOOGLETRANSLATE(D467)"),"@Michael5SOS 哈哈，所以你會說它太熱了，你的蛋蛋都快燒掉了嗎？？？")</f>
        <v>@Michael5SOS 哈哈，所以你會說它太熱了，你的蛋蛋都快燒掉了嗎？？？</v>
      </c>
      <c r="G467" s="4" t="str">
        <f>IFERROR(__xludf.DUMMYFUNCTION("GOOGLETRANSLATE(B467)"),"燃燒")</f>
        <v>燃燒</v>
      </c>
    </row>
    <row r="468" ht="15.75" customHeight="1">
      <c r="A468" s="4">
        <v>1914.0</v>
      </c>
      <c r="B468" s="4" t="s">
        <v>770</v>
      </c>
      <c r="C468" s="4" t="s">
        <v>785</v>
      </c>
      <c r="D468" s="4" t="s">
        <v>786</v>
      </c>
      <c r="E468" s="4">
        <v>1.0</v>
      </c>
      <c r="F468" s="4" t="str">
        <f>IFERROR(__xludf.DUMMYFUNCTION("GOOGLETRANSLATE(D468)"),"#?x?: :並反擊諸如焚燒亞歷山大圖書館之類的行為。")</f>
        <v>#?x?: :並反擊諸如焚燒亞歷山大圖書館之類的行為。</v>
      </c>
      <c r="G468" s="4" t="str">
        <f>IFERROR(__xludf.DUMMYFUNCTION("GOOGLETRANSLATE(B468)"),"燃燒")</f>
        <v>燃燒</v>
      </c>
    </row>
    <row r="469" ht="15.75" customHeight="1">
      <c r="A469" s="4">
        <v>1915.0</v>
      </c>
      <c r="B469" s="4" t="s">
        <v>770</v>
      </c>
      <c r="C469" s="4" t="s">
        <v>787</v>
      </c>
      <c r="D469" s="4" t="s">
        <v>788</v>
      </c>
      <c r="E469" s="4">
        <v>1.0</v>
      </c>
      <c r="F469" s="4" t="str">
        <f>IFERROR(__xludf.DUMMYFUNCTION("GOOGLETRANSLATE(D469)"),"「加州正在燃燒：」州長傑瑞布朗在新聞發布會上告訴記者，加州正在經歷... http://t.co/arzeMSR7FQ")</f>
        <v>「加州正在燃燒：」州長傑瑞布朗在新聞發布會上告訴記者，加州正在經歷... http://t.co/arzeMSR7FQ</v>
      </c>
      <c r="G469" s="4" t="str">
        <f>IFERROR(__xludf.DUMMYFUNCTION("GOOGLETRANSLATE(B469)"),"燃燒")</f>
        <v>燃燒</v>
      </c>
    </row>
    <row r="470" ht="15.75" customHeight="1">
      <c r="A470" s="4">
        <v>1921.0</v>
      </c>
      <c r="B470" s="4" t="s">
        <v>789</v>
      </c>
      <c r="C470" s="4" t="s">
        <v>790</v>
      </c>
      <c r="D470" s="4" t="s">
        <v>791</v>
      </c>
      <c r="E470" s="4">
        <v>1.0</v>
      </c>
      <c r="F470" s="4" t="str">
        <f>IFERROR(__xludf.DUMMYFUNCTION("GOOGLETRANSLATE(D470)"),"殺害計劃生育協會的黑人嬰兒 哪裡有示威遊行搶劫計劃生育協會並燒毀建築物 黑人嬰兒的命也是命")</f>
        <v>殺害計劃生育協會的黑人嬰兒 哪裡有示威遊行搶劫計劃生育協會並燒毀建築物 黑人嬰兒的命也是命</v>
      </c>
      <c r="G470" s="4" t="str">
        <f>IFERROR(__xludf.DUMMYFUNCTION("GOOGLETRANSLATE(B470)"),"燃燒%20建築物")</f>
        <v>燃燒%20建築物</v>
      </c>
    </row>
    <row r="471" ht="15.75" customHeight="1">
      <c r="A471" s="4">
        <v>1925.0</v>
      </c>
      <c r="B471" s="4" t="s">
        <v>789</v>
      </c>
      <c r="C471" s="4" t="s">
        <v>792</v>
      </c>
      <c r="D471" s="4" t="s">
        <v>793</v>
      </c>
      <c r="E471" s="4">
        <v>1.0</v>
      </c>
      <c r="F471" s="4" t="str">
        <f>IFERROR(__xludf.DUMMYFUNCTION("GOOGLETRANSLATE(D471)"),"MV應該是他們在背景中建築物被燒毀、到處都是火焰時昂首闊步的樣子，那該有多酷啊")</f>
        <v>MV應該是他們在背景中建築物被燒毀、到處都是火焰時昂首闊步的樣子，那該有多酷啊</v>
      </c>
      <c r="G471" s="4" t="str">
        <f>IFERROR(__xludf.DUMMYFUNCTION("GOOGLETRANSLATE(B471)"),"燃燒%20建築物")</f>
        <v>燃燒%20建築物</v>
      </c>
    </row>
    <row r="472" ht="15.75" customHeight="1">
      <c r="A472" s="4">
        <v>1927.0</v>
      </c>
      <c r="B472" s="4" t="s">
        <v>789</v>
      </c>
      <c r="C472" s="4" t="s">
        <v>794</v>
      </c>
      <c r="D472" s="4" t="s">
        <v>795</v>
      </c>
      <c r="E472" s="4">
        <v>1.0</v>
      </c>
      <c r="F472" s="4" t="str">
        <f>IFERROR(__xludf.DUMMYFUNCTION("GOOGLETRANSLATE(D472)"),"@Louis_Tomlinson 難以置信？孩子們尖叫著建築物被燒毀，而我在灰燼中跳舞")</f>
        <v>@Louis_Tomlinson 難以置信？孩子們尖叫著建築物被燒毀，而我在灰燼中跳舞</v>
      </c>
      <c r="G472" s="4" t="str">
        <f>IFERROR(__xludf.DUMMYFUNCTION("GOOGLETRANSLATE(B472)"),"燃燒%20建築物")</f>
        <v>燃燒%20建築物</v>
      </c>
    </row>
    <row r="473" ht="15.75" customHeight="1">
      <c r="A473" s="4">
        <v>1929.0</v>
      </c>
      <c r="B473" s="4" t="s">
        <v>789</v>
      </c>
      <c r="D473" s="4" t="s">
        <v>678</v>
      </c>
      <c r="E473" s="4">
        <v>1.0</v>
      </c>
      <c r="F473" s="4" t="str">
        <f>IFERROR(__xludf.DUMMYFUNCTION("GOOGLETRANSLATE(D473)"),"@fewmoretweets 所有的生命都很重要。只是不喜歡燒毀建築物並從鄰居那裡偷東西來“抗議”")</f>
        <v>@fewmoretweets 所有的生命都很重要。只是不喜歡燒毀建築物並從鄰居那裡偷東西來“抗議”</v>
      </c>
      <c r="G473" s="4" t="str">
        <f>IFERROR(__xludf.DUMMYFUNCTION("GOOGLETRANSLATE(B473)"),"燃燒%20建築物")</f>
        <v>燃燒%20建築物</v>
      </c>
    </row>
    <row r="474" ht="15.75" customHeight="1">
      <c r="A474" s="4">
        <v>1937.0</v>
      </c>
      <c r="B474" s="4" t="s">
        <v>789</v>
      </c>
      <c r="D474" s="4" t="s">
        <v>796</v>
      </c>
      <c r="E474" s="4">
        <v>1.0</v>
      </c>
      <c r="F474" s="4" t="str">
        <f>IFERROR(__xludf.DUMMYFUNCTION("GOOGLETRANSLATE(D474)"),"@foxnewsvideo @AIIAmericanGirI @ANHQDC 所以...暴徒搶劫者和燃燒的建築物在哪裡？？？白人的命也是命！！！！！！")</f>
        <v>@foxnewsvideo @AIIAmericanGirI @ANHQDC 所以...暴徒搶劫者和燃燒的建築物在哪裡？？？白人的命也是命！！！！！！</v>
      </c>
      <c r="G474" s="4" t="str">
        <f>IFERROR(__xludf.DUMMYFUNCTION("GOOGLETRANSLATE(B474)"),"燃燒%20建築物")</f>
        <v>燃燒%20建築物</v>
      </c>
    </row>
    <row r="475" ht="15.75" customHeight="1">
      <c r="A475" s="4">
        <v>1938.0</v>
      </c>
      <c r="B475" s="4" t="s">
        <v>789</v>
      </c>
      <c r="D475" s="4" t="s">
        <v>797</v>
      </c>
      <c r="E475" s="4">
        <v>1.0</v>
      </c>
      <c r="F475" s="4" t="str">
        <f>IFERROR(__xludf.DUMMYFUNCTION("GOOGLETRANSLATE(D475)"),"森林服務：RT dhsscitech：#消防隊員衝進燃燒的建築物ÛÓ我們致力於#tech tÛ_ http://t.co/KybQcSvrZa) http://t.co/Ih49kyMsMp")</f>
        <v>森林服務：RT dhsscitech：#消防隊員衝進燃燒的建築物ÛÓ我們致力於#tech tÛ_ http://t.co/KybQcSvrZa) http://t.co/Ih49kyMsMp</v>
      </c>
      <c r="G475" s="4" t="str">
        <f>IFERROR(__xludf.DUMMYFUNCTION("GOOGLETRANSLATE(B475)"),"燃燒%20建築物")</f>
        <v>燃燒%20建築物</v>
      </c>
    </row>
    <row r="476" ht="15.75" customHeight="1">
      <c r="A476" s="4">
        <v>1941.0</v>
      </c>
      <c r="B476" s="4" t="s">
        <v>789</v>
      </c>
      <c r="C476" s="4" t="s">
        <v>674</v>
      </c>
      <c r="D476" s="4" t="s">
        <v>675</v>
      </c>
      <c r="E476" s="4">
        <v>1.0</v>
      </c>
      <c r="F476" s="4" t="str">
        <f>IFERROR(__xludf.DUMMYFUNCTION("GOOGLETRANSLATE(D476)"),"@themagickidraps 並不對一場集會感到不安，因為焚燒建築物的企業執行與此無關的警察等")</f>
        <v>@themagickidraps 並不對一場集會感到不安，因為焚燒建築物的企業執行與此無關的警察等</v>
      </c>
      <c r="G476" s="4" t="str">
        <f>IFERROR(__xludf.DUMMYFUNCTION("GOOGLETRANSLATE(B476)"),"燃燒%20建築物")</f>
        <v>燃燒%20建築物</v>
      </c>
    </row>
    <row r="477" ht="15.75" customHeight="1">
      <c r="A477" s="4">
        <v>1942.0</v>
      </c>
      <c r="B477" s="4" t="s">
        <v>789</v>
      </c>
      <c r="C477" s="4" t="s">
        <v>798</v>
      </c>
      <c r="D477" s="4" t="s">
        <v>799</v>
      </c>
      <c r="E477" s="4">
        <v>1.0</v>
      </c>
      <c r="F477" s="4" t="str">
        <f>IFERROR(__xludf.DUMMYFUNCTION("GOOGLETRANSLATE(D477)"),"毀滅魔法沒問題，只是不要燒毀任何建築物。")</f>
        <v>毀滅魔法沒問題，只是不要燒毀任何建築物。</v>
      </c>
      <c r="G477" s="4" t="str">
        <f>IFERROR(__xludf.DUMMYFUNCTION("GOOGLETRANSLATE(B477)"),"燃燒%20建築物")</f>
        <v>燃燒%20建築物</v>
      </c>
    </row>
    <row r="478" ht="15.75" customHeight="1">
      <c r="A478" s="4">
        <v>1943.0</v>
      </c>
      <c r="B478" s="4" t="s">
        <v>789</v>
      </c>
      <c r="C478" s="4" t="s">
        <v>702</v>
      </c>
      <c r="D478" s="4" t="s">
        <v>703</v>
      </c>
      <c r="E478" s="4">
        <v>1.0</v>
      </c>
      <c r="F478" s="4" t="str">
        <f>IFERROR(__xludf.DUMMYFUNCTION("GOOGLETRANSLATE(D478)"),"燃燒建築物？媒體憤怒？ http://t.co/pHixZnv1YN")</f>
        <v>燃燒建築物？媒體憤怒？ http://t.co/pHixZnv1YN</v>
      </c>
      <c r="G478" s="4" t="str">
        <f>IFERROR(__xludf.DUMMYFUNCTION("GOOGLETRANSLATE(B478)"),"燃燒%20建築物")</f>
        <v>燃燒%20建築物</v>
      </c>
    </row>
    <row r="479" ht="15.75" customHeight="1">
      <c r="A479" s="4">
        <v>1945.0</v>
      </c>
      <c r="B479" s="4" t="s">
        <v>789</v>
      </c>
      <c r="C479" s="4" t="s">
        <v>800</v>
      </c>
      <c r="D479" s="4" t="s">
        <v>801</v>
      </c>
      <c r="E479" s="4">
        <v>1.0</v>
      </c>
      <c r="F479" s="4" t="str">
        <f>IFERROR(__xludf.DUMMYFUNCTION("GOOGLETRANSLATE(D479)"),"我絕對不會支持搶劫或燒毀建築物，除非看到人們反抗警察。我很自豪")</f>
        <v>我絕對不會支持搶劫或燒毀建築物，除非看到人們反抗警察。我很自豪</v>
      </c>
      <c r="G479" s="4" t="str">
        <f>IFERROR(__xludf.DUMMYFUNCTION("GOOGLETRANSLATE(B479)"),"燃燒%20建築物")</f>
        <v>燃燒%20建築物</v>
      </c>
    </row>
    <row r="480" ht="15.75" customHeight="1">
      <c r="A480" s="4">
        <v>1952.0</v>
      </c>
      <c r="B480" s="4" t="s">
        <v>789</v>
      </c>
      <c r="C480" s="4" t="s">
        <v>756</v>
      </c>
      <c r="D480" s="4" t="s">
        <v>802</v>
      </c>
      <c r="E480" s="4">
        <v>1.0</v>
      </c>
      <c r="F480" s="4" t="str">
        <f>IFERROR(__xludf.DUMMYFUNCTION("GOOGLETRANSLATE(D480)"),"大火燒毀了欣頓市中心的幾棟建築物，導致人員疏散：http://t.co/mtMkiMwiyy")</f>
        <v>大火燒毀了欣頓市中心的幾棟建築物，導致人員疏散：http://t.co/mtMkiMwiyy</v>
      </c>
      <c r="G480" s="4" t="str">
        <f>IFERROR(__xludf.DUMMYFUNCTION("GOOGLETRANSLATE(B480)"),"燃燒%20建築物")</f>
        <v>燃燒%20建築物</v>
      </c>
    </row>
    <row r="481" ht="15.75" customHeight="1">
      <c r="A481" s="4">
        <v>1954.0</v>
      </c>
      <c r="B481" s="4" t="s">
        <v>789</v>
      </c>
      <c r="C481" s="4" t="s">
        <v>803</v>
      </c>
      <c r="D481" s="4" t="s">
        <v>804</v>
      </c>
      <c r="E481" s="4">
        <v>1.0</v>
      </c>
      <c r="F481" s="4" t="str">
        <f>IFERROR(__xludf.DUMMYFUNCTION("GOOGLETRANSLATE(D481)"),"高貴林港起火建築物冒出濃煙 http://t.co/GeqkdaO4cV http://t.co/Dg0bGzeCgM")</f>
        <v>高貴林港起火建築物冒出濃煙 http://t.co/GeqkdaO4cV http://t.co/Dg0bGzeCgM</v>
      </c>
      <c r="G481" s="4" t="str">
        <f>IFERROR(__xludf.DUMMYFUNCTION("GOOGLETRANSLATE(B481)"),"燃燒%20建築物")</f>
        <v>燃燒%20建築物</v>
      </c>
    </row>
    <row r="482" ht="15.75" customHeight="1">
      <c r="A482" s="4">
        <v>1957.0</v>
      </c>
      <c r="B482" s="4" t="s">
        <v>789</v>
      </c>
      <c r="C482" s="4" t="s">
        <v>676</v>
      </c>
      <c r="D482" s="4" t="s">
        <v>677</v>
      </c>
      <c r="E482" s="4">
        <v>1.0</v>
      </c>
      <c r="F482" s="4" t="str">
        <f>IFERROR(__xludf.DUMMYFUNCTION("GOOGLETRANSLATE(D482)"),"@_minimehh @cjoyner 我一定是在俯瞰燃燒的建築物？ #黑人的命也是命")</f>
        <v>@_minimehh @cjoyner 我一定是在俯瞰燃燒的建築物？ #黑人的命也是命</v>
      </c>
      <c r="G482" s="4" t="str">
        <f>IFERROR(__xludf.DUMMYFUNCTION("GOOGLETRANSLATE(B482)"),"燃燒%20建築物")</f>
        <v>燃燒%20建築物</v>
      </c>
    </row>
    <row r="483" ht="15.75" customHeight="1">
      <c r="A483" s="4">
        <v>1959.0</v>
      </c>
      <c r="B483" s="4" t="s">
        <v>789</v>
      </c>
      <c r="C483" s="4" t="s">
        <v>805</v>
      </c>
      <c r="D483" s="4" t="s">
        <v>806</v>
      </c>
      <c r="E483" s="4">
        <v>1.0</v>
      </c>
      <c r="F483" s="4" t="str">
        <f>IFERROR(__xludf.DUMMYFUNCTION("GOOGLETRANSLATE(D483)"),"帕拉博魯瓦的罷工者抗議中國人搶走他們的工作。罷工者燒毀建築物攻擊汽車2...http://t.co/08LnGClZsj")</f>
        <v>帕拉博魯瓦的罷工者抗議中國人搶走他們的工作。罷工者燒毀建築物攻擊汽車2...http://t.co/08LnGClZsj</v>
      </c>
      <c r="G483" s="4" t="str">
        <f>IFERROR(__xludf.DUMMYFUNCTION("GOOGLETRANSLATE(B483)"),"燃燒%20建築物")</f>
        <v>燃燒%20建築物</v>
      </c>
    </row>
    <row r="484" ht="15.75" customHeight="1">
      <c r="A484" s="4">
        <v>1961.0</v>
      </c>
      <c r="B484" s="4" t="s">
        <v>789</v>
      </c>
      <c r="C484" s="4" t="s">
        <v>807</v>
      </c>
      <c r="D484" s="4" t="s">
        <v>808</v>
      </c>
      <c r="E484" s="4">
        <v>1.0</v>
      </c>
      <c r="F484" s="4" t="str">
        <f>IFERROR(__xludf.DUMMYFUNCTION("GOOGLETRANSLATE(D484)"),"狗從燃燒的建築物變成了小貓
https://t.co/9cpWIEcEGv http://t.co/rZLYtneZ2u")</f>
        <v>狗從燃燒的建築物變成了小貓
https://t.co/9cpWIEcEGv http://t.co/rZLYtneZ2u</v>
      </c>
      <c r="G484" s="4" t="str">
        <f>IFERROR(__xludf.DUMMYFUNCTION("GOOGLETRANSLATE(B484)"),"燃燒%20建築物")</f>
        <v>燃燒%20建築物</v>
      </c>
    </row>
    <row r="485" ht="15.75" customHeight="1">
      <c r="A485" s="4">
        <v>1962.0</v>
      </c>
      <c r="B485" s="4" t="s">
        <v>789</v>
      </c>
      <c r="C485" s="4" t="s">
        <v>688</v>
      </c>
      <c r="D485" s="4" t="s">
        <v>689</v>
      </c>
      <c r="E485" s="4">
        <v>1.0</v>
      </c>
      <c r="F485" s="4" t="str">
        <f>IFERROR(__xludf.DUMMYFUNCTION("GOOGLETRANSLATE(D485)"),"烏幹達西部的學校仍在罷工期間燒毀建築物......烏幹達西部的罷工總是點燃......")</f>
        <v>烏幹達西部的學校仍在罷工期間燒毀建築物......烏幹達西部的罷工總是點燃......</v>
      </c>
      <c r="G485" s="4" t="str">
        <f>IFERROR(__xludf.DUMMYFUNCTION("GOOGLETRANSLATE(B485)"),"燃燒%20建築物")</f>
        <v>燃燒%20建築物</v>
      </c>
    </row>
    <row r="486" ht="15.75" customHeight="1">
      <c r="A486" s="4">
        <v>1963.0</v>
      </c>
      <c r="B486" s="4" t="s">
        <v>789</v>
      </c>
      <c r="C486" s="4" t="s">
        <v>809</v>
      </c>
      <c r="D486" s="4" t="s">
        <v>810</v>
      </c>
      <c r="E486" s="4">
        <v>1.0</v>
      </c>
      <c r="F486" s="4" t="str">
        <f>IFERROR(__xludf.DUMMYFUNCTION("GOOGLETRANSLATE(D486)"),"@kshllcenterpri1 @Progress4Ohio 燒毀建築物，當你燒毀那些黑人教堂時，你的意思是什麼？")</f>
        <v>@kshllcenterpri1 @Progress4Ohio 燒毀建築物，當你燒毀那些黑人教堂時，你的意思是什麼？</v>
      </c>
      <c r="G486" s="4" t="str">
        <f>IFERROR(__xludf.DUMMYFUNCTION("GOOGLETRANSLATE(B486)"),"燃燒%20建築物")</f>
        <v>燃燒%20建築物</v>
      </c>
    </row>
    <row r="487" ht="15.75" customHeight="1">
      <c r="A487" s="4">
        <v>1966.0</v>
      </c>
      <c r="B487" s="4" t="s">
        <v>789</v>
      </c>
      <c r="C487" s="4" t="s">
        <v>692</v>
      </c>
      <c r="D487" s="4" t="s">
        <v>811</v>
      </c>
      <c r="E487" s="4">
        <v>1.0</v>
      </c>
      <c r="F487" s="4" t="str">
        <f>IFERROR(__xludf.DUMMYFUNCTION("GOOGLETRANSLATE(D487)"),"夥計們會徹底表達黑人焚燒建築物以應對暴行是多麼愚蠢，但nvr卻提到他們受到了虐待。")</f>
        <v>夥計們會徹底表達黑人焚燒建築物以應對暴行是多麼愚蠢，但nvr卻提到他們受到了虐待。</v>
      </c>
      <c r="G487" s="4" t="str">
        <f>IFERROR(__xludf.DUMMYFUNCTION("GOOGLETRANSLATE(B487)"),"燃燒%20建築物")</f>
        <v>燃燒%20建築物</v>
      </c>
    </row>
    <row r="488" ht="15.75" customHeight="1">
      <c r="A488" s="4">
        <v>1967.0</v>
      </c>
      <c r="B488" s="4" t="s">
        <v>789</v>
      </c>
      <c r="C488" s="4" t="s">
        <v>812</v>
      </c>
      <c r="D488" s="4" t="s">
        <v>813</v>
      </c>
      <c r="E488" s="4">
        <v>1.0</v>
      </c>
      <c r="F488" s="4" t="str">
        <f>IFERROR(__xludf.DUMMYFUNCTION("GOOGLETRANSLATE(D488)"),"你可以想像建築物從地下室到路燈都被燒毀的情景。
我不是你酗酒的問題
天空有一個洞。")</f>
        <v>你可以想像建築物從地下室到路燈都被燒毀的情景。
我不是你酗酒的問題
天空有一個洞。</v>
      </c>
      <c r="G488" s="4" t="str">
        <f>IFERROR(__xludf.DUMMYFUNCTION("GOOGLETRANSLATE(B488)"),"燃燒%20建築物")</f>
        <v>燃燒%20建築物</v>
      </c>
    </row>
    <row r="489" ht="15.75" customHeight="1">
      <c r="A489" s="4">
        <v>1968.0</v>
      </c>
      <c r="B489" s="4" t="s">
        <v>789</v>
      </c>
      <c r="C489" s="4" t="s">
        <v>814</v>
      </c>
      <c r="D489" s="4" t="s">
        <v>815</v>
      </c>
      <c r="E489" s="4">
        <v>1.0</v>
      </c>
      <c r="F489" s="4" t="str">
        <f>IFERROR(__xludf.DUMMYFUNCTION("GOOGLETRANSLATE(D489)"),"我宣誓效忠教皇還有史詩之城燃燒的建築。 ????")</f>
        <v>我宣誓效忠教皇還有史詩之城燃燒的建築。 ????</v>
      </c>
      <c r="G489" s="4" t="str">
        <f>IFERROR(__xludf.DUMMYFUNCTION("GOOGLETRANSLATE(B489)"),"燃燒%20建築物")</f>
        <v>燃燒%20建築物</v>
      </c>
    </row>
    <row r="490" ht="15.75" customHeight="1">
      <c r="A490" s="4">
        <v>1969.0</v>
      </c>
      <c r="B490" s="4" t="s">
        <v>789</v>
      </c>
      <c r="C490" s="4" t="s">
        <v>816</v>
      </c>
      <c r="D490" s="4" t="s">
        <v>817</v>
      </c>
      <c r="E490" s="4">
        <v>1.0</v>
      </c>
      <c r="F490" s="4" t="str">
        <f>IFERROR(__xludf.DUMMYFUNCTION("GOOGLETRANSLATE(D490)"),"抗議在哪裡？騷亂？燃燒的建築物？為什麼當... http://t.co/1QOchsPYbw 時你沒有看到任何垃圾發生")</f>
        <v>抗議在哪裡？騷亂？燃燒的建築物？為什麼當... http://t.co/1QOchsPYbw 時你沒有看到任何垃圾發生</v>
      </c>
      <c r="G490" s="4" t="str">
        <f>IFERROR(__xludf.DUMMYFUNCTION("GOOGLETRANSLATE(B490)"),"燃燒%20建築物")</f>
        <v>燃燒%20建築物</v>
      </c>
    </row>
    <row r="491" ht="15.75" customHeight="1">
      <c r="A491" s="4">
        <v>1971.0</v>
      </c>
      <c r="B491" s="4" t="s">
        <v>818</v>
      </c>
      <c r="C491" s="4" t="s">
        <v>819</v>
      </c>
      <c r="D491" s="4" t="s">
        <v>820</v>
      </c>
      <c r="E491" s="4">
        <v>1.0</v>
      </c>
      <c r="F491" s="4" t="str">
        <f>IFERROR(__xludf.DUMMYFUNCTION("GOOGLETRANSLATE(D491)"),"加州發生瘋狂的叢林大火。注意安全。 https://t.co/jSlxTQ3NqS")</f>
        <v>加州發生瘋狂的叢林大火。注意安全。 https://t.co/jSlxTQ3NqS</v>
      </c>
      <c r="G491" s="4" t="str">
        <f>IFERROR(__xludf.DUMMYFUNCTION("GOOGLETRANSLATE(B491)"),"叢林%20火災")</f>
        <v>叢林%20火災</v>
      </c>
    </row>
    <row r="492" ht="15.75" customHeight="1">
      <c r="A492" s="4">
        <v>1972.0</v>
      </c>
      <c r="B492" s="4" t="s">
        <v>818</v>
      </c>
      <c r="C492" s="4" t="s">
        <v>821</v>
      </c>
      <c r="D492" s="4" t="s">
        <v>822</v>
      </c>
      <c r="E492" s="4">
        <v>1.0</v>
      </c>
      <c r="F492" s="4" t="str">
        <f>IFERROR(__xludf.DUMMYFUNCTION("GOOGLETRANSLATE(D492)"),"@POTUS 請您解釋一下您將如何處理火山和火山？叢林大火將所有二氧化碳噴入空氣中？")</f>
        <v>@POTUS 請您解釋一下您將如何處理火山和火山？叢林大火將所有二氧化碳噴入空氣中？</v>
      </c>
      <c r="G492" s="4" t="str">
        <f>IFERROR(__xludf.DUMMYFUNCTION("GOOGLETRANSLATE(B492)"),"叢林%20火災")</f>
        <v>叢林%20火災</v>
      </c>
    </row>
    <row r="493" ht="15.75" customHeight="1">
      <c r="A493" s="4">
        <v>1973.0</v>
      </c>
      <c r="B493" s="4" t="s">
        <v>818</v>
      </c>
      <c r="C493" s="4" t="s">
        <v>823</v>
      </c>
      <c r="D493" s="4" t="s">
        <v>824</v>
      </c>
      <c r="E493" s="4">
        <v>1.0</v>
      </c>
      <c r="F493" s="4" t="str">
        <f>IFERROR(__xludf.DUMMYFUNCTION("GOOGLETRANSLATE(D493)"),"@marcoarment 在雪梨的隆冬，上週我們發生了雪叢火災和 78 度的天氣。確保讓您保持警惕。")</f>
        <v>@marcoarment 在雪梨的隆冬，上週我們發生了雪叢火災和 78 度的天氣。確保讓您保持警惕。</v>
      </c>
      <c r="G493" s="4" t="str">
        <f>IFERROR(__xludf.DUMMYFUNCTION("GOOGLETRANSLATE(B493)"),"叢林%20火災")</f>
        <v>叢林%20火災</v>
      </c>
    </row>
    <row r="494" ht="15.75" customHeight="1">
      <c r="A494" s="4">
        <v>1976.0</v>
      </c>
      <c r="B494" s="4" t="s">
        <v>818</v>
      </c>
      <c r="D494" s="4" t="s">
        <v>825</v>
      </c>
      <c r="E494" s="4">
        <v>1.0</v>
      </c>
      <c r="F494" s="4" t="str">
        <f>IFERROR(__xludf.DUMMYFUNCTION("GOOGLETRANSLATE(D494)"),"天哪，這個小島上到處都是叢林大火。我們那該死的房子快要燒毀了。")</f>
        <v>天哪，這個小島上到處都是叢林大火。我們那該死的房子快要燒毀了。</v>
      </c>
      <c r="G494" s="4" t="str">
        <f>IFERROR(__xludf.DUMMYFUNCTION("GOOGLETRANSLATE(B494)"),"叢林%20火災")</f>
        <v>叢林%20火災</v>
      </c>
    </row>
    <row r="495" ht="15.75" customHeight="1">
      <c r="A495" s="4">
        <v>1979.0</v>
      </c>
      <c r="B495" s="4" t="s">
        <v>818</v>
      </c>
      <c r="C495" s="4" t="s">
        <v>826</v>
      </c>
      <c r="D495" s="4" t="s">
        <v>827</v>
      </c>
      <c r="E495" s="4">
        <v>1.0</v>
      </c>
      <c r="F495" s="4" t="str">
        <f>IFERROR(__xludf.DUMMYFUNCTION("GOOGLETRANSLATE(D495)"),"聖托馬斯西部叢林大火歸咎於刀耕火種 - http://t.co/5dJ6cHjFZP")</f>
        <v>聖托馬斯西部叢林大火歸咎於刀耕火種 - http://t.co/5dJ6cHjFZP</v>
      </c>
      <c r="G495" s="4" t="str">
        <f>IFERROR(__xludf.DUMMYFUNCTION("GOOGLETRANSLATE(B495)"),"叢林%20火災")</f>
        <v>叢林%20火災</v>
      </c>
    </row>
    <row r="496" ht="15.75" customHeight="1">
      <c r="A496" s="4">
        <v>1980.0</v>
      </c>
      <c r="B496" s="4" t="s">
        <v>818</v>
      </c>
      <c r="C496" s="4" t="s">
        <v>828</v>
      </c>
      <c r="D496" s="4" t="s">
        <v>829</v>
      </c>
      <c r="E496" s="4">
        <v>1.0</v>
      </c>
      <c r="F496" s="4" t="str">
        <f>IFERROR(__xludf.DUMMYFUNCTION("GOOGLETRANSLATE(D496)"),"牙買加乾旱助長叢林大火 - http://t.co/ZDtDqQbAHC http://t.co/PsQCNsVfgP - @JamaicaObserver @cnewslive RE https://t.co/6ZGef8J8Bm")</f>
        <v>牙買加乾旱助長叢林大火 - http://t.co/ZDtDqQbAHC http://t.co/PsQCNsVfgP - @JamaicaObserver @cnewslive RE https://t.co/6ZGef8J8Bm</v>
      </c>
      <c r="G496" s="4" t="str">
        <f>IFERROR(__xludf.DUMMYFUNCTION("GOOGLETRANSLATE(B496)"),"叢林%20火災")</f>
        <v>叢林%20火災</v>
      </c>
    </row>
    <row r="497" ht="15.75" customHeight="1">
      <c r="A497" s="4">
        <v>1983.0</v>
      </c>
      <c r="B497" s="4" t="s">
        <v>818</v>
      </c>
      <c r="D497" s="4" t="s">
        <v>830</v>
      </c>
      <c r="E497" s="4">
        <v>1.0</v>
      </c>
      <c r="F497" s="4" t="str">
        <f>IFERROR(__xludf.DUMMYFUNCTION("GOOGLETRANSLATE(D497)"),"@DoriCreates @alhanda 似乎政府月光之間的所有火災都歸咎於布希。")</f>
        <v>@DoriCreates @alhanda 似乎政府月光之間的所有火災都歸咎於布希。</v>
      </c>
      <c r="G497" s="4" t="str">
        <f>IFERROR(__xludf.DUMMYFUNCTION("GOOGLETRANSLATE(B497)"),"叢林%20火災")</f>
        <v>叢林%20火災</v>
      </c>
    </row>
    <row r="498" ht="15.75" customHeight="1">
      <c r="A498" s="4">
        <v>1985.0</v>
      </c>
      <c r="B498" s="4" t="s">
        <v>818</v>
      </c>
      <c r="C498" s="4" t="s">
        <v>831</v>
      </c>
      <c r="D498" s="4" t="s">
        <v>832</v>
      </c>
      <c r="E498" s="4">
        <v>1.0</v>
      </c>
      <c r="F498" s="4" t="str">
        <f>IFERROR(__xludf.DUMMYFUNCTION("GOOGLETRANSLATE(D498)"),"叢林大火後，公共衛生團隊受到了創傷。 #AppreciativeInquiry 能否扭轉局勢？ http://t.co/soEa1GgbKj")</f>
        <v>叢林大火後，公共衛生團隊受到了創傷。 #AppreciativeInquiry 能否扭轉局勢？ http://t.co/soEa1GgbKj</v>
      </c>
      <c r="G498" s="4" t="str">
        <f>IFERROR(__xludf.DUMMYFUNCTION("GOOGLETRANSLATE(B498)"),"叢林%20火災")</f>
        <v>叢林%20火災</v>
      </c>
    </row>
    <row r="499" ht="15.75" customHeight="1">
      <c r="A499" s="4">
        <v>1989.0</v>
      </c>
      <c r="B499" s="4" t="s">
        <v>818</v>
      </c>
      <c r="C499" s="4" t="s">
        <v>833</v>
      </c>
      <c r="D499" s="4" t="s">
        <v>834</v>
      </c>
      <c r="E499" s="4">
        <v>1.0</v>
      </c>
      <c r="F499" s="4" t="str">
        <f>IFERROR(__xludf.DUMMYFUNCTION("GOOGLETRANSLATE(D499)"),"2015 年加州叢林大火 http://t.co/rjdX29wosp")</f>
        <v>2015 年加州叢林大火 http://t.co/rjdX29wosp</v>
      </c>
      <c r="G499" s="4" t="str">
        <f>IFERROR(__xludf.DUMMYFUNCTION("GOOGLETRANSLATE(B499)"),"叢林%20火災")</f>
        <v>叢林%20火災</v>
      </c>
    </row>
    <row r="500" ht="15.75" customHeight="1">
      <c r="A500" s="4">
        <v>1990.0</v>
      </c>
      <c r="B500" s="4" t="s">
        <v>818</v>
      </c>
      <c r="D500" s="4" t="s">
        <v>835</v>
      </c>
      <c r="E500" s="4">
        <v>1.0</v>
      </c>
      <c r="F500" s="4" t="str">
        <f>IFERROR(__xludf.DUMMYFUNCTION("GOOGLETRANSLATE(D500)"),"1895 年 10 月 28 日：「布希火災」。 http://t.co/zCKXtFc9PT")</f>
        <v>1895 年 10 月 28 日：「布希火災」。 http://t.co/zCKXtFc9PT</v>
      </c>
      <c r="G500" s="4" t="str">
        <f>IFERROR(__xludf.DUMMYFUNCTION("GOOGLETRANSLATE(B500)"),"叢林%20火災")</f>
        <v>叢林%20火災</v>
      </c>
    </row>
    <row r="501" ht="15.75" customHeight="1">
      <c r="A501" s="4">
        <v>1991.0</v>
      </c>
      <c r="B501" s="4" t="s">
        <v>818</v>
      </c>
      <c r="C501" s="4" t="s">
        <v>836</v>
      </c>
      <c r="D501" s="4" t="s">
        <v>837</v>
      </c>
      <c r="E501" s="4">
        <v>1.0</v>
      </c>
      <c r="F501" s="4" t="str">
        <f>IFERROR(__xludf.DUMMYFUNCTION("GOOGLETRANSLATE(D501)"),"@dacherryontop13 哦，西班牙有叢林火災，就像每年我們去游泳的時候，都有飛機在取水來滅火")</f>
        <v>@dacherryontop13 哦，西班牙有叢林火災，就像每年我們去游泳的時候，都有飛機在取水來滅火</v>
      </c>
      <c r="G501" s="4" t="str">
        <f>IFERROR(__xludf.DUMMYFUNCTION("GOOGLETRANSLATE(B501)"),"叢林%20火災")</f>
        <v>叢林%20火災</v>
      </c>
    </row>
    <row r="502" ht="15.75" customHeight="1">
      <c r="A502" s="4">
        <v>1992.0</v>
      </c>
      <c r="B502" s="4" t="s">
        <v>818</v>
      </c>
      <c r="C502" s="4" t="s">
        <v>838</v>
      </c>
      <c r="D502" s="4" t="s">
        <v>839</v>
      </c>
      <c r="E502" s="4">
        <v>1.0</v>
      </c>
      <c r="F502" s="4" t="str">
        <f>IFERROR(__xludf.DUMMYFUNCTION("GOOGLETRANSLATE(D502)"),"叢林大火很可怕…當你下去撲滅它們時更可怕")</f>
        <v>叢林大火很可怕…當你下去撲滅它們時更可怕</v>
      </c>
      <c r="G502" s="4" t="str">
        <f>IFERROR(__xludf.DUMMYFUNCTION("GOOGLETRANSLATE(B502)"),"叢林%20火災")</f>
        <v>叢林%20火災</v>
      </c>
    </row>
    <row r="503" ht="15.75" customHeight="1">
      <c r="A503" s="4">
        <v>1995.0</v>
      </c>
      <c r="B503" s="4" t="s">
        <v>818</v>
      </c>
      <c r="C503" s="4" t="s">
        <v>840</v>
      </c>
      <c r="D503" s="4" t="s">
        <v>841</v>
      </c>
      <c r="E503" s="4">
        <v>1.0</v>
      </c>
      <c r="F503" s="4" t="str">
        <f>IFERROR(__xludf.DUMMYFUNCTION("GOOGLETRANSLATE(D503)"),"牙買加乾旱助長叢林大火 - http://t.co/0YMF6TXFcH http://t.co/3i3d2NGeNt - @JamaicaObserver @cnewslive RE https://t.co/jyIEkEo2he")</f>
        <v>牙買加乾旱助長叢林大火 - http://t.co/0YMF6TXFcH http://t.co/3i3d2NGeNt - @JamaicaObserver @cnewslive RE https://t.co/jyIEkEo2he</v>
      </c>
      <c r="G503" s="4" t="str">
        <f>IFERROR(__xludf.DUMMYFUNCTION("GOOGLETRANSLATE(B503)"),"叢林%20火災")</f>
        <v>叢林%20火災</v>
      </c>
    </row>
    <row r="504" ht="15.75" customHeight="1">
      <c r="A504" s="4">
        <v>1996.0</v>
      </c>
      <c r="B504" s="4" t="s">
        <v>818</v>
      </c>
      <c r="C504" s="4" t="s">
        <v>842</v>
      </c>
      <c r="D504" s="4" t="s">
        <v>843</v>
      </c>
      <c r="E504" s="4">
        <v>1.0</v>
      </c>
      <c r="F504" s="4" t="str">
        <f>IFERROR(__xludf.DUMMYFUNCTION("GOOGLETRANSLATE(D504)"),"當加州/澳洲不斷發生災難性的「叢林」火災時，@JohnFromCranber 對全球暖化的呼籲並沒有真正起作用。")</f>
        <v>當加州/澳洲不斷發生災難性的「叢林」火災時，@JohnFromCranber 對全球暖化的呼籲並沒有真正起作用。</v>
      </c>
      <c r="G504" s="4" t="str">
        <f>IFERROR(__xludf.DUMMYFUNCTION("GOOGLETRANSLATE(B504)"),"叢林%20火災")</f>
        <v>叢林%20火災</v>
      </c>
    </row>
    <row r="505" ht="15.75" customHeight="1">
      <c r="A505" s="4">
        <v>2000.0</v>
      </c>
      <c r="B505" s="4" t="s">
        <v>818</v>
      </c>
      <c r="C505" s="4" t="s">
        <v>596</v>
      </c>
      <c r="D505" s="4" t="s">
        <v>844</v>
      </c>
      <c r="E505" s="4">
        <v>1.0</v>
      </c>
      <c r="F505" s="4" t="str">
        <f>IFERROR(__xludf.DUMMYFUNCTION("GOOGLETRANSLATE(D505)"),"SMH 攝影師 Wolter Peeters 與新南威爾斯州農村消防局工作人員一起在前線 http://t.co/gXe7nHwZ3e http://t.co/sRbqlMuwbV")</f>
        <v>SMH 攝影師 Wolter Peeters 與新南威爾斯州農村消防局工作人員一起在前線 http://t.co/gXe7nHwZ3e http://t.co/sRbqlMuwbV</v>
      </c>
      <c r="G505" s="4" t="str">
        <f>IFERROR(__xludf.DUMMYFUNCTION("GOOGLETRANSLATE(B505)"),"叢林%20火災")</f>
        <v>叢林%20火災</v>
      </c>
    </row>
    <row r="506" ht="15.75" customHeight="1">
      <c r="A506" s="4">
        <v>2001.0</v>
      </c>
      <c r="B506" s="4" t="s">
        <v>818</v>
      </c>
      <c r="D506" s="4" t="s">
        <v>845</v>
      </c>
      <c r="E506" s="4">
        <v>1.0</v>
      </c>
      <c r="F506" s="4" t="str">
        <f>IFERROR(__xludf.DUMMYFUNCTION("GOOGLETRANSLATE(D506)"),"很明顯，週末我住的地方附近發生了叢林火災，但我完全沒有註意到…")</f>
        <v>很明顯，週末我住的地方附近發生了叢林火災，但我完全沒有註意到…</v>
      </c>
      <c r="G506" s="4" t="str">
        <f>IFERROR(__xludf.DUMMYFUNCTION("GOOGLETRANSLATE(B506)"),"叢林%20火災")</f>
        <v>叢林%20火災</v>
      </c>
    </row>
    <row r="507" ht="15.75" customHeight="1">
      <c r="A507" s="4">
        <v>2003.0</v>
      </c>
      <c r="B507" s="4" t="s">
        <v>818</v>
      </c>
      <c r="C507" s="4" t="s">
        <v>846</v>
      </c>
      <c r="D507" s="4" t="s">
        <v>847</v>
      </c>
      <c r="E507" s="4">
        <v>1.0</v>
      </c>
      <c r="F507" s="4" t="str">
        <f>IFERROR(__xludf.DUMMYFUNCTION("GOOGLETRANSLATE(D507)"),"加州叢林大火，當加州政府建議您撤離受影響地區時，請盡快撤離 http://t.co/ubVEVUuAch")</f>
        <v>加州叢林大火，當加州政府建議您撤離受影響地區時，請盡快撤離 http://t.co/ubVEVUuAch</v>
      </c>
      <c r="G507" s="4" t="str">
        <f>IFERROR(__xludf.DUMMYFUNCTION("GOOGLETRANSLATE(B507)"),"叢林%20火災")</f>
        <v>叢林%20火災</v>
      </c>
    </row>
    <row r="508" ht="15.75" customHeight="1">
      <c r="A508" s="4">
        <v>2007.0</v>
      </c>
      <c r="B508" s="4" t="s">
        <v>818</v>
      </c>
      <c r="C508" s="4" t="s">
        <v>183</v>
      </c>
      <c r="D508" s="4" t="s">
        <v>848</v>
      </c>
      <c r="E508" s="4">
        <v>1.0</v>
      </c>
      <c r="F508" s="4" t="str">
        <f>IFERROR(__xludf.DUMMYFUNCTION("GOOGLETRANSLATE(D508)"),"加州的布希大火太瘋狂了")</f>
        <v>加州的布希大火太瘋狂了</v>
      </c>
      <c r="G508" s="4" t="str">
        <f>IFERROR(__xludf.DUMMYFUNCTION("GOOGLETRANSLATE(B508)"),"叢林%20火災")</f>
        <v>叢林%20火災</v>
      </c>
    </row>
    <row r="509" ht="15.75" customHeight="1">
      <c r="A509" s="4">
        <v>2010.0</v>
      </c>
      <c r="B509" s="4" t="s">
        <v>849</v>
      </c>
      <c r="D509" s="4" t="s">
        <v>850</v>
      </c>
      <c r="E509" s="4">
        <v>1.0</v>
      </c>
      <c r="F509" s="4" t="str">
        <f>IFERROR(__xludf.DUMMYFUNCTION("GOOGLETRANSLATE(D509)"),"??
作戰機器人可以減少平民傷亡，因此現在呼籲禁令還為時過早 - IEEE Spectrum http://t.co/TzR58B86qz")</f>
        <v>??
作戰機器人可以減少平民傷亡，因此現在呼籲禁令還為時過早 - IEEE Spectrum http://t.co/TzR58B86qz</v>
      </c>
      <c r="G509" s="4" t="str">
        <f>IFERROR(__xludf.DUMMYFUNCTION("GOOGLETRANSLATE(B509)"),"傷亡")</f>
        <v>傷亡</v>
      </c>
    </row>
    <row r="510" ht="15.75" customHeight="1">
      <c r="A510" s="4">
        <v>2012.0</v>
      </c>
      <c r="B510" s="4" t="s">
        <v>849</v>
      </c>
      <c r="D510" s="4" t="s">
        <v>851</v>
      </c>
      <c r="E510" s="4">
        <v>1.0</v>
      </c>
      <c r="F510" s="4" t="str">
        <f>IFERROR(__xludf.DUMMYFUNCTION("GOOGLETRANSLATE(D510)"),"又一起電影院遇襲……這次是在家附近。幸虧沒有人員傷亡。生活還要繼續，因為我們不能讓邪惡得逞！")</f>
        <v>又一起電影院遇襲……這次是在家附近。幸虧沒有人員傷亡。生活還要繼續，因為我們不能讓邪惡得逞！</v>
      </c>
      <c r="G510" s="4" t="str">
        <f>IFERROR(__xludf.DUMMYFUNCTION("GOOGLETRANSLATE(B510)"),"傷亡")</f>
        <v>傷亡</v>
      </c>
    </row>
    <row r="511" ht="15.75" customHeight="1">
      <c r="A511" s="4">
        <v>2014.0</v>
      </c>
      <c r="B511" s="4" t="s">
        <v>849</v>
      </c>
      <c r="C511" s="4" t="s">
        <v>852</v>
      </c>
      <c r="D511" s="4" t="s">
        <v>853</v>
      </c>
      <c r="E511" s="4">
        <v>1.0</v>
      </c>
      <c r="F511" s="4" t="str">
        <f>IFERROR(__xludf.DUMMYFUNCTION("GOOGLETRANSLATE(D511)"),"2015 年阿富汗戰爭加劇，平民傷亡人數上升 - http://t.co/NnylXhInPx")</f>
        <v>2015 年阿富汗戰爭加劇，平民傷亡人數上升 - http://t.co/NnylXhInPx</v>
      </c>
      <c r="G511" s="4" t="str">
        <f>IFERROR(__xludf.DUMMYFUNCTION("GOOGLETRANSLATE(B511)"),"傷亡")</f>
        <v>傷亡</v>
      </c>
    </row>
    <row r="512" ht="15.75" customHeight="1">
      <c r="A512" s="4">
        <v>2015.0</v>
      </c>
      <c r="B512" s="4" t="s">
        <v>849</v>
      </c>
      <c r="D512" s="4" t="s">
        <v>854</v>
      </c>
      <c r="E512" s="4">
        <v>1.0</v>
      </c>
      <c r="F512" s="4" t="str">
        <f>IFERROR(__xludf.DUMMYFUNCTION("GOOGLETRANSLATE(D512)"),"阿富汗衝突中女性傷亡人數「急劇上升」 http://t.co/4hcYwRWN6L http://t.co/2TwXZ6vxbx")</f>
        <v>阿富汗衝突中女性傷亡人數「急劇上升」 http://t.co/4hcYwRWN6L http://t.co/2TwXZ6vxbx</v>
      </c>
      <c r="G512" s="4" t="str">
        <f>IFERROR(__xludf.DUMMYFUNCTION("GOOGLETRANSLATE(B512)"),"傷亡")</f>
        <v>傷亡</v>
      </c>
    </row>
    <row r="513" ht="15.75" customHeight="1">
      <c r="A513" s="4">
        <v>2016.0</v>
      </c>
      <c r="B513" s="4" t="s">
        <v>849</v>
      </c>
      <c r="C513" s="4" t="s">
        <v>855</v>
      </c>
      <c r="D513" s="4" t="s">
        <v>856</v>
      </c>
      <c r="E513" s="4">
        <v>1.0</v>
      </c>
      <c r="F513" s="4" t="str">
        <f>IFERROR(__xludf.DUMMYFUNCTION("GOOGLETRANSLATE(D513)"),"作戰機器人可以減少平民傷亡，因此呼籲...... http://t.co/9DVU1RidZ3")</f>
        <v>作戰機器人可以減少平民傷亡，因此呼籲...... http://t.co/9DVU1RidZ3</v>
      </c>
      <c r="G513" s="4" t="str">
        <f>IFERROR(__xludf.DUMMYFUNCTION("GOOGLETRANSLATE(B513)"),"傷亡")</f>
        <v>傷亡</v>
      </c>
    </row>
    <row r="514" ht="15.75" customHeight="1">
      <c r="A514" s="4">
        <v>2019.0</v>
      </c>
      <c r="B514" s="4" t="s">
        <v>849</v>
      </c>
      <c r="C514" s="4" t="s">
        <v>395</v>
      </c>
      <c r="D514" s="4" t="s">
        <v>857</v>
      </c>
      <c r="E514" s="4">
        <v>1.0</v>
      </c>
      <c r="F514" s="4" t="str">
        <f>IFERROR(__xludf.DUMMYFUNCTION("GOOGLETRANSLATE(D514)"),"阿富汗：聯合國報告平民傷亡“創歷史新高”
來自阿富汗的消息，聯合國... http://t.co/YMcZyVKfmE")</f>
        <v>阿富汗：聯合國報告平民傷亡“創歷史新高”
來自阿富汗的消息，聯合國... http://t.co/YMcZyVKfmE</v>
      </c>
      <c r="G514" s="4" t="str">
        <f>IFERROR(__xludf.DUMMYFUNCTION("GOOGLETRANSLATE(B514)"),"傷亡")</f>
        <v>傷亡</v>
      </c>
    </row>
    <row r="515" ht="15.75" customHeight="1">
      <c r="A515" s="4">
        <v>2020.0</v>
      </c>
      <c r="B515" s="4" t="s">
        <v>849</v>
      </c>
      <c r="C515" s="4" t="s">
        <v>858</v>
      </c>
      <c r="D515" s="4" t="s">
        <v>859</v>
      </c>
      <c r="E515" s="4">
        <v>1.0</v>
      </c>
      <c r="F515" s="4" t="str">
        <f>IFERROR(__xludf.DUMMYFUNCTION("GOOGLETRANSLATE(D515)"),"需要停止把事情封閉起來，因為當一切最終爆炸時，傷亡人數會越來越高")</f>
        <v>需要停止把事情封閉起來，因為當一切最終爆炸時，傷亡人數會越來越高</v>
      </c>
      <c r="G515" s="4" t="str">
        <f>IFERROR(__xludf.DUMMYFUNCTION("GOOGLETRANSLATE(B515)"),"傷亡")</f>
        <v>傷亡</v>
      </c>
    </row>
    <row r="516" ht="15.75" customHeight="1">
      <c r="A516" s="4">
        <v>2022.0</v>
      </c>
      <c r="B516" s="4" t="s">
        <v>849</v>
      </c>
      <c r="D516" s="4" t="s">
        <v>860</v>
      </c>
      <c r="E516" s="4">
        <v>1.0</v>
      </c>
      <c r="F516" s="4" t="str">
        <f>IFERROR(__xludf.DUMMYFUNCTION("GOOGLETRANSLATE(D516)"),"全球無數傷亡的戰爭正在地球的各個角落[在各個層面]精心策劃http://t.co/G1BWL3DQQK")</f>
        <v>全球無數傷亡的戰爭正在地球的各個角落[在各個層面]精心策劃http://t.co/G1BWL3DQQK</v>
      </c>
      <c r="G516" s="4" t="str">
        <f>IFERROR(__xludf.DUMMYFUNCTION("GOOGLETRANSLATE(B516)"),"傷亡")</f>
        <v>傷亡</v>
      </c>
    </row>
    <row r="517" ht="15.75" customHeight="1">
      <c r="A517" s="4">
        <v>2023.0</v>
      </c>
      <c r="B517" s="4" t="s">
        <v>849</v>
      </c>
      <c r="D517" s="4" t="s">
        <v>861</v>
      </c>
      <c r="E517" s="4">
        <v>1.0</v>
      </c>
      <c r="F517" s="4" t="str">
        <f>IFERROR(__xludf.DUMMYFUNCTION("GOOGLETRANSLATE(D517)"),"disinfo：作戰機器人可以減少平民傷亡，因此現在呼籲禁止是...... -...... http://t.co/yUinMErQ2s #riticmedia")</f>
        <v>disinfo：作戰機器人可以減少平民傷亡，因此現在呼籲禁止是...... -...... http://t.co/yUinMErQ2s #riticmedia</v>
      </c>
      <c r="G517" s="4" t="str">
        <f>IFERROR(__xludf.DUMMYFUNCTION("GOOGLETRANSLATE(B517)"),"傷亡")</f>
        <v>傷亡</v>
      </c>
    </row>
    <row r="518" ht="15.75" customHeight="1">
      <c r="A518" s="4">
        <v>2024.0</v>
      </c>
      <c r="B518" s="4" t="s">
        <v>849</v>
      </c>
      <c r="C518" s="4" t="s">
        <v>862</v>
      </c>
      <c r="D518" s="4" t="s">
        <v>863</v>
      </c>
      <c r="E518" s="4">
        <v>1.0</v>
      </c>
      <c r="F518" s="4" t="str">
        <f>IFERROR(__xludf.DUMMYFUNCTION("GOOGLETRANSLATE(D518)"),"令人心酸的是，戰爭中會造成許多傷亡。 http://t.co/Mwmt3BdR5L")</f>
        <v>令人心酸的是，戰爭中會造成許多傷亡。 http://t.co/Mwmt3BdR5L</v>
      </c>
      <c r="G518" s="4" t="str">
        <f>IFERROR(__xludf.DUMMYFUNCTION("GOOGLETRANSLATE(B518)"),"傷亡")</f>
        <v>傷亡</v>
      </c>
    </row>
    <row r="519" ht="15.75" customHeight="1">
      <c r="A519" s="4">
        <v>2027.0</v>
      </c>
      <c r="B519" s="4" t="s">
        <v>849</v>
      </c>
      <c r="C519" s="4" t="s">
        <v>864</v>
      </c>
      <c r="D519" s="4" t="s">
        <v>865</v>
      </c>
      <c r="E519" s="4">
        <v>1.0</v>
      </c>
      <c r="F519" s="4" t="str">
        <f>IFERROR(__xludf.DUMMYFUNCTION("GOOGLETRANSLATE(D519)"),"明天可能會有傷亡")</f>
        <v>明天可能會有傷亡</v>
      </c>
      <c r="G519" s="4" t="str">
        <f>IFERROR(__xludf.DUMMYFUNCTION("GOOGLETRANSLATE(B519)"),"傷亡")</f>
        <v>傷亡</v>
      </c>
    </row>
    <row r="520" ht="15.75" customHeight="1">
      <c r="A520" s="4">
        <v>2031.0</v>
      </c>
      <c r="B520" s="4" t="s">
        <v>849</v>
      </c>
      <c r="C520" s="4" t="s">
        <v>38</v>
      </c>
      <c r="D520" s="4" t="s">
        <v>866</v>
      </c>
      <c r="E520" s="4">
        <v>1.0</v>
      </c>
      <c r="F520" s="4" t="str">
        <f>IFERROR(__xludf.DUMMYFUNCTION("GOOGLETRANSLATE(D520)"),"「美國的武器和支援正在助長也門的血腥空戰」http://t.co/7aGeAkVn2x")</f>
        <v>「美國的武器和支援正在助長也門的血腥空戰」http://t.co/7aGeAkVn2x</v>
      </c>
      <c r="G520" s="4" t="str">
        <f>IFERROR(__xludf.DUMMYFUNCTION("GOOGLETRANSLATE(B520)"),"傷亡")</f>
        <v>傷亡</v>
      </c>
    </row>
    <row r="521" ht="15.75" customHeight="1">
      <c r="A521" s="4">
        <v>2033.0</v>
      </c>
      <c r="B521" s="4" t="s">
        <v>849</v>
      </c>
      <c r="C521" s="4" t="s">
        <v>867</v>
      </c>
      <c r="D521" s="4" t="s">
        <v>868</v>
      </c>
      <c r="E521" s="4">
        <v>1.0</v>
      </c>
      <c r="F521" s="4" t="str">
        <f>IFERROR(__xludf.DUMMYFUNCTION("GOOGLETRANSLATE(D521)"),"面對傷亡，我在笑，第一次想起明天的悲傷，但我不會放棄我的射擊")</f>
        <v>面對傷亡，我在笑，第一次想起明天的悲傷，但我不會放棄我的射擊</v>
      </c>
      <c r="G521" s="4" t="str">
        <f>IFERROR(__xludf.DUMMYFUNCTION("GOOGLETRANSLATE(B521)"),"傷亡")</f>
        <v>傷亡</v>
      </c>
    </row>
    <row r="522" ht="15.75" customHeight="1">
      <c r="A522" s="4">
        <v>2034.0</v>
      </c>
      <c r="B522" s="4" t="s">
        <v>849</v>
      </c>
      <c r="C522" s="4" t="s">
        <v>869</v>
      </c>
      <c r="D522" s="4" t="s">
        <v>870</v>
      </c>
      <c r="E522" s="4">
        <v>1.0</v>
      </c>
      <c r="F522" s="4" t="str">
        <f>IFERROR(__xludf.DUMMYFUNCTION("GOOGLETRANSLATE(D522)"),"@Catwoman1775 電影院又發生槍擊事件，這變得越來越瘋狂，但我很高興他們找到了槍手和槍手。無人員傷亡。")</f>
        <v>@Catwoman1775 電影院又發生槍擊事件，這變得越來越瘋狂，但我很高興他們找到了槍手和槍手。無人員傷亡。</v>
      </c>
      <c r="G522" s="4" t="str">
        <f>IFERROR(__xludf.DUMMYFUNCTION("GOOGLETRANSLATE(B522)"),"傷亡")</f>
        <v>傷亡</v>
      </c>
    </row>
    <row r="523" ht="15.75" customHeight="1">
      <c r="A523" s="4">
        <v>2035.0</v>
      </c>
      <c r="B523" s="4" t="s">
        <v>849</v>
      </c>
      <c r="D523" s="4" t="s">
        <v>871</v>
      </c>
      <c r="E523" s="4">
        <v>1.0</v>
      </c>
      <c r="F523" s="4" t="str">
        <f>IFERROR(__xludf.DUMMYFUNCTION("GOOGLETRANSLATE(D523)"),"薩瑟蘭大學的學生紀念孤松加利波利事件中澳洲人的傷亡
 http://t.co/d50oRfXoFB 來自 @theleadernews")</f>
        <v>薩瑟蘭大學的學生紀念孤松加利波利事件中澳洲人的傷亡
 http://t.co/d50oRfXoFB 來自 @theleadernews</v>
      </c>
      <c r="G523" s="4" t="str">
        <f>IFERROR(__xludf.DUMMYFUNCTION("GOOGLETRANSLATE(B523)"),"傷亡")</f>
        <v>傷亡</v>
      </c>
    </row>
    <row r="524" ht="15.75" customHeight="1">
      <c r="A524" s="4">
        <v>2036.0</v>
      </c>
      <c r="B524" s="4" t="s">
        <v>849</v>
      </c>
      <c r="C524" s="4" t="s">
        <v>405</v>
      </c>
      <c r="D524" s="4" t="s">
        <v>872</v>
      </c>
      <c r="E524" s="4">
        <v>1.0</v>
      </c>
      <c r="F524" s="4" t="str">
        <f>IFERROR(__xludf.DUMMYFUNCTION("GOOGLETRANSLATE(D524)"),"阿富汗戰爭中婦女兒童傷亡人數急劇上升 聯合國表示 http://t.co/0CXm5TkZ8y http://t.co/v5aMDOvHOT")</f>
        <v>阿富汗戰爭中婦女兒童傷亡人數急劇上升 聯合國表示 http://t.co/0CXm5TkZ8y http://t.co/v5aMDOvHOT</v>
      </c>
      <c r="G524" s="4" t="str">
        <f>IFERROR(__xludf.DUMMYFUNCTION("GOOGLETRANSLATE(B524)"),"傷亡")</f>
        <v>傷亡</v>
      </c>
    </row>
    <row r="525" ht="15.75" customHeight="1">
      <c r="A525" s="4">
        <v>2038.0</v>
      </c>
      <c r="B525" s="4" t="s">
        <v>849</v>
      </c>
      <c r="C525" s="4" t="s">
        <v>873</v>
      </c>
      <c r="D525" s="4" t="s">
        <v>874</v>
      </c>
      <c r="E525" s="4">
        <v>1.0</v>
      </c>
      <c r="F525" s="4" t="str">
        <f>IFERROR(__xludf.DUMMYFUNCTION("GOOGLETRANSLATE(D525)"),"@FlyOpineMonkey 你的意思是奧運;-)
也是本州皇冠行動的後續行動。
總計：100 萬盟軍傷亡、3000 萬日本人死亡。")</f>
        <v>@FlyOpineMonkey 你的意思是奧運;-)
也是本州皇冠行動的後續行動。
總計：100 萬盟軍傷亡、3000 萬日本人死亡。</v>
      </c>
      <c r="G525" s="4" t="str">
        <f>IFERROR(__xludf.DUMMYFUNCTION("GOOGLETRANSLATE(B525)"),"傷亡")</f>
        <v>傷亡</v>
      </c>
    </row>
    <row r="526" ht="15.75" customHeight="1">
      <c r="A526" s="4">
        <v>2039.0</v>
      </c>
      <c r="B526" s="4" t="s">
        <v>849</v>
      </c>
      <c r="D526" s="4" t="s">
        <v>875</v>
      </c>
      <c r="E526" s="4">
        <v>1.0</v>
      </c>
      <c r="F526" s="4" t="str">
        <f>IFERROR(__xludf.DUMMYFUNCTION("GOOGLETRANSLATE(D526)"),"@AlcoholAndMetal + 盡一切努力來解決這個問題。在他一生中為數不多的信任的人中，查爾斯就是受害者之一。")</f>
        <v>@AlcoholAndMetal + 盡一切努力來解決這個問題。在他一生中為數不多的信任的人中，查爾斯就是受害者之一。</v>
      </c>
      <c r="G526" s="4" t="str">
        <f>IFERROR(__xludf.DUMMYFUNCTION("GOOGLETRANSLATE(B526)"),"傷亡")</f>
        <v>傷亡</v>
      </c>
    </row>
    <row r="527" ht="15.75" customHeight="1">
      <c r="A527" s="4">
        <v>2040.0</v>
      </c>
      <c r="B527" s="4" t="s">
        <v>849</v>
      </c>
      <c r="D527" s="4" t="s">
        <v>876</v>
      </c>
      <c r="E527" s="4">
        <v>1.0</v>
      </c>
      <c r="F527" s="4" t="str">
        <f>IFERROR(__xludf.DUMMYFUNCTION("GOOGLETRANSLATE(D527)"),"阿富汗平民傷亡人數創歷史新高 http://t.co/r8pTVFUh5X http://t.co/npCKK0tlEQ")</f>
        <v>阿富汗平民傷亡人數創歷史新高 http://t.co/r8pTVFUh5X http://t.co/npCKK0tlEQ</v>
      </c>
      <c r="G527" s="4" t="str">
        <f>IFERROR(__xludf.DUMMYFUNCTION("GOOGLETRANSLATE(B527)"),"傷亡")</f>
        <v>傷亡</v>
      </c>
    </row>
    <row r="528" ht="15.75" customHeight="1">
      <c r="A528" s="4">
        <v>2042.0</v>
      </c>
      <c r="B528" s="4" t="s">
        <v>849</v>
      </c>
      <c r="D528" s="4" t="s">
        <v>877</v>
      </c>
      <c r="E528" s="4">
        <v>1.0</v>
      </c>
      <c r="F528" s="4" t="str">
        <f>IFERROR(__xludf.DUMMYFUNCTION("GOOGLETRANSLATE(D528)"),"@CounterMoonbat @Voodoo_Ben 我聽說我們仍在使用當時製造的紫心勳章，因為我們預計會有大量傷亡。")</f>
        <v>@CounterMoonbat @Voodoo_Ben 我聽說我們仍在使用當時製造的紫心勳章，因為我們預計會有大量傷亡。</v>
      </c>
      <c r="G528" s="4" t="str">
        <f>IFERROR(__xludf.DUMMYFUNCTION("GOOGLETRANSLATE(B528)"),"傷亡")</f>
        <v>傷亡</v>
      </c>
    </row>
    <row r="529" ht="15.75" customHeight="1">
      <c r="A529" s="4">
        <v>2043.0</v>
      </c>
      <c r="B529" s="4" t="s">
        <v>849</v>
      </c>
      <c r="C529" s="4" t="s">
        <v>38</v>
      </c>
      <c r="D529" s="4" t="s">
        <v>878</v>
      </c>
      <c r="E529" s="4">
        <v>1.0</v>
      </c>
      <c r="F529" s="4" t="str">
        <f>IFERROR(__xludf.DUMMYFUNCTION("GOOGLETRANSLATE(D529)"),"又一天過去了，值得慶幸的是，中央指揮部已確認沒有新的傷亡。請為那些在... http://t.co/mFSw0tYstA 的人祈禱")</f>
        <v>又一天過去了，值得慶幸的是，中央指揮部已確認沒有新的傷亡。請為那些在... http://t.co/mFSw0tYstA 的人祈禱</v>
      </c>
      <c r="G529" s="4" t="str">
        <f>IFERROR(__xludf.DUMMYFUNCTION("GOOGLETRANSLATE(B529)"),"傷亡")</f>
        <v>傷亡</v>
      </c>
    </row>
    <row r="530" ht="15.75" customHeight="1">
      <c r="A530" s="4">
        <v>2045.0</v>
      </c>
      <c r="B530" s="4" t="s">
        <v>849</v>
      </c>
      <c r="C530" s="4" t="s">
        <v>89</v>
      </c>
      <c r="D530" s="4" t="s">
        <v>879</v>
      </c>
      <c r="E530" s="4">
        <v>1.0</v>
      </c>
      <c r="F530" s="4" t="str">
        <f>IFERROR(__xludf.DUMMYFUNCTION("GOOGLETRANSLATE(D530)"),"新聞報導：聯合國警告阿富汗女性和兒童傷亡人數正在上升 http://t.co/vSvY1qe69t #pbs #iraq")</f>
        <v>新聞報導：聯合國警告阿富汗女性和兒童傷亡人數正在上升 http://t.co/vSvY1qe69t #pbs #iraq</v>
      </c>
      <c r="G530" s="4" t="str">
        <f>IFERROR(__xludf.DUMMYFUNCTION("GOOGLETRANSLATE(B530)"),"傷亡")</f>
        <v>傷亡</v>
      </c>
    </row>
    <row r="531" ht="15.75" customHeight="1">
      <c r="A531" s="4">
        <v>2047.0</v>
      </c>
      <c r="B531" s="4" t="s">
        <v>849</v>
      </c>
      <c r="C531" s="4" t="s">
        <v>880</v>
      </c>
      <c r="D531" s="4" t="s">
        <v>881</v>
      </c>
      <c r="E531" s="4">
        <v>1.0</v>
      </c>
      <c r="F531" s="4" t="str">
        <f>IFERROR(__xludf.DUMMYFUNCTION("GOOGLETRANSLATE(D531)"),"修改「美國之死」場景？
伊朗活動疑似造成 500 名美國人傷亡！ http://t.co/drlKEbeYPi")</f>
        <v>修改「美國之死」場景？
伊朗活動疑似造成 500 名美國人傷亡！ http://t.co/drlKEbeYPi</v>
      </c>
      <c r="G531" s="4" t="str">
        <f>IFERROR(__xludf.DUMMYFUNCTION("GOOGLETRANSLATE(B531)"),"傷亡")</f>
        <v>傷亡</v>
      </c>
    </row>
    <row r="532" ht="15.75" customHeight="1">
      <c r="A532" s="4">
        <v>2049.0</v>
      </c>
      <c r="B532" s="4" t="s">
        <v>849</v>
      </c>
      <c r="C532" s="4" t="s">
        <v>882</v>
      </c>
      <c r="D532" s="4" t="s">
        <v>883</v>
      </c>
      <c r="E532" s="4">
        <v>1.0</v>
      </c>
      <c r="F532" s="4" t="str">
        <f>IFERROR(__xludf.DUMMYFUNCTION("GOOGLETRANSLATE(D532)"),"#阿富汗：2015 年上半年婦女與兒童傷亡人數急劇上升 http://t.co/LdyWd4ydT9")</f>
        <v>#阿富汗：2015 年上半年婦女與兒童傷亡人數急劇上升 http://t.co/LdyWd4ydT9</v>
      </c>
      <c r="G532" s="4" t="str">
        <f>IFERROR(__xludf.DUMMYFUNCTION("GOOGLETRANSLATE(B532)"),"傷亡")</f>
        <v>傷亡</v>
      </c>
    </row>
    <row r="533" ht="15.75" customHeight="1">
      <c r="A533" s="4">
        <v>2051.0</v>
      </c>
      <c r="B533" s="4" t="s">
        <v>849</v>
      </c>
      <c r="C533" s="4" t="s">
        <v>884</v>
      </c>
      <c r="D533" s="4" t="s">
        <v>885</v>
      </c>
      <c r="E533" s="4">
        <v>1.0</v>
      </c>
      <c r="F533" s="4" t="str">
        <f>IFERROR(__xludf.DUMMYFUNCTION("GOOGLETRANSLATE(D533)"),"#聯合國透過 @WashingtonPost 表示，阿富汗平民傷亡人數創 2009 年以來最高 - http://t.co/xTF5DvgRvh")</f>
        <v>#聯合國透過 @WashingtonPost 表示，阿富汗平民傷亡人數創 2009 年以來最高 - http://t.co/xTF5DvgRvh</v>
      </c>
      <c r="G533" s="4" t="str">
        <f>IFERROR(__xludf.DUMMYFUNCTION("GOOGLETRANSLATE(B533)"),"傷亡")</f>
        <v>傷亡</v>
      </c>
    </row>
    <row r="534" ht="15.75" customHeight="1">
      <c r="A534" s="4">
        <v>2055.0</v>
      </c>
      <c r="B534" s="4" t="s">
        <v>849</v>
      </c>
      <c r="C534" s="4" t="s">
        <v>886</v>
      </c>
      <c r="D534" s="4" t="s">
        <v>887</v>
      </c>
      <c r="E534" s="4">
        <v>1.0</v>
      </c>
      <c r="F534" s="4" t="str">
        <f>IFERROR(__xludf.DUMMYFUNCTION("GOOGLETRANSLATE(D534)"),"作戰機器人可以減少平民傷亡，因此現在呼籲禁止還為時過早 http://t.co/lzff4pT4AZ #FTSN #FTSNNewsdesk #Û_")</f>
        <v>作戰機器人可以減少平民傷亡，因此現在呼籲禁止還為時過早 http://t.co/lzff4pT4AZ #FTSN #FTSNNewsdesk #Û_</v>
      </c>
      <c r="G534" s="4" t="str">
        <f>IFERROR(__xludf.DUMMYFUNCTION("GOOGLETRANSLATE(B534)"),"傷亡")</f>
        <v>傷亡</v>
      </c>
    </row>
    <row r="535" ht="15.75" customHeight="1">
      <c r="A535" s="4">
        <v>2056.0</v>
      </c>
      <c r="B535" s="4" t="s">
        <v>849</v>
      </c>
      <c r="C535" s="4" t="s">
        <v>888</v>
      </c>
      <c r="D535" s="4" t="s">
        <v>889</v>
      </c>
      <c r="E535" s="4">
        <v>1.0</v>
      </c>
      <c r="F535" s="4" t="str">
        <f>IFERROR(__xludf.DUMMYFUNCTION("GOOGLETRANSLATE(D535)"),"@irishspy 你認為盟軍不應該承受 100 萬人的傷亡嗎？")</f>
        <v>@irishspy 你認為盟軍不應該承受 100 萬人的傷亡嗎？</v>
      </c>
      <c r="G535" s="4" t="str">
        <f>IFERROR(__xludf.DUMMYFUNCTION("GOOGLETRANSLATE(B535)"),"傷亡")</f>
        <v>傷亡</v>
      </c>
    </row>
    <row r="536" ht="15.75" customHeight="1">
      <c r="A536" s="4">
        <v>2057.0</v>
      </c>
      <c r="B536" s="4" t="s">
        <v>849</v>
      </c>
      <c r="D536" s="4" t="s">
        <v>890</v>
      </c>
      <c r="E536" s="4">
        <v>1.0</v>
      </c>
      <c r="F536" s="4" t="str">
        <f>IFERROR(__xludf.DUMMYFUNCTION("GOOGLETRANSLATE(D536)"),"阿富汗：2015年上半年婦女兒童傷亡人數急劇上升 http://t.co/3sqSErgnI2")</f>
        <v>阿富汗：2015年上半年婦女兒童傷亡人數急劇上升 http://t.co/3sqSErgnI2</v>
      </c>
      <c r="G536" s="4" t="str">
        <f>IFERROR(__xludf.DUMMYFUNCTION("GOOGLETRANSLATE(B536)"),"傷亡")</f>
        <v>傷亡</v>
      </c>
    </row>
    <row r="537" ht="15.75" customHeight="1">
      <c r="A537" s="4">
        <v>2059.0</v>
      </c>
      <c r="B537" s="4" t="s">
        <v>891</v>
      </c>
      <c r="C537" s="4" t="s">
        <v>892</v>
      </c>
      <c r="D537" s="4" t="s">
        <v>893</v>
      </c>
      <c r="E537" s="4">
        <v>1.0</v>
      </c>
      <c r="F537" s="4" t="str">
        <f>IFERROR(__xludf.DUMMYFUNCTION("GOOGLETRANSLATE(D537)"),"火車脫軌：巴特那目前尚無人員傷亡的消息 http://t.co/Yg697fcQGr")</f>
        <v>火車脫軌：巴特那目前尚無人員傷亡的消息 http://t.co/Yg697fcQGr</v>
      </c>
      <c r="G537" s="4" t="str">
        <f>IFERROR(__xludf.DUMMYFUNCTION("GOOGLETRANSLATE(B537)"),"傷亡")</f>
        <v>傷亡</v>
      </c>
    </row>
    <row r="538" ht="15.75" customHeight="1">
      <c r="A538" s="4">
        <v>2063.0</v>
      </c>
      <c r="B538" s="4" t="s">
        <v>891</v>
      </c>
      <c r="D538" s="4" t="s">
        <v>894</v>
      </c>
      <c r="E538" s="4">
        <v>1.0</v>
      </c>
      <c r="F538" s="4" t="str">
        <f>IFERROR(__xludf.DUMMYFUNCTION("GOOGLETRANSLATE(D538)"),"7 月財產/意外保險費率上漲 1%：商業財產/意外傷害保險幾個月沒有變動後... http://t.co/KcLkoKqI8a")</f>
        <v>7 月財產/意外保險費率上漲 1%：商業財產/意外傷害保險幾個月沒有變動後... http://t.co/KcLkoKqI8a</v>
      </c>
      <c r="G538" s="4" t="str">
        <f>IFERROR(__xludf.DUMMYFUNCTION("GOOGLETRANSLATE(B538)"),"傷亡")</f>
        <v>傷亡</v>
      </c>
    </row>
    <row r="539" ht="15.75" customHeight="1">
      <c r="A539" s="4">
        <v>2067.0</v>
      </c>
      <c r="B539" s="4" t="s">
        <v>891</v>
      </c>
      <c r="C539" s="4" t="s">
        <v>895</v>
      </c>
      <c r="D539" s="4" t="s">
        <v>896</v>
      </c>
      <c r="E539" s="4">
        <v>1.0</v>
      </c>
      <c r="F539" s="4" t="str">
        <f>IFERROR(__xludf.DUMMYFUNCTION("GOOGLETRANSLATE(D539)"),"因為理智不會帶來再擊中和最後一分的獎勵...不要成為傷亡者，剪斷電源線...")</f>
        <v>因為理智不會帶來再擊中和最後一分的獎勵...不要成為傷亡者，剪斷電源線...</v>
      </c>
      <c r="G539" s="4" t="str">
        <f>IFERROR(__xludf.DUMMYFUNCTION("GOOGLETRANSLATE(B539)"),"傷亡")</f>
        <v>傷亡</v>
      </c>
    </row>
    <row r="540" ht="15.75" customHeight="1">
      <c r="A540" s="4">
        <v>2068.0</v>
      </c>
      <c r="B540" s="4" t="s">
        <v>891</v>
      </c>
      <c r="D540" s="4" t="s">
        <v>897</v>
      </c>
      <c r="E540" s="4">
        <v>1.0</v>
      </c>
      <c r="F540" s="4" t="str">
        <f>IFERROR(__xludf.DUMMYFUNCTION("GOOGLETRANSLATE(D540)"),"另一起悲傷的海洋傷亡事件－太平洋灰鯨族群被列為嚴重#瀕危（#drone 影片）https://t.co/vwz3vZpmfb。")</f>
        <v>另一起悲傷的海洋傷亡事件－太平洋灰鯨族群被列為嚴重#瀕危（#drone 影片）https://t.co/vwz3vZpmfb。</v>
      </c>
      <c r="G540" s="4" t="str">
        <f>IFERROR(__xludf.DUMMYFUNCTION("GOOGLETRANSLATE(B540)"),"傷亡")</f>
        <v>傷亡</v>
      </c>
    </row>
    <row r="541" ht="15.75" customHeight="1">
      <c r="A541" s="4">
        <v>2069.0</v>
      </c>
      <c r="B541" s="4" t="s">
        <v>891</v>
      </c>
      <c r="C541" s="4" t="s">
        <v>898</v>
      </c>
      <c r="D541" s="4" t="s">
        <v>899</v>
      </c>
      <c r="E541" s="4">
        <v>1.0</v>
      </c>
      <c r="F541" s="4" t="str">
        <f>IFERROR(__xludf.DUMMYFUNCTION("GOOGLETRANSLATE(D541)"),"@ThomasHCrown 我的祖父將成為第一批在奧林匹克行動中襲擊日本的海軍陸戰隊隊員。 95% 傷亡率預測")</f>
        <v>@ThomasHCrown 我的祖父將成為第一批在奧林匹克行動中襲擊日本的海軍陸戰隊隊員。 95% 傷亡率預測</v>
      </c>
      <c r="G541" s="4" t="str">
        <f>IFERROR(__xludf.DUMMYFUNCTION("GOOGLETRANSLATE(B541)"),"傷亡")</f>
        <v>傷亡</v>
      </c>
    </row>
    <row r="542" ht="15.75" customHeight="1">
      <c r="A542" s="4">
        <v>2073.0</v>
      </c>
      <c r="B542" s="4" t="s">
        <v>891</v>
      </c>
      <c r="C542" s="4" t="s">
        <v>900</v>
      </c>
      <c r="D542" s="4" t="s">
        <v>901</v>
      </c>
      <c r="E542" s="4">
        <v>1.0</v>
      </c>
      <c r="F542" s="4" t="str">
        <f>IFERROR(__xludf.DUMMYFUNCTION("GOOGLETRANSLATE(D542)"),"本澤馬似乎越來越成為貝尼特斯新陣容的犧牲品。阿森納綁定？我認為有50-50的機會")</f>
        <v>本澤馬似乎越來越成為貝尼特斯新陣容的犧牲品。阿森納綁定？我認為有50-50的機會</v>
      </c>
      <c r="G542" s="4" t="str">
        <f>IFERROR(__xludf.DUMMYFUNCTION("GOOGLETRANSLATE(B542)"),"傷亡")</f>
        <v>傷亡</v>
      </c>
    </row>
    <row r="543" ht="15.75" customHeight="1">
      <c r="A543" s="4">
        <v>2076.0</v>
      </c>
      <c r="B543" s="4" t="s">
        <v>891</v>
      </c>
      <c r="D543" s="4" t="s">
        <v>902</v>
      </c>
      <c r="E543" s="4">
        <v>1.0</v>
      </c>
      <c r="F543" s="4" t="str">
        <f>IFERROR(__xludf.DUMMYFUNCTION("GOOGLETRANSLATE(D543)"),"不可預測的斷線和社會傷亡是我的最愛 人們怎麼會不喜歡它們")</f>
        <v>不可預測的斷線和社會傷亡是我的最愛 人們怎麼會不喜歡它們</v>
      </c>
      <c r="G543" s="4" t="str">
        <f>IFERROR(__xludf.DUMMYFUNCTION("GOOGLETRANSLATE(B543)"),"傷亡")</f>
        <v>傷亡</v>
      </c>
    </row>
    <row r="544" ht="15.75" customHeight="1">
      <c r="A544" s="4">
        <v>2077.0</v>
      </c>
      <c r="B544" s="4" t="s">
        <v>891</v>
      </c>
      <c r="C544" s="4" t="s">
        <v>903</v>
      </c>
      <c r="D544" s="4" t="s">
        <v>904</v>
      </c>
      <c r="E544" s="4">
        <v>1.0</v>
      </c>
      <c r="F544" s="4" t="str">
        <f>IFERROR(__xludf.DUMMYFUNCTION("GOOGLETRANSLATE(D544)"),"@NorthBayHealth 創傷中心在應對多人傷亡事故中表現出色。 http://t.co/21B6SKPDUR http://t.co/wBCb3sYtj7")</f>
        <v>@NorthBayHealth 創傷中心在應對多人傷亡事故中表現出色。 http://t.co/21B6SKPDUR http://t.co/wBCb3sYtj7</v>
      </c>
      <c r="G544" s="4" t="str">
        <f>IFERROR(__xludf.DUMMYFUNCTION("GOOGLETRANSLATE(B544)"),"傷亡")</f>
        <v>傷亡</v>
      </c>
    </row>
    <row r="545" ht="15.75" customHeight="1">
      <c r="A545" s="4">
        <v>2078.0</v>
      </c>
      <c r="B545" s="4" t="s">
        <v>891</v>
      </c>
      <c r="C545" s="4" t="s">
        <v>905</v>
      </c>
      <c r="D545" s="4" t="s">
        <v>906</v>
      </c>
      <c r="E545" s="4">
        <v>1.0</v>
      </c>
      <c r="F545" s="4" t="str">
        <f>IFERROR(__xludf.DUMMYFUNCTION("GOOGLETRANSLATE(D545)"),"@ScriptetteSar @katiecool447 順便說一句，30號實際上是明年傷亡事故開始於1986年9月6日所以2016年標誌著30週年")</f>
        <v>@ScriptetteSar @katiecool447 順便說一句，30號實際上是明年傷亡事故開始於1986年9月6日所以2016年標誌著30週年</v>
      </c>
      <c r="G545" s="4" t="str">
        <f>IFERROR(__xludf.DUMMYFUNCTION("GOOGLETRANSLATE(B545)"),"傷亡")</f>
        <v>傷亡</v>
      </c>
    </row>
    <row r="546" ht="15.75" customHeight="1">
      <c r="A546" s="4">
        <v>2081.0</v>
      </c>
      <c r="B546" s="4" t="s">
        <v>891</v>
      </c>
      <c r="C546" s="4" t="s">
        <v>907</v>
      </c>
      <c r="D546" s="4" t="s">
        <v>908</v>
      </c>
      <c r="E546" s="4">
        <v>1.0</v>
      </c>
      <c r="F546" s="4" t="str">
        <f>IFERROR(__xludf.DUMMYFUNCTION("GOOGLETRANSLATE(D546)"),"@AvBronstein @Popehat @instapundit @KurtSchlichter 您還知道入侵日本本土島嶼的傷亡估計嗎？")</f>
        <v>@AvBronstein @Popehat @instapundit @KurtSchlichter 您還知道入侵日本本土島嶼的傷亡估計嗎？</v>
      </c>
      <c r="G546" s="4" t="str">
        <f>IFERROR(__xludf.DUMMYFUNCTION("GOOGLETRANSLATE(B546)"),"傷亡")</f>
        <v>傷亡</v>
      </c>
    </row>
    <row r="547" ht="15.75" customHeight="1">
      <c r="A547" s="4">
        <v>2089.0</v>
      </c>
      <c r="B547" s="4" t="s">
        <v>891</v>
      </c>
      <c r="C547" s="4" t="s">
        <v>909</v>
      </c>
      <c r="D547" s="4" t="s">
        <v>910</v>
      </c>
      <c r="E547" s="4">
        <v>1.0</v>
      </c>
      <c r="F547" s="4" t="str">
        <f>IFERROR(__xludf.DUMMYFUNCTION("GOOGLETRANSLATE(D547)"),"RT @GreenHarvard：記錄氣候變遷的第一個重大傷亡 http://t.co/4q4zd7oU34 來自 @GreenHarvard")</f>
        <v>RT @GreenHarvard：記錄氣候變遷的第一個重大傷亡 http://t.co/4q4zd7oU34 來自 @GreenHarvard</v>
      </c>
      <c r="G547" s="4" t="str">
        <f>IFERROR(__xludf.DUMMYFUNCTION("GOOGLETRANSLATE(B547)"),"傷亡")</f>
        <v>傷亡</v>
      </c>
    </row>
    <row r="548" ht="15.75" customHeight="1">
      <c r="A548" s="4">
        <v>2097.0</v>
      </c>
      <c r="B548" s="4" t="s">
        <v>891</v>
      </c>
      <c r="C548" s="4" t="s">
        <v>911</v>
      </c>
      <c r="D548" s="4" t="s">
        <v>912</v>
      </c>
      <c r="E548" s="4">
        <v>1.0</v>
      </c>
      <c r="F548" s="4" t="str">
        <f>IFERROR(__xludf.DUMMYFUNCTION("GOOGLETRANSLATE(D548)"),"@reriellechan 他是巫妖王的第一個傷亡者阻止我回來我恨你！ http://t.co/0Gidg9U45J")</f>
        <v>@reriellechan 他是巫妖王的第一個傷亡者阻止我回來我恨你！ http://t.co/0Gidg9U45J</v>
      </c>
      <c r="G548" s="4" t="str">
        <f>IFERROR(__xludf.DUMMYFUNCTION("GOOGLETRANSLATE(B548)"),"傷亡")</f>
        <v>傷亡</v>
      </c>
    </row>
    <row r="549" ht="15.75" customHeight="1">
      <c r="A549" s="4">
        <v>2100.0</v>
      </c>
      <c r="B549" s="4" t="s">
        <v>891</v>
      </c>
      <c r="C549" s="4" t="s">
        <v>913</v>
      </c>
      <c r="D549" s="4" t="s">
        <v>914</v>
      </c>
      <c r="E549" s="4">
        <v>1.0</v>
      </c>
      <c r="F549" s="4" t="str">
        <f>IFERROR(__xludf.DUMMYFUNCTION("GOOGLETRANSLATE(D549)"),"日本有一個核武計劃（儘管沒有成功），地面戰爭的傷亡估計為數千萬。 @MacKinnon08")</f>
        <v>日本有一個核武計劃（儘管沒有成功），地面戰爭的傷亡估計為數千萬。 @MacKinnon08</v>
      </c>
      <c r="G549" s="4" t="str">
        <f>IFERROR(__xludf.DUMMYFUNCTION("GOOGLETRANSLATE(B549)"),"傷亡")</f>
        <v>傷亡</v>
      </c>
    </row>
    <row r="550" ht="15.75" customHeight="1">
      <c r="A550" s="4">
        <v>2102.0</v>
      </c>
      <c r="B550" s="4" t="s">
        <v>891</v>
      </c>
      <c r="C550" s="4" t="s">
        <v>915</v>
      </c>
      <c r="D550" s="4" t="s">
        <v>916</v>
      </c>
      <c r="E550" s="4">
        <v>1.0</v>
      </c>
      <c r="F550" s="4" t="str">
        <f>IFERROR(__xludf.DUMMYFUNCTION("GOOGLETRANSLATE(D550)"),"#NowPlaying：Dubstep Hardstyle Trap Messy Mix（事件錄音），作者：Alien Casualty，@Mixify http://t.co/m203UL6o7p http://t.co/m203UL6o7p")</f>
        <v>#NowPlaying：Dubstep Hardstyle Trap Messy Mix（事件錄音），作者：Alien Casualty，@Mixify http://t.co/m203UL6o7p http://t.co/m203UL6o7p</v>
      </c>
      <c r="G550" s="4" t="str">
        <f>IFERROR(__xludf.DUMMYFUNCTION("GOOGLETRANSLATE(B550)"),"傷亡")</f>
        <v>傷亡</v>
      </c>
    </row>
    <row r="551" ht="15.75" customHeight="1">
      <c r="A551" s="4">
        <v>2103.0</v>
      </c>
      <c r="B551" s="4" t="s">
        <v>891</v>
      </c>
      <c r="C551" s="4" t="s">
        <v>917</v>
      </c>
      <c r="D551" s="4" t="s">
        <v>918</v>
      </c>
      <c r="E551" s="4">
        <v>1.0</v>
      </c>
      <c r="F551" s="4" t="str">
        <f>IFERROR(__xludf.DUMMYFUNCTION("GOOGLETRANSLATE(D551)"),"前往科羅拉多州途中的小傷亡 http://t.co/hDVmhSQXHm")</f>
        <v>前往科羅拉多州途中的小傷亡 http://t.co/hDVmhSQXHm</v>
      </c>
      <c r="G551" s="4" t="str">
        <f>IFERROR(__xludf.DUMMYFUNCTION("GOOGLETRANSLATE(B551)"),"傷亡")</f>
        <v>傷亡</v>
      </c>
    </row>
    <row r="552" ht="15.75" customHeight="1">
      <c r="A552" s="4">
        <v>2109.0</v>
      </c>
      <c r="B552" s="4" t="s">
        <v>919</v>
      </c>
      <c r="D552" s="4" t="s">
        <v>920</v>
      </c>
      <c r="E552" s="4">
        <v>1.0</v>
      </c>
      <c r="F552" s="4" t="str">
        <f>IFERROR(__xludf.DUMMYFUNCTION("GOOGLETRANSLATE(D552)"),".@robdelaney 災難絕非如此！我真的無法停止射精。")</f>
        <v>.@robdelaney 災難絕非如此！我真的無法停止射精。</v>
      </c>
      <c r="G552" s="4" t="str">
        <f>IFERROR(__xludf.DUMMYFUNCTION("GOOGLETRANSLATE(B552)"),"災難")</f>
        <v>災難</v>
      </c>
    </row>
    <row r="553" ht="15.75" customHeight="1">
      <c r="A553" s="4">
        <v>2118.0</v>
      </c>
      <c r="B553" s="4" t="s">
        <v>919</v>
      </c>
      <c r="D553" s="4" t="s">
        <v>921</v>
      </c>
      <c r="E553" s="4">
        <v>1.0</v>
      </c>
      <c r="F553" s="4" t="str">
        <f>IFERROR(__xludf.DUMMYFUNCTION("GOOGLETRANSLATE(D553)"),"@peterjukes 但有充分的理由相信「政治軍事災難」是個人策劃和實施的犯罪。")</f>
        <v>@peterjukes 但有充分的理由相信「政治軍事災難」是個人策劃和實施的犯罪。</v>
      </c>
      <c r="G553" s="4" t="str">
        <f>IFERROR(__xludf.DUMMYFUNCTION("GOOGLETRANSLATE(B553)"),"災難")</f>
        <v>災難</v>
      </c>
    </row>
    <row r="554" ht="15.75" customHeight="1">
      <c r="A554" s="4">
        <v>2121.0</v>
      </c>
      <c r="B554" s="4" t="s">
        <v>919</v>
      </c>
      <c r="D554" s="4" t="s">
        <v>922</v>
      </c>
      <c r="E554" s="4">
        <v>1.0</v>
      </c>
      <c r="F554" s="4" t="str">
        <f>IFERROR(__xludf.DUMMYFUNCTION("GOOGLETRANSLATE(D554)"),"#boy #mix Ultimate #preparedness 函式庫：http://t.co/O207JyaByz 為任何災難做好準備。超過 10 個 http://t.co/cjCtb2oCxg")</f>
        <v>#boy #mix Ultimate #preparedness 函式庫：http://t.co/O207JyaByz 為任何災難做好準備。超過 10 個 http://t.co/cjCtb2oCxg</v>
      </c>
      <c r="G554" s="4" t="str">
        <f>IFERROR(__xludf.DUMMYFUNCTION("GOOGLETRANSLATE(B554)"),"災難")</f>
        <v>災難</v>
      </c>
    </row>
    <row r="555" ht="15.75" customHeight="1">
      <c r="A555" s="4">
        <v>2125.0</v>
      </c>
      <c r="B555" s="4" t="s">
        <v>919</v>
      </c>
      <c r="C555" s="4" t="s">
        <v>923</v>
      </c>
      <c r="D555" s="4" t="s">
        <v>924</v>
      </c>
      <c r="E555" s="4">
        <v>1.0</v>
      </c>
      <c r="F555" s="4" t="str">
        <f>IFERROR(__xludf.DUMMYFUNCTION("GOOGLETRANSLATE(D555)"),"更新：我公司 5 月購買的 9 台 Mac Pro 中有 7 台出現了災難性故障，需要維修！")</f>
        <v>更新：我公司 5 月購買的 9 台 Mac Pro 中有 7 台出現了災難性故障，需要維修！</v>
      </c>
      <c r="G555" s="4" t="str">
        <f>IFERROR(__xludf.DUMMYFUNCTION("GOOGLETRANSLATE(B555)"),"災難")</f>
        <v>災難</v>
      </c>
    </row>
    <row r="556" ht="15.75" customHeight="1">
      <c r="A556" s="4">
        <v>2141.0</v>
      </c>
      <c r="B556" s="4" t="s">
        <v>919</v>
      </c>
      <c r="C556" s="4" t="s">
        <v>925</v>
      </c>
      <c r="D556" s="4" t="s">
        <v>926</v>
      </c>
      <c r="E556" s="4">
        <v>1.0</v>
      </c>
      <c r="F556" s="4" t="str">
        <f>IFERROR(__xludf.DUMMYFUNCTION("GOOGLETRANSLATE(D556)"),"很可能我們中的許多人仍在從這場災難中走出來。這就是魔獸世界需要發展的原因。這就是為什麼它不能再是香草了")</f>
        <v>很可能我們中的許多人仍在從這場災難中走出來。這就是魔獸世界需要發展的原因。這就是為什麼它不能再是香草了</v>
      </c>
      <c r="G556" s="4" t="str">
        <f>IFERROR(__xludf.DUMMYFUNCTION("GOOGLETRANSLATE(B556)"),"災難")</f>
        <v>災難</v>
      </c>
    </row>
    <row r="557" ht="15.75" customHeight="1">
      <c r="A557" s="4">
        <v>2144.0</v>
      </c>
      <c r="B557" s="4" t="s">
        <v>919</v>
      </c>
      <c r="D557" s="4" t="s">
        <v>927</v>
      </c>
      <c r="E557" s="4">
        <v>1.0</v>
      </c>
      <c r="F557" s="4" t="str">
        <f>IFERROR(__xludf.DUMMYFUNCTION("GOOGLETRANSLATE(D557)"),"#nar #phuket Ultimate #preparedness 庫：http://t.co/qYAeNDvDGC 為任何災難做好準備。透過 http://t.co/3Zp6Ahnsxn")</f>
        <v>#nar #phuket Ultimate #preparedness 庫：http://t.co/qYAeNDvDGC 為任何災難做好準備。透過 http://t.co/3Zp6Ahnsxn</v>
      </c>
      <c r="G557" s="4" t="str">
        <f>IFERROR(__xludf.DUMMYFUNCTION("GOOGLETRANSLATE(B557)"),"災難")</f>
        <v>災難</v>
      </c>
    </row>
    <row r="558" ht="15.75" customHeight="1">
      <c r="A558" s="4">
        <v>2153.0</v>
      </c>
      <c r="B558" s="4" t="s">
        <v>919</v>
      </c>
      <c r="D558" s="4" t="s">
        <v>928</v>
      </c>
      <c r="E558" s="4">
        <v>1.0</v>
      </c>
      <c r="F558" s="4" t="str">
        <f>IFERROR(__xludf.DUMMYFUNCTION("GOOGLETRANSLATE(D558)"),"BBC R5live 工作室討論廣島訴窮人。純粹是*幸運*，冷戰沒有導致災難。 MAD = 紅鯡魚。 #廢三叉戟")</f>
        <v>BBC R5live 工作室討論廣島訴窮人。純粹是*幸運*，冷戰沒有導致災難。 MAD = 紅鯡魚。 #廢三叉戟</v>
      </c>
      <c r="G558" s="4" t="str">
        <f>IFERROR(__xludf.DUMMYFUNCTION("GOOGLETRANSLATE(B558)"),"災難")</f>
        <v>災難</v>
      </c>
    </row>
    <row r="559" ht="15.75" customHeight="1">
      <c r="A559" s="4">
        <v>2159.0</v>
      </c>
      <c r="B559" s="4" t="s">
        <v>929</v>
      </c>
      <c r="D559" s="4" t="s">
        <v>930</v>
      </c>
      <c r="E559" s="4">
        <v>1.0</v>
      </c>
      <c r="F559" s="4" t="str">
        <f>IFERROR(__xludf.DUMMYFUNCTION("GOOGLETRANSLATE(D559)"),"從災難性火山爆發的遺產中學習 http://t.co/RbmuCURS2F")</f>
        <v>從災難性火山爆發的遺產中學習 http://t.co/RbmuCURS2F</v>
      </c>
      <c r="G559" s="4" t="str">
        <f>IFERROR(__xludf.DUMMYFUNCTION("GOOGLETRANSLATE(B559)"),"災難性的")</f>
        <v>災難性的</v>
      </c>
    </row>
    <row r="560" ht="15.75" customHeight="1">
      <c r="A560" s="4">
        <v>2161.0</v>
      </c>
      <c r="B560" s="4" t="s">
        <v>929</v>
      </c>
      <c r="C560" s="4" t="s">
        <v>931</v>
      </c>
      <c r="D560" s="4" t="s">
        <v>932</v>
      </c>
      <c r="E560" s="4">
        <v>1.0</v>
      </c>
      <c r="F560" s="4" t="str">
        <f>IFERROR(__xludf.DUMMYFUNCTION("GOOGLETRANSLATE(D560)"),"災難性傷害後，緊急醫療照護是首要任務。創傷後壓力症候群 (PTSD) 往往會在不被發現的情況下發生... http://t.co/BZkqpl6R0a")</f>
        <v>災難性傷害後，緊急醫療照護是首要任務。創傷後壓力症候群 (PTSD) 往往會在不被發現的情況下發生... http://t.co/BZkqpl6R0a</v>
      </c>
      <c r="G560" s="4" t="str">
        <f>IFERROR(__xludf.DUMMYFUNCTION("GOOGLETRANSLATE(B560)"),"災難性的")</f>
        <v>災難性的</v>
      </c>
    </row>
    <row r="561" ht="15.75" customHeight="1">
      <c r="A561" s="4">
        <v>2164.0</v>
      </c>
      <c r="B561" s="4" t="s">
        <v>929</v>
      </c>
      <c r="D561" s="4" t="s">
        <v>933</v>
      </c>
      <c r="E561" s="4">
        <v>1.0</v>
      </c>
      <c r="F561" s="4" t="str">
        <f>IFERROR(__xludf.DUMMYFUNCTION("GOOGLETRANSLATE(D561)"),"廣島和長崎原子彈爆炸的災難性影響至今仍能感受到 http://t.co/oU1M9chznq")</f>
        <v>廣島和長崎原子彈爆炸的災難性影響至今仍能感受到 http://t.co/oU1M9chznq</v>
      </c>
      <c r="G561" s="4" t="str">
        <f>IFERROR(__xludf.DUMMYFUNCTION("GOOGLETRANSLATE(B561)"),"災難性的")</f>
        <v>災難性的</v>
      </c>
    </row>
    <row r="562" ht="15.75" customHeight="1">
      <c r="A562" s="4">
        <v>2169.0</v>
      </c>
      <c r="B562" s="4" t="s">
        <v>929</v>
      </c>
      <c r="D562" s="4" t="s">
        <v>934</v>
      </c>
      <c r="E562" s="4">
        <v>1.0</v>
      </c>
      <c r="F562" s="4" t="str">
        <f>IFERROR(__xludf.DUMMYFUNCTION("GOOGLETRANSLATE(D562)"),"廣島和長崎原子彈爆炸的災難性影響至今仍可感受到 http://t.co/TzxeG4gOkD")</f>
        <v>廣島和長崎原子彈爆炸的災難性影響至今仍可感受到 http://t.co/TzxeG4gOkD</v>
      </c>
      <c r="G562" s="4" t="str">
        <f>IFERROR(__xludf.DUMMYFUNCTION("GOOGLETRANSLATE(B562)"),"災難性的")</f>
        <v>災難性的</v>
      </c>
    </row>
    <row r="563" ht="15.75" customHeight="1">
      <c r="A563" s="4">
        <v>2171.0</v>
      </c>
      <c r="B563" s="4" t="s">
        <v>929</v>
      </c>
      <c r="D563" s="4" t="s">
        <v>935</v>
      </c>
      <c r="E563" s="4">
        <v>1.0</v>
      </c>
      <c r="F563" s="4" t="str">
        <f>IFERROR(__xludf.DUMMYFUNCTION("GOOGLETRANSLATE(D563)"),"廣島和長崎原子彈爆炸的災難性影響至今仍清晰可見 http://t.co/1kRPz3j1EU")</f>
        <v>廣島和長崎原子彈爆炸的災難性影響至今仍清晰可見 http://t.co/1kRPz3j1EU</v>
      </c>
      <c r="G563" s="4" t="str">
        <f>IFERROR(__xludf.DUMMYFUNCTION("GOOGLETRANSLATE(B563)"),"災難性的")</f>
        <v>災難性的</v>
      </c>
    </row>
    <row r="564" ht="15.75" customHeight="1">
      <c r="A564" s="4">
        <v>2172.0</v>
      </c>
      <c r="B564" s="4" t="s">
        <v>929</v>
      </c>
      <c r="C564" s="4" t="s">
        <v>936</v>
      </c>
      <c r="D564" s="4" t="s">
        <v>937</v>
      </c>
      <c r="E564" s="4">
        <v>1.0</v>
      </c>
      <c r="F564" s="4" t="str">
        <f>IFERROR(__xludf.DUMMYFUNCTION("GOOGLETRANSLATE(D564)"),"「入侵伊拉克是一個災難性的錯誤」。
外交需要取代美國和以色列持續的戰爭威脅：
http://t.co/yqjpn3qUUX")</f>
        <v>「入侵伊拉克是一個災難性的錯誤」。
外交需要取代美國和以色列持續的戰爭威脅：
http://t.co/yqjpn3qUUX</v>
      </c>
      <c r="G564" s="4" t="str">
        <f>IFERROR(__xludf.DUMMYFUNCTION("GOOGLETRANSLATE(B564)"),"災難性的")</f>
        <v>災難性的</v>
      </c>
    </row>
    <row r="565" ht="15.75" customHeight="1">
      <c r="A565" s="4">
        <v>2173.0</v>
      </c>
      <c r="B565" s="4" t="s">
        <v>929</v>
      </c>
      <c r="C565" s="4" t="s">
        <v>938</v>
      </c>
      <c r="D565" s="4" t="s">
        <v>939</v>
      </c>
      <c r="E565" s="4">
        <v>1.0</v>
      </c>
      <c r="F565" s="4" t="str">
        <f>IFERROR(__xludf.DUMMYFUNCTION("GOOGLETRANSLATE(D565)"),"從災難性火山爆發的遺產中學習 http://t.co/25sY9Y295L 來自 @newyorker")</f>
        <v>從災難性火山爆發的遺產中學習 http://t.co/25sY9Y295L 來自 @newyorker</v>
      </c>
      <c r="G565" s="4" t="str">
        <f>IFERROR(__xludf.DUMMYFUNCTION("GOOGLETRANSLATE(B565)"),"災難性的")</f>
        <v>災難性的</v>
      </c>
    </row>
    <row r="566" ht="15.75" customHeight="1">
      <c r="A566" s="4">
        <v>2174.0</v>
      </c>
      <c r="B566" s="4" t="s">
        <v>929</v>
      </c>
      <c r="C566" s="4" t="s">
        <v>940</v>
      </c>
      <c r="D566" s="4" t="s">
        <v>941</v>
      </c>
      <c r="E566" s="4">
        <v>1.0</v>
      </c>
      <c r="F566" s="4" t="str">
        <f>IFERROR(__xludf.DUMMYFUNCTION("GOOGLETRANSLATE(D566)"),"廣島和長崎原子彈爆炸的災難性影響至今仍清晰可見 http://t.co/WC8AqXeDF7")</f>
        <v>廣島和長崎原子彈爆炸的災難性影響至今仍清晰可見 http://t.co/WC8AqXeDF7</v>
      </c>
      <c r="G566" s="4" t="str">
        <f>IFERROR(__xludf.DUMMYFUNCTION("GOOGLETRANSLATE(B566)"),"災難性的")</f>
        <v>災難性的</v>
      </c>
    </row>
    <row r="567" ht="15.75" customHeight="1">
      <c r="A567" s="4">
        <v>2177.0</v>
      </c>
      <c r="B567" s="4" t="s">
        <v>929</v>
      </c>
      <c r="C567" s="4" t="s">
        <v>942</v>
      </c>
      <c r="D567" s="4" t="s">
        <v>943</v>
      </c>
      <c r="E567" s="4">
        <v>1.0</v>
      </c>
      <c r="F567" s="4" t="str">
        <f>IFERROR(__xludf.DUMMYFUNCTION("GOOGLETRANSLATE(D567)"),"三十五年後，從美國歷史上最具破壞性的火山事件中學習：http://t.co/KkjP9KsBst")</f>
        <v>三十五年後，從美國歷史上最具破壞性的火山事件中學習：http://t.co/KkjP9KsBst</v>
      </c>
      <c r="G567" s="4" t="str">
        <f>IFERROR(__xludf.DUMMYFUNCTION("GOOGLETRANSLATE(B567)"),"災難性的")</f>
        <v>災難性的</v>
      </c>
    </row>
    <row r="568" ht="15.75" customHeight="1">
      <c r="A568" s="4">
        <v>2179.0</v>
      </c>
      <c r="B568" s="4" t="s">
        <v>929</v>
      </c>
      <c r="C568" s="4" t="s">
        <v>627</v>
      </c>
      <c r="D568" s="4" t="s">
        <v>944</v>
      </c>
      <c r="E568" s="4">
        <v>1.0</v>
      </c>
      <c r="F568" s="4" t="str">
        <f>IFERROR(__xludf.DUMMYFUNCTION("GOOGLETRANSLATE(D568)"),"廣島和長崎原子彈爆炸的災難性影響至今仍可感受到 http://t.co/tGcR5voFJ3")</f>
        <v>廣島和長崎原子彈爆炸的災難性影響至今仍可感受到 http://t.co/tGcR5voFJ3</v>
      </c>
      <c r="G568" s="4" t="str">
        <f>IFERROR(__xludf.DUMMYFUNCTION("GOOGLETRANSLATE(B568)"),"災難性的")</f>
        <v>災難性的</v>
      </c>
    </row>
    <row r="569" ht="15.75" customHeight="1">
      <c r="A569" s="4">
        <v>2183.0</v>
      </c>
      <c r="B569" s="4" t="s">
        <v>929</v>
      </c>
      <c r="C569" s="4" t="s">
        <v>945</v>
      </c>
      <c r="D569" s="4" t="s">
        <v>946</v>
      </c>
      <c r="E569" s="4">
        <v>1.0</v>
      </c>
      <c r="F569" s="4" t="str">
        <f>IFERROR(__xludf.DUMMYFUNCTION("GOOGLETRANSLATE(D569)"),"@APANO55 @JamesMelville 99％的科學家不相信災難性的人為全球暖化，只有受騙的人才相信。")</f>
        <v>@APANO55 @JamesMelville 99％的科學家不相信災難性的人為全球暖化，只有受騙的人才相信。</v>
      </c>
      <c r="G569" s="4" t="str">
        <f>IFERROR(__xludf.DUMMYFUNCTION("GOOGLETRANSLATE(B569)"),"災難性的")</f>
        <v>災難性的</v>
      </c>
    </row>
    <row r="570" ht="15.75" customHeight="1">
      <c r="A570" s="4">
        <v>2188.0</v>
      </c>
      <c r="B570" s="4" t="s">
        <v>929</v>
      </c>
      <c r="C570" s="4" t="s">
        <v>947</v>
      </c>
      <c r="D570" s="4" t="s">
        <v>948</v>
      </c>
      <c r="E570" s="4">
        <v>1.0</v>
      </c>
      <c r="F570" s="4" t="str">
        <f>IFERROR(__xludf.DUMMYFUNCTION("GOOGLETRANSLATE(D570)"),"從災難性火山爆發的遺產中學習 - 《紐約客》http://t.co/y8YqPBE4t9")</f>
        <v>從災難性火山爆發的遺產中學習 - 《紐約客》http://t.co/y8YqPBE4t9</v>
      </c>
      <c r="G570" s="4" t="str">
        <f>IFERROR(__xludf.DUMMYFUNCTION("GOOGLETRANSLATE(B570)"),"災難性的")</f>
        <v>災難性的</v>
      </c>
    </row>
    <row r="571" ht="15.75" customHeight="1">
      <c r="A571" s="4">
        <v>2189.0</v>
      </c>
      <c r="B571" s="4" t="s">
        <v>929</v>
      </c>
      <c r="C571" s="4" t="s">
        <v>949</v>
      </c>
      <c r="D571" s="4" t="s">
        <v>950</v>
      </c>
      <c r="E571" s="4">
        <v>1.0</v>
      </c>
      <c r="F571" s="4" t="str">
        <f>IFERROR(__xludf.DUMMYFUNCTION("GOOGLETRANSLATE(D571)"),"從災難性火山爆發的遺產中學習 http://t.co/PgXfocgHqg 來自 @newyorker")</f>
        <v>從災難性火山爆發的遺產中學習 http://t.co/PgXfocgHqg 來自 @newyorker</v>
      </c>
      <c r="G571" s="4" t="str">
        <f>IFERROR(__xludf.DUMMYFUNCTION("GOOGLETRANSLATE(B571)"),"災難性的")</f>
        <v>災難性的</v>
      </c>
    </row>
    <row r="572" ht="15.75" customHeight="1">
      <c r="A572" s="4">
        <v>2190.0</v>
      </c>
      <c r="B572" s="4" t="s">
        <v>929</v>
      </c>
      <c r="D572" s="4" t="s">
        <v>951</v>
      </c>
      <c r="E572" s="4">
        <v>1.0</v>
      </c>
      <c r="F572" s="4" t="str">
        <f>IFERROR(__xludf.DUMMYFUNCTION("GOOGLETRANSLATE(D572)"),"廣島和長崎原子彈爆炸的災難性影響至今仍清晰可見 http://t.co/QVlxpyyyCd")</f>
        <v>廣島和長崎原子彈爆炸的災難性影響至今仍清晰可見 http://t.co/QVlxpyyyCd</v>
      </c>
      <c r="G572" s="4" t="str">
        <f>IFERROR(__xludf.DUMMYFUNCTION("GOOGLETRANSLATE(B572)"),"災難性的")</f>
        <v>災難性的</v>
      </c>
    </row>
    <row r="573" ht="15.75" customHeight="1">
      <c r="A573" s="4">
        <v>2191.0</v>
      </c>
      <c r="B573" s="4" t="s">
        <v>929</v>
      </c>
      <c r="D573" s="4" t="s">
        <v>952</v>
      </c>
      <c r="E573" s="4">
        <v>1.0</v>
      </c>
      <c r="F573" s="4" t="str">
        <f>IFERROR(__xludf.DUMMYFUNCTION("GOOGLETRANSLATE(D573)"),"更了解這場災難性的降雨和洪水對我們的影響 https://t.co/5yRBegzafX")</f>
        <v>更了解這場災難性的降雨和洪水對我們的影響 https://t.co/5yRBegzafX</v>
      </c>
      <c r="G573" s="4" t="str">
        <f>IFERROR(__xludf.DUMMYFUNCTION("GOOGLETRANSLATE(B573)"),"災難性的")</f>
        <v>災難性的</v>
      </c>
    </row>
    <row r="574" ht="15.75" customHeight="1">
      <c r="A574" s="4">
        <v>2192.0</v>
      </c>
      <c r="B574" s="4" t="s">
        <v>929</v>
      </c>
      <c r="C574" s="4" t="s">
        <v>940</v>
      </c>
      <c r="D574" s="4" t="s">
        <v>953</v>
      </c>
      <c r="E574" s="4">
        <v>1.0</v>
      </c>
      <c r="F574" s="4" t="str">
        <f>IFERROR(__xludf.DUMMYFUNCTION("GOOGLETRANSLATE(D574)"),"廣島和長崎原子彈爆炸的災難性影響至今仍清晰可見 http://t.co/rNqEBAyCVM")</f>
        <v>廣島和長崎原子彈爆炸的災難性影響至今仍清晰可見 http://t.co/rNqEBAyCVM</v>
      </c>
      <c r="G574" s="4" t="str">
        <f>IFERROR(__xludf.DUMMYFUNCTION("GOOGLETRANSLATE(B574)"),"災難性的")</f>
        <v>災難性的</v>
      </c>
    </row>
    <row r="575" ht="15.75" customHeight="1">
      <c r="A575" s="4">
        <v>2193.0</v>
      </c>
      <c r="B575" s="4" t="s">
        <v>929</v>
      </c>
      <c r="C575" s="4" t="s">
        <v>947</v>
      </c>
      <c r="D575" s="4" t="s">
        <v>954</v>
      </c>
      <c r="E575" s="4">
        <v>1.0</v>
      </c>
      <c r="F575" s="4" t="str">
        <f>IFERROR(__xludf.DUMMYFUNCTION("GOOGLETRANSLATE(D575)"),"從災難性火山爆發的遺產中學習 - 《紐約客》http://t.co/t344PhNpy9")</f>
        <v>從災難性火山爆發的遺產中學習 - 《紐約客》http://t.co/t344PhNpy9</v>
      </c>
      <c r="G575" s="4" t="str">
        <f>IFERROR(__xludf.DUMMYFUNCTION("GOOGLETRANSLATE(B575)"),"災難性的")</f>
        <v>災難性的</v>
      </c>
    </row>
    <row r="576" ht="15.75" customHeight="1">
      <c r="A576" s="4">
        <v>2194.0</v>
      </c>
      <c r="B576" s="4" t="s">
        <v>929</v>
      </c>
      <c r="C576" s="4" t="s">
        <v>955</v>
      </c>
      <c r="D576" s="4" t="s">
        <v>956</v>
      </c>
      <c r="E576" s="4">
        <v>1.0</v>
      </c>
      <c r="F576" s="4" t="str">
        <f>IFERROR(__xludf.DUMMYFUNCTION("GOOGLETRANSLATE(D576)"),"災難性的事情即將來臨：我們該迴避嗎？ http://t.co/a8jZ5A26wi")</f>
        <v>災難性的事情即將來臨：我們該迴避嗎？ http://t.co/a8jZ5A26wi</v>
      </c>
      <c r="G576" s="4" t="str">
        <f>IFERROR(__xludf.DUMMYFUNCTION("GOOGLETRANSLATE(B576)"),"災難性的")</f>
        <v>災難性的</v>
      </c>
    </row>
    <row r="577" ht="15.75" customHeight="1">
      <c r="A577" s="4">
        <v>2195.0</v>
      </c>
      <c r="B577" s="4" t="s">
        <v>929</v>
      </c>
      <c r="C577" s="4" t="s">
        <v>957</v>
      </c>
      <c r="D577" s="4" t="s">
        <v>958</v>
      </c>
      <c r="E577" s="4">
        <v>1.0</v>
      </c>
      <c r="F577" s="4" t="str">
        <f>IFERROR(__xludf.DUMMYFUNCTION("GOOGLETRANSLATE(D577)"),"「凱斯勒症候群」是太空碎片災難性指數擴散和衛星破壞的名稱。 #重力電影")</f>
        <v>「凱斯勒症候群」是太空碎片災難性指數擴散和衛星破壞的名稱。 #重力電影</v>
      </c>
      <c r="G577" s="4" t="str">
        <f>IFERROR(__xludf.DUMMYFUNCTION("GOOGLETRANSLATE(B577)"),"災難性的")</f>
        <v>災難性的</v>
      </c>
    </row>
    <row r="578" ht="15.75" customHeight="1">
      <c r="A578" s="4">
        <v>2198.0</v>
      </c>
      <c r="B578" s="4" t="s">
        <v>929</v>
      </c>
      <c r="C578" s="4" t="s">
        <v>947</v>
      </c>
      <c r="D578" s="4" t="s">
        <v>959</v>
      </c>
      <c r="E578" s="4">
        <v>1.0</v>
      </c>
      <c r="F578" s="4" t="str">
        <f>IFERROR(__xludf.DUMMYFUNCTION("GOOGLETRANSLATE(D578)"),"從災難性火山爆發的遺產中學習 - 《紐約客》http://t.co/vMWTOUyOHm")</f>
        <v>從災難性火山爆發的遺產中學習 - 《紐約客》http://t.co/vMWTOUyOHm</v>
      </c>
      <c r="G578" s="4" t="str">
        <f>IFERROR(__xludf.DUMMYFUNCTION("GOOGLETRANSLATE(B578)"),"災難性的")</f>
        <v>災難性的</v>
      </c>
    </row>
    <row r="579" ht="15.75" customHeight="1">
      <c r="A579" s="4">
        <v>2211.0</v>
      </c>
      <c r="B579" s="4" t="s">
        <v>960</v>
      </c>
      <c r="C579" s="4" t="s">
        <v>961</v>
      </c>
      <c r="D579" s="4" t="s">
        <v>962</v>
      </c>
      <c r="E579" s="4">
        <v>1.0</v>
      </c>
      <c r="F579" s="4" t="str">
        <f>IFERROR(__xludf.DUMMYFUNCTION("GOOGLETRANSLATE(D579)"),"#伊利諾伊州：緊急部隊模擬 NU https://t.co/rd10EX6HvT 通過 @sharethis #hazmat")</f>
        <v>#伊利諾伊州：緊急部隊模擬 NU https://t.co/rd10EX6HvT 通過 @sharethis #hazmat</v>
      </c>
      <c r="G579" s="4" t="str">
        <f>IFERROR(__xludf.DUMMYFUNCTION("GOOGLETRANSLATE(B579)"),"化學品%20緊急")</f>
        <v>化學品%20緊急</v>
      </c>
    </row>
    <row r="580" ht="15.75" customHeight="1">
      <c r="A580" s="4">
        <v>2212.0</v>
      </c>
      <c r="B580" s="4" t="s">
        <v>960</v>
      </c>
      <c r="C580" s="4" t="s">
        <v>963</v>
      </c>
      <c r="D580" s="4" t="s">
        <v>964</v>
      </c>
      <c r="E580" s="4">
        <v>1.0</v>
      </c>
      <c r="F580" s="4" t="str">
        <f>IFERROR(__xludf.DUMMYFUNCTION("GOOGLETRANSLATE(D580)"),"在 FEMA 備災中心進行為期一週的化學生物放射性核子緊急應變培訓")</f>
        <v>在 FEMA 備災中心進行為期一週的化學生物放射性核子緊急應變培訓</v>
      </c>
      <c r="G580" s="4" t="str">
        <f>IFERROR(__xludf.DUMMYFUNCTION("GOOGLETRANSLATE(B580)"),"化學品%20緊急")</f>
        <v>化學品%20緊急</v>
      </c>
    </row>
    <row r="581" ht="15.75" customHeight="1">
      <c r="A581" s="4">
        <v>2213.0</v>
      </c>
      <c r="B581" s="4" t="s">
        <v>960</v>
      </c>
      <c r="C581" s="4" t="s">
        <v>965</v>
      </c>
      <c r="D581" s="4" t="s">
        <v>966</v>
      </c>
      <c r="E581" s="4">
        <v>1.0</v>
      </c>
      <c r="F581" s="4" t="str">
        <f>IFERROR(__xludf.DUMMYFUNCTION("GOOGLETRANSLATE(D581)"),"俄羅斯核生物化學（NBC）旅在馬裡蘭州南部舉行「緊急回應」演習 http://t.co/Ul5XdblmBk http://t.co/VjHpVLnbaw")</f>
        <v>俄羅斯核生物化學（NBC）旅在馬裡蘭州南部舉行「緊急回應」演習 http://t.co/Ul5XdblmBk http://t.co/VjHpVLnbaw</v>
      </c>
      <c r="G581" s="4" t="str">
        <f>IFERROR(__xludf.DUMMYFUNCTION("GOOGLETRANSLATE(B581)"),"化學品%20緊急")</f>
        <v>化學品%20緊急</v>
      </c>
    </row>
    <row r="582" ht="15.75" customHeight="1">
      <c r="A582" s="4">
        <v>2215.0</v>
      </c>
      <c r="B582" s="4" t="s">
        <v>960</v>
      </c>
      <c r="C582" s="4" t="s">
        <v>967</v>
      </c>
      <c r="D582" s="4" t="s">
        <v>968</v>
      </c>
      <c r="E582" s="4">
        <v>1.0</v>
      </c>
      <c r="F582" s="4" t="str">
        <f>IFERROR(__xludf.DUMMYFUNCTION("GOOGLETRANSLATE(D582)"),"???? #Krefeld：事件發生在化工園區！緊急行動正在進行中！據說有大樓倒塌了！ @cnnbrk @ntvde")</f>
        <v>???? #Krefeld：事件發生在化工園區！緊急行動正在進行中！據說有大樓倒塌了！ @cnnbrk @ntvde</v>
      </c>
      <c r="G582" s="4" t="str">
        <f>IFERROR(__xludf.DUMMYFUNCTION("GOOGLETRANSLATE(B582)"),"化學品%20緊急")</f>
        <v>化學品%20緊急</v>
      </c>
    </row>
    <row r="583" ht="15.75" customHeight="1">
      <c r="A583" s="4">
        <v>2219.0</v>
      </c>
      <c r="B583" s="4" t="s">
        <v>960</v>
      </c>
      <c r="C583" s="4" t="s">
        <v>787</v>
      </c>
      <c r="D583" s="4" t="s">
        <v>969</v>
      </c>
      <c r="E583" s="4">
        <v>1.0</v>
      </c>
      <c r="F583" s="4" t="str">
        <f>IFERROR(__xludf.DUMMYFUNCTION("GOOGLETRANSLATE(D583)"),"美國：突發新聞：化學品洩漏/疏散/紅十字會緊急情況 http://t.co/007Npen6LG")</f>
        <v>美國：突發新聞：化學品洩漏/疏散/紅十字會緊急情況 http://t.co/007Npen6LG</v>
      </c>
      <c r="G583" s="4" t="str">
        <f>IFERROR(__xludf.DUMMYFUNCTION("GOOGLETRANSLATE(B583)"),"化學品%20緊急")</f>
        <v>化學品%20緊急</v>
      </c>
    </row>
    <row r="584" ht="15.75" customHeight="1">
      <c r="A584" s="4">
        <v>2221.0</v>
      </c>
      <c r="B584" s="4" t="s">
        <v>960</v>
      </c>
      <c r="C584" s="4" t="s">
        <v>970</v>
      </c>
      <c r="D584" s="4" t="s">
        <v>971</v>
      </c>
      <c r="E584" s="4">
        <v>1.0</v>
      </c>
      <c r="F584" s="4" t="str">
        <f>IFERROR(__xludf.DUMMYFUNCTION("GOOGLETRANSLATE(D584)"),"緊急救援人員應對博蒙特市中心化學品洩漏#benews http://t.co/PME0HOJVYA")</f>
        <v>緊急救援人員應對博蒙特市中心化學品洩漏#benews http://t.co/PME0HOJVYA</v>
      </c>
      <c r="G584" s="4" t="str">
        <f>IFERROR(__xludf.DUMMYFUNCTION("GOOGLETRANSLATE(B584)"),"化學品%20緊急")</f>
        <v>化學品%20緊急</v>
      </c>
    </row>
    <row r="585" ht="15.75" customHeight="1">
      <c r="A585" s="4">
        <v>2222.0</v>
      </c>
      <c r="B585" s="4" t="s">
        <v>960</v>
      </c>
      <c r="C585" s="4" t="s">
        <v>972</v>
      </c>
      <c r="D585" s="4" t="s">
        <v>973</v>
      </c>
      <c r="E585" s="4">
        <v>1.0</v>
      </c>
      <c r="F585" s="4" t="str">
        <f>IFERROR(__xludf.DUMMYFUNCTION("GOOGLETRANSLATE(D585)"),"德國克雷菲爾德附近的化工廠爆炸導致建築物倒塌。現場急救人員；避開該區域。 #iJETalerts")</f>
        <v>德國克雷菲爾德附近的化工廠爆炸導致建築物倒塌。現場急救人員；避開該區域。 #iJETalerts</v>
      </c>
      <c r="G585" s="4" t="str">
        <f>IFERROR(__xludf.DUMMYFUNCTION("GOOGLETRANSLATE(B585)"),"化學品%20緊急")</f>
        <v>化學品%20緊急</v>
      </c>
    </row>
    <row r="586" ht="15.75" customHeight="1">
      <c r="A586" s="4">
        <v>2225.0</v>
      </c>
      <c r="B586" s="4" t="s">
        <v>960</v>
      </c>
      <c r="C586" s="4" t="s">
        <v>974</v>
      </c>
      <c r="D586" s="4" t="s">
        <v>975</v>
      </c>
      <c r="E586" s="4">
        <v>1.0</v>
      </c>
      <c r="F586" s="4" t="str">
        <f>IFERROR(__xludf.DUMMYFUNCTION("GOOGLETRANSLATE(D586)"),"炸彈墜毀 搶劫 騷亂 緊急管道炸彈 核化學洩漏 毒氣 蓖麻毒素洩漏 暴力毒品 卡特爾 可卡因 大麻 女英雄 綁架")</f>
        <v>炸彈墜毀 搶劫 騷亂 緊急管道炸彈 核化學洩漏 毒氣 蓖麻毒素洩漏 暴力毒品 卡特爾 可卡因 大麻 女英雄 綁架</v>
      </c>
      <c r="G586" s="4" t="str">
        <f>IFERROR(__xludf.DUMMYFUNCTION("GOOGLETRANSLATE(B586)"),"化學品%20緊急")</f>
        <v>化學品%20緊急</v>
      </c>
    </row>
    <row r="587" ht="15.75" customHeight="1">
      <c r="A587" s="4">
        <v>2233.0</v>
      </c>
      <c r="B587" s="4" t="s">
        <v>960</v>
      </c>
      <c r="C587" s="4" t="s">
        <v>976</v>
      </c>
      <c r="D587" s="4" t="s">
        <v>977</v>
      </c>
      <c r="E587" s="4">
        <v>1.0</v>
      </c>
      <c r="F587" s="4" t="str">
        <f>IFERROR(__xludf.DUMMYFUNCTION("GOOGLETRANSLATE(D587)"),"緊急小組模擬 NU 的化學爆炸：假設一名學生在西北大學的研究實驗室中 http://t.co/0NR4DPjgyL")</f>
        <v>緊急小組模擬 NU 的化學爆炸：假設一名學生在西北大學的研究實驗室中 http://t.co/0NR4DPjgyL</v>
      </c>
      <c r="G587" s="4" t="str">
        <f>IFERROR(__xludf.DUMMYFUNCTION("GOOGLETRANSLATE(B587)"),"化學品%20緊急")</f>
        <v>化學品%20緊急</v>
      </c>
    </row>
    <row r="588" ht="15.75" customHeight="1">
      <c r="A588" s="4">
        <v>2238.0</v>
      </c>
      <c r="B588" s="4" t="s">
        <v>960</v>
      </c>
      <c r="C588" s="4" t="s">
        <v>976</v>
      </c>
      <c r="D588" s="4" t="s">
        <v>978</v>
      </c>
      <c r="E588" s="4">
        <v>1.0</v>
      </c>
      <c r="F588" s="4" t="str">
        <f>IFERROR(__xludf.DUMMYFUNCTION("GOOGLETRANSLATE(D588)"),"緊急小組模擬 NU 的化學爆炸：假設一名學生在西北大學的研究實驗室中 http://t.co/ExitLxgIsJ")</f>
        <v>緊急小組模擬 NU 的化學爆炸：假設一名學生在西北大學的研究實驗室中 http://t.co/ExitLxgIsJ</v>
      </c>
      <c r="G588" s="4" t="str">
        <f>IFERROR(__xludf.DUMMYFUNCTION("GOOGLETRANSLATE(B588)"),"化學品%20緊急")</f>
        <v>化學品%20緊急</v>
      </c>
    </row>
    <row r="589" ht="15.75" customHeight="1">
      <c r="A589" s="4">
        <v>2239.0</v>
      </c>
      <c r="B589" s="4" t="s">
        <v>960</v>
      </c>
      <c r="C589" s="4" t="s">
        <v>979</v>
      </c>
      <c r="D589" s="4" t="s">
        <v>980</v>
      </c>
      <c r="E589" s="4">
        <v>1.0</v>
      </c>
      <c r="F589" s="4" t="str">
        <f>IFERROR(__xludf.DUMMYFUNCTION("GOOGLETRANSLATE(D589)"),"我們的化學品溢出清理影片將幫助您為實驗室的緊急情況做好準備。 http://t.co/UMQbyRUPBd")</f>
        <v>我們的化學品溢出清理影片將幫助您為實驗室的緊急情況做好準備。 http://t.co/UMQbyRUPBd</v>
      </c>
      <c r="G589" s="4" t="str">
        <f>IFERROR(__xludf.DUMMYFUNCTION("GOOGLETRANSLATE(B589)"),"化學品%20緊急")</f>
        <v>化學品%20緊急</v>
      </c>
    </row>
    <row r="590" ht="15.75" customHeight="1">
      <c r="A590" s="4">
        <v>2242.0</v>
      </c>
      <c r="B590" s="4" t="s">
        <v>960</v>
      </c>
      <c r="D590" s="4" t="s">
        <v>981</v>
      </c>
      <c r="E590" s="4">
        <v>1.0</v>
      </c>
      <c r="F590" s="4" t="str">
        <f>IFERROR(__xludf.DUMMYFUNCTION("GOOGLETRANSLATE(D590)"),"緊急部隊模擬 NU - Evanston Now 的化學爆炸 http://t.co/kfyEbhb3DI")</f>
        <v>緊急部隊模擬 NU - Evanston Now 的化學爆炸 http://t.co/kfyEbhb3DI</v>
      </c>
      <c r="G590" s="4" t="str">
        <f>IFERROR(__xludf.DUMMYFUNCTION("GOOGLETRANSLATE(B590)"),"化學品%20緊急")</f>
        <v>化學品%20緊急</v>
      </c>
    </row>
    <row r="591" ht="15.75" customHeight="1">
      <c r="A591" s="4">
        <v>2248.0</v>
      </c>
      <c r="B591" s="4" t="s">
        <v>960</v>
      </c>
      <c r="D591" s="4" t="s">
        <v>982</v>
      </c>
      <c r="E591" s="4">
        <v>1.0</v>
      </c>
      <c r="F591" s="4" t="str">
        <f>IFERROR(__xludf.DUMMYFUNCTION("GOOGLETRANSLATE(D591)"),"Emergency 4 Harbour City Mod v4.5.2 #6 住宅區化學火災！：http://t.co/uLuPxYzJwV 來自 @YouTube")</f>
        <v>Emergency 4 Harbour City Mod v4.5.2 #6 住宅區化學火災！：http://t.co/uLuPxYzJwV 來自 @YouTube</v>
      </c>
      <c r="G591" s="4" t="str">
        <f>IFERROR(__xludf.DUMMYFUNCTION("GOOGLETRANSLATE(B591)"),"化學品%20緊急")</f>
        <v>化學品%20緊急</v>
      </c>
    </row>
    <row r="592" ht="15.75" customHeight="1">
      <c r="A592" s="4">
        <v>2250.0</v>
      </c>
      <c r="B592" s="4" t="s">
        <v>960</v>
      </c>
      <c r="C592" s="4" t="s">
        <v>983</v>
      </c>
      <c r="D592" s="4" t="s">
        <v>984</v>
      </c>
      <c r="E592" s="4">
        <v>1.0</v>
      </c>
      <c r="F592" s="4" t="str">
        <f>IFERROR(__xludf.DUMMYFUNCTION("GOOGLETRANSLATE(D592)"),"緊急應變人員透過危險物品訓練為化學災難做好準備。 http://t.co/q9zixCi8E6")</f>
        <v>緊急應變人員透過危險物品訓練為化學災難做好準備。 http://t.co/q9zixCi8E6</v>
      </c>
      <c r="G592" s="4" t="str">
        <f>IFERROR(__xludf.DUMMYFUNCTION("GOOGLETRANSLATE(B592)"),"化學品%20緊急")</f>
        <v>化學品%20緊急</v>
      </c>
    </row>
    <row r="593" ht="15.75" customHeight="1">
      <c r="A593" s="4">
        <v>2251.0</v>
      </c>
      <c r="B593" s="4" t="s">
        <v>960</v>
      </c>
      <c r="C593" s="4" t="s">
        <v>985</v>
      </c>
      <c r="D593" s="4" t="s">
        <v>986</v>
      </c>
      <c r="E593" s="4">
        <v>1.0</v>
      </c>
      <c r="F593" s="4" t="str">
        <f>IFERROR(__xludf.DUMMYFUNCTION("GOOGLETRANSLATE(D593)"),"林德諾：下午 3:15
緊急救援人員正在處理教堂街附近主要街道的化學品洩漏事件")</f>
        <v>林德諾：下午 3:15
緊急救援人員正在處理教堂街附近主要街道的化學品洩漏事件</v>
      </c>
      <c r="G593" s="4" t="str">
        <f>IFERROR(__xludf.DUMMYFUNCTION("GOOGLETRANSLATE(B593)"),"化學品%20緊急")</f>
        <v>化學品%20緊急</v>
      </c>
    </row>
    <row r="594" ht="15.75" customHeight="1">
      <c r="A594" s="4">
        <v>2260.0</v>
      </c>
      <c r="B594" s="4" t="s">
        <v>987</v>
      </c>
      <c r="C594" s="4" t="s">
        <v>988</v>
      </c>
      <c r="D594" s="4" t="s">
        <v>989</v>
      </c>
      <c r="E594" s="4">
        <v>1.0</v>
      </c>
      <c r="F594" s="4" t="str">
        <f>IFERROR(__xludf.DUMMYFUNCTION("GOOGLETRANSLATE(D594)"),"2Leezy 就像你要掉下懸崖，但你抓住了我的手，但我的手掌出汗了......為什麼布魯赫？ https://t.co/GrWdr4kuf3")</f>
        <v>2Leezy 就像你要掉下懸崖，但你抓住了我的手，但我的手掌出汗了......為什麼布魯赫？ https://t.co/GrWdr4kuf3</v>
      </c>
      <c r="G594" s="4" t="str">
        <f>IFERROR(__xludf.DUMMYFUNCTION("GOOGLETRANSLATE(B594)"),"懸崖%20跌落")</f>
        <v>懸崖%20跌落</v>
      </c>
    </row>
    <row r="595" ht="15.75" customHeight="1">
      <c r="A595" s="4">
        <v>2263.0</v>
      </c>
      <c r="B595" s="4" t="s">
        <v>987</v>
      </c>
      <c r="C595" s="4" t="s">
        <v>140</v>
      </c>
      <c r="D595" s="4" t="s">
        <v>990</v>
      </c>
      <c r="E595" s="4">
        <v>1.0</v>
      </c>
      <c r="F595" s="4" t="str">
        <f>IFERROR(__xludf.DUMMYFUNCTION("GOOGLETRANSLATE(D595)"),"好吧，希望我能帶著我的尊嚴從懸崖上掉下去")</f>
        <v>好吧，希望我能帶著我的尊嚴從懸崖上掉下去</v>
      </c>
      <c r="G595" s="4" t="str">
        <f>IFERROR(__xludf.DUMMYFUNCTION("GOOGLETRANSLATE(B595)"),"懸崖%20跌落")</f>
        <v>懸崖%20跌落</v>
      </c>
    </row>
    <row r="596" ht="15.75" customHeight="1">
      <c r="A596" s="4">
        <v>2267.0</v>
      </c>
      <c r="B596" s="4" t="s">
        <v>987</v>
      </c>
      <c r="D596" s="4" t="s">
        <v>991</v>
      </c>
      <c r="E596" s="4">
        <v>1.0</v>
      </c>
      <c r="F596" s="4" t="str">
        <f>IFERROR(__xludf.DUMMYFUNCTION("GOOGLETRANSLATE(D596)"),"#FunnyNews #Business 觀看中國懸崖崩塌、大塊岩石掉落到道路上的瞬間 http://t.co/LCi3pljX25")</f>
        <v>#FunnyNews #Business 觀看中國懸崖崩塌、大塊岩石掉落到道路上的瞬間 http://t.co/LCi3pljX25</v>
      </c>
      <c r="G596" s="4" t="str">
        <f>IFERROR(__xludf.DUMMYFUNCTION("GOOGLETRANSLATE(B596)"),"懸崖%20跌落")</f>
        <v>懸崖%20跌落</v>
      </c>
    </row>
    <row r="597" ht="15.75" customHeight="1">
      <c r="A597" s="4">
        <v>2275.0</v>
      </c>
      <c r="B597" s="4" t="s">
        <v>987</v>
      </c>
      <c r="D597" s="4" t="s">
        <v>992</v>
      </c>
      <c r="E597" s="4">
        <v>1.0</v>
      </c>
      <c r="F597" s="4" t="str">
        <f>IFERROR(__xludf.DUMMYFUNCTION("GOOGLETRANSLATE(D597)"),"請從懸崖上掉下來 https://t.co/4vWSL2Gfp0")</f>
        <v>請從懸崖上掉下來 https://t.co/4vWSL2Gfp0</v>
      </c>
      <c r="G597" s="4" t="str">
        <f>IFERROR(__xludf.DUMMYFUNCTION("GOOGLETRANSLATE(B597)"),"懸崖%20跌落")</f>
        <v>懸崖%20跌落</v>
      </c>
    </row>
    <row r="598" ht="15.75" customHeight="1">
      <c r="A598" s="4">
        <v>2282.0</v>
      </c>
      <c r="B598" s="4" t="s">
        <v>987</v>
      </c>
      <c r="C598" s="4" t="s">
        <v>993</v>
      </c>
      <c r="D598" s="4" t="s">
        <v>994</v>
      </c>
      <c r="E598" s="4">
        <v>1.0</v>
      </c>
      <c r="F598" s="4" t="str">
        <f>IFERROR(__xludf.DUMMYFUNCTION("GOOGLETRANSLATE(D598)"),"我不小心殺死了 87 天的連勝，現在我想不小心從懸崖上掉下去？？？？？？？？？？？？？？？？？")</f>
        <v>我不小心殺死了 87 天的連勝，現在我想不小心從懸崖上掉下去？？？？？？？？？？？？？？？？？</v>
      </c>
      <c r="G598" s="4" t="str">
        <f>IFERROR(__xludf.DUMMYFUNCTION("GOOGLETRANSLATE(B598)"),"懸崖%20跌落")</f>
        <v>懸崖%20跌落</v>
      </c>
    </row>
    <row r="599" ht="15.75" customHeight="1">
      <c r="A599" s="4">
        <v>2289.0</v>
      </c>
      <c r="B599" s="4" t="s">
        <v>987</v>
      </c>
      <c r="C599" s="4" t="s">
        <v>995</v>
      </c>
      <c r="D599" s="4" t="s">
        <v>996</v>
      </c>
      <c r="E599" s="4">
        <v>1.0</v>
      </c>
      <c r="F599" s="4" t="str">
        <f>IFERROR(__xludf.DUMMYFUNCTION("GOOGLETRANSLATE(D599)"),"新聞動態 中國公路發生巨大懸崖山體滑坡 - 觀看懸崖崩塌、大塊岩石墜落的那一刻... http://t.co/gaBd0cjmAG")</f>
        <v>新聞動態 中國公路發生巨大懸崖山體滑坡 - 觀看懸崖崩塌、大塊岩石墜落的那一刻... http://t.co/gaBd0cjmAG</v>
      </c>
      <c r="G599" s="4" t="str">
        <f>IFERROR(__xludf.DUMMYFUNCTION("GOOGLETRANSLATE(B599)"),"懸崖%20跌落")</f>
        <v>懸崖%20跌落</v>
      </c>
    </row>
    <row r="600" ht="15.75" customHeight="1">
      <c r="A600" s="4">
        <v>2292.0</v>
      </c>
      <c r="B600" s="4" t="s">
        <v>987</v>
      </c>
      <c r="C600" s="4" t="s">
        <v>997</v>
      </c>
      <c r="D600" s="4" t="s">
        <v>998</v>
      </c>
      <c r="E600" s="4">
        <v>1.0</v>
      </c>
      <c r="F600" s="4" t="str">
        <f>IFERROR(__xludf.DUMMYFUNCTION("GOOGLETRANSLATE(D600)"),"中國道路上巨大的懸崖山體滑坡：觀看懸崖崩塌的那一刻，大塊的岩石落到河上...... http://t.co/eEEwO207mX")</f>
        <v>中國道路上巨大的懸崖山體滑坡：觀看懸崖崩塌的那一刻，大塊的岩石落到河上...... http://t.co/eEEwO207mX</v>
      </c>
      <c r="G600" s="4" t="str">
        <f>IFERROR(__xludf.DUMMYFUNCTION("GOOGLETRANSLATE(B600)"),"懸崖%20跌落")</f>
        <v>懸崖%20跌落</v>
      </c>
    </row>
    <row r="601" ht="15.75" customHeight="1">
      <c r="A601" s="4">
        <v>2298.0</v>
      </c>
      <c r="B601" s="4" t="s">
        <v>987</v>
      </c>
      <c r="D601" s="4" t="s">
        <v>999</v>
      </c>
      <c r="E601" s="4">
        <v>1.0</v>
      </c>
      <c r="F601" s="4" t="str">
        <f>IFERROR(__xludf.DUMMYFUNCTION("GOOGLETRANSLATE(D601)"),"627%，但如果他們的命中率低於 16，我會走得更遠。這真的可能會從懸崖上掉下去。")</f>
        <v>627%，但如果他們的命中率低於 16，我會走得更遠。這真的可能會從懸崖上掉下去。</v>
      </c>
      <c r="G601" s="4" t="str">
        <f>IFERROR(__xludf.DUMMYFUNCTION("GOOGLETRANSLATE(B601)"),"懸崖%20跌落")</f>
        <v>懸崖%20跌落</v>
      </c>
    </row>
    <row r="602" ht="15.75" customHeight="1">
      <c r="A602" s="4">
        <v>2304.0</v>
      </c>
      <c r="B602" s="4" t="s">
        <v>1000</v>
      </c>
      <c r="D602" s="4" t="s">
        <v>1001</v>
      </c>
      <c r="E602" s="4">
        <v>1.0</v>
      </c>
      <c r="F602" s="4" t="str">
        <f>IFERROR(__xludf.DUMMYFUNCTION("GOOGLETRANSLATE(D602)"),"逃跑的小小兵導致都柏林交通癱瘓 http://t.co/u2Kwof3wtj")</f>
        <v>逃跑的小小兵導致都柏林交通癱瘓 http://t.co/u2Kwof3wtj</v>
      </c>
      <c r="G602" s="4" t="str">
        <f>IFERROR(__xludf.DUMMYFUNCTION("GOOGLETRANSLATE(B602)"),"坍塌")</f>
        <v>坍塌</v>
      </c>
    </row>
    <row r="603" ht="15.75" customHeight="1">
      <c r="A603" s="4">
        <v>2307.0</v>
      </c>
      <c r="B603" s="4" t="s">
        <v>1000</v>
      </c>
      <c r="C603" s="4" t="s">
        <v>1002</v>
      </c>
      <c r="D603" s="4" t="s">
        <v>1003</v>
      </c>
      <c r="E603" s="4">
        <v>1.0</v>
      </c>
      <c r="F603" s="4" t="str">
        <f>IFERROR(__xludf.DUMMYFUNCTION("GOOGLETRANSLATE(D603)"),"救護人員真的會這麼做嗎？將某人留在即將倒塌/爆炸的建築物內？ @你好IkBenWill")</f>
        <v>救護人員真的會這麼做嗎？將某人留在即將倒塌/爆炸的建築物內？ @你好IkBenWill</v>
      </c>
      <c r="G603" s="4" t="str">
        <f>IFERROR(__xludf.DUMMYFUNCTION("GOOGLETRANSLATE(B603)"),"坍塌")</f>
        <v>坍塌</v>
      </c>
    </row>
    <row r="604" ht="15.75" customHeight="1">
      <c r="A604" s="4">
        <v>2311.0</v>
      </c>
      <c r="B604" s="4" t="s">
        <v>1000</v>
      </c>
      <c r="C604" s="4" t="s">
        <v>1004</v>
      </c>
      <c r="D604" s="4" t="s">
        <v>1005</v>
      </c>
      <c r="E604" s="4">
        <v>1.0</v>
      </c>
      <c r="F604" s="4" t="str">
        <f>IFERROR(__xludf.DUMMYFUNCTION("GOOGLETRANSLATE(D604)"),"觀看兩台巨型起重機倒塌到房屋上的恐怖時刻：一排房屋在幾秒鐘內被摧毀。 http://t.co/G38Y8H1tJt")</f>
        <v>觀看兩台巨型起重機倒塌到房屋上的恐怖時刻：一排房屋在幾秒鐘內被摧毀。 http://t.co/G38Y8H1tJt</v>
      </c>
      <c r="G604" s="4" t="str">
        <f>IFERROR(__xludf.DUMMYFUNCTION("GOOGLETRANSLATE(B604)"),"坍塌")</f>
        <v>坍塌</v>
      </c>
    </row>
    <row r="605" ht="15.75" customHeight="1">
      <c r="A605" s="4">
        <v>2314.0</v>
      </c>
      <c r="B605" s="4" t="s">
        <v>1000</v>
      </c>
      <c r="C605" s="4" t="s">
        <v>434</v>
      </c>
      <c r="D605" s="4" t="s">
        <v>1006</v>
      </c>
      <c r="E605" s="4">
        <v>1.0</v>
      </c>
      <c r="F605" s="4" t="str">
        <f>IFERROR(__xludf.DUMMYFUNCTION("GOOGLETRANSLATE(D605)"),"《唯物主義的崩潰》訪談最佳#TalkRadio 現場收聽：http://t.co/sDXZHjco0X")</f>
        <v>《唯物主義的崩潰》訪談最佳#TalkRadio 現場收聽：http://t.co/sDXZHjco0X</v>
      </c>
      <c r="G605" s="4" t="str">
        <f>IFERROR(__xludf.DUMMYFUNCTION("GOOGLETRANSLATE(B605)"),"坍塌")</f>
        <v>坍塌</v>
      </c>
    </row>
    <row r="606" ht="15.75" customHeight="1">
      <c r="A606" s="4">
        <v>2315.0</v>
      </c>
      <c r="B606" s="4" t="s">
        <v>1000</v>
      </c>
      <c r="D606" s="4" t="s">
        <v>1007</v>
      </c>
      <c r="E606" s="4">
        <v>1.0</v>
      </c>
      <c r="F606" s="4" t="str">
        <f>IFERROR(__xludf.DUMMYFUNCTION("GOOGLETRANSLATE(D606)"),"經濟崩潰投資：從金融井噴確保持久財富的具體行動和策略。 http://t.co/JZwRisXEPF")</f>
        <v>經濟崩潰投資：從金融井噴確保持久財富的具體行動和策略。 http://t.co/JZwRisXEPF</v>
      </c>
      <c r="G606" s="4" t="str">
        <f>IFERROR(__xludf.DUMMYFUNCTION("GOOGLETRANSLATE(B606)"),"坍塌")</f>
        <v>坍塌</v>
      </c>
    </row>
    <row r="607" ht="15.75" customHeight="1">
      <c r="A607" s="4">
        <v>2321.0</v>
      </c>
      <c r="B607" s="4" t="s">
        <v>1000</v>
      </c>
      <c r="C607" s="4" t="s">
        <v>1008</v>
      </c>
      <c r="D607" s="4" t="s">
        <v>1009</v>
      </c>
      <c r="E607" s="4">
        <v>1.0</v>
      </c>
      <c r="F607" s="4" t="str">
        <f>IFERROR(__xludf.DUMMYFUNCTION("GOOGLETRANSLATE(D607)"),"歐元危機衛報 隨著債務危機的持續，希臘的稅收收入崩潰：隨著擬議的「歐元區」談判繼續... http://t.co/bBm9sR1wOw")</f>
        <v>歐元危機衛報 隨著債務危機的持續，希臘的稅收收入崩潰：隨著擬議的「歐元區」談判繼續... http://t.co/bBm9sR1wOw</v>
      </c>
      <c r="G607" s="4" t="str">
        <f>IFERROR(__xludf.DUMMYFUNCTION("GOOGLETRANSLATE(B607)"),"坍塌")</f>
        <v>坍塌</v>
      </c>
    </row>
    <row r="608" ht="15.75" customHeight="1">
      <c r="A608" s="4">
        <v>2330.0</v>
      </c>
      <c r="B608" s="4" t="s">
        <v>1000</v>
      </c>
      <c r="D608" s="4" t="s">
        <v>1010</v>
      </c>
      <c r="E608" s="4">
        <v>1.0</v>
      </c>
      <c r="F608" s="4" t="str">
        <f>IFERROR(__xludf.DUMMYFUNCTION("GOOGLETRANSLATE(D608)"),"$ckec 崩潰前 30 分鐘，Twitter 上提及「劇院 + 拍攝」的次數激增 http://t.co/uuBOvy9GQI")</f>
        <v>$ckec 崩潰前 30 分鐘，Twitter 上提及「劇院 + 拍攝」的次數激增 http://t.co/uuBOvy9GQI</v>
      </c>
      <c r="G608" s="4" t="str">
        <f>IFERROR(__xludf.DUMMYFUNCTION("GOOGLETRANSLATE(B608)"),"坍塌")</f>
        <v>坍塌</v>
      </c>
    </row>
    <row r="609" ht="15.75" customHeight="1">
      <c r="A609" s="4">
        <v>2332.0</v>
      </c>
      <c r="B609" s="4" t="s">
        <v>1000</v>
      </c>
      <c r="C609" s="4" t="s">
        <v>1011</v>
      </c>
      <c r="D609" s="4" t="s">
        <v>1012</v>
      </c>
      <c r="E609" s="4">
        <v>1.0</v>
      </c>
      <c r="F609" s="4" t="str">
        <f>IFERROR(__xludf.DUMMYFUNCTION("GOOGLETRANSLATE(D609)"),"更正：帳篷倒塌的故事 http://t.co/S7VYGeNJuv")</f>
        <v>更正：帳篷倒塌的故事 http://t.co/S7VYGeNJuv</v>
      </c>
      <c r="G609" s="4" t="str">
        <f>IFERROR(__xludf.DUMMYFUNCTION("GOOGLETRANSLATE(B609)"),"坍塌")</f>
        <v>坍塌</v>
      </c>
    </row>
    <row r="610" ht="15.75" customHeight="1">
      <c r="A610" s="4">
        <v>2337.0</v>
      </c>
      <c r="B610" s="4" t="s">
        <v>1000</v>
      </c>
      <c r="C610" s="4" t="s">
        <v>1013</v>
      </c>
      <c r="D610" s="4" t="s">
        <v>1014</v>
      </c>
      <c r="E610" s="4">
        <v>1.0</v>
      </c>
      <c r="F610" s="4" t="str">
        <f>IFERROR(__xludf.DUMMYFUNCTION("GOOGLETRANSLATE(D610)"),"更正：帳篷倒塌的故事http://t.co/jXs50FkviK")</f>
        <v>更正：帳篷倒塌的故事http://t.co/jXs50FkviK</v>
      </c>
      <c r="G610" s="4" t="str">
        <f>IFERROR(__xludf.DUMMYFUNCTION("GOOGLETRANSLATE(B610)"),"坍塌")</f>
        <v>坍塌</v>
      </c>
    </row>
    <row r="611" ht="15.75" customHeight="1">
      <c r="A611" s="4">
        <v>2340.0</v>
      </c>
      <c r="B611" s="4" t="s">
        <v>1000</v>
      </c>
      <c r="C611" s="4" t="s">
        <v>1015</v>
      </c>
      <c r="D611" s="4" t="s">
        <v>1016</v>
      </c>
      <c r="E611" s="4">
        <v>1.0</v>
      </c>
      <c r="F611" s="4" t="str">
        <f>IFERROR(__xludf.DUMMYFUNCTION("GOOGLETRANSLATE(D611)"),"今天為什麼來上班..簡直要累垮了")</f>
        <v>今天為什麼來上班..簡直要累垮了</v>
      </c>
      <c r="G611" s="4" t="str">
        <f>IFERROR(__xludf.DUMMYFUNCTION("GOOGLETRANSLATE(B611)"),"坍塌")</f>
        <v>坍塌</v>
      </c>
    </row>
    <row r="612" ht="15.75" customHeight="1">
      <c r="A612" s="4">
        <v>2341.0</v>
      </c>
      <c r="B612" s="4" t="s">
        <v>1000</v>
      </c>
      <c r="C612" s="4" t="s">
        <v>1017</v>
      </c>
      <c r="D612" s="4" t="s">
        <v>1018</v>
      </c>
      <c r="E612" s="4">
        <v>1.0</v>
      </c>
      <c r="F612" s="4" t="str">
        <f>IFERROR(__xludf.DUMMYFUNCTION("GOOGLETRANSLATE(D612)"),"#希臘的稅收收入隨著債務危機的持續而崩潰@guardian #bailout http://t.co/cJvbQXw83s ^mp")</f>
        <v>#希臘的稅收收入隨著債務危機的持續而崩潰@guardian #bailout http://t.co/cJvbQXw83s ^mp</v>
      </c>
      <c r="G612" s="4" t="str">
        <f>IFERROR(__xludf.DUMMYFUNCTION("GOOGLETRANSLATE(B612)"),"坍塌")</f>
        <v>坍塌</v>
      </c>
    </row>
    <row r="613" ht="15.75" customHeight="1">
      <c r="A613" s="4">
        <v>2346.0</v>
      </c>
      <c r="B613" s="4" t="s">
        <v>1000</v>
      </c>
      <c r="C613" s="4" t="s">
        <v>645</v>
      </c>
      <c r="D613" s="4" t="s">
        <v>646</v>
      </c>
      <c r="E613" s="4">
        <v>1.0</v>
      </c>
      <c r="F613" s="4" t="str">
        <f>IFERROR(__xludf.DUMMYFUNCTION("GOOGLETRANSLATE(D613)"),"沃恩對澳洲特倫特大橋的史詩般的倒塌感到震驚：約翰內斯堡 8 月 6 日（ANI）：傳奇澳洲...... http://t.co/LwwoJXtTIV")</f>
        <v>沃恩對澳洲特倫特大橋的史詩般的倒塌感到震驚：約翰內斯堡 8 月 6 日（ANI）：傳奇澳洲...... http://t.co/LwwoJXtTIV</v>
      </c>
      <c r="G613" s="4" t="str">
        <f>IFERROR(__xludf.DUMMYFUNCTION("GOOGLETRANSLATE(B613)"),"坍塌")</f>
        <v>坍塌</v>
      </c>
    </row>
    <row r="614" ht="15.75" customHeight="1">
      <c r="A614" s="4">
        <v>2347.0</v>
      </c>
      <c r="B614" s="4" t="s">
        <v>1000</v>
      </c>
      <c r="C614" s="4" t="s">
        <v>1019</v>
      </c>
      <c r="D614" s="4" t="s">
        <v>1020</v>
      </c>
      <c r="E614" s="4">
        <v>1.0</v>
      </c>
      <c r="F614" s="4" t="str">
        <f>IFERROR(__xludf.DUMMYFUNCTION("GOOGLETRANSLATE(D614)"),"現在這就是你所說的擊球崩潰#theashes")</f>
        <v>現在這就是你所說的擊球崩潰#theashes</v>
      </c>
      <c r="G614" s="4" t="str">
        <f>IFERROR(__xludf.DUMMYFUNCTION("GOOGLETRANSLATE(B614)"),"坍塌")</f>
        <v>坍塌</v>
      </c>
    </row>
    <row r="615" ht="15.75" customHeight="1">
      <c r="A615" s="4">
        <v>2350.0</v>
      </c>
      <c r="B615" s="4" t="s">
        <v>1000</v>
      </c>
      <c r="C615" s="4" t="s">
        <v>1021</v>
      </c>
      <c r="D615" s="4" t="s">
        <v>1022</v>
      </c>
      <c r="E615" s="4">
        <v>1.0</v>
      </c>
      <c r="F615" s="4" t="str">
        <f>IFERROR(__xludf.DUMMYFUNCTION("GOOGLETRANSLATE(D615)"),"債務危機持續，希臘稅收銳減
http://t.co/uxp6PoqjLb")</f>
        <v>債務危機持續，希臘稅收銳減
http://t.co/uxp6PoqjLb</v>
      </c>
      <c r="G615" s="4" t="str">
        <f>IFERROR(__xludf.DUMMYFUNCTION("GOOGLETRANSLATE(B615)"),"坍塌")</f>
        <v>坍塌</v>
      </c>
    </row>
    <row r="616" ht="15.75" customHeight="1">
      <c r="A616" s="4">
        <v>2352.0</v>
      </c>
      <c r="B616" s="4" t="s">
        <v>1000</v>
      </c>
      <c r="C616" s="4" t="s">
        <v>627</v>
      </c>
      <c r="D616" s="4" t="s">
        <v>1023</v>
      </c>
      <c r="E616" s="4">
        <v>1.0</v>
      </c>
      <c r="F616" s="4" t="str">
        <f>IFERROR(__xludf.DUMMYFUNCTION("GOOGLETRANSLATE(D616)"),"@POTUS 經濟持續崩潰。")</f>
        <v>@POTUS 經濟持續崩潰。</v>
      </c>
      <c r="G616" s="4" t="str">
        <f>IFERROR(__xludf.DUMMYFUNCTION("GOOGLETRANSLATE(B616)"),"坍塌")</f>
        <v>坍塌</v>
      </c>
    </row>
    <row r="617" ht="15.75" customHeight="1">
      <c r="A617" s="4">
        <v>2358.0</v>
      </c>
      <c r="B617" s="4" t="s">
        <v>1024</v>
      </c>
      <c r="D617" s="4" t="s">
        <v>1025</v>
      </c>
      <c r="E617" s="4">
        <v>1.0</v>
      </c>
      <c r="F617" s="4" t="str">
        <f>IFERROR(__xludf.DUMMYFUNCTION("GOOGLETRANSLATE(D617)"),"我正在去加里的路上，但由於橋樑倒塌，所有芝加哥入口都關閉了？？？我希望他們能讓我們度過明天")</f>
        <v>我正在去加里的路上，但由於橋樑倒塌，所有芝加哥入口都關閉了？？？我希望他們能讓我們度過明天</v>
      </c>
      <c r="G617" s="4" t="str">
        <f>IFERROR(__xludf.DUMMYFUNCTION("GOOGLETRANSLATE(B617)"),"崩潰了")</f>
        <v>崩潰了</v>
      </c>
    </row>
    <row r="618" ht="15.75" customHeight="1">
      <c r="A618" s="4">
        <v>2362.0</v>
      </c>
      <c r="B618" s="4" t="s">
        <v>1024</v>
      </c>
      <c r="C618" s="4" t="s">
        <v>1026</v>
      </c>
      <c r="D618" s="4" t="s">
        <v>1027</v>
      </c>
      <c r="E618" s="4">
        <v>1.0</v>
      </c>
      <c r="F618" s="4" t="str">
        <f>IFERROR(__xludf.DUMMYFUNCTION("GOOGLETRANSLATE(D618)"),"@organicallyrude @1ROCKSTAR62 #wish Mattingly &amp;amp;邦迪&amp;amp;當它倒塌時，麥奎爾站在上面！")</f>
        <v>@organicallyrude @1ROCKSTAR62 #wish Mattingly &amp;amp;邦迪&amp;amp;當它倒塌時，麥奎爾站在上面！</v>
      </c>
      <c r="G618" s="4" t="str">
        <f>IFERROR(__xludf.DUMMYFUNCTION("GOOGLETRANSLATE(B618)"),"崩潰了")</f>
        <v>崩潰了</v>
      </c>
    </row>
    <row r="619" ht="15.75" customHeight="1">
      <c r="A619" s="4">
        <v>2364.0</v>
      </c>
      <c r="B619" s="4" t="s">
        <v>1024</v>
      </c>
      <c r="C619" s="4" t="s">
        <v>1028</v>
      </c>
      <c r="D619" s="4" t="s">
        <v>1029</v>
      </c>
      <c r="E619" s="4">
        <v>1.0</v>
      </c>
      <c r="F619" s="4" t="str">
        <f>IFERROR(__xludf.DUMMYFUNCTION("GOOGLETRANSLATE(D619)"),"屋頂倒塌了社區許多人都記得去過 30 多年的保齡球館 @KEZI9 http://t.co/sAhbhLXsSh")</f>
        <v>屋頂倒塌了社區許多人都記得去過 30 多年的保齡球館 @KEZI9 http://t.co/sAhbhLXsSh</v>
      </c>
      <c r="G619" s="4" t="str">
        <f>IFERROR(__xludf.DUMMYFUNCTION("GOOGLETRANSLATE(B619)"),"崩潰了")</f>
        <v>崩潰了</v>
      </c>
    </row>
    <row r="620" ht="15.75" customHeight="1">
      <c r="A620" s="4">
        <v>2367.0</v>
      </c>
      <c r="B620" s="4" t="s">
        <v>1024</v>
      </c>
      <c r="D620" s="4" t="s">
        <v>1030</v>
      </c>
      <c r="E620" s="4">
        <v>1.0</v>
      </c>
      <c r="F620" s="4" t="str">
        <f>IFERROR(__xludf.DUMMYFUNCTION("GOOGLETRANSLATE(D620)"),"1小時遊行50人崩潰。 #OneHeartOneMindOneCSS")</f>
        <v>1小時遊行50人崩潰。 #OneHeartOneMindOneCSS</v>
      </c>
      <c r="G620" s="4" t="str">
        <f>IFERROR(__xludf.DUMMYFUNCTION("GOOGLETRANSLATE(B620)"),"崩潰了")</f>
        <v>崩潰了</v>
      </c>
    </row>
    <row r="621" ht="15.75" customHeight="1">
      <c r="A621" s="4">
        <v>2368.0</v>
      </c>
      <c r="B621" s="4" t="s">
        <v>1024</v>
      </c>
      <c r="C621" s="4" t="s">
        <v>1031</v>
      </c>
      <c r="D621" s="4" t="s">
        <v>1032</v>
      </c>
      <c r="E621" s="4">
        <v>1.0</v>
      </c>
      <c r="F621" s="4" t="str">
        <f>IFERROR(__xludf.DUMMYFUNCTION("GOOGLETRANSLATE(D621)"),"……那幾秒鐘的痛苦一定是可怕的，因為她的心臟破裂，她的肺部塌陷，沒有空氣，而且......")</f>
        <v>……那幾秒鐘的痛苦一定是可怕的，因為她的心臟破裂，她的肺部塌陷，沒有空氣，而且......</v>
      </c>
      <c r="G621" s="4" t="str">
        <f>IFERROR(__xludf.DUMMYFUNCTION("GOOGLETRANSLATE(B621)"),"崩潰了")</f>
        <v>崩潰了</v>
      </c>
    </row>
    <row r="622" ht="15.75" customHeight="1">
      <c r="A622" s="4">
        <v>2370.0</v>
      </c>
      <c r="B622" s="4" t="s">
        <v>1024</v>
      </c>
      <c r="D622" s="4" t="s">
        <v>1033</v>
      </c>
      <c r="E622" s="4">
        <v>1.0</v>
      </c>
      <c r="F622" s="4" t="str">
        <f>IFERROR(__xludf.DUMMYFUNCTION("GOOGLETRANSLATE(D622)"),"灣區教練在醫學課程中學習心肺復甦術：巴拿馬城一名運動員倒在球場上。教練... http://t.co/KFkaosh0KH")</f>
        <v>灣區教練在醫學課程中學習心肺復甦術：巴拿馬城一名運動員倒在球場上。教練... http://t.co/KFkaosh0KH</v>
      </c>
      <c r="G622" s="4" t="str">
        <f>IFERROR(__xludf.DUMMYFUNCTION("GOOGLETRANSLATE(B622)"),"崩潰了")</f>
        <v>崩潰了</v>
      </c>
    </row>
    <row r="623" ht="15.75" customHeight="1">
      <c r="A623" s="4">
        <v>2375.0</v>
      </c>
      <c r="B623" s="4" t="s">
        <v>1024</v>
      </c>
      <c r="C623" s="4" t="s">
        <v>1034</v>
      </c>
      <c r="D623" s="4" t="s">
        <v>1035</v>
      </c>
      <c r="E623" s="4">
        <v>1.0</v>
      </c>
      <c r="F623" s="4" t="str">
        <f>IFERROR(__xludf.DUMMYFUNCTION("GOOGLETRANSLATE(D623)"),"@durrellb 這裡的價格太瘋狂了。我們的美元兌美元匯率暴跌，這正在懲罰我們。謝謝（你的）資訊。")</f>
        <v>@durrellb 這裡的價格太瘋狂了。我們的美元兌美元匯率暴跌，這正在懲罰我們。謝謝（你的）資訊。</v>
      </c>
      <c r="G623" s="4" t="str">
        <f>IFERROR(__xludf.DUMMYFUNCTION("GOOGLETRANSLATE(B623)"),"崩潰了")</f>
        <v>崩潰了</v>
      </c>
    </row>
    <row r="624" ht="15.75" customHeight="1">
      <c r="A624" s="4">
        <v>2377.0</v>
      </c>
      <c r="B624" s="4" t="s">
        <v>1024</v>
      </c>
      <c r="C624" s="4" t="s">
        <v>1036</v>
      </c>
      <c r="D624" s="4" t="s">
        <v>1037</v>
      </c>
      <c r="E624" s="4">
        <v>1.0</v>
      </c>
      <c r="F624" s="4" t="str">
        <f>IFERROR(__xludf.DUMMYFUNCTION("GOOGLETRANSLATE(D624)"),"由於下水道管道倒塌，蒙特哥灣的另一個實體被迫關閉#TVJNews")</f>
        <v>由於下水道管道倒塌，蒙特哥灣的另一個實體被迫關閉#TVJNews</v>
      </c>
      <c r="G624" s="4" t="str">
        <f>IFERROR(__xludf.DUMMYFUNCTION("GOOGLETRANSLATE(B624)"),"崩潰了")</f>
        <v>崩潰了</v>
      </c>
    </row>
    <row r="625" ht="15.75" customHeight="1">
      <c r="A625" s="4">
        <v>2388.0</v>
      </c>
      <c r="B625" s="4" t="s">
        <v>1024</v>
      </c>
      <c r="C625" s="4" t="s">
        <v>1038</v>
      </c>
      <c r="D625" s="4" t="s">
        <v>1039</v>
      </c>
      <c r="E625" s="4">
        <v>1.0</v>
      </c>
      <c r="F625" s="4" t="str">
        <f>IFERROR(__xludf.DUMMYFUNCTION("GOOGLETRANSLATE(D625)"),"英國烘焙大賽回來了，Dorret 的巧克力蛋糕倒塌了 - JAN MOIR http://t.co/2SgDOFsmrQ http://t.co/xLEgC6UorA")</f>
        <v>英國烘焙大賽回來了，Dorret 的巧克力蛋糕倒塌了 - JAN MOIR http://t.co/2SgDOFsmrQ http://t.co/xLEgC6UorA</v>
      </c>
      <c r="G625" s="4" t="str">
        <f>IFERROR(__xludf.DUMMYFUNCTION("GOOGLETRANSLATE(B625)"),"崩潰了")</f>
        <v>崩潰了</v>
      </c>
    </row>
    <row r="626" ht="15.75" customHeight="1">
      <c r="A626" s="4">
        <v>2396.0</v>
      </c>
      <c r="B626" s="4" t="s">
        <v>1024</v>
      </c>
      <c r="C626" s="4" t="s">
        <v>1040</v>
      </c>
      <c r="D626" s="4" t="s">
        <v>1041</v>
      </c>
      <c r="E626" s="4">
        <v>1.0</v>
      </c>
      <c r="F626" s="4" t="str">
        <f>IFERROR(__xludf.DUMMYFUNCTION("GOOGLETRANSLATE(D626)"),"@flickershowell 哦哇我的心崩潰了酷我哭了酷酷")</f>
        <v>@flickershowell 哦哇我的心崩潰了酷我哭了酷酷</v>
      </c>
      <c r="G626" s="4" t="str">
        <f>IFERROR(__xludf.DUMMYFUNCTION("GOOGLETRANSLATE(B626)"),"崩潰了")</f>
        <v>崩潰了</v>
      </c>
    </row>
    <row r="627" ht="15.75" customHeight="1">
      <c r="A627" s="4">
        <v>2398.0</v>
      </c>
      <c r="B627" s="4" t="s">
        <v>1024</v>
      </c>
      <c r="C627" s="4" t="s">
        <v>1042</v>
      </c>
      <c r="D627" s="4" t="s">
        <v>1043</v>
      </c>
      <c r="E627" s="4">
        <v>1.0</v>
      </c>
      <c r="F627" s="4" t="str">
        <f>IFERROR(__xludf.DUMMYFUNCTION("GOOGLETRANSLATE(D627)"),"顯然建築物的一部分剛剛倒塌。希望大家都沒事。")</f>
        <v>顯然建築物的一部分剛剛倒塌。希望大家都沒事。</v>
      </c>
      <c r="G627" s="4" t="str">
        <f>IFERROR(__xludf.DUMMYFUNCTION("GOOGLETRANSLATE(B627)"),"崩潰了")</f>
        <v>崩潰了</v>
      </c>
    </row>
    <row r="628" ht="15.75" customHeight="1">
      <c r="A628" s="4">
        <v>2399.0</v>
      </c>
      <c r="B628" s="4" t="s">
        <v>1024</v>
      </c>
      <c r="C628" s="4" t="s">
        <v>1044</v>
      </c>
      <c r="D628" s="4" t="s">
        <v>1045</v>
      </c>
      <c r="E628" s="4">
        <v>1.0</v>
      </c>
      <c r="F628" s="4" t="str">
        <f>IFERROR(__xludf.DUMMYFUNCTION("GOOGLETRANSLATE(D628)"),"@xDescry 實際上，我錯誤地稱其為“可信”。考慮到它自發地在我身上崩潰了，這不是很可信。")</f>
        <v>@xDescry 實際上，我錯誤地稱其為“可信”。考慮到它自發地在我身上崩潰了，這不是很可信。</v>
      </c>
      <c r="G628" s="4" t="str">
        <f>IFERROR(__xludf.DUMMYFUNCTION("GOOGLETRANSLATE(B628)"),"崩潰了")</f>
        <v>崩潰了</v>
      </c>
    </row>
    <row r="629" ht="15.75" customHeight="1">
      <c r="A629" s="4">
        <v>2400.0</v>
      </c>
      <c r="B629" s="4" t="s">
        <v>1024</v>
      </c>
      <c r="D629" s="4" t="s">
        <v>1046</v>
      </c>
      <c r="E629" s="4">
        <v>1.0</v>
      </c>
      <c r="F629" s="4" t="str">
        <f>IFERROR(__xludf.DUMMYFUNCTION("GOOGLETRANSLATE(D629)"),"請願|無情的主人將馬鞭打至倒下，卻被告知他可以保留他的動物！現在就採取行動吧！ http://t.co/87eFCBIczM")</f>
        <v>請願|無情的主人將馬鞭打至倒下，卻被告知他可以保留他的動物！現在就採取行動吧！ http://t.co/87eFCBIczM</v>
      </c>
      <c r="G629" s="4" t="str">
        <f>IFERROR(__xludf.DUMMYFUNCTION("GOOGLETRANSLATE(B629)"),"崩潰了")</f>
        <v>崩潰了</v>
      </c>
    </row>
    <row r="630" ht="15.75" customHeight="1">
      <c r="A630" s="4">
        <v>2432.0</v>
      </c>
      <c r="B630" s="4" t="s">
        <v>1047</v>
      </c>
      <c r="C630" s="4" t="s">
        <v>1048</v>
      </c>
      <c r="D630" s="4" t="s">
        <v>1049</v>
      </c>
      <c r="E630" s="4">
        <v>1.0</v>
      </c>
      <c r="F630" s="4" t="str">
        <f>IFERROR(__xludf.DUMMYFUNCTION("GOOGLETRANSLATE(D630)"),"@tackettdc 就像是世界碰撞時的場景...")</f>
        <v>@tackettdc 就像是世界碰撞時的場景...</v>
      </c>
      <c r="G630" s="4" t="str">
        <f>IFERROR(__xludf.DUMMYFUNCTION("GOOGLETRANSLATE(B630)"),"碰撞")</f>
        <v>碰撞</v>
      </c>
    </row>
    <row r="631" ht="15.75" customHeight="1">
      <c r="A631" s="4">
        <v>2441.0</v>
      </c>
      <c r="B631" s="4" t="s">
        <v>1047</v>
      </c>
      <c r="C631" s="4" t="s">
        <v>1050</v>
      </c>
      <c r="D631" s="4" t="s">
        <v>1051</v>
      </c>
      <c r="E631" s="4">
        <v>1.0</v>
      </c>
      <c r="F631" s="4" t="str">
        <f>IFERROR(__xludf.DUMMYFUNCTION("GOOGLETRANSLATE(D631)"),"當休士頓和紐約相撞時。 ?? @pageparkescorp @chloeunguyen @laurensicle @charstevens97 @tiara_marei #gemma #boweÛ_ http://t.co/9wowPs78VD")</f>
        <v>當休士頓和紐約相撞時。 ?? @pageparkescorp @chloeunguyen @laurensicle @charstevens97 @tiara_marei #gemma #boweÛ_ http://t.co/9wowPs78VD</v>
      </c>
      <c r="G631" s="4" t="str">
        <f>IFERROR(__xludf.DUMMYFUNCTION("GOOGLETRANSLATE(B631)"),"碰撞")</f>
        <v>碰撞</v>
      </c>
    </row>
    <row r="632" ht="15.75" customHeight="1">
      <c r="A632" s="4">
        <v>2443.0</v>
      </c>
      <c r="B632" s="4" t="s">
        <v>1047</v>
      </c>
      <c r="C632" s="4" t="s">
        <v>1052</v>
      </c>
      <c r="D632" s="4" t="s">
        <v>1053</v>
      </c>
      <c r="E632" s="4">
        <v>1.0</v>
      </c>
      <c r="F632" s="4" t="str">
        <f>IFERROR(__xludf.DUMMYFUNCTION("GOOGLETRANSLATE(D632)"),"#TheDoolingGroup 2 在兩輛校車相撞時受傷 - åÊ #BREAKING：校車撞上博登託的校車... http://t.co/YQHfio9XQm")</f>
        <v>#TheDoolingGroup 2 在兩輛校車相撞時受傷 - åÊ #BREAKING：校車撞上博登託的校車... http://t.co/YQHfio9XQm</v>
      </c>
      <c r="G632" s="4" t="str">
        <f>IFERROR(__xludf.DUMMYFUNCTION("GOOGLETRANSLATE(B632)"),"碰撞")</f>
        <v>碰撞</v>
      </c>
    </row>
    <row r="633" ht="15.75" customHeight="1">
      <c r="A633" s="4">
        <v>2458.0</v>
      </c>
      <c r="B633" s="4" t="s">
        <v>1054</v>
      </c>
      <c r="C633" s="4" t="s">
        <v>142</v>
      </c>
      <c r="D633" s="4" t="s">
        <v>1055</v>
      </c>
      <c r="E633" s="4">
        <v>1.0</v>
      </c>
      <c r="F633" s="4" t="str">
        <f>IFERROR(__xludf.DUMMYFUNCTION("GOOGLETRANSLATE(D633)"),"在小葡萄牙，一輛電動自行車與一輛汽車相撞，警方正在進行調查。電動自行車騎士受重傷，沒有生命危險。")</f>
        <v>在小葡萄牙，一輛電動自行車與一輛汽車相撞，警方正在進行調查。電動自行車騎士受重傷，沒有生命危險。</v>
      </c>
      <c r="G633" s="4" t="str">
        <f>IFERROR(__xludf.DUMMYFUNCTION("GOOGLETRANSLATE(B633)"),"相撞")</f>
        <v>相撞</v>
      </c>
    </row>
    <row r="634" ht="15.75" customHeight="1">
      <c r="A634" s="4">
        <v>2459.0</v>
      </c>
      <c r="B634" s="4" t="s">
        <v>1054</v>
      </c>
      <c r="C634" s="4" t="s">
        <v>1056</v>
      </c>
      <c r="D634" s="4" t="s">
        <v>1057</v>
      </c>
      <c r="E634" s="4">
        <v>1.0</v>
      </c>
      <c r="F634" s="4" t="str">
        <f>IFERROR(__xludf.DUMMYFUNCTION("GOOGLETRANSLATE(D634)"),"#Newswatch：#Ptbo 的 Lock 街和 Lansdowne 街發生兩輛車相撞。應急救援人員正在趕來的路上")</f>
        <v>#Newswatch：#Ptbo 的 Lock 街和 Lansdowne 街發生兩輛車相撞。應急救援人員正在趕來的路上</v>
      </c>
      <c r="G634" s="4" t="str">
        <f>IFERROR(__xludf.DUMMYFUNCTION("GOOGLETRANSLATE(B634)"),"相撞")</f>
        <v>相撞</v>
      </c>
    </row>
    <row r="635" ht="15.75" customHeight="1">
      <c r="A635" s="4">
        <v>2463.0</v>
      </c>
      <c r="B635" s="4" t="s">
        <v>1054</v>
      </c>
      <c r="D635" s="4" t="s">
        <v>1058</v>
      </c>
      <c r="E635" s="4">
        <v>1.0</v>
      </c>
      <c r="F635" s="4" t="str">
        <f>IFERROR(__xludf.DUMMYFUNCTION("GOOGLETRANSLATE(D635)"),"當一隻吱吱作響的蝙蝠撞到我的頭骨時，我在 PUNCH QUEST 中獲得了 111020 分。 http://t.co/aEtgbxm1pL")</f>
        <v>當一隻吱吱作響的蝙蝠撞到我的頭骨時，我在 PUNCH QUEST 中獲得了 111020 分。 http://t.co/aEtgbxm1pL</v>
      </c>
      <c r="G635" s="4" t="str">
        <f>IFERROR(__xludf.DUMMYFUNCTION("GOOGLETRANSLATE(B635)"),"相撞")</f>
        <v>相撞</v>
      </c>
    </row>
    <row r="636" ht="15.75" customHeight="1">
      <c r="A636" s="4">
        <v>2466.0</v>
      </c>
      <c r="B636" s="4" t="s">
        <v>1054</v>
      </c>
      <c r="D636" s="4" t="s">
        <v>1059</v>
      </c>
      <c r="E636" s="4">
        <v>1.0</v>
      </c>
      <c r="F636" s="4" t="str">
        <f>IFERROR(__xludf.DUMMYFUNCTION("GOOGLETRANSLATE(D636)"),"季風洪水－本季季風降雨嚴重襲擊了印度、巴基斯坦和緬甸。兩列火車相撞...... http://t.co/A7zF6N7vrL")</f>
        <v>季風洪水－本季季風降雨嚴重襲擊了印度、巴基斯坦和緬甸。兩列火車相撞...... http://t.co/A7zF6N7vrL</v>
      </c>
      <c r="G636" s="4" t="str">
        <f>IFERROR(__xludf.DUMMYFUNCTION("GOOGLETRANSLATE(B636)"),"相撞")</f>
        <v>相撞</v>
      </c>
    </row>
    <row r="637" ht="15.75" customHeight="1">
      <c r="A637" s="4">
        <v>2467.0</v>
      </c>
      <c r="B637" s="4" t="s">
        <v>1054</v>
      </c>
      <c r="C637" s="4" t="s">
        <v>1060</v>
      </c>
      <c r="D637" s="4" t="s">
        <v>1061</v>
      </c>
      <c r="E637" s="4">
        <v>1.0</v>
      </c>
      <c r="F637" s="4" t="str">
        <f>IFERROR(__xludf.DUMMYFUNCTION("GOOGLETRANSLATE(D637)"),"一名歐克萊爾男子在奇珀瓦縣被判刑，警方稱他喝醉了，他的SUV與火車相撞：http://t.co/kQpkY7Dthj")</f>
        <v>一名歐克萊爾男子在奇珀瓦縣被判刑，警方稱他喝醉了，他的SUV與火車相撞：http://t.co/kQpkY7Dthj</v>
      </c>
      <c r="G637" s="4" t="str">
        <f>IFERROR(__xludf.DUMMYFUNCTION("GOOGLETRANSLATE(B637)"),"相撞")</f>
        <v>相撞</v>
      </c>
    </row>
    <row r="638" ht="15.75" customHeight="1">
      <c r="A638" s="4">
        <v>2468.0</v>
      </c>
      <c r="B638" s="4" t="s">
        <v>1054</v>
      </c>
      <c r="C638" s="4" t="s">
        <v>1062</v>
      </c>
      <c r="D638" s="4" t="s">
        <v>1063</v>
      </c>
      <c r="E638" s="4">
        <v>1.0</v>
      </c>
      <c r="F638" s="4" t="str">
        <f>IFERROR(__xludf.DUMMYFUNCTION("GOOGLETRANSLATE(D638)"),"印度兩列火車相撞。請為受害者及其家人和救援人員祈禱。")</f>
        <v>印度兩列火車相撞。請為受害者及其家人和救援人員祈禱。</v>
      </c>
      <c r="G638" s="4" t="str">
        <f>IFERROR(__xludf.DUMMYFUNCTION("GOOGLETRANSLATE(B638)"),"相撞")</f>
        <v>相撞</v>
      </c>
    </row>
    <row r="639" ht="15.75" customHeight="1">
      <c r="A639" s="4">
        <v>2470.0</v>
      </c>
      <c r="B639" s="4" t="s">
        <v>1054</v>
      </c>
      <c r="C639" s="4" t="s">
        <v>1064</v>
      </c>
      <c r="D639" s="4" t="s">
        <v>1065</v>
      </c>
      <c r="E639" s="4">
        <v>1.0</v>
      </c>
      <c r="F639" s="4" t="str">
        <f>IFERROR(__xludf.DUMMYFUNCTION("GOOGLETRANSLATE(D639)"),"丹頓市兩輛汽車因獵槍射擊而相撞 http://t.co/0r03C6njLI")</f>
        <v>丹頓市兩輛汽車因獵槍射擊而相撞 http://t.co/0r03C6njLI</v>
      </c>
      <c r="G639" s="4" t="str">
        <f>IFERROR(__xludf.DUMMYFUNCTION("GOOGLETRANSLATE(B639)"),"相撞")</f>
        <v>相撞</v>
      </c>
    </row>
    <row r="640" ht="15.75" customHeight="1">
      <c r="A640" s="4">
        <v>2471.0</v>
      </c>
      <c r="B640" s="4" t="s">
        <v>1054</v>
      </c>
      <c r="C640" s="4" t="s">
        <v>1066</v>
      </c>
      <c r="D640" s="4" t="s">
        <v>1067</v>
      </c>
      <c r="E640" s="4">
        <v>1.0</v>
      </c>
      <c r="F640" s="4" t="str">
        <f>IFERROR(__xludf.DUMMYFUNCTION("GOOGLETRANSLATE(D640)"),"重大事故致生命危險 高速公路關閉：一輛18輪車與一輛SUV相撞，然後¤_ http://t.co/ajTXUafOEM")</f>
        <v>重大事故致生命危險 高速公路關閉：一輛18輪車與一輛SUV相撞，然後¤_ http://t.co/ajTXUafOEM</v>
      </c>
      <c r="G640" s="4" t="str">
        <f>IFERROR(__xludf.DUMMYFUNCTION("GOOGLETRANSLATE(B640)"),"相撞")</f>
        <v>相撞</v>
      </c>
    </row>
    <row r="641" ht="15.75" customHeight="1">
      <c r="A641" s="4">
        <v>2476.0</v>
      </c>
      <c r="B641" s="4" t="s">
        <v>1054</v>
      </c>
      <c r="C641" s="4" t="s">
        <v>1068</v>
      </c>
      <c r="D641" s="4" t="s">
        <v>1069</v>
      </c>
      <c r="E641" s="4">
        <v>1.0</v>
      </c>
      <c r="F641" s="4" t="str">
        <f>IFERROR(__xludf.DUMMYFUNCTION("GOOGLETRANSLATE(D641)"),"「哈里奇港的汽車與摩托車」 哈里奇港 下午 5:30 左右，一輛汽車和摩托車相撞。崩潰發生了Û_ http://t.co/ljxCE1QW2p")</f>
        <v>「哈里奇港的汽車與摩托車」 哈里奇港 下午 5:30 左右，一輛汽車和摩托車相撞。崩潰發生了Û_ http://t.co/ljxCE1QW2p</v>
      </c>
      <c r="G641" s="4" t="str">
        <f>IFERROR(__xludf.DUMMYFUNCTION("GOOGLETRANSLATE(B641)"),"相撞")</f>
        <v>相撞</v>
      </c>
    </row>
    <row r="642" ht="15.75" customHeight="1">
      <c r="A642" s="4">
        <v>2478.0</v>
      </c>
      <c r="B642" s="4" t="s">
        <v>1054</v>
      </c>
      <c r="D642" s="4" t="s">
        <v>1070</v>
      </c>
      <c r="E642" s="4">
        <v>1.0</v>
      </c>
      <c r="F642" s="4" t="str">
        <f>IFERROR(__xludf.DUMMYFUNCTION("GOOGLETRANSLATE(D642)"),"我前面的兩輛車相撞了，如果我沒有及時停下來，那也可能是我。 #但是上帝？？？")</f>
        <v>我前面的兩輛車相撞了，如果我沒有及時停下來，那也可能是我。 #但是上帝？？？</v>
      </c>
      <c r="G642" s="4" t="str">
        <f>IFERROR(__xludf.DUMMYFUNCTION("GOOGLETRANSLATE(B642)"),"相撞")</f>
        <v>相撞</v>
      </c>
    </row>
    <row r="643" ht="15.75" customHeight="1">
      <c r="A643" s="4">
        <v>2480.0</v>
      </c>
      <c r="B643" s="4" t="s">
        <v>1054</v>
      </c>
      <c r="D643" s="4" t="s">
        <v>1071</v>
      </c>
      <c r="E643" s="4">
        <v>1.0</v>
      </c>
      <c r="F643" s="4" t="str">
        <f>IFERROR(__xludf.DUMMYFUNCTION("GOOGLETRANSLATE(D643)"),"俄羅斯公車事故造成16人死亡：兩輛公車相撞，至少16人死亡，26人受傷... http://t.co/jMBVPanXR3")</f>
        <v>俄羅斯公車事故造成16人死亡：兩輛公車相撞，至少16人死亡，26人受傷... http://t.co/jMBVPanXR3</v>
      </c>
      <c r="G643" s="4" t="str">
        <f>IFERROR(__xludf.DUMMYFUNCTION("GOOGLETRANSLATE(B643)"),"相撞")</f>
        <v>相撞</v>
      </c>
    </row>
    <row r="644" ht="15.75" customHeight="1">
      <c r="A644" s="4">
        <v>2482.0</v>
      </c>
      <c r="B644" s="4" t="s">
        <v>1054</v>
      </c>
      <c r="D644" s="4" t="s">
        <v>1072</v>
      </c>
      <c r="E644" s="4">
        <v>1.0</v>
      </c>
      <c r="F644" s="4" t="str">
        <f>IFERROR(__xludf.DUMMYFUNCTION("GOOGLETRANSLATE(D644)"),"今天，愚蠢的女人從路口出來時沒有註意，差點撞到我。仍然不斷向我走來，直到我按下喇叭")</f>
        <v>今天，愚蠢的女人從路口出來時沒有註意，差點撞到我。仍然不斷向我走來，直到我按下喇叭</v>
      </c>
      <c r="G644" s="4" t="str">
        <f>IFERROR(__xludf.DUMMYFUNCTION("GOOGLETRANSLATE(B644)"),"相撞")</f>
        <v>相撞</v>
      </c>
    </row>
    <row r="645" ht="15.75" customHeight="1">
      <c r="A645" s="4">
        <v>2483.0</v>
      </c>
      <c r="B645" s="4" t="s">
        <v>1054</v>
      </c>
      <c r="C645" s="4" t="s">
        <v>1073</v>
      </c>
      <c r="D645" s="4" t="s">
        <v>1074</v>
      </c>
      <c r="E645" s="4">
        <v>1.0</v>
      </c>
      <c r="F645" s="4" t="str">
        <f>IFERROR(__xludf.DUMMYFUNCTION("GOOGLETRANSLATE(D645)"),"SSP East表示，一名年輕人駕駛的AEG 061汽車與阿克拉姆的汽車相撞，他確實在空中開槍，子彈擊中了輪胎")</f>
        <v>SSP East表示，一名年輕人駕駛的AEG 061汽車與阿克拉姆的汽車相撞，他確實在空中開槍，子彈擊中了輪胎</v>
      </c>
      <c r="G645" s="4" t="str">
        <f>IFERROR(__xludf.DUMMYFUNCTION("GOOGLETRANSLATE(B645)"),"相撞")</f>
        <v>相撞</v>
      </c>
    </row>
    <row r="646" ht="15.75" customHeight="1">
      <c r="A646" s="4">
        <v>2488.0</v>
      </c>
      <c r="B646" s="4" t="s">
        <v>1054</v>
      </c>
      <c r="C646" s="4" t="s">
        <v>1075</v>
      </c>
      <c r="D646" s="4" t="s">
        <v>1057</v>
      </c>
      <c r="E646" s="4">
        <v>1.0</v>
      </c>
      <c r="F646" s="4" t="str">
        <f>IFERROR(__xludf.DUMMYFUNCTION("GOOGLETRANSLATE(D646)"),"#Newswatch：#Ptbo 的 Lock 街和 Lansdowne 街發生兩輛車相撞。應急救援人員正在趕來的路上")</f>
        <v>#Newswatch：#Ptbo 的 Lock 街和 Lansdowne 街發生兩輛車相撞。應急救援人員正在趕來的路上</v>
      </c>
      <c r="G646" s="4" t="str">
        <f>IFERROR(__xludf.DUMMYFUNCTION("GOOGLETRANSLATE(B646)"),"相撞")</f>
        <v>相撞</v>
      </c>
    </row>
    <row r="647" ht="15.75" customHeight="1">
      <c r="A647" s="4">
        <v>2489.0</v>
      </c>
      <c r="B647" s="4" t="s">
        <v>1054</v>
      </c>
      <c r="C647" s="4" t="s">
        <v>1076</v>
      </c>
      <c r="D647" s="4" t="s">
        <v>1077</v>
      </c>
      <c r="E647" s="4">
        <v>1.0</v>
      </c>
      <c r="F647" s="4" t="str">
        <f>IFERROR(__xludf.DUMMYFUNCTION("GOOGLETRANSLATE(D647)"),"一艘載有200人的渡輪與一艘漁船相撞，已確認2人死亡，20多人獲救，多人失蹤。#News")</f>
        <v>一艘載有200人的渡輪與一艘漁船相撞，已確認2人死亡，20多人獲救，多人失蹤。#News</v>
      </c>
      <c r="G647" s="4" t="str">
        <f>IFERROR(__xludf.DUMMYFUNCTION("GOOGLETRANSLATE(B647)"),"相撞")</f>
        <v>相撞</v>
      </c>
    </row>
    <row r="648" ht="15.75" customHeight="1">
      <c r="A648" s="4">
        <v>2491.0</v>
      </c>
      <c r="B648" s="4" t="s">
        <v>1054</v>
      </c>
      <c r="C648" s="4" t="s">
        <v>768</v>
      </c>
      <c r="D648" s="4" t="s">
        <v>1078</v>
      </c>
      <c r="E648" s="4">
        <v>1.0</v>
      </c>
      <c r="F648" s="4" t="str">
        <f>IFERROR(__xludf.DUMMYFUNCTION("GOOGLETRANSLATE(D648)"),"2 車相撞 1 撞入建築物：兩輛車在十字路口相撞，導致一車相撞Û_ http://t.co/TpUu3eaTB3")</f>
        <v>2 車相撞 1 撞入建築物：兩輛車在十字路口相撞，導致一車相撞Û_ http://t.co/TpUu3eaTB3</v>
      </c>
      <c r="G648" s="4" t="str">
        <f>IFERROR(__xludf.DUMMYFUNCTION("GOOGLETRANSLATE(B648)"),"相撞")</f>
        <v>相撞</v>
      </c>
    </row>
    <row r="649" ht="15.75" customHeight="1">
      <c r="A649" s="4">
        <v>2493.0</v>
      </c>
      <c r="B649" s="4" t="s">
        <v>1054</v>
      </c>
      <c r="C649" s="4" t="s">
        <v>1079</v>
      </c>
      <c r="D649" s="4" t="s">
        <v>1080</v>
      </c>
      <c r="E649" s="4">
        <v>1.0</v>
      </c>
      <c r="F649" s="4" t="str">
        <f>IFERROR(__xludf.DUMMYFUNCTION("GOOGLETRANSLATE(D649)"),"梅西克的自行車與 SUV 事故：警方稱，騎自行車的人進入 West M-115 並與一艘船相撞...... http://t.co/A9gtOPyZK8")</f>
        <v>梅西克的自行車與 SUV 事故：警方稱，騎自行車的人進入 West M-115 並與一艘船相撞...... http://t.co/A9gtOPyZK8</v>
      </c>
      <c r="G649" s="4" t="str">
        <f>IFERROR(__xludf.DUMMYFUNCTION("GOOGLETRANSLATE(B649)"),"相撞")</f>
        <v>相撞</v>
      </c>
    </row>
    <row r="650" ht="15.75" customHeight="1">
      <c r="A650" s="4">
        <v>2497.0</v>
      </c>
      <c r="B650" s="4" t="s">
        <v>1054</v>
      </c>
      <c r="C650" s="4" t="s">
        <v>323</v>
      </c>
      <c r="D650" s="4" t="s">
        <v>1081</v>
      </c>
      <c r="E650" s="4">
        <v>1.0</v>
      </c>
      <c r="F650" s="4" t="str">
        <f>IFERROR(__xludf.DUMMYFUNCTION("GOOGLETRANSLATE(D650)"),"俄羅斯公車事故16人死亡：兩輛公車相撞，至少16人死亡、26人受傷... http://t.co/ybyP68ieVn")</f>
        <v>俄羅斯公車事故16人死亡：兩輛公車相撞，至少16人死亡、26人受傷... http://t.co/ybyP68ieVn</v>
      </c>
      <c r="G650" s="4" t="str">
        <f>IFERROR(__xludf.DUMMYFUNCTION("GOOGLETRANSLATE(B650)"),"相撞")</f>
        <v>相撞</v>
      </c>
    </row>
    <row r="651" ht="15.75" customHeight="1">
      <c r="A651" s="4">
        <v>2498.0</v>
      </c>
      <c r="B651" s="4" t="s">
        <v>1054</v>
      </c>
      <c r="C651" s="4" t="s">
        <v>1082</v>
      </c>
      <c r="D651" s="4" t="s">
        <v>1083</v>
      </c>
      <c r="E651" s="4">
        <v>1.0</v>
      </c>
      <c r="F651" s="4" t="str">
        <f>IFERROR(__xludf.DUMMYFUNCTION("GOOGLETRANSLATE(D651)"),"好吧，那是回家的旅程！火車在鐵軌上與牛相撞！ ????")</f>
        <v>好吧，那是回家的旅程！火車在鐵軌上與牛相撞！ ????</v>
      </c>
      <c r="G651" s="4" t="str">
        <f>IFERROR(__xludf.DUMMYFUNCTION("GOOGLETRANSLATE(B651)"),"相撞")</f>
        <v>相撞</v>
      </c>
    </row>
    <row r="652" ht="15.75" customHeight="1">
      <c r="A652" s="4">
        <v>2499.0</v>
      </c>
      <c r="B652" s="4" t="s">
        <v>1054</v>
      </c>
      <c r="C652" s="4" t="s">
        <v>1084</v>
      </c>
      <c r="D652" s="4" t="s">
        <v>1085</v>
      </c>
      <c r="E652" s="4">
        <v>1.0</v>
      </c>
      <c r="F652" s="4" t="str">
        <f>IFERROR(__xludf.DUMMYFUNCTION("GOOGLETRANSLATE(D652)"),"奧馬哈西南部車輛與電線桿相撞後，工作人員正在努力恢復供電。 - http://t.co/dAn0Gkx28l")</f>
        <v>奧馬哈西南部車輛與電線桿相撞後，工作人員正在努力恢復供電。 - http://t.co/dAn0Gkx28l</v>
      </c>
      <c r="G652" s="4" t="str">
        <f>IFERROR(__xludf.DUMMYFUNCTION("GOOGLETRANSLATE(B652)"),"相撞")</f>
        <v>相撞</v>
      </c>
    </row>
    <row r="653" ht="15.75" customHeight="1">
      <c r="A653" s="4">
        <v>2500.0</v>
      </c>
      <c r="B653" s="4" t="s">
        <v>1054</v>
      </c>
      <c r="C653" s="4" t="s">
        <v>1086</v>
      </c>
      <c r="D653" s="4" t="s">
        <v>1087</v>
      </c>
      <c r="E653" s="4">
        <v>1.0</v>
      </c>
      <c r="F653" s="4" t="str">
        <f>IFERROR(__xludf.DUMMYFUNCTION("GOOGLETRANSLATE(D653)"),"Stepkans Media - 兩人在 L.Victoria 乘坐的船相撞後確認死亡 http://t.co/INGu6Ztyg4")</f>
        <v>Stepkans Media - 兩人在 L.Victoria 乘坐的船相撞後確認死亡 http://t.co/INGu6Ztyg4</v>
      </c>
      <c r="G653" s="4" t="str">
        <f>IFERROR(__xludf.DUMMYFUNCTION("GOOGLETRANSLATE(B653)"),"相撞")</f>
        <v>相撞</v>
      </c>
    </row>
    <row r="654" ht="15.75" customHeight="1">
      <c r="A654" s="4">
        <v>2501.0</v>
      </c>
      <c r="B654" s="4" t="s">
        <v>1054</v>
      </c>
      <c r="D654" s="4" t="s">
        <v>1088</v>
      </c>
      <c r="E654" s="4">
        <v>1.0</v>
      </c>
      <c r="F654" s="4" t="str">
        <f>IFERROR(__xludf.DUMMYFUNCTION("GOOGLETRANSLATE(D654)"),"在羅阿諾克綠道上與跑步者相撞的自行車手贏得了 30 萬美元的民事判決 - 羅阿諾克時報：騎自行車的人... http://t.co/E2WfGp8JHk")</f>
        <v>在羅阿諾克綠道上與跑步者相撞的自行車手贏得了 30 萬美元的民事判決 - 羅阿諾克時報：騎自行車的人... http://t.co/E2WfGp8JHk</v>
      </c>
      <c r="G654" s="4" t="str">
        <f>IFERROR(__xludf.DUMMYFUNCTION("GOOGLETRANSLATE(B654)"),"相撞")</f>
        <v>相撞</v>
      </c>
    </row>
    <row r="655" ht="15.75" customHeight="1">
      <c r="A655" s="4">
        <v>2502.0</v>
      </c>
      <c r="B655" s="4" t="s">
        <v>1054</v>
      </c>
      <c r="C655" s="4" t="s">
        <v>1089</v>
      </c>
      <c r="D655" s="4" t="s">
        <v>1090</v>
      </c>
      <c r="E655" s="4">
        <v>1.0</v>
      </c>
      <c r="F655" s="4" t="str">
        <f>IFERROR(__xludf.DUMMYFUNCTION("GOOGLETRANSLATE(D655)"),"無法觀看 PVRIS 我很傷心，因為它與另一組相撞")</f>
        <v>無法觀看 PVRIS 我很傷心，因為它與另一組相撞</v>
      </c>
      <c r="G655" s="4" t="str">
        <f>IFERROR(__xludf.DUMMYFUNCTION("GOOGLETRANSLATE(B655)"),"相撞")</f>
        <v>相撞</v>
      </c>
    </row>
    <row r="656" ht="15.75" customHeight="1">
      <c r="A656" s="4">
        <v>2504.0</v>
      </c>
      <c r="B656" s="4" t="s">
        <v>1091</v>
      </c>
      <c r="C656" s="4" t="s">
        <v>1092</v>
      </c>
      <c r="D656" s="4" t="s">
        <v>1093</v>
      </c>
      <c r="E656" s="4">
        <v>1.0</v>
      </c>
      <c r="F656" s="4" t="str">
        <f>IFERROR(__xludf.DUMMYFUNCTION("GOOGLETRANSLATE(D656)"),"丹佛百老匯車禍電車司機受傷：至少兩人被送往當地醫院 http://t.co/2aCRGdqhJ0")</f>
        <v>丹佛百老匯車禍電車司機受傷：至少兩人被送往當地醫院 http://t.co/2aCRGdqhJ0</v>
      </c>
      <c r="G656" s="4" t="str">
        <f>IFERROR(__xludf.DUMMYFUNCTION("GOOGLETRANSLATE(B656)"),"碰撞")</f>
        <v>碰撞</v>
      </c>
    </row>
    <row r="657" ht="15.75" customHeight="1">
      <c r="A657" s="4">
        <v>2505.0</v>
      </c>
      <c r="B657" s="4" t="s">
        <v>1091</v>
      </c>
      <c r="C657" s="4" t="s">
        <v>1094</v>
      </c>
      <c r="D657" s="4" t="s">
        <v>1095</v>
      </c>
      <c r="E657" s="4">
        <v>1.0</v>
      </c>
      <c r="F657" s="4" t="str">
        <f>IFERROR(__xludf.DUMMYFUNCTION("GOOGLETRANSLATE(D657)"),"@Zojadelin 你今天幾乎在飛行員旋鈕上與我們正面相撞")</f>
        <v>@Zojadelin 你今天幾乎在飛行員旋鈕上與我們正面相撞</v>
      </c>
      <c r="G657" s="4" t="str">
        <f>IFERROR(__xludf.DUMMYFUNCTION("GOOGLETRANSLATE(B657)"),"碰撞")</f>
        <v>碰撞</v>
      </c>
    </row>
    <row r="658" ht="15.75" customHeight="1">
      <c r="A658" s="4">
        <v>2506.0</v>
      </c>
      <c r="B658" s="4" t="s">
        <v>1091</v>
      </c>
      <c r="C658" s="4" t="s">
        <v>1096</v>
      </c>
      <c r="D658" s="4" t="s">
        <v>1097</v>
      </c>
      <c r="E658" s="4">
        <v>1.0</v>
      </c>
      <c r="F658" s="4" t="str">
        <f>IFERROR(__xludf.DUMMYFUNCTION("GOOGLETRANSLATE(D658)"),"北 Sac Elkhorn 大道 / Walerga 路 **Trfc Collision-1141 Enrt** http://t.co/W4ofcC99Wq")</f>
        <v>北 Sac Elkhorn 大道 / Walerga 路 **Trfc Collision-1141 Enrt** http://t.co/W4ofcC99Wq</v>
      </c>
      <c r="G658" s="4" t="str">
        <f>IFERROR(__xludf.DUMMYFUNCTION("GOOGLETRANSLATE(B658)"),"碰撞")</f>
        <v>碰撞</v>
      </c>
    </row>
    <row r="659" ht="15.75" customHeight="1">
      <c r="A659" s="4">
        <v>2507.0</v>
      </c>
      <c r="B659" s="4" t="s">
        <v>1091</v>
      </c>
      <c r="D659" s="4" t="s">
        <v>1098</v>
      </c>
      <c r="E659" s="4">
        <v>1.0</v>
      </c>
      <c r="F659" s="4" t="str">
        <f>IFERROR(__xludf.DUMMYFUNCTION("GOOGLETRANSLATE(D659)"),"Beat:G3 機車碰撞肇事逃逸事件於 RAINIER AV S / S CHARLES ST 於 2015 年 8 月 5 日下午 6:08 報告，電話# 15000270653")</f>
        <v>Beat:G3 機車碰撞肇事逃逸事件於 RAINIER AV S / S CHARLES ST 於 2015 年 8 月 5 日下午 6:08 報告，電話# 15000270653</v>
      </c>
      <c r="G659" s="4" t="str">
        <f>IFERROR(__xludf.DUMMYFUNCTION("GOOGLETRANSLATE(B659)"),"碰撞")</f>
        <v>碰撞</v>
      </c>
    </row>
    <row r="660" ht="15.75" customHeight="1">
      <c r="A660" s="4">
        <v>2508.0</v>
      </c>
      <c r="B660" s="4" t="s">
        <v>1091</v>
      </c>
      <c r="D660" s="4" t="s">
        <v>1099</v>
      </c>
      <c r="E660" s="4">
        <v>1.0</v>
      </c>
      <c r="F660" s="4" t="str">
        <f>IFERROR(__xludf.DUMMYFUNCTION("GOOGLETRANSLATE(D660)"),"節拍：N 35 ST / FREMONT AV N 發生 B2 機動車碰撞事故於 2015 年 8 月 5 日下午 6:52 報告，電話# 15000270364")</f>
        <v>節拍：N 35 ST / FREMONT AV N 發生 B2 機動車碰撞事故於 2015 年 8 月 5 日下午 6:52 報告，電話# 15000270364</v>
      </c>
      <c r="G660" s="4" t="str">
        <f>IFERROR(__xludf.DUMMYFUNCTION("GOOGLETRANSLATE(B660)"),"碰撞")</f>
        <v>碰撞</v>
      </c>
    </row>
    <row r="661" ht="15.75" customHeight="1">
      <c r="A661" s="4">
        <v>2510.0</v>
      </c>
      <c r="B661" s="4" t="s">
        <v>1091</v>
      </c>
      <c r="C661" s="4" t="s">
        <v>1096</v>
      </c>
      <c r="D661" s="4" t="s">
        <v>1100</v>
      </c>
      <c r="E661" s="4">
        <v>1.0</v>
      </c>
      <c r="F661" s="4" t="str">
        <f>IFERROR(__xludf.DUMMYFUNCTION("GOOGLETRANSLATE(D661)"),"南薩克弗羅林路 / 富蘭克林大道 **Trfc Collision-1141 Enrt** http://t.co/Es1b3lywAy")</f>
        <v>南薩克弗羅林路 / 富蘭克林大道 **Trfc Collision-1141 Enrt** http://t.co/Es1b3lywAy</v>
      </c>
      <c r="G661" s="4" t="str">
        <f>IFERROR(__xludf.DUMMYFUNCTION("GOOGLETRANSLATE(B661)"),"碰撞")</f>
        <v>碰撞</v>
      </c>
    </row>
    <row r="662" ht="15.75" customHeight="1">
      <c r="A662" s="4">
        <v>2512.0</v>
      </c>
      <c r="B662" s="4" t="s">
        <v>1091</v>
      </c>
      <c r="C662" s="4" t="s">
        <v>1101</v>
      </c>
      <c r="D662" s="4" t="s">
        <v>1102</v>
      </c>
      <c r="E662" s="4">
        <v>1.0</v>
      </c>
      <c r="F662" s="4" t="str">
        <f>IFERROR(__xludf.DUMMYFUNCTION("GOOGLETRANSLATE(D662)"),"碰撞：#Hwy401 EB 位於 Hwy 8 #Cambridge 以東，單輛車擋住了左側車道。 #OPP 途中。 ^ag")</f>
        <v>碰撞：#Hwy401 EB 位於 Hwy 8 #Cambridge 以東，單輛車擋住了左側車道。 #OPP 途中。 ^ag</v>
      </c>
      <c r="G662" s="4" t="str">
        <f>IFERROR(__xludf.DUMMYFUNCTION("GOOGLETRANSLATE(B662)"),"碰撞")</f>
        <v>碰撞</v>
      </c>
    </row>
    <row r="663" ht="15.75" customHeight="1">
      <c r="A663" s="4">
        <v>2515.0</v>
      </c>
      <c r="B663" s="4" t="s">
        <v>1091</v>
      </c>
      <c r="C663" s="4" t="s">
        <v>1103</v>
      </c>
      <c r="D663" s="4" t="s">
        <v>1104</v>
      </c>
      <c r="E663" s="4">
        <v>1.0</v>
      </c>
      <c r="F663" s="4" t="str">
        <f>IFERROR(__xludf.DUMMYFUNCTION("GOOGLETRANSLATE(D663)"),"丹佛百老匯車禍電車司機受傷：至少兩人被送往當地醫院 http://t.co/WlmSQ3MTHO")</f>
        <v>丹佛百老匯車禍電車司機受傷：至少兩人被送往當地醫院 http://t.co/WlmSQ3MTHO</v>
      </c>
      <c r="G663" s="4" t="str">
        <f>IFERROR(__xludf.DUMMYFUNCTION("GOOGLETRANSLATE(B663)"),"碰撞")</f>
        <v>碰撞</v>
      </c>
    </row>
    <row r="664" ht="15.75" customHeight="1">
      <c r="A664" s="4">
        <v>2516.0</v>
      </c>
      <c r="B664" s="4" t="s">
        <v>1091</v>
      </c>
      <c r="C664" s="4" t="s">
        <v>1105</v>
      </c>
      <c r="D664" s="4" t="s">
        <v>1106</v>
      </c>
      <c r="E664" s="4">
        <v>1.0</v>
      </c>
      <c r="F664" s="4" t="str">
        <f>IFERROR(__xludf.DUMMYFUNCTION("GOOGLETRANSLATE(D664)"),"基奈支線高速公路迎面相撞，2死2傷 http://t.co/hbbGY2vZYt")</f>
        <v>基奈支線高速公路迎面相撞，2死2傷 http://t.co/hbbGY2vZYt</v>
      </c>
      <c r="G664" s="4" t="str">
        <f>IFERROR(__xludf.DUMMYFUNCTION("GOOGLETRANSLATE(B664)"),"碰撞")</f>
        <v>碰撞</v>
      </c>
    </row>
    <row r="665" ht="15.75" customHeight="1">
      <c r="A665" s="4">
        <v>2517.0</v>
      </c>
      <c r="B665" s="4" t="s">
        <v>1091</v>
      </c>
      <c r="C665" s="4" t="s">
        <v>374</v>
      </c>
      <c r="D665" s="4" t="s">
        <v>1107</v>
      </c>
      <c r="E665" s="4">
        <v>1.0</v>
      </c>
      <c r="F665" s="4" t="str">
        <f>IFERROR(__xludf.DUMMYFUNCTION("GOOGLETRANSLATE(D665)"),"丹佛百老匯車禍電車司機受傷：至少兩人被送往當地醫院 http://t.co/ozK1QHJVfh")</f>
        <v>丹佛百老匯車禍電車司機受傷：至少兩人被送往當地醫院 http://t.co/ozK1QHJVfh</v>
      </c>
      <c r="G665" s="4" t="str">
        <f>IFERROR(__xludf.DUMMYFUNCTION("GOOGLETRANSLATE(B665)"),"碰撞")</f>
        <v>碰撞</v>
      </c>
    </row>
    <row r="666" ht="15.75" customHeight="1">
      <c r="A666" s="4">
        <v>2519.0</v>
      </c>
      <c r="B666" s="4" t="s">
        <v>1091</v>
      </c>
      <c r="C666" s="4" t="s">
        <v>1108</v>
      </c>
      <c r="D666" s="4" t="s">
        <v>1109</v>
      </c>
      <c r="E666" s="4">
        <v>1.0</v>
      </c>
      <c r="F666" s="4" t="str">
        <f>IFERROR(__xludf.DUMMYFUNCTION("GOOGLETRANSLATE(D666)"),"巴爾的摩市 : I-95 NORTH AT MP 54.8 (FORT MCHENRY TUNNEL BORE 3): 碰撞：I-95 NORTH AT MP 54.8 (FORT MCHENRY TUNNEL BORE 3 Nort...")</f>
        <v>巴爾的摩市 : I-95 NORTH AT MP 54.8 (FORT MCHENRY TUNNEL BORE 3): 碰撞：I-95 NORTH AT MP 54.8 (FORT MCHENRY TUNNEL BORE 3 Nort...</v>
      </c>
      <c r="G666" s="4" t="str">
        <f>IFERROR(__xludf.DUMMYFUNCTION("GOOGLETRANSLATE(B666)"),"碰撞")</f>
        <v>碰撞</v>
      </c>
    </row>
    <row r="667" ht="15.75" customHeight="1">
      <c r="A667" s="4">
        <v>2527.0</v>
      </c>
      <c r="B667" s="4" t="s">
        <v>1091</v>
      </c>
      <c r="C667" s="4" t="s">
        <v>1110</v>
      </c>
      <c r="D667" s="4" t="s">
        <v>1111</v>
      </c>
      <c r="E667" s="4">
        <v>1.0</v>
      </c>
      <c r="F667" s="4" t="str">
        <f>IFERROR(__xludf.DUMMYFUNCTION("GOOGLETRANSLATE(D667)"),"在 405 號州際公路南行 Coal Creek Pkwy 上，發生一起碰撞事故，堵塞了中央車道。")</f>
        <v>在 405 號州際公路南行 Coal Creek Pkwy 上，發生一起碰撞事故，堵塞了中央車道。</v>
      </c>
      <c r="G667" s="4" t="str">
        <f>IFERROR(__xludf.DUMMYFUNCTION("GOOGLETRANSLATE(B667)"),"碰撞")</f>
        <v>碰撞</v>
      </c>
    </row>
    <row r="668" ht="15.75" customHeight="1">
      <c r="A668" s="4">
        <v>2528.0</v>
      </c>
      <c r="B668" s="4" t="s">
        <v>1091</v>
      </c>
      <c r="C668" s="4" t="s">
        <v>351</v>
      </c>
      <c r="D668" s="4" t="s">
        <v>1112</v>
      </c>
      <c r="E668" s="4">
        <v>1.0</v>
      </c>
      <c r="F668" s="4" t="str">
        <f>IFERROR(__xludf.DUMMYFUNCTION("GOOGLETRANSLATE(D668)"),"都柏林 I580 E / I580 E North Flynn Rd Onr **Trfc 碰撞 - 無注入** http://t.co/in8LyS7v5l")</f>
        <v>都柏林 I580 E / I580 E North Flynn Rd Onr **Trfc 碰撞 - 無注入** http://t.co/in8LyS7v5l</v>
      </c>
      <c r="G668" s="4" t="str">
        <f>IFERROR(__xludf.DUMMYFUNCTION("GOOGLETRANSLATE(B668)"),"碰撞")</f>
        <v>碰撞</v>
      </c>
    </row>
    <row r="669" ht="15.75" customHeight="1">
      <c r="A669" s="4">
        <v>2530.0</v>
      </c>
      <c r="B669" s="4" t="s">
        <v>1091</v>
      </c>
      <c r="C669" s="4" t="s">
        <v>1113</v>
      </c>
      <c r="D669" s="4" t="s">
        <v>1114</v>
      </c>
      <c r="E669" s="4">
        <v>1.0</v>
      </c>
      <c r="F669" s="4" t="str">
        <f>IFERROR(__xludf.DUMMYFUNCTION("GOOGLETRANSLATE(D669)"),"Westminister Sr22 W / Knott St **Trfc 碰撞-無注入** http://t.co/EUmlca1Edw")</f>
        <v>Westminister Sr22 W / Knott St **Trfc 碰撞-無注入** http://t.co/EUmlca1Edw</v>
      </c>
      <c r="G669" s="4" t="str">
        <f>IFERROR(__xludf.DUMMYFUNCTION("GOOGLETRANSLATE(B669)"),"碰撞")</f>
        <v>碰撞</v>
      </c>
    </row>
    <row r="670" ht="15.75" customHeight="1">
      <c r="A670" s="4">
        <v>2532.0</v>
      </c>
      <c r="B670" s="4" t="s">
        <v>1091</v>
      </c>
      <c r="C670" s="4" t="s">
        <v>1115</v>
      </c>
      <c r="D670" s="4" t="s">
        <v>1116</v>
      </c>
      <c r="E670" s="4">
        <v>1.0</v>
      </c>
      <c r="F670" s="4" t="str">
        <f>IFERROR(__xludf.DUMMYFUNCTION("GOOGLETRANSLATE(D670)"),"好吧，土星已經不存在了。所以碰撞地點的起始估價是 4000 美元。這是我的車價值的 3 倍。")</f>
        <v>好吧，土星已經不存在了。所以碰撞地點的起始估價是 4000 美元。這是我的車價值的 3 倍。</v>
      </c>
      <c r="G670" s="4" t="str">
        <f>IFERROR(__xludf.DUMMYFUNCTION("GOOGLETRANSLATE(B670)"),"碰撞")</f>
        <v>碰撞</v>
      </c>
    </row>
    <row r="671" ht="15.75" customHeight="1">
      <c r="A671" s="4">
        <v>2534.0</v>
      </c>
      <c r="B671" s="4" t="s">
        <v>1091</v>
      </c>
      <c r="C671" s="4" t="s">
        <v>679</v>
      </c>
      <c r="D671" s="4" t="s">
        <v>1117</v>
      </c>
      <c r="E671" s="4">
        <v>1.0</v>
      </c>
      <c r="F671" s="4" t="str">
        <f>IFERROR(__xludf.DUMMYFUNCTION("GOOGLETRANSLATE(D671)"),"丹佛百老匯車禍電車司機受傷 http://t.co/UpPwxDA4yd")</f>
        <v>丹佛百老匯車禍電車司機受傷 http://t.co/UpPwxDA4yd</v>
      </c>
      <c r="G671" s="4" t="str">
        <f>IFERROR(__xludf.DUMMYFUNCTION("GOOGLETRANSLATE(B671)"),"碰撞")</f>
        <v>碰撞</v>
      </c>
    </row>
    <row r="672" ht="15.75" customHeight="1">
      <c r="A672" s="4">
        <v>2535.0</v>
      </c>
      <c r="B672" s="4" t="s">
        <v>1091</v>
      </c>
      <c r="C672" s="4" t="s">
        <v>1118</v>
      </c>
      <c r="D672" s="4" t="s">
        <v>1119</v>
      </c>
      <c r="E672" s="4">
        <v>1.0</v>
      </c>
      <c r="F672" s="4" t="str">
        <f>IFERROR(__xludf.DUMMYFUNCTION("GOOGLETRANSLATE(D672)"),"West Valley I405 N / Us101 S I405 N Con **Trfc 碰撞-Unkn Inj** http://t.co/jS9EhP88wQ")</f>
        <v>West Valley I405 N / Us101 S I405 N Con **Trfc 碰撞-Unkn Inj** http://t.co/jS9EhP88wQ</v>
      </c>
      <c r="G672" s="4" t="str">
        <f>IFERROR(__xludf.DUMMYFUNCTION("GOOGLETRANSLATE(B672)"),"碰撞")</f>
        <v>碰撞</v>
      </c>
    </row>
    <row r="673" ht="15.75" customHeight="1">
      <c r="A673" s="4">
        <v>2536.0</v>
      </c>
      <c r="B673" s="4" t="s">
        <v>1091</v>
      </c>
      <c r="C673" s="4" t="s">
        <v>1120</v>
      </c>
      <c r="D673" s="4" t="s">
        <v>1121</v>
      </c>
      <c r="E673" s="4">
        <v>1.0</v>
      </c>
      <c r="F673" s="4" t="str">
        <f>IFERROR(__xludf.DUMMYFUNCTION("GOOGLETRANSLATE(D673)"),"@MissJadeBrown 講述了一場悲劇性的上午碰撞事故，奪去了一名騎摩托車的年輕人的生命。 https://t.co/rPDA60Aoni")</f>
        <v>@MissJadeBrown 講述了一場悲劇性的上午碰撞事故，奪去了一名騎摩托車的年輕人的生命。 https://t.co/rPDA60Aoni</v>
      </c>
      <c r="G673" s="4" t="str">
        <f>IFERROR(__xludf.DUMMYFUNCTION("GOOGLETRANSLATE(B673)"),"碰撞")</f>
        <v>碰撞</v>
      </c>
    </row>
    <row r="674" ht="15.75" customHeight="1">
      <c r="A674" s="4">
        <v>2537.0</v>
      </c>
      <c r="B674" s="4" t="s">
        <v>1091</v>
      </c>
      <c r="C674" s="4" t="s">
        <v>1122</v>
      </c>
      <c r="D674" s="4" t="s">
        <v>1123</v>
      </c>
      <c r="E674" s="4">
        <v>1.0</v>
      </c>
      <c r="F674" s="4" t="str">
        <f>IFERROR(__xludf.DUMMYFUNCTION("GOOGLETRANSLATE(D674)"),"高速公路福勒斯角發生兩車相撞事故。 7 號和弗蘭克希爾路。擋住了路：OPP。僅對乘客造成輕傷。")</f>
        <v>高速公路福勒斯角發生兩車相撞事故。 7 號和弗蘭克希爾路。擋住了路：OPP。僅對乘客造成輕傷。</v>
      </c>
      <c r="G674" s="4" t="str">
        <f>IFERROR(__xludf.DUMMYFUNCTION("GOOGLETRANSLATE(B674)"),"碰撞")</f>
        <v>碰撞</v>
      </c>
    </row>
    <row r="675" ht="15.75" customHeight="1">
      <c r="A675" s="4">
        <v>2538.0</v>
      </c>
      <c r="B675" s="4" t="s">
        <v>1091</v>
      </c>
      <c r="D675" s="4" t="s">
        <v>1124</v>
      </c>
      <c r="E675" s="4">
        <v>1.0</v>
      </c>
      <c r="F675" s="4" t="str">
        <f>IFERROR(__xludf.DUMMYFUNCTION("GOOGLETRANSLATE(D675)"),"我最喜歡的女士來參加我們的志工會議
希望加入她的青春碰撞，我很興奮http://t.co/Ij0wQ490cS")</f>
        <v>我最喜歡的女士來參加我們的志工會議
希望加入她的青春碰撞，我很興奮http://t.co/Ij0wQ490cS</v>
      </c>
      <c r="G675" s="4" t="str">
        <f>IFERROR(__xludf.DUMMYFUNCTION("GOOGLETRANSLATE(B675)"),"碰撞")</f>
        <v>碰撞</v>
      </c>
    </row>
    <row r="676" ht="15.75" customHeight="1">
      <c r="A676" s="4">
        <v>2539.0</v>
      </c>
      <c r="B676" s="4" t="s">
        <v>1091</v>
      </c>
      <c r="C676" s="4" t="s">
        <v>1125</v>
      </c>
      <c r="D676" s="4" t="s">
        <v>1126</v>
      </c>
      <c r="E676" s="4">
        <v>1.0</v>
      </c>
      <c r="F676" s="4" t="str">
        <f>IFERROR(__xludf.DUMMYFUNCTION("GOOGLETRANSLATE(D676)"),"#Colorado #News 摩托車手在百老匯丹佛碰撞中受傷：至少兩人被帶走... http://t.co/2iAFPmqJeP")</f>
        <v>#Colorado #News 摩托車手在百老匯丹佛碰撞中受傷：至少兩人被帶走... http://t.co/2iAFPmqJeP</v>
      </c>
      <c r="G676" s="4" t="str">
        <f>IFERROR(__xludf.DUMMYFUNCTION("GOOGLETRANSLATE(B676)"),"碰撞")</f>
        <v>碰撞</v>
      </c>
    </row>
    <row r="677" ht="15.75" customHeight="1">
      <c r="A677" s="4">
        <v>2540.0</v>
      </c>
      <c r="B677" s="4" t="s">
        <v>1091</v>
      </c>
      <c r="C677" s="4" t="s">
        <v>1127</v>
      </c>
      <c r="D677" s="4" t="s">
        <v>1128</v>
      </c>
      <c r="E677" s="4">
        <v>1.0</v>
      </c>
      <c r="F677" s="4" t="str">
        <f>IFERROR(__xludf.DUMMYFUNCTION("GOOGLETRANSLATE(D677)"),"交通碰撞 - 救護車途中：Elkhorn Blvd at Walerga Rd Sacramento http://t.co/5qHQo6eJtu")</f>
        <v>交通碰撞 - 救護車途中：Elkhorn Blvd at Walerga Rd Sacramento http://t.co/5qHQo6eJtu</v>
      </c>
      <c r="G677" s="4" t="str">
        <f>IFERROR(__xludf.DUMMYFUNCTION("GOOGLETRANSLATE(B677)"),"碰撞")</f>
        <v>碰撞</v>
      </c>
    </row>
    <row r="678" ht="15.75" customHeight="1">
      <c r="A678" s="4">
        <v>2541.0</v>
      </c>
      <c r="B678" s="4" t="s">
        <v>1091</v>
      </c>
      <c r="C678" s="4" t="s">
        <v>1129</v>
      </c>
      <c r="D678" s="4" t="s">
        <v>1130</v>
      </c>
      <c r="E678" s="4">
        <v>1.0</v>
      </c>
      <c r="F678" s="4" t="str">
        <f>IFERROR(__xludf.DUMMYFUNCTION("GOOGLETRANSLATE(D678)"),"晚上 7:13 #MAPLERIDGE Lougheed Hwy EB 由於發生碰撞，203rd 和 Dewdney Trunk Rd 之間關閉。 ETO 時間為晚上 8:00 至晚上 9:00。")</f>
        <v>晚上 7:13 #MAPLERIDGE Lougheed Hwy EB 由於發生碰撞，203rd 和 Dewdney Trunk Rd 之間關閉。 ETO 時間為晚上 8:00 至晚上 9:00。</v>
      </c>
      <c r="G678" s="4" t="str">
        <f>IFERROR(__xludf.DUMMYFUNCTION("GOOGLETRANSLATE(B678)"),"碰撞")</f>
        <v>碰撞</v>
      </c>
    </row>
    <row r="679" ht="15.75" customHeight="1">
      <c r="A679" s="4">
        <v>2543.0</v>
      </c>
      <c r="B679" s="4" t="s">
        <v>1091</v>
      </c>
      <c r="C679" s="4" t="s">
        <v>351</v>
      </c>
      <c r="D679" s="4" t="s">
        <v>1131</v>
      </c>
      <c r="E679" s="4">
        <v>1.0</v>
      </c>
      <c r="F679" s="4" t="str">
        <f>IFERROR(__xludf.DUMMYFUNCTION("GOOGLETRANSLATE(D679)"),"Solano SR37 / Skaggs Island Rd **Trfc Collision-1141 Enrt** http://t.co/MylIeRUXK1")</f>
        <v>Solano SR37 / Skaggs Island Rd **Trfc Collision-1141 Enrt** http://t.co/MylIeRUXK1</v>
      </c>
      <c r="G679" s="4" t="str">
        <f>IFERROR(__xludf.DUMMYFUNCTION("GOOGLETRANSLATE(B679)"),"碰撞")</f>
        <v>碰撞</v>
      </c>
    </row>
    <row r="680" ht="15.75" customHeight="1">
      <c r="A680" s="4">
        <v>2544.0</v>
      </c>
      <c r="B680" s="4" t="s">
        <v>1091</v>
      </c>
      <c r="C680" s="4" t="s">
        <v>790</v>
      </c>
      <c r="D680" s="4" t="s">
        <v>1132</v>
      </c>
      <c r="E680" s="4">
        <v>1.0</v>
      </c>
      <c r="F680" s="4" t="str">
        <f>IFERROR(__xludf.DUMMYFUNCTION("GOOGLETRANSLATE(D680)"),"交通碰撞 - 無傷害：I5 S 位於 I5 S 43rd Ave 出口南 Sac http://t.co/cT9ejXoLpu")</f>
        <v>交通碰撞 - 無傷害：I5 S 位於 I5 S 43rd Ave 出口南 Sac http://t.co/cT9ejXoLpu</v>
      </c>
      <c r="G680" s="4" t="str">
        <f>IFERROR(__xludf.DUMMYFUNCTION("GOOGLETRANSLATE(B680)"),"碰撞")</f>
        <v>碰撞</v>
      </c>
    </row>
    <row r="681" ht="15.75" customHeight="1">
      <c r="A681" s="4">
        <v>2545.0</v>
      </c>
      <c r="B681" s="4" t="s">
        <v>1091</v>
      </c>
      <c r="C681" s="4" t="s">
        <v>1101</v>
      </c>
      <c r="D681" s="4" t="s">
        <v>1133</v>
      </c>
      <c r="E681" s="4">
        <v>1.0</v>
      </c>
      <c r="F681" s="4" t="str">
        <f>IFERROR(__xludf.DUMMYFUNCTION("GOOGLETRANSLATE(D681)"),"已清除：碰撞：#QEW 伊利堡方向接近 405 號高速公路 #Niagara。車輛已移除。 ^ag")</f>
        <v>已清除：碰撞：#QEW 伊利堡方向接近 405 號高速公路 #Niagara。車輛已移除。 ^ag</v>
      </c>
      <c r="G681" s="4" t="str">
        <f>IFERROR(__xludf.DUMMYFUNCTION("GOOGLETRANSLATE(B681)"),"碰撞")</f>
        <v>碰撞</v>
      </c>
    </row>
    <row r="682" ht="15.75" customHeight="1">
      <c r="A682" s="4">
        <v>2546.0</v>
      </c>
      <c r="B682" s="4" t="s">
        <v>1091</v>
      </c>
      <c r="C682" s="4" t="s">
        <v>679</v>
      </c>
      <c r="D682" s="4" t="s">
        <v>1134</v>
      </c>
      <c r="E682" s="4">
        <v>1.0</v>
      </c>
      <c r="F682" s="4" t="str">
        <f>IFERROR(__xludf.DUMMYFUNCTION("GOOGLETRANSLATE(D682)"),"丹佛百老匯車禍電車司機受傷 http://t.co/ZL7ojdAj3u")</f>
        <v>丹佛百老匯車禍電車司機受傷 http://t.co/ZL7ojdAj3u</v>
      </c>
      <c r="G682" s="4" t="str">
        <f>IFERROR(__xludf.DUMMYFUNCTION("GOOGLETRANSLATE(B682)"),"碰撞")</f>
        <v>碰撞</v>
      </c>
    </row>
    <row r="683" ht="15.75" customHeight="1">
      <c r="A683" s="4">
        <v>2547.0</v>
      </c>
      <c r="B683" s="4" t="s">
        <v>1091</v>
      </c>
      <c r="C683" s="4" t="s">
        <v>679</v>
      </c>
      <c r="D683" s="4" t="s">
        <v>1135</v>
      </c>
      <c r="E683" s="4">
        <v>1.0</v>
      </c>
      <c r="F683" s="4" t="str">
        <f>IFERROR(__xludf.DUMMYFUNCTION("GOOGLETRANSLATE(D683)"),"丹佛百老匯碰撞事故中電單車司機受傷：http://t.co/241cN8yxjq 作者：@kierannicholson")</f>
        <v>丹佛百老匯碰撞事故中電單車司機受傷：http://t.co/241cN8yxjq 作者：@kierannicholson</v>
      </c>
      <c r="G683" s="4" t="str">
        <f>IFERROR(__xludf.DUMMYFUNCTION("GOOGLETRANSLATE(B683)"),"碰撞")</f>
        <v>碰撞</v>
      </c>
    </row>
    <row r="684" ht="15.75" customHeight="1">
      <c r="A684" s="4">
        <v>2548.0</v>
      </c>
      <c r="B684" s="4" t="s">
        <v>1091</v>
      </c>
      <c r="C684" s="4" t="s">
        <v>1096</v>
      </c>
      <c r="D684" s="4" t="s">
        <v>1136</v>
      </c>
      <c r="E684" s="4">
        <v>1.0</v>
      </c>
      <c r="F684" s="4" t="str">
        <f>IFERROR(__xludf.DUMMYFUNCTION("GOOGLETRANSLATE(D684)"),"South Sac I5 S / I5 S 43rd Ave Ofr **Trfc 碰撞 - 無注入** http://t.co/GpxQBYzYu4")</f>
        <v>South Sac I5 S / I5 S 43rd Ave Ofr **Trfc 碰撞 - 無注入** http://t.co/GpxQBYzYu4</v>
      </c>
      <c r="G684" s="4" t="str">
        <f>IFERROR(__xludf.DUMMYFUNCTION("GOOGLETRANSLATE(B684)"),"碰撞")</f>
        <v>碰撞</v>
      </c>
    </row>
    <row r="685" ht="15.75" customHeight="1">
      <c r="A685" s="4">
        <v>2557.0</v>
      </c>
      <c r="B685" s="4" t="s">
        <v>1137</v>
      </c>
      <c r="D685" s="4" t="s">
        <v>1138</v>
      </c>
      <c r="E685" s="4">
        <v>1.0</v>
      </c>
      <c r="F685" s="4" t="str">
        <f>IFERROR(__xludf.DUMMYFUNCTION("GOOGLETRANSLATE(D685)"),"HTML5 初學者速成課程 http://t.co/Y32oWBroVF #course http://t.co/Vr2U4cErW8")</f>
        <v>HTML5 初學者速成課程 http://t.co/Y32oWBroVF #course http://t.co/Vr2U4cErW8</v>
      </c>
      <c r="G685" s="4" t="str">
        <f>IFERROR(__xludf.DUMMYFUNCTION("GOOGLETRANSLATE(B685)"),"碰撞")</f>
        <v>碰撞</v>
      </c>
    </row>
    <row r="686" ht="15.75" customHeight="1">
      <c r="A686" s="4">
        <v>2564.0</v>
      </c>
      <c r="B686" s="4" t="s">
        <v>1137</v>
      </c>
      <c r="C686" s="4" t="s">
        <v>1139</v>
      </c>
      <c r="D686" s="4" t="s">
        <v>1140</v>
      </c>
      <c r="E686" s="4">
        <v>1.0</v>
      </c>
      <c r="F686" s="4" t="str">
        <f>IFERROR(__xludf.DUMMYFUNCTION("GOOGLETRANSLATE(D686)"),"為 Bestival 車禍受害者 Michael Molloy 舉辦派對，慶祝他的 21 歲生日 http://t.co/BIkR8zzbhA")</f>
        <v>為 Bestival 車禍受害者 Michael Molloy 舉辦派對，慶祝他的 21 歲生日 http://t.co/BIkR8zzbhA</v>
      </c>
      <c r="G686" s="4" t="str">
        <f>IFERROR(__xludf.DUMMYFUNCTION("GOOGLETRANSLATE(B686)"),"碰撞")</f>
        <v>碰撞</v>
      </c>
    </row>
    <row r="687" ht="15.75" customHeight="1">
      <c r="A687" s="4">
        <v>2565.0</v>
      </c>
      <c r="B687" s="4" t="s">
        <v>1137</v>
      </c>
      <c r="C687" s="4" t="s">
        <v>1141</v>
      </c>
      <c r="D687" s="4" t="s">
        <v>1142</v>
      </c>
      <c r="E687" s="4">
        <v>1.0</v>
      </c>
      <c r="F687" s="4" t="str">
        <f>IFERROR(__xludf.DUMMYFUNCTION("GOOGLETRANSLATE(D687)"),"已清除：在漢密爾頓 75 號州際公路以南 MM 459 處發生車禍。")</f>
        <v>已清除：在漢密爾頓 75 號州際公路以南 MM 459 處發生車禍。</v>
      </c>
      <c r="G687" s="4" t="str">
        <f>IFERROR(__xludf.DUMMYFUNCTION("GOOGLETRANSLATE(B687)"),"碰撞")</f>
        <v>碰撞</v>
      </c>
    </row>
    <row r="688" ht="15.75" customHeight="1">
      <c r="A688" s="4">
        <v>2566.0</v>
      </c>
      <c r="B688" s="4" t="s">
        <v>1137</v>
      </c>
      <c r="D688" s="4" t="s">
        <v>1143</v>
      </c>
      <c r="E688" s="4">
        <v>1.0</v>
      </c>
      <c r="F688" s="4" t="str">
        <f>IFERROR(__xludf.DUMMYFUNCTION("GOOGLETRANSLATE(D688)"),"交付價值：現金來源速成課程 http://t.co/st5fGBLsYe #course http://t.co/0uK0H9hOzn")</f>
        <v>交付價值：現金來源速成課程 http://t.co/st5fGBLsYe #course http://t.co/0uK0H9hOzn</v>
      </c>
      <c r="G688" s="4" t="str">
        <f>IFERROR(__xludf.DUMMYFUNCTION("GOOGLETRANSLATE(B688)"),"碰撞")</f>
        <v>碰撞</v>
      </c>
    </row>
    <row r="689" ht="15.75" customHeight="1">
      <c r="A689" s="4">
        <v>2570.0</v>
      </c>
      <c r="B689" s="4" t="s">
        <v>1137</v>
      </c>
      <c r="D689" s="4" t="s">
        <v>1144</v>
      </c>
      <c r="E689" s="4">
        <v>1.0</v>
      </c>
      <c r="F689" s="4" t="str">
        <f>IFERROR(__xludf.DUMMYFUNCTION("GOOGLETRANSLATE(D689)"),"讓男人的兒子崩潰？？？？？？")</f>
        <v>讓男人的兒子崩潰？？？？？？</v>
      </c>
      <c r="G689" s="4" t="str">
        <f>IFERROR(__xludf.DUMMYFUNCTION("GOOGLETRANSLATE(B689)"),"碰撞")</f>
        <v>碰撞</v>
      </c>
    </row>
    <row r="690" ht="15.75" customHeight="1">
      <c r="A690" s="4">
        <v>2571.0</v>
      </c>
      <c r="B690" s="4" t="s">
        <v>1137</v>
      </c>
      <c r="C690" s="4" t="s">
        <v>1145</v>
      </c>
      <c r="D690" s="4" t="s">
        <v>1146</v>
      </c>
      <c r="E690" s="4">
        <v>1.0</v>
      </c>
      <c r="F690" s="4" t="str">
        <f>IFERROR(__xludf.DUMMYFUNCTION("GOOGLETRANSLATE(D690)"),"＃事件
在莫蘭路 (Moreland Rd) 附近的 Tullamarine 高速公路 (CityLink) 帕斯科谷南 (Pascoe Vale South) 出站發生車禍。車輛駛入緊急車道。沒有延誤。")</f>
        <v>＃事件
在莫蘭路 (Moreland Rd) 附近的 Tullamarine 高速公路 (CityLink) 帕斯科谷南 (Pascoe Vale South) 出站發生車禍。車輛駛入緊急車道。沒有延誤。</v>
      </c>
      <c r="G690" s="4" t="str">
        <f>IFERROR(__xludf.DUMMYFUNCTION("GOOGLETRANSLATE(B690)"),"碰撞")</f>
        <v>碰撞</v>
      </c>
    </row>
    <row r="691" ht="15.75" customHeight="1">
      <c r="A691" s="4">
        <v>2575.0</v>
      </c>
      <c r="B691" s="4" t="s">
        <v>1137</v>
      </c>
      <c r="D691" s="4" t="s">
        <v>1147</v>
      </c>
      <c r="E691" s="4">
        <v>1.0</v>
      </c>
      <c r="F691" s="4" t="str">
        <f>IFERROR(__xludf.DUMMYFUNCTION("GOOGLETRANSLATE(D691)"),"崩潰並燒毀？ https://t.co/Jq2iB1Ob1X")</f>
        <v>崩潰並燒毀？ https://t.co/Jq2iB1Ob1X</v>
      </c>
      <c r="G691" s="4" t="str">
        <f>IFERROR(__xludf.DUMMYFUNCTION("GOOGLETRANSLATE(B691)"),"碰撞")</f>
        <v>碰撞</v>
      </c>
    </row>
    <row r="692" ht="15.75" customHeight="1">
      <c r="A692" s="4">
        <v>2582.0</v>
      </c>
      <c r="B692" s="4" t="s">
        <v>1137</v>
      </c>
      <c r="C692" s="4" t="s">
        <v>1148</v>
      </c>
      <c r="D692" s="4" t="s">
        <v>1149</v>
      </c>
      <c r="E692" s="4">
        <v>1.0</v>
      </c>
      <c r="F692" s="4" t="str">
        <f>IFERROR(__xludf.DUMMYFUNCTION("GOOGLETRANSLATE(D692)"),"@_chelsdelong12 @kendra_leigh13 我會讓它崩潰的")</f>
        <v>@_chelsdelong12 @kendra_leigh13 我會讓它崩潰的</v>
      </c>
      <c r="G692" s="4" t="str">
        <f>IFERROR(__xludf.DUMMYFUNCTION("GOOGLETRANSLATE(B692)"),"碰撞")</f>
        <v>碰撞</v>
      </c>
    </row>
    <row r="693" ht="15.75" customHeight="1">
      <c r="A693" s="4">
        <v>2588.0</v>
      </c>
      <c r="B693" s="4" t="s">
        <v>1137</v>
      </c>
      <c r="C693" s="4" t="s">
        <v>1150</v>
      </c>
      <c r="D693" s="4" t="s">
        <v>1151</v>
      </c>
      <c r="E693" s="4">
        <v>1.0</v>
      </c>
      <c r="F693" s="4" t="str">
        <f>IFERROR(__xludf.DUMMYFUNCTION("GOOGLETRANSLATE(D693)"),"「約翰島發生致命事故」http://t.co/d2i9bL89Zo")</f>
        <v>「約翰島發生致命事故」http://t.co/d2i9bL89Zo</v>
      </c>
      <c r="G693" s="4" t="str">
        <f>IFERROR(__xludf.DUMMYFUNCTION("GOOGLETRANSLATE(B693)"),"碰撞")</f>
        <v>碰撞</v>
      </c>
    </row>
    <row r="694" ht="15.75" customHeight="1">
      <c r="A694" s="4">
        <v>2593.0</v>
      </c>
      <c r="B694" s="4" t="s">
        <v>1137</v>
      </c>
      <c r="C694" s="4" t="s">
        <v>1152</v>
      </c>
      <c r="D694" s="4" t="s">
        <v>1153</v>
      </c>
      <c r="E694" s="4">
        <v>1.0</v>
      </c>
      <c r="F694" s="4" t="str">
        <f>IFERROR(__xludf.DUMMYFUNCTION("GOOGLETRANSLATE(D694)"),"警方對事故作出回應，發現「疑似海洛因」http://t.co/oJoecW29qa")</f>
        <v>警方對事故作出回應，發現「疑似海洛因」http://t.co/oJoecW29qa</v>
      </c>
      <c r="G694" s="4" t="str">
        <f>IFERROR(__xludf.DUMMYFUNCTION("GOOGLETRANSLATE(B694)"),"碰撞")</f>
        <v>碰撞</v>
      </c>
    </row>
    <row r="695" ht="15.75" customHeight="1">
      <c r="A695" s="4">
        <v>2597.0</v>
      </c>
      <c r="B695" s="4" t="s">
        <v>1137</v>
      </c>
      <c r="C695" s="4" t="s">
        <v>1154</v>
      </c>
      <c r="D695" s="4" t="s">
        <v>1155</v>
      </c>
      <c r="E695" s="4">
        <v>1.0</v>
      </c>
      <c r="F695" s="4" t="str">
        <f>IFERROR(__xludf.DUMMYFUNCTION("GOOGLETRANSLATE(D695)"),"阿基拉世界新聞 警察將男子從車上拉出來以避免這種情況... http://t.co/Vn2Fnmy7li")</f>
        <v>阿基拉世界新聞 警察將男子從車上拉出來以避免這種情況... http://t.co/Vn2Fnmy7li</v>
      </c>
      <c r="G695" s="4" t="str">
        <f>IFERROR(__xludf.DUMMYFUNCTION("GOOGLETRANSLATE(B695)"),"碰撞")</f>
        <v>碰撞</v>
      </c>
    </row>
    <row r="696" ht="15.75" customHeight="1">
      <c r="A696" s="4">
        <v>2598.0</v>
      </c>
      <c r="B696" s="4" t="s">
        <v>1137</v>
      </c>
      <c r="D696" s="4" t="s">
        <v>1156</v>
      </c>
      <c r="E696" s="4">
        <v>1.0</v>
      </c>
      <c r="F696" s="4" t="str">
        <f>IFERROR(__xludf.DUMMYFUNCTION("GOOGLETRANSLATE(D696)"),"巴林頓山 (Barrington Hills) 男子在車禍中喪生：週三，霍夫曼莊園 (Hoffman Estates) 的一名男子在一場單車車禍中喪生... http://t.co/b6NphxOrZg")</f>
        <v>巴林頓山 (Barrington Hills) 男子在車禍中喪生：週三，霍夫曼莊園 (Hoffman Estates) 的一名男子在一場單車車禍中喪生... http://t.co/b6NphxOrZg</v>
      </c>
      <c r="G696" s="4" t="str">
        <f>IFERROR(__xludf.DUMMYFUNCTION("GOOGLETRANSLATE(B696)"),"碰撞")</f>
        <v>碰撞</v>
      </c>
    </row>
    <row r="697" ht="15.75" customHeight="1">
      <c r="A697" s="4">
        <v>2604.0</v>
      </c>
      <c r="B697" s="4" t="s">
        <v>1157</v>
      </c>
      <c r="C697" s="4" t="s">
        <v>1073</v>
      </c>
      <c r="D697" s="4" t="s">
        <v>1158</v>
      </c>
      <c r="E697" s="4">
        <v>1.0</v>
      </c>
      <c r="F697" s="4" t="str">
        <f>IFERROR(__xludf.DUMMYFUNCTION("GOOGLETRANSLATE(D697)"),"MI-17 的穆扎米爾少校飛行員 Offr 今天在曼塞赫拉附近墜毀。 http://t.co/kL4R1ccWct")</f>
        <v>MI-17 的穆扎米爾少校飛行員 Offr 今天在曼塞赫拉附近墜毀。 http://t.co/kL4R1ccWct</v>
      </c>
      <c r="G697" s="4" t="str">
        <f>IFERROR(__xludf.DUMMYFUNCTION("GOOGLETRANSLATE(B697)"),"墜毀")</f>
        <v>墜毀</v>
      </c>
    </row>
    <row r="698" ht="15.75" customHeight="1">
      <c r="A698" s="4">
        <v>2605.0</v>
      </c>
      <c r="B698" s="4" t="s">
        <v>1157</v>
      </c>
      <c r="C698" s="4" t="s">
        <v>1159</v>
      </c>
      <c r="D698" s="4" t="s">
        <v>1160</v>
      </c>
      <c r="E698" s="4">
        <v>1.0</v>
      </c>
      <c r="F698" s="4" t="str">
        <f>IFERROR(__xludf.DUMMYFUNCTION("GOOGLETRANSLATE(D698)"),"http://t.co/iGXRqPoTm7 本拉登家庭飛機在「避免超輕型飛機和著陸後墜毀...」http://t.co/3kPBU6hGt5 #PeritoEnGrafoscopia")</f>
        <v>http://t.co/iGXRqPoTm7 本拉登家庭飛機在「避免超輕型飛機和著陸後墜毀...」http://t.co/3kPBU6hGt5 #PeritoEnGrafoscopia</v>
      </c>
      <c r="G698" s="4" t="str">
        <f>IFERROR(__xludf.DUMMYFUNCTION("GOOGLETRANSLATE(B698)"),"墜毀")</f>
        <v>墜毀</v>
      </c>
    </row>
    <row r="699" ht="15.75" customHeight="1">
      <c r="A699" s="4">
        <v>2608.0</v>
      </c>
      <c r="B699" s="4" t="s">
        <v>1157</v>
      </c>
      <c r="C699" s="4" t="s">
        <v>1002</v>
      </c>
      <c r="D699" s="4" t="s">
        <v>1161</v>
      </c>
      <c r="E699" s="4">
        <v>1.0</v>
      </c>
      <c r="F699" s="4" t="str">
        <f>IFERROR(__xludf.DUMMYFUNCTION("GOOGLETRANSLATE(D699)"),"Neil_Eastwood77：我是個笨蛋！拉登家庭飛機在「避開超輕型飛機並降落在... Û_ http://t.co/dUVUzhMVUT 後墜毀")</f>
        <v>Neil_Eastwood77：我是個笨蛋！拉登家庭飛機在「避開超輕型飛機並降落在... Û_ http://t.co/dUVUzhMVUT 後墜毀</v>
      </c>
      <c r="G699" s="4" t="str">
        <f>IFERROR(__xludf.DUMMYFUNCTION("GOOGLETRANSLATE(B699)"),"墜毀")</f>
        <v>墜毀</v>
      </c>
    </row>
    <row r="700" ht="15.75" customHeight="1">
      <c r="A700" s="4">
        <v>2609.0</v>
      </c>
      <c r="B700" s="4" t="s">
        <v>1157</v>
      </c>
      <c r="D700" s="4" t="s">
        <v>1162</v>
      </c>
      <c r="E700" s="4">
        <v>1.0</v>
      </c>
      <c r="F700" s="4" t="str">
        <f>IFERROR(__xludf.DUMMYFUNCTION("GOOGLETRANSLATE(D700)"),"拉登家庭飛機在「避開超輕型飛機並在跑道上著陸太遠」後墜毀：三名成員... http://t.co/mFJxh4p51U")</f>
        <v>拉登家庭飛機在「避開超輕型飛機並在跑道上著陸太遠」後墜毀：三名成員... http://t.co/mFJxh4p51U</v>
      </c>
      <c r="G700" s="4" t="str">
        <f>IFERROR(__xludf.DUMMYFUNCTION("GOOGLETRANSLATE(B700)"),"墜毀")</f>
        <v>墜毀</v>
      </c>
    </row>
    <row r="701" ht="15.75" customHeight="1">
      <c r="A701" s="4">
        <v>2611.0</v>
      </c>
      <c r="B701" s="4" t="s">
        <v>1157</v>
      </c>
      <c r="D701" s="4" t="s">
        <v>1163</v>
      </c>
      <c r="E701" s="4">
        <v>1.0</v>
      </c>
      <c r="F701" s="4" t="str">
        <f>IFERROR(__xludf.DUMMYFUNCTION("GOOGLETRANSLATE(D701)"),"@brianroemmele UX 的 EMV 失敗 - 人們希望像加油泵條帶讀取器一樣快速插入和移除。 1 人告訴我這導致 POS 崩潰")</f>
        <v>@brianroemmele UX 的 EMV 失敗 - 人們希望像加油泵條帶讀取器一樣快速插入和移除。 1 人告訴我這導致 POS 崩潰</v>
      </c>
      <c r="G701" s="4" t="str">
        <f>IFERROR(__xludf.DUMMYFUNCTION("GOOGLETRANSLATE(B701)"),"墜毀")</f>
        <v>墜毀</v>
      </c>
    </row>
    <row r="702" ht="15.75" customHeight="1">
      <c r="A702" s="4">
        <v>2612.0</v>
      </c>
      <c r="B702" s="4" t="s">
        <v>1157</v>
      </c>
      <c r="D702" s="4" t="s">
        <v>1164</v>
      </c>
      <c r="E702" s="4">
        <v>1.0</v>
      </c>
      <c r="F702" s="4" t="str">
        <f>IFERROR(__xludf.DUMMYFUNCTION("GOOGLETRANSLATE(D702)"),"在曼塞赫拉墜毀的 MI-7 直升機飛行員哈馬雲·沙希德 (Hamayun Shaheed) 少校 http://t.co/2z8UbsY5M8")</f>
        <v>在曼塞赫拉墜毀的 MI-7 直升機飛行員哈馬雲·沙希德 (Hamayun Shaheed) 少校 http://t.co/2z8UbsY5M8</v>
      </c>
      <c r="G702" s="4" t="str">
        <f>IFERROR(__xludf.DUMMYFUNCTION("GOOGLETRANSLATE(B702)"),"墜毀")</f>
        <v>墜毀</v>
      </c>
    </row>
    <row r="703" ht="15.75" customHeight="1">
      <c r="A703" s="4">
        <v>2614.0</v>
      </c>
      <c r="B703" s="4" t="s">
        <v>1157</v>
      </c>
      <c r="C703" s="4" t="s">
        <v>1165</v>
      </c>
      <c r="D703" s="4" t="s">
        <v>1166</v>
      </c>
      <c r="E703" s="4">
        <v>1.0</v>
      </c>
      <c r="F703" s="4" t="str">
        <f>IFERROR(__xludf.DUMMYFUNCTION("GOOGLETRANSLATE(D703)"),"#UK 拉登家庭飛機在「避開超輕型飛機並在跑道上著陸太遠」後墜毀：三名成員... http://t.co/fQj0SqU3lG")</f>
        <v>#UK 拉登家庭飛機在「避開超輕型飛機並在跑道上著陸太遠」後墜毀：三名成員... http://t.co/fQj0SqU3lG</v>
      </c>
      <c r="G703" s="4" t="str">
        <f>IFERROR(__xludf.DUMMYFUNCTION("GOOGLETRANSLATE(B703)"),"墜毀")</f>
        <v>墜毀</v>
      </c>
    </row>
    <row r="704" ht="15.75" customHeight="1">
      <c r="A704" s="4">
        <v>2617.0</v>
      </c>
      <c r="B704" s="4" t="s">
        <v>1157</v>
      </c>
      <c r="C704" s="4" t="s">
        <v>1167</v>
      </c>
      <c r="D704" s="4" t="s">
        <v>1168</v>
      </c>
      <c r="E704" s="4">
        <v>1.0</v>
      </c>
      <c r="F704" s="4" t="str">
        <f>IFERROR(__xludf.DUMMYFUNCTION("GOOGLETRANSLATE(D704)"),"&gt;拉登家庭飛機在“避開超輕型飛機並在跑道上著陸太遠後墜毀......http://t.co/Tu9cgLmgVR #rochdale #heywood”")</f>
        <v>&gt;拉登家庭飛機在“避開超輕型飛機並在跑道上著陸太遠後墜毀......http://t.co/Tu9cgLmgVR #rochdale #heywood”</v>
      </c>
      <c r="G704" s="4" t="str">
        <f>IFERROR(__xludf.DUMMYFUNCTION("GOOGLETRANSLATE(B704)"),"墜毀")</f>
        <v>墜毀</v>
      </c>
    </row>
    <row r="705" ht="15.75" customHeight="1">
      <c r="A705" s="4">
        <v>2619.0</v>
      </c>
      <c r="B705" s="4" t="s">
        <v>1157</v>
      </c>
      <c r="D705" s="4" t="s">
        <v>1169</v>
      </c>
      <c r="E705" s="4">
        <v>1.0</v>
      </c>
      <c r="F705" s="4" t="str">
        <f>IFERROR(__xludf.DUMMYFUNCTION("GOOGLETRANSLATE(D705)"),"我的 iPod 崩潰了...
#我們愛你路易斯
#MTVHottest 單向")</f>
        <v>我的 iPod 崩潰了...
#我們愛你路易斯
#MTVHottest 單向</v>
      </c>
      <c r="G705" s="4" t="str">
        <f>IFERROR(__xludf.DUMMYFUNCTION("GOOGLETRANSLATE(B705)"),"墜毀")</f>
        <v>墜毀</v>
      </c>
    </row>
    <row r="706" ht="15.75" customHeight="1">
      <c r="A706" s="4">
        <v>2625.0</v>
      </c>
      <c r="B706" s="4" t="s">
        <v>1157</v>
      </c>
      <c r="C706" s="4" t="s">
        <v>1170</v>
      </c>
      <c r="D706" s="4" t="s">
        <v>1171</v>
      </c>
      <c r="E706" s="4">
        <v>1.0</v>
      </c>
      <c r="F706" s="4" t="str">
        <f>IFERROR(__xludf.DUMMYFUNCTION("GOOGLETRANSLATE(D706)"),"Intact+MH370+Part+Lifts+Odds+Plane+Glided+Not+Crashed+Into+Sea http://t.co/MjTN3qbgOS 來自 @YahooFinance#Hope 尋求答案。")</f>
        <v>Intact+MH370+Part+Lifts+Odds+Plane+Glided+Not+Crashed+Into+Sea http://t.co/MjTN3qbgOS 來自 @YahooFinance#Hope 尋求答案。</v>
      </c>
      <c r="G706" s="4" t="str">
        <f>IFERROR(__xludf.DUMMYFUNCTION("GOOGLETRANSLATE(B706)"),"墜毀")</f>
        <v>墜毀</v>
      </c>
    </row>
    <row r="707" ht="15.75" customHeight="1">
      <c r="A707" s="4">
        <v>2627.0</v>
      </c>
      <c r="B707" s="4" t="s">
        <v>1157</v>
      </c>
      <c r="C707" s="4" t="s">
        <v>1172</v>
      </c>
      <c r="D707" s="4" t="s">
        <v>1173</v>
      </c>
      <c r="E707" s="4">
        <v>1.0</v>
      </c>
      <c r="F707" s="4" t="str">
        <f>IFERROR(__xludf.DUMMYFUNCTION("GOOGLETRANSLATE(D707)"),"巴基斯坦陸軍直升機在曼塞赫拉墜毀。")</f>
        <v>巴基斯坦陸軍直升機在曼塞赫拉墜毀。</v>
      </c>
      <c r="G707" s="4" t="str">
        <f>IFERROR(__xludf.DUMMYFUNCTION("GOOGLETRANSLATE(B707)"),"墜毀")</f>
        <v>墜毀</v>
      </c>
    </row>
    <row r="708" ht="15.75" customHeight="1">
      <c r="A708" s="4">
        <v>2628.0</v>
      </c>
      <c r="B708" s="4" t="s">
        <v>1157</v>
      </c>
      <c r="C708" s="4" t="s">
        <v>533</v>
      </c>
      <c r="D708" s="4" t="s">
        <v>1174</v>
      </c>
      <c r="E708" s="4">
        <v>1.0</v>
      </c>
      <c r="F708" s="4" t="str">
        <f>IFERROR(__xludf.DUMMYFUNCTION("GOOGLETRANSLATE(D708)"),"1 ÛÒ 幾乎讓歐元崩潰的錯誤 - http://t.co/KgkZ50Q8TK")</f>
        <v>1 ÛÒ 幾乎讓歐元崩潰的錯誤 - http://t.co/KgkZ50Q8TK</v>
      </c>
      <c r="G708" s="4" t="str">
        <f>IFERROR(__xludf.DUMMYFUNCTION("GOOGLETRANSLATE(B708)"),"墜毀")</f>
        <v>墜毀</v>
      </c>
    </row>
    <row r="709" ht="15.75" customHeight="1">
      <c r="A709" s="4">
        <v>2629.0</v>
      </c>
      <c r="B709" s="4" t="s">
        <v>1157</v>
      </c>
      <c r="D709" s="4" t="s">
        <v>1175</v>
      </c>
      <c r="E709" s="4">
        <v>1.0</v>
      </c>
      <c r="F709" s="4" t="str">
        <f>IFERROR(__xludf.DUMMYFUNCTION("GOOGLETRANSLATE(D709)"),"巴基斯坦稱軍用直升機在該國西北部地區墜毀，造成至少 8 人死亡 http://t.co/QV1RMZI3J1")</f>
        <v>巴基斯坦稱軍用直升機在該國西北部地區墜毀，造成至少 8 人死亡 http://t.co/QV1RMZI3J1</v>
      </c>
      <c r="G709" s="4" t="str">
        <f>IFERROR(__xludf.DUMMYFUNCTION("GOOGLETRANSLATE(B709)"),"墜毀")</f>
        <v>墜毀</v>
      </c>
    </row>
    <row r="710" ht="15.75" customHeight="1">
      <c r="A710" s="4">
        <v>2631.0</v>
      </c>
      <c r="B710" s="4" t="s">
        <v>1157</v>
      </c>
      <c r="D710" s="4" t="s">
        <v>1176</v>
      </c>
      <c r="E710" s="4">
        <v>1.0</v>
      </c>
      <c r="F710" s="4" t="str">
        <f>IFERROR(__xludf.DUMMYFUNCTION("GOOGLETRANSLATE(D710)"),"#News 拉登家庭飛機在「避開超輕型飛機並在跑道上著陸太遠」後墜毀http://t.co/x9MDHocpda")</f>
        <v>#News 拉登家庭飛機在「避開超輕型飛機並在跑道上著陸太遠」後墜毀http://t.co/x9MDHocpda</v>
      </c>
      <c r="G710" s="4" t="str">
        <f>IFERROR(__xludf.DUMMYFUNCTION("GOOGLETRANSLATE(B710)"),"墜毀")</f>
        <v>墜毀</v>
      </c>
    </row>
    <row r="711" ht="15.75" customHeight="1">
      <c r="A711" s="4">
        <v>2632.0</v>
      </c>
      <c r="B711" s="4" t="s">
        <v>1157</v>
      </c>
      <c r="C711" s="4" t="s">
        <v>183</v>
      </c>
      <c r="D711" s="4" t="s">
        <v>1177</v>
      </c>
      <c r="E711" s="4">
        <v>1.0</v>
      </c>
      <c r="F711" s="4" t="str">
        <f>IFERROR(__xludf.DUMMYFUNCTION("GOOGLETRANSLATE(D711)"),"這個人週二買了我的車，那天警察敲了我的門，因為他撞車後就跑了。第二天他傳簡訊給我要求不要發送日誌？？？？？？")</f>
        <v>這個人週二買了我的車，那天警察敲了我的門，因為他撞車後就跑了。第二天他傳簡訊給我要求不要發送日誌？？？？？？</v>
      </c>
      <c r="G711" s="4" t="str">
        <f>IFERROR(__xludf.DUMMYFUNCTION("GOOGLETRANSLATE(B711)"),"墜毀")</f>
        <v>墜毀</v>
      </c>
    </row>
    <row r="712" ht="15.75" customHeight="1">
      <c r="A712" s="4">
        <v>2633.0</v>
      </c>
      <c r="B712" s="4" t="s">
        <v>1157</v>
      </c>
      <c r="C712" s="4" t="s">
        <v>1178</v>
      </c>
      <c r="D712" s="4" t="s">
        <v>1179</v>
      </c>
      <c r="E712" s="4">
        <v>1.0</v>
      </c>
      <c r="F712" s="4" t="str">
        <f>IFERROR(__xludf.DUMMYFUNCTION("GOOGLETRANSLATE(D712)"),"MI-17 的穆扎米爾少校飛行員 Offr 今天在曼塞赫拉附近墜毀。願全能的上帝賜予家人力量來承受損失 http://t.co/EI1K01zAb3")</f>
        <v>MI-17 的穆扎米爾少校飛行員 Offr 今天在曼塞赫拉附近墜毀。願全能的上帝賜予家人力量來承受損失 http://t.co/EI1K01zAb3</v>
      </c>
      <c r="G712" s="4" t="str">
        <f>IFERROR(__xludf.DUMMYFUNCTION("GOOGLETRANSLATE(B712)"),"墜毀")</f>
        <v>墜毀</v>
      </c>
    </row>
    <row r="713" ht="15.75" customHeight="1">
      <c r="A713" s="4">
        <v>2637.0</v>
      </c>
      <c r="B713" s="4" t="s">
        <v>1157</v>
      </c>
      <c r="C713" s="4" t="s">
        <v>1180</v>
      </c>
      <c r="D713" s="4" t="s">
        <v>1181</v>
      </c>
      <c r="E713" s="4">
        <v>1.0</v>
      </c>
      <c r="F713" s="4" t="str">
        <f>IFERROR(__xludf.DUMMYFUNCTION("GOOGLETRANSLATE(D713)"),"軍方消息人士稱，直升機在曼塞赫拉附近墜毀，機上 12 人死亡，包括一組醫生。天氣似乎是墜機的原因")</f>
        <v>軍方消息人士稱，直升機在曼塞赫拉附近墜毀，機上 12 人死亡，包括一組醫生。天氣似乎是墜機的原因</v>
      </c>
      <c r="G713" s="4" t="str">
        <f>IFERROR(__xludf.DUMMYFUNCTION("GOOGLETRANSLATE(B713)"),"墜毀")</f>
        <v>墜毀</v>
      </c>
    </row>
    <row r="714" ht="15.75" customHeight="1">
      <c r="A714" s="4">
        <v>2647.0</v>
      </c>
      <c r="B714" s="4" t="s">
        <v>1157</v>
      </c>
      <c r="D714" s="4" t="s">
        <v>1182</v>
      </c>
      <c r="E714" s="4">
        <v>1.0</v>
      </c>
      <c r="F714" s="4" t="str">
        <f>IFERROR(__xludf.DUMMYFUNCTION("GOOGLETRANSLATE(D714)"),"f496D mhtw4fnet
巴基斯坦稱軍用直升機在該國西北部地區墜毀 - 福克斯新聞")</f>
        <v>f496D mhtw4fnet
巴基斯坦稱軍用直升機在該國西北部地區墜毀 - 福克斯新聞</v>
      </c>
      <c r="G714" s="4" t="str">
        <f>IFERROR(__xludf.DUMMYFUNCTION("GOOGLETRANSLATE(B714)"),"墜毀")</f>
        <v>墜毀</v>
      </c>
    </row>
    <row r="715" ht="15.75" customHeight="1">
      <c r="A715" s="4">
        <v>2648.0</v>
      </c>
      <c r="B715" s="4" t="s">
        <v>1157</v>
      </c>
      <c r="C715" s="4" t="s">
        <v>1183</v>
      </c>
      <c r="D715" s="4" t="s">
        <v>1184</v>
      </c>
      <c r="E715" s="4">
        <v>1.0</v>
      </c>
      <c r="F715" s="4" t="str">
        <f>IFERROR(__xludf.DUMMYFUNCTION("GOOGLETRANSLATE(D715)"),"TTW 今日新聞：拉登家庭飛機在「避開超輕型飛機並在跑道上著陸太遠」後墜毀 http://t.co/BUMzvmwAM3")</f>
        <v>TTW 今日新聞：拉登家庭飛機在「避開超輕型飛機並在跑道上著陸太遠」後墜毀 http://t.co/BUMzvmwAM3</v>
      </c>
      <c r="G715" s="4" t="str">
        <f>IFERROR(__xludf.DUMMYFUNCTION("GOOGLETRANSLATE(B715)"),"墜毀")</f>
        <v>墜毀</v>
      </c>
    </row>
    <row r="716" ht="15.75" customHeight="1">
      <c r="A716" s="4">
        <v>2649.0</v>
      </c>
      <c r="B716" s="4" t="s">
        <v>1157</v>
      </c>
      <c r="C716" s="4" t="s">
        <v>1185</v>
      </c>
      <c r="D716" s="4" t="s">
        <v>1186</v>
      </c>
      <c r="E716" s="4">
        <v>1.0</v>
      </c>
      <c r="F716" s="4" t="str">
        <f>IFERROR(__xludf.DUMMYFUNCTION("GOOGLETRANSLATE(D716)"),"第一次在廣播中聽到#SKH。差點把車撞壞了。 @5SOS @Ashton5SOS @Luke5SOS @Michael5SOS @Calum5SOS")</f>
        <v>第一次在廣播中聽到#SKH。差點把車撞壞了。 @5SOS @Ashton5SOS @Luke5SOS @Michael5SOS @Calum5SOS</v>
      </c>
      <c r="G716" s="4" t="str">
        <f>IFERROR(__xludf.DUMMYFUNCTION("GOOGLETRANSLATE(B716)"),"墜毀")</f>
        <v>墜毀</v>
      </c>
    </row>
    <row r="717" ht="15.75" customHeight="1">
      <c r="A717" s="4">
        <v>2651.0</v>
      </c>
      <c r="B717" s="4" t="s">
        <v>1157</v>
      </c>
      <c r="C717" s="4" t="s">
        <v>1187</v>
      </c>
      <c r="D717" s="4" t="s">
        <v>1188</v>
      </c>
      <c r="E717" s="4">
        <v>1.0</v>
      </c>
      <c r="F717" s="4" t="str">
        <f>IFERROR(__xludf.DUMMYFUNCTION("GOOGLETRANSLATE(D717)"),"MH370：完好無損的部分提升了飛機滑行而不墜入大海的可能性 http://t.co/8pdnHH6tzH")</f>
        <v>MH370：完好無損的部分提升了飛機滑行而不墜入大海的可能性 http://t.co/8pdnHH6tzH</v>
      </c>
      <c r="G717" s="4" t="str">
        <f>IFERROR(__xludf.DUMMYFUNCTION("GOOGLETRANSLATE(B717)"),"墜毀")</f>
        <v>墜毀</v>
      </c>
    </row>
    <row r="718" ht="15.75" customHeight="1">
      <c r="A718" s="4">
        <v>2657.0</v>
      </c>
      <c r="B718" s="4" t="s">
        <v>1189</v>
      </c>
      <c r="D718" s="4" t="s">
        <v>1190</v>
      </c>
      <c r="E718" s="4">
        <v>1.0</v>
      </c>
      <c r="F718" s="4" t="str">
        <f>IFERROR(__xludf.DUMMYFUNCTION("GOOGLETRANSLATE(D718)"),"'@jorrynja：6.@你的男朋友/女朋友/暗戀對象？？' @Ter_ell ??")</f>
        <v>'@jorrynja：6.@你的男朋友/女朋友/暗戀對象？？' @Ter_ell ??</v>
      </c>
      <c r="G718" s="4" t="str">
        <f>IFERROR(__xludf.DUMMYFUNCTION("GOOGLETRANSLATE(B718)"),"壓碎")</f>
        <v>壓碎</v>
      </c>
    </row>
    <row r="719" ht="15.75" customHeight="1">
      <c r="A719" s="4">
        <v>2664.0</v>
      </c>
      <c r="B719" s="4" t="s">
        <v>1189</v>
      </c>
      <c r="D719" s="4" t="s">
        <v>1191</v>
      </c>
      <c r="E719" s="4">
        <v>1.0</v>
      </c>
      <c r="F719" s="4" t="str">
        <f>IFERROR(__xludf.DUMMYFUNCTION("GOOGLETRANSLATE(D719)"),"伊娜·布特 (Ina Buted) 女孩迷戀？")</f>
        <v>伊娜·布特 (Ina Buted) 女孩迷戀？</v>
      </c>
      <c r="G719" s="4" t="str">
        <f>IFERROR(__xludf.DUMMYFUNCTION("GOOGLETRANSLATE(B719)"),"壓碎")</f>
        <v>壓碎</v>
      </c>
    </row>
    <row r="720" ht="15.75" customHeight="1">
      <c r="A720" s="4">
        <v>2675.0</v>
      </c>
      <c r="B720" s="4" t="s">
        <v>1189</v>
      </c>
      <c r="D720" s="4" t="s">
        <v>1192</v>
      </c>
      <c r="E720" s="4">
        <v>1.0</v>
      </c>
      <c r="F720" s="4" t="str">
        <f>IFERROR(__xludf.DUMMYFUNCTION("GOOGLETRANSLATE(D720)"),"羅恩與Fez - 戴夫的高中迷戀 https://t.co/aN3W16c8F6 來自 @YouTube")</f>
        <v>羅恩與Fez - 戴夫的高中迷戀 https://t.co/aN3W16c8F6 來自 @YouTube</v>
      </c>
      <c r="G720" s="4" t="str">
        <f>IFERROR(__xludf.DUMMYFUNCTION("GOOGLETRANSLATE(B720)"),"壓碎")</f>
        <v>壓碎</v>
      </c>
    </row>
    <row r="721" ht="15.75" customHeight="1">
      <c r="A721" s="4">
        <v>2692.0</v>
      </c>
      <c r="B721" s="4" t="s">
        <v>1189</v>
      </c>
      <c r="C721" s="4" t="s">
        <v>1193</v>
      </c>
      <c r="D721" s="4" t="s">
        <v>1194</v>
      </c>
      <c r="E721" s="4">
        <v>1.0</v>
      </c>
      <c r="F721" s="4" t="str">
        <f>IFERROR(__xludf.DUMMYFUNCTION("GOOGLETRANSLATE(D721)"),"Sevenfigz 迷戀：http://t.co/20B3PnQxMD")</f>
        <v>Sevenfigz 迷戀：http://t.co/20B3PnQxMD</v>
      </c>
      <c r="G721" s="4" t="str">
        <f>IFERROR(__xludf.DUMMYFUNCTION("GOOGLETRANSLATE(B721)"),"壓碎")</f>
        <v>壓碎</v>
      </c>
    </row>
    <row r="722" ht="15.75" customHeight="1">
      <c r="A722" s="4">
        <v>2720.0</v>
      </c>
      <c r="B722" s="4" t="s">
        <v>1195</v>
      </c>
      <c r="C722" s="4" t="s">
        <v>1196</v>
      </c>
      <c r="D722" s="4" t="s">
        <v>1197</v>
      </c>
      <c r="E722" s="4">
        <v>1.0</v>
      </c>
      <c r="F722" s="4" t="str">
        <f>IFERROR(__xludf.DUMMYFUNCTION("GOOGLETRANSLATE(D722)"),"男子被自己的車壓死 http://t.co/CrPO9DkW9v")</f>
        <v>男子被自己的車壓死 http://t.co/CrPO9DkW9v</v>
      </c>
      <c r="G722" s="4" t="str">
        <f>IFERROR(__xludf.DUMMYFUNCTION("GOOGLETRANSLATE(B722)"),"碎")</f>
        <v>碎</v>
      </c>
    </row>
    <row r="723" ht="15.75" customHeight="1">
      <c r="A723" s="4">
        <v>2723.0</v>
      </c>
      <c r="B723" s="4" t="s">
        <v>1195</v>
      </c>
      <c r="C723" s="4" t="s">
        <v>1198</v>
      </c>
      <c r="D723" s="4" t="s">
        <v>1199</v>
      </c>
      <c r="E723" s="4">
        <v>1.0</v>
      </c>
      <c r="F723" s="4" t="str">
        <f>IFERROR(__xludf.DUMMYFUNCTION("GOOGLETRANSLATE(D723)"),"鑽石只是一塊能夠很好地應對壓力的木炭。我們四面楚歌，但並未被壓垮。2 cor4:8")</f>
        <v>鑽石只是一塊能夠很好地應對壓力的木炭。我們四面楚歌，但並未被壓垮。2 cor4:8</v>
      </c>
      <c r="G723" s="4" t="str">
        <f>IFERROR(__xludf.DUMMYFUNCTION("GOOGLETRANSLATE(B723)"),"碎")</f>
        <v>碎</v>
      </c>
    </row>
    <row r="724" ht="15.75" customHeight="1">
      <c r="A724" s="4">
        <v>2740.0</v>
      </c>
      <c r="B724" s="4" t="s">
        <v>1195</v>
      </c>
      <c r="D724" s="4" t="s">
        <v>1200</v>
      </c>
      <c r="E724" s="4">
        <v>1.0</v>
      </c>
      <c r="F724" s="4" t="str">
        <f>IFERROR(__xludf.DUMMYFUNCTION("GOOGLETRANSLATE(D724)"),"被壓碎的聖鉬。")</f>
        <v>被壓碎的聖鉬。</v>
      </c>
      <c r="G724" s="4" t="str">
        <f>IFERROR(__xludf.DUMMYFUNCTION("GOOGLETRANSLATE(B724)"),"碎")</f>
        <v>碎</v>
      </c>
    </row>
    <row r="725" ht="15.75" customHeight="1">
      <c r="A725" s="4">
        <v>2743.0</v>
      </c>
      <c r="B725" s="4" t="s">
        <v>1195</v>
      </c>
      <c r="D725" s="4" t="s">
        <v>1201</v>
      </c>
      <c r="E725" s="4">
        <v>1.0</v>
      </c>
      <c r="F725" s="4" t="str">
        <f>IFERROR(__xludf.DUMMYFUNCTION("GOOGLETRANSLATE(D725)"),"很多 YouTube 評論者說，如果多斯拉克人來到維斯特洛，他們就會被壓垮……不，兄弟，你低估了多斯拉克人")</f>
        <v>很多 YouTube 評論者說，如果多斯拉克人來到維斯特洛，他們就會被壓垮……不，兄弟，你低估了多斯拉克人</v>
      </c>
      <c r="G725" s="4" t="str">
        <f>IFERROR(__xludf.DUMMYFUNCTION("GOOGLETRANSLATE(B725)"),"碎")</f>
        <v>碎</v>
      </c>
    </row>
    <row r="726" ht="15.75" customHeight="1">
      <c r="A726" s="4">
        <v>2755.0</v>
      </c>
      <c r="B726" s="4" t="s">
        <v>1202</v>
      </c>
      <c r="C726" s="4" t="s">
        <v>1203</v>
      </c>
      <c r="D726" s="4" t="s">
        <v>1204</v>
      </c>
      <c r="E726" s="4">
        <v>1.0</v>
      </c>
      <c r="F726" s="4" t="str">
        <f>IFERROR(__xludf.DUMMYFUNCTION("GOOGLETRANSLATE(D726)"),"ARA 新聞報導 JaN 武裝分子滲透到阿夫林的阿什拉菲耶區，旨在實施自殺式襲擊。 YPG已實施宵禁")</f>
        <v>ARA 新聞報導 JaN 武裝分子滲透到阿夫林的阿什拉菲耶區，旨在實施自殺式襲擊。 YPG已實施宵禁</v>
      </c>
      <c r="G726" s="4" t="str">
        <f>IFERROR(__xludf.DUMMYFUNCTION("GOOGLETRANSLATE(B726)"),"宵禁")</f>
        <v>宵禁</v>
      </c>
    </row>
    <row r="727" ht="15.75" customHeight="1">
      <c r="A727" s="4">
        <v>2760.0</v>
      </c>
      <c r="B727" s="4" t="s">
        <v>1202</v>
      </c>
      <c r="C727" s="4" t="s">
        <v>1205</v>
      </c>
      <c r="D727" s="4" t="s">
        <v>1206</v>
      </c>
      <c r="E727" s="4">
        <v>1.0</v>
      </c>
      <c r="F727" s="4" t="str">
        <f>IFERROR(__xludf.DUMMYFUNCTION("GOOGLETRANSLATE(D727)"),"警方：因埃文斯頓違反宵禁而被捕的青少年騎著偷來的自行車：兩名青少年被帶入監獄...#Chicago #news")</f>
        <v>警方：因埃文斯頓違反宵禁而被捕的青少年騎著偷來的自行車：兩名青少年被帶入監獄...#Chicago #news</v>
      </c>
      <c r="G727" s="4" t="str">
        <f>IFERROR(__xludf.DUMMYFUNCTION("GOOGLETRANSLATE(B727)"),"宵禁")</f>
        <v>宵禁</v>
      </c>
    </row>
    <row r="728" ht="15.75" customHeight="1">
      <c r="A728" s="4">
        <v>2774.0</v>
      </c>
      <c r="B728" s="4" t="s">
        <v>1202</v>
      </c>
      <c r="C728" s="4" t="s">
        <v>1207</v>
      </c>
      <c r="D728" s="4" t="s">
        <v>1208</v>
      </c>
      <c r="E728" s="4">
        <v>1.0</v>
      </c>
      <c r="F728" s="4" t="str">
        <f>IFERROR(__xludf.DUMMYFUNCTION("GOOGLETRANSLATE(D728)"),"@emmychappy 因為現在是 12 點了，我媽媽說由於宵禁，每個人都必須回家。")</f>
        <v>@emmychappy 因為現在是 12 點了，我媽媽說由於宵禁，每個人都必須回家。</v>
      </c>
      <c r="G728" s="4" t="str">
        <f>IFERROR(__xludf.DUMMYFUNCTION("GOOGLETRANSLATE(B728)"),"宵禁")</f>
        <v>宵禁</v>
      </c>
    </row>
    <row r="729" ht="15.75" customHeight="1">
      <c r="A729" s="4">
        <v>2780.0</v>
      </c>
      <c r="B729" s="4" t="s">
        <v>1202</v>
      </c>
      <c r="D729" s="4" t="s">
        <v>1209</v>
      </c>
      <c r="E729" s="4">
        <v>1.0</v>
      </c>
      <c r="F729" s="4" t="str">
        <f>IFERROR(__xludf.DUMMYFUNCTION("GOOGLETRANSLATE(D729)"),"@ScotRail 我看到他們對宵禁期間喝酒抽煙的傢伙視而不見，因為“不值得這麼麻煩”")</f>
        <v>@ScotRail 我看到他們對宵禁期間喝酒抽煙的傢伙視而不見，因為“不值得這麼麻煩”</v>
      </c>
      <c r="G729" s="4" t="str">
        <f>IFERROR(__xludf.DUMMYFUNCTION("GOOGLETRANSLATE(B729)"),"宵禁")</f>
        <v>宵禁</v>
      </c>
    </row>
    <row r="730" ht="15.75" customHeight="1">
      <c r="A730" s="4">
        <v>2782.0</v>
      </c>
      <c r="B730" s="4" t="s">
        <v>1202</v>
      </c>
      <c r="C730" s="4" t="s">
        <v>1210</v>
      </c>
      <c r="D730" s="4" t="s">
        <v>1211</v>
      </c>
      <c r="E730" s="4">
        <v>1.0</v>
      </c>
      <c r="F730" s="4" t="str">
        <f>IFERROR(__xludf.DUMMYFUNCTION("GOOGLETRANSLATE(D730)"),"明年五月我將擺脫學校的束縛，擺脫家庭之類的義務……最棒的是那該死的宵禁……")</f>
        <v>明年五月我將擺脫學校的束縛，擺脫家庭之類的義務……最棒的是那該死的宵禁……</v>
      </c>
      <c r="G730" s="4" t="str">
        <f>IFERROR(__xludf.DUMMYFUNCTION("GOOGLETRANSLATE(B730)"),"宵禁")</f>
        <v>宵禁</v>
      </c>
    </row>
    <row r="731" ht="15.75" customHeight="1">
      <c r="A731" s="4">
        <v>2807.0</v>
      </c>
      <c r="B731" s="4" t="s">
        <v>1212</v>
      </c>
      <c r="C731" s="4" t="s">
        <v>1213</v>
      </c>
      <c r="D731" s="4" t="s">
        <v>1214</v>
      </c>
      <c r="E731" s="4">
        <v>1.0</v>
      </c>
      <c r="F731" s="4" t="str">
        <f>IFERROR(__xludf.DUMMYFUNCTION("GOOGLETRANSLATE(D731)"),"“十大聯盟有一年一度的足球媒體日，但在我們開始討論之前，這裡有一些旋風籃球招募掘金”")</f>
        <v>“十大聯盟有一年一度的足球媒體日，但在我們開始討論之前，這裡有一些旋風籃球招募掘金”</v>
      </c>
      <c r="G731" s="4" t="str">
        <f>IFERROR(__xludf.DUMMYFUNCTION("GOOGLETRANSLATE(B731)"),"氣旋")</f>
        <v>氣旋</v>
      </c>
    </row>
    <row r="732" ht="15.75" customHeight="1">
      <c r="A732" s="4">
        <v>2813.0</v>
      </c>
      <c r="B732" s="4" t="s">
        <v>1212</v>
      </c>
      <c r="C732" s="4" t="s">
        <v>1215</v>
      </c>
      <c r="D732" s="4" t="s">
        <v>1216</v>
      </c>
      <c r="E732" s="4">
        <v>1.0</v>
      </c>
      <c r="F732" s="4" t="str">
        <f>IFERROR(__xludf.DUMMYFUNCTION("GOOGLETRANSLATE(D732)"),"關島附近正在形成新的熱帶氣旋。
一旦形成，它將被稱為“Molave”。")</f>
        <v>關島附近正在形成新的熱帶氣旋。
一旦形成，它將被稱為“Molave”。</v>
      </c>
      <c r="G732" s="4" t="str">
        <f>IFERROR(__xludf.DUMMYFUNCTION("GOOGLETRANSLATE(B732)"),"氣旋")</f>
        <v>氣旋</v>
      </c>
    </row>
    <row r="733" ht="15.75" customHeight="1">
      <c r="A733" s="4">
        <v>2817.0</v>
      </c>
      <c r="B733" s="4" t="s">
        <v>1212</v>
      </c>
      <c r="D733" s="4" t="s">
        <v>1217</v>
      </c>
      <c r="E733" s="4">
        <v>1.0</v>
      </c>
      <c r="F733" s="4" t="str">
        <f>IFERROR(__xludf.DUMMYFUNCTION("GOOGLETRANSLATE(D733)"),"@XHNews 在氣旋季節我們需要在太平洋種植這些植物，這會有所幫助")</f>
        <v>@XHNews 在氣旋季節我們需要在太平洋種植這些植物，這會有所幫助</v>
      </c>
      <c r="G733" s="4" t="str">
        <f>IFERROR(__xludf.DUMMYFUNCTION("GOOGLETRANSLATE(B733)"),"氣旋")</f>
        <v>氣旋</v>
      </c>
    </row>
    <row r="734" ht="15.75" customHeight="1">
      <c r="A734" s="4">
        <v>2819.0</v>
      </c>
      <c r="B734" s="4" t="s">
        <v>1212</v>
      </c>
      <c r="D734" s="4" t="s">
        <v>1218</v>
      </c>
      <c r="E734" s="4">
        <v>1.0</v>
      </c>
      <c r="F734" s="4" t="str">
        <f>IFERROR(__xludf.DUMMYFUNCTION("GOOGLETRANSLATE(D734)"),"BBC 被迫撤回有關氣旋 Pam 的虛假聲明 http://t.co/tbbObvCotj 透過 @wordpressdotcom")</f>
        <v>BBC 被迫撤回有關氣旋 Pam 的虛假聲明 http://t.co/tbbObvCotj 透過 @wordpressdotcom</v>
      </c>
      <c r="G734" s="4" t="str">
        <f>IFERROR(__xludf.DUMMYFUNCTION("GOOGLETRANSLATE(B734)"),"氣旋")</f>
        <v>氣旋</v>
      </c>
    </row>
    <row r="735" ht="15.75" customHeight="1">
      <c r="A735" s="4">
        <v>2820.0</v>
      </c>
      <c r="B735" s="4" t="s">
        <v>1212</v>
      </c>
      <c r="D735" s="4" t="s">
        <v>1219</v>
      </c>
      <c r="E735" s="4">
        <v>1.0</v>
      </c>
      <c r="F735" s="4" t="str">
        <f>IFERROR(__xludf.DUMMYFUNCTION("GOOGLETRANSLATE(D735)"),"狀況良好 Easton Cyclone 壘球棒快投 (-9) 29/20 SK398 http://t.co/rA2mAjPkq2 http://t.co/y7gHHYK05b")</f>
        <v>狀況良好 Easton Cyclone 壘球棒快投 (-9) 29/20 SK398 http://t.co/rA2mAjPkq2 http://t.co/y7gHHYK05b</v>
      </c>
      <c r="G735" s="4" t="str">
        <f>IFERROR(__xludf.DUMMYFUNCTION("GOOGLETRANSLATE(B735)"),"氣旋")</f>
        <v>氣旋</v>
      </c>
    </row>
    <row r="736" ht="15.75" customHeight="1">
      <c r="A736" s="4">
        <v>2821.0</v>
      </c>
      <c r="B736" s="4" t="s">
        <v>1212</v>
      </c>
      <c r="C736" s="4" t="s">
        <v>1220</v>
      </c>
      <c r="D736" s="4" t="s">
        <v>1221</v>
      </c>
      <c r="E736" s="4">
        <v>1.0</v>
      </c>
      <c r="F736" s="4" t="str">
        <f>IFERROR(__xludf.DUMMYFUNCTION("GOOGLETRANSLATE(D736)"),"惡劣天氣公告第 5 號
致：颱風 ÛÏ#HannaPHÛ (SOUDELOR)
熱帶氣旋：警告
於 06 年下午 5:00 發佈... http://t.co/qHwE5K7xUW")</f>
        <v>惡劣天氣公告第 5 號
致：颱風 ÛÏ#HannaPHÛ (SOUDELOR)
熱帶氣旋：警告
於 06 年下午 5:00 發佈... http://t.co/qHwE5K7xUW</v>
      </c>
      <c r="G736" s="4" t="str">
        <f>IFERROR(__xludf.DUMMYFUNCTION("GOOGLETRANSLATE(B736)"),"氣旋")</f>
        <v>氣旋</v>
      </c>
    </row>
    <row r="737" ht="15.75" customHeight="1">
      <c r="A737" s="4">
        <v>2822.0</v>
      </c>
      <c r="B737" s="4" t="s">
        <v>1212</v>
      </c>
      <c r="C737" s="4" t="s">
        <v>620</v>
      </c>
      <c r="D737" s="4" t="s">
        <v>1222</v>
      </c>
      <c r="E737" s="4">
        <v>1.0</v>
      </c>
      <c r="F737" s="4" t="str">
        <f>IFERROR(__xludf.DUMMYFUNCTION("GOOGLETRANSLATE(D737)"),"「旋風的力量來自於平靜的中心。一個人也是如此。 ——諾曼‧文森‧皮爾")</f>
        <v>「旋風的力量來自於平靜的中心。一個人也是如此。 ——諾曼‧文森‧皮爾</v>
      </c>
      <c r="G737" s="4" t="str">
        <f>IFERROR(__xludf.DUMMYFUNCTION("GOOGLETRANSLATE(B737)"),"氣旋")</f>
        <v>氣旋</v>
      </c>
    </row>
    <row r="738" ht="15.75" customHeight="1">
      <c r="A738" s="4">
        <v>2825.0</v>
      </c>
      <c r="B738" s="4" t="s">
        <v>1212</v>
      </c>
      <c r="C738" s="4" t="s">
        <v>1223</v>
      </c>
      <c r="D738" s="4" t="s">
        <v>1224</v>
      </c>
      <c r="E738" s="4">
        <v>1.0</v>
      </c>
      <c r="F738" s="4" t="str">
        <f>IFERROR(__xludf.DUMMYFUNCTION("GOOGLETRANSLATE(D738)"),"@roughdeal1 ante hudhud 旋風 Chandrababu Valley 和 ante Ga？")</f>
        <v>@roughdeal1 ante hudhud 旋風 Chandrababu Valley 和 ante Ga？</v>
      </c>
      <c r="G738" s="4" t="str">
        <f>IFERROR(__xludf.DUMMYFUNCTION("GOOGLETRANSLATE(B738)"),"氣旋")</f>
        <v>氣旋</v>
      </c>
    </row>
    <row r="739" ht="15.75" customHeight="1">
      <c r="A739" s="4">
        <v>2826.0</v>
      </c>
      <c r="B739" s="4" t="s">
        <v>1212</v>
      </c>
      <c r="C739" s="4" t="s">
        <v>1225</v>
      </c>
      <c r="D739" s="4" t="s">
        <v>1226</v>
      </c>
      <c r="E739" s="4">
        <v>1.0</v>
      </c>
      <c r="F739" s="4" t="str">
        <f>IFERROR(__xludf.DUMMYFUNCTION("GOOGLETRANSLATE(D739)"),"本週，颶風「科門」摧毀了緬甸的家庭。我們今天需要幫助他們：http://t.co/fCujsIOyQO")</f>
        <v>本週，颶風「科門」摧毀了緬甸的家庭。我們今天需要幫助他們：http://t.co/fCujsIOyQO</v>
      </c>
      <c r="G739" s="4" t="str">
        <f>IFERROR(__xludf.DUMMYFUNCTION("GOOGLETRANSLATE(B739)"),"氣旋")</f>
        <v>氣旋</v>
      </c>
    </row>
    <row r="740" ht="15.75" customHeight="1">
      <c r="A740" s="4">
        <v>2827.0</v>
      </c>
      <c r="B740" s="4" t="s">
        <v>1212</v>
      </c>
      <c r="C740" s="4" t="s">
        <v>1227</v>
      </c>
      <c r="D740" s="4" t="s">
        <v>1228</v>
      </c>
      <c r="E740" s="4">
        <v>1.0</v>
      </c>
      <c r="F740" s="4" t="str">
        <f>IFERROR(__xludf.DUMMYFUNCTION("GOOGLETRANSLATE(D740)"),"惡劣天氣公告 #6
熱帶氣旋警告：颱風“漢娜”
晚上 11:00 發布8 月 6 日星期四... http://t.co/FQV47OB8gE")</f>
        <v>惡劣天氣公告 #6
熱帶氣旋警告：颱風“漢娜”
晚上 11:00 發布8 月 6 日星期四... http://t.co/FQV47OB8gE</v>
      </c>
      <c r="G740" s="4" t="str">
        <f>IFERROR(__xludf.DUMMYFUNCTION("GOOGLETRANSLATE(B740)"),"氣旋")</f>
        <v>氣旋</v>
      </c>
    </row>
    <row r="741" ht="15.75" customHeight="1">
      <c r="A741" s="4">
        <v>2828.0</v>
      </c>
      <c r="B741" s="4" t="s">
        <v>1212</v>
      </c>
      <c r="C741" s="4" t="s">
        <v>1229</v>
      </c>
      <c r="D741" s="4" t="s">
        <v>1230</v>
      </c>
      <c r="E741" s="4">
        <v>1.0</v>
      </c>
      <c r="F741" s="4" t="str">
        <f>IFERROR(__xludf.DUMMYFUNCTION("GOOGLETRANSLATE(D741)"),"回到#瓦努阿圖的未來，旋風帕姆如何鼓勵傳統生活方式：
http://t.co/aFMKcFn1TL http://t.co/6QZXFK2LFS")</f>
        <v>回到#瓦努阿圖的未來，旋風帕姆如何鼓勵傳統生活方式：
http://t.co/aFMKcFn1TL http://t.co/6QZXFK2LFS</v>
      </c>
      <c r="G741" s="4" t="str">
        <f>IFERROR(__xludf.DUMMYFUNCTION("GOOGLETRANSLATE(B741)"),"氣旋")</f>
        <v>氣旋</v>
      </c>
    </row>
    <row r="742" ht="15.75" customHeight="1">
      <c r="A742" s="4">
        <v>2831.0</v>
      </c>
      <c r="B742" s="4" t="s">
        <v>1212</v>
      </c>
      <c r="C742" s="4" t="s">
        <v>1231</v>
      </c>
      <c r="D742" s="4" t="s">
        <v>1232</v>
      </c>
      <c r="E742" s="4">
        <v>1.0</v>
      </c>
      <c r="F742" s="4" t="str">
        <f>IFERROR(__xludf.DUMMYFUNCTION("GOOGLETRANSLATE(D742)"),"BBC 被迫撤回有關氣旋 Pam 的虛假聲明 http://t.co/ciHC8Nrc9h via @wordpressdotcom")</f>
        <v>BBC 被迫撤回有關氣旋 Pam 的虛假聲明 http://t.co/ciHC8Nrc9h via @wordpressdotcom</v>
      </c>
      <c r="G742" s="4" t="str">
        <f>IFERROR(__xludf.DUMMYFUNCTION("GOOGLETRANSLATE(B742)"),"氣旋")</f>
        <v>氣旋</v>
      </c>
    </row>
    <row r="743" ht="15.75" customHeight="1">
      <c r="A743" s="4">
        <v>2832.0</v>
      </c>
      <c r="B743" s="4" t="s">
        <v>1212</v>
      </c>
      <c r="C743" s="4" t="s">
        <v>1233</v>
      </c>
      <c r="D743" s="4" t="s">
        <v>1234</v>
      </c>
      <c r="E743" s="4">
        <v>1.0</v>
      </c>
      <c r="F743" s="4" t="str">
        <f>IFERROR(__xludf.DUMMYFUNCTION("GOOGLETRANSLATE(D743)"),"天賦：誤導旋風傳球點燃傳球消失驅動幻影射擊#KurokoBot")</f>
        <v>天賦：誤導旋風傳球點燃傳球消失驅動幻影射擊#KurokoBot</v>
      </c>
      <c r="G743" s="4" t="str">
        <f>IFERROR(__xludf.DUMMYFUNCTION("GOOGLETRANSLATE(B743)"),"氣旋")</f>
        <v>氣旋</v>
      </c>
    </row>
    <row r="744" ht="15.75" customHeight="1">
      <c r="A744" s="4">
        <v>2833.0</v>
      </c>
      <c r="B744" s="4" t="s">
        <v>1212</v>
      </c>
      <c r="C744" s="4" t="s">
        <v>1235</v>
      </c>
      <c r="D744" s="4" t="s">
        <v>1236</v>
      </c>
      <c r="E744" s="4">
        <v>1.0</v>
      </c>
      <c r="F744" s="4" t="str">
        <f>IFERROR(__xludf.DUMMYFUNCTION("GOOGLETRANSLATE(D744)"),"現在#ComDev #Asia：#Bangladesh 的廣播電台正在廣播#programs？以應對即將到來的颶風#komen http://t.co/iOVr4yMLKp")</f>
        <v>現在#ComDev #Asia：#Bangladesh 的廣播電台正在廣播#programs？以應對即將到來的颶風#komen http://t.co/iOVr4yMLKp</v>
      </c>
      <c r="G744" s="4" t="str">
        <f>IFERROR(__xludf.DUMMYFUNCTION("GOOGLETRANSLATE(B744)"),"氣旋")</f>
        <v>氣旋</v>
      </c>
    </row>
    <row r="745" ht="15.75" customHeight="1">
      <c r="A745" s="4">
        <v>2835.0</v>
      </c>
      <c r="B745" s="4" t="s">
        <v>1212</v>
      </c>
      <c r="C745" s="4" t="s">
        <v>1237</v>
      </c>
      <c r="D745" s="4" t="s">
        <v>1238</v>
      </c>
      <c r="E745" s="4">
        <v>1.0</v>
      </c>
      <c r="F745" s="4" t="str">
        <f>IFERROR(__xludf.DUMMYFUNCTION("GOOGLETRANSLATE(D745)"),"帝國主義像旋風一樣席捲全球；軍國主義像... http://t.co/n3VbTC6NCa 一樣壓垮人民並吸乾他們的血液")</f>
        <v>帝國主義像旋風一樣席捲全球；軍國主義像... http://t.co/n3VbTC6NCa 一樣壓垮人民並吸乾他們的血液</v>
      </c>
      <c r="G745" s="4" t="str">
        <f>IFERROR(__xludf.DUMMYFUNCTION("GOOGLETRANSLATE(B745)"),"氣旋")</f>
        <v>氣旋</v>
      </c>
    </row>
    <row r="746" ht="15.75" customHeight="1">
      <c r="A746" s="4">
        <v>2841.0</v>
      </c>
      <c r="B746" s="4" t="s">
        <v>1212</v>
      </c>
      <c r="D746" s="4" t="s">
        <v>1239</v>
      </c>
      <c r="E746" s="4">
        <v>1.0</v>
      </c>
      <c r="F746" s="4" t="str">
        <f>IFERROR(__xludf.DUMMYFUNCTION("GOOGLETRANSLATE(D746)"),"1970 Mercury Cyclone GT 四分之一面板 D/S 後裝飾成型 Cobra Jet 429CJ http://t.co/wqUL8pG5Px http://t.co/4ykXt3kd62")</f>
        <v>1970 Mercury Cyclone GT 四分之一面板 D/S 後裝飾成型 Cobra Jet 429CJ http://t.co/wqUL8pG5Px http://t.co/4ykXt3kd62</v>
      </c>
      <c r="G746" s="4" t="str">
        <f>IFERROR(__xludf.DUMMYFUNCTION("GOOGLETRANSLATE(B746)"),"氣旋")</f>
        <v>氣旋</v>
      </c>
    </row>
    <row r="747" ht="15.75" customHeight="1">
      <c r="A747" s="4">
        <v>2842.0</v>
      </c>
      <c r="B747" s="4" t="s">
        <v>1212</v>
      </c>
      <c r="D747" s="4" t="s">
        <v>1240</v>
      </c>
      <c r="E747" s="4">
        <v>1.0</v>
      </c>
      <c r="F747" s="4" t="str">
        <f>IFERROR(__xludf.DUMMYFUNCTION("GOOGLETRANSLATE(D747)"),"[熱帶氣旋資訊] SOUDELOR 945hPa 最大風速：45m/s 最大陣風速度：60m/s http://t.co/nBD5oT9iEW")</f>
        <v>[熱帶氣旋資訊] SOUDELOR 945hPa 最大風速：45m/s 最大陣風速度：60m/s http://t.co/nBD5oT9iEW</v>
      </c>
      <c r="G747" s="4" t="str">
        <f>IFERROR(__xludf.DUMMYFUNCTION("GOOGLETRANSLATE(B747)"),"氣旋")</f>
        <v>氣旋</v>
      </c>
    </row>
    <row r="748" ht="15.75" customHeight="1">
      <c r="A748" s="4">
        <v>2849.0</v>
      </c>
      <c r="B748" s="4" t="s">
        <v>1212</v>
      </c>
      <c r="D748" s="4" t="s">
        <v>1241</v>
      </c>
      <c r="E748" s="4">
        <v>1.0</v>
      </c>
      <c r="F748" s="4" t="str">
        <f>IFERROR(__xludf.DUMMYFUNCTION("GOOGLETRANSLATE(D748)"),"糧食計劃署 - 糧食計劃署在熱帶氣旋科門之後向 165000 名孟加拉國洪水災民提供糧食：達卡 ÛÒ聯合國... http://t.co/fukbBeDfGx")</f>
        <v>糧食計劃署 - 糧食計劃署在熱帶氣旋科門之後向 165000 名孟加拉國洪水災民提供糧食：達卡 ÛÒ聯合國... http://t.co/fukbBeDfGx</v>
      </c>
      <c r="G748" s="4" t="str">
        <f>IFERROR(__xludf.DUMMYFUNCTION("GOOGLETRANSLATE(B748)"),"氣旋")</f>
        <v>氣旋</v>
      </c>
    </row>
    <row r="749" ht="15.75" customHeight="1">
      <c r="A749" s="4">
        <v>2851.0</v>
      </c>
      <c r="B749" s="4" t="s">
        <v>1212</v>
      </c>
      <c r="D749" s="4" t="s">
        <v>1242</v>
      </c>
      <c r="E749" s="4">
        <v>1.0</v>
      </c>
      <c r="F749" s="4" t="str">
        <f>IFERROR(__xludf.DUMMYFUNCTION("GOOGLETRANSLATE(D749)"),"布迪當東巴扎爾地區 #Kyee NockThie 村莊的#羅興亞人房屋在颶風@KasitaRoch @VivianUNHCR 中嚴重受損")</f>
        <v>布迪當東巴扎爾地區 #Kyee NockThie 村莊的#羅興亞人房屋在颶風@KasitaRoch @VivianUNHCR 中嚴重受損</v>
      </c>
      <c r="G749" s="4" t="str">
        <f>IFERROR(__xludf.DUMMYFUNCTION("GOOGLETRANSLATE(B749)"),"氣旋")</f>
        <v>氣旋</v>
      </c>
    </row>
    <row r="750" ht="15.75" customHeight="1">
      <c r="A750" s="4">
        <v>2857.0</v>
      </c>
      <c r="B750" s="4" t="s">
        <v>1243</v>
      </c>
      <c r="C750" s="4" t="s">
        <v>1244</v>
      </c>
      <c r="D750" s="4" t="s">
        <v>1245</v>
      </c>
      <c r="E750" s="4">
        <v>1.0</v>
      </c>
      <c r="F750" s="4" t="str">
        <f>IFERROR(__xludf.DUMMYFUNCTION("GOOGLETRANSLATE(D750)"),"僅供參考：；意外財產損失；3460 LIMESTONE LN；COL；YELLOWSTONE WAY；FIELDSTONE DR；08/05/2015 19:36:35")</f>
        <v>僅供參考：；意外財產損失；3460 LIMESTONE LN；COL；YELLOWSTONE WAY；FIELDSTONE DR；08/05/2015 19:36:35</v>
      </c>
      <c r="G750" s="4" t="str">
        <f>IFERROR(__xludf.DUMMYFUNCTION("GOOGLETRANSLATE(B750)"),"損害")</f>
        <v>損害</v>
      </c>
    </row>
    <row r="751" ht="15.75" customHeight="1">
      <c r="A751" s="4">
        <v>2863.0</v>
      </c>
      <c r="B751" s="4" t="s">
        <v>1243</v>
      </c>
      <c r="C751" s="4" t="s">
        <v>1246</v>
      </c>
      <c r="D751" s="4" t="s">
        <v>1247</v>
      </c>
      <c r="E751" s="4">
        <v>1.0</v>
      </c>
      <c r="F751" s="4" t="str">
        <f>IFERROR(__xludf.DUMMYFUNCTION("GOOGLETRANSLATE(D751)"),"已清除：紐約 100 號#NY35 EB 發生財產損失事故")</f>
        <v>已清除：紐約 100 號#NY35 EB 發生財產損失事故</v>
      </c>
      <c r="G751" s="4" t="str">
        <f>IFERROR(__xludf.DUMMYFUNCTION("GOOGLETRANSLATE(B751)"),"損害")</f>
        <v>損害</v>
      </c>
    </row>
    <row r="752" ht="15.75" customHeight="1">
      <c r="A752" s="4">
        <v>2869.0</v>
      </c>
      <c r="B752" s="4" t="s">
        <v>1243</v>
      </c>
      <c r="C752" s="4" t="s">
        <v>1248</v>
      </c>
      <c r="D752" s="4" t="s">
        <v>1249</v>
      </c>
      <c r="E752" s="4">
        <v>1.0</v>
      </c>
      <c r="F752" s="4" t="str">
        <f>IFERROR(__xludf.DUMMYFUNCTION("GOOGLETRANSLATE(D752)"),"據報導西田納西州遭受風暴破壞 http://t.co/90L2lB5WMr")</f>
        <v>據報導西田納西州遭受風暴破壞 http://t.co/90L2lB5WMr</v>
      </c>
      <c r="G752" s="4" t="str">
        <f>IFERROR(__xludf.DUMMYFUNCTION("GOOGLETRANSLATE(B752)"),"損害")</f>
        <v>損害</v>
      </c>
    </row>
    <row r="753" ht="15.75" customHeight="1">
      <c r="A753" s="4">
        <v>2870.0</v>
      </c>
      <c r="B753" s="4" t="s">
        <v>1243</v>
      </c>
      <c r="C753" s="4" t="s">
        <v>1250</v>
      </c>
      <c r="D753" s="4" t="s">
        <v>1251</v>
      </c>
      <c r="E753" s="4">
        <v>1.0</v>
      </c>
      <c r="F753" s="4" t="str">
        <f>IFERROR(__xludf.DUMMYFUNCTION("GOOGLETRANSLATE(D753)"),"嘿，#Royals 喜歡用 2 個出局造成傷害。")</f>
        <v>嘿，#Royals 喜歡用 2 個出局造成傷害。</v>
      </c>
      <c r="G753" s="4" t="str">
        <f>IFERROR(__xludf.DUMMYFUNCTION("GOOGLETRANSLATE(B753)"),"損害")</f>
        <v>損害</v>
      </c>
    </row>
    <row r="754" ht="15.75" customHeight="1">
      <c r="A754" s="4">
        <v>2871.0</v>
      </c>
      <c r="B754" s="4" t="s">
        <v>1243</v>
      </c>
      <c r="C754" s="4" t="s">
        <v>1252</v>
      </c>
      <c r="D754" s="4" t="s">
        <v>1253</v>
      </c>
      <c r="E754" s="4">
        <v>1.0</v>
      </c>
      <c r="F754" s="4" t="str">
        <f>IFERROR(__xludf.DUMMYFUNCTION("GOOGLETRANSLATE(D754)"),"@Drothvader @CM_Nevalistis 你可以保留這個！！！！阿拉奇斯
    [2 件] - 現在造成 4000% 武器傷害（原 2500%）")</f>
        <v>@Drothvader @CM_Nevalistis 你可以保留這個！！！！阿拉奇斯
    [2 件] - 現在造成 4000% 武器傷害（原 2500%）</v>
      </c>
      <c r="G754" s="4" t="str">
        <f>IFERROR(__xludf.DUMMYFUNCTION("GOOGLETRANSLATE(B754)"),"損害")</f>
        <v>損害</v>
      </c>
    </row>
    <row r="755" ht="15.75" customHeight="1">
      <c r="A755" s="4">
        <v>2873.0</v>
      </c>
      <c r="B755" s="4" t="s">
        <v>1243</v>
      </c>
      <c r="C755" s="4" t="s">
        <v>1254</v>
      </c>
      <c r="D755" s="4" t="s">
        <v>1255</v>
      </c>
      <c r="E755" s="4">
        <v>1.0</v>
      </c>
      <c r="F755" s="4" t="str">
        <f>IFERROR(__xludf.DUMMYFUNCTION("GOOGLETRANSLATE(D755)"),"@BradleyBrad47 是的，但是速度快並且造成極高的傷害才是最重要的，如果你想要快，那麼我必須讓你-")</f>
        <v>@BradleyBrad47 是的，但是速度快並且造成極高的傷害才是最重要的，如果你想要快，那麼我必須讓你-</v>
      </c>
      <c r="G755" s="4" t="str">
        <f>IFERROR(__xludf.DUMMYFUNCTION("GOOGLETRANSLATE(B755)"),"損害")</f>
        <v>損害</v>
      </c>
    </row>
    <row r="756" ht="15.75" customHeight="1">
      <c r="A756" s="4">
        <v>2878.0</v>
      </c>
      <c r="B756" s="4" t="s">
        <v>1243</v>
      </c>
      <c r="C756" s="4" t="s">
        <v>1256</v>
      </c>
      <c r="D756" s="4" t="s">
        <v>1257</v>
      </c>
      <c r="E756" s="4">
        <v>1.0</v>
      </c>
      <c r="F756" s="4" t="str">
        <f>IFERROR(__xludf.DUMMYFUNCTION("GOOGLETRANSLATE(D756)"),"@JoeDawg42 TOR 僅適用於 TOR 情況。 IMO 風害增強措詞是關鍵")</f>
        <v>@JoeDawg42 TOR 僅適用於 TOR 情況。 IMO 風害增強措詞是關鍵</v>
      </c>
      <c r="G756" s="4" t="str">
        <f>IFERROR(__xludf.DUMMYFUNCTION("GOOGLETRANSLATE(B756)"),"損害")</f>
        <v>損害</v>
      </c>
    </row>
    <row r="757" ht="15.75" customHeight="1">
      <c r="A757" s="4">
        <v>2879.0</v>
      </c>
      <c r="B757" s="4" t="s">
        <v>1243</v>
      </c>
      <c r="D757" s="4" t="s">
        <v>1258</v>
      </c>
      <c r="E757" s="4">
        <v>1.0</v>
      </c>
      <c r="F757" s="4" t="str">
        <f>IFERROR(__xludf.DUMMYFUNCTION("GOOGLETRANSLATE(D757)"),"@HfxStanfield @beelieveDC @DiscoveryCntr 發生了什麼事，我們聽說承包商損壞了跑道照明。")</f>
        <v>@HfxStanfield @beelieveDC @DiscoveryCntr 發生了什麼事，我們聽說承包商損壞了跑道照明。</v>
      </c>
      <c r="G757" s="4" t="str">
        <f>IFERROR(__xludf.DUMMYFUNCTION("GOOGLETRANSLATE(B757)"),"損害")</f>
        <v>損害</v>
      </c>
    </row>
    <row r="758" ht="15.75" customHeight="1">
      <c r="A758" s="4">
        <v>2881.0</v>
      </c>
      <c r="B758" s="4" t="s">
        <v>1243</v>
      </c>
      <c r="C758" s="4" t="s">
        <v>1259</v>
      </c>
      <c r="D758" s="4" t="s">
        <v>1260</v>
      </c>
      <c r="E758" s="4">
        <v>1.0</v>
      </c>
      <c r="F758" s="4" t="str">
        <f>IFERROR(__xludf.DUMMYFUNCTION("GOOGLETRANSLATE(D758)"),"如果 Trillion 第三次越線，他會全場攻擊，造成即時致命傷害")</f>
        <v>如果 Trillion 第三次越線，他會全場攻擊，造成即時致命傷害</v>
      </c>
      <c r="G758" s="4" t="str">
        <f>IFERROR(__xludf.DUMMYFUNCTION("GOOGLETRANSLATE(B758)"),"損害")</f>
        <v>損害</v>
      </c>
    </row>
    <row r="759" ht="15.75" customHeight="1">
      <c r="A759" s="4">
        <v>2883.0</v>
      </c>
      <c r="B759" s="4" t="s">
        <v>1243</v>
      </c>
      <c r="C759" s="4" t="s">
        <v>1261</v>
      </c>
      <c r="D759" s="4" t="s">
        <v>1262</v>
      </c>
      <c r="E759" s="4">
        <v>1.0</v>
      </c>
      <c r="F759" s="4" t="str">
        <f>IFERROR(__xludf.DUMMYFUNCTION("GOOGLETRANSLATE(D759)"),"九名囚犯被指控在卡加利還押中心騷亂中造成損害 - http://t.co/1OSmIUXKhW")</f>
        <v>九名囚犯被指控在卡加利還押中心騷亂中造成損害 - http://t.co/1OSmIUXKhW</v>
      </c>
      <c r="G759" s="4" t="str">
        <f>IFERROR(__xludf.DUMMYFUNCTION("GOOGLETRANSLATE(B759)"),"損害")</f>
        <v>損害</v>
      </c>
    </row>
    <row r="760" ht="15.75" customHeight="1">
      <c r="A760" s="4">
        <v>2884.0</v>
      </c>
      <c r="B760" s="4" t="s">
        <v>1243</v>
      </c>
      <c r="C760" s="4" t="s">
        <v>1263</v>
      </c>
      <c r="D760" s="4" t="s">
        <v>1264</v>
      </c>
      <c r="E760" s="4">
        <v>1.0</v>
      </c>
      <c r="F760" s="4" t="str">
        <f>IFERROR(__xludf.DUMMYFUNCTION("GOOGLETRANSLATE(D760)"),"#pt 跨宗派抗議。強大的什葉派神職人員表示民兵必須撤出：“我們在與伊斯蘭國作戰，但我們不會忘記您對人民造成的傷害”")</f>
        <v>#pt 跨宗派抗議。強大的什葉派神職人員表示民兵必須撤出：“我們在與伊斯蘭國作戰，但我們不會忘記您對人民造成的傷害”</v>
      </c>
      <c r="G760" s="4" t="str">
        <f>IFERROR(__xludf.DUMMYFUNCTION("GOOGLETRANSLATE(B760)"),"損害")</f>
        <v>損害</v>
      </c>
    </row>
    <row r="761" ht="15.75" customHeight="1">
      <c r="A761" s="4">
        <v>2885.0</v>
      </c>
      <c r="B761" s="4" t="s">
        <v>1243</v>
      </c>
      <c r="C761" s="4" t="s">
        <v>1265</v>
      </c>
      <c r="D761" s="4" t="s">
        <v>1266</v>
      </c>
      <c r="E761" s="4">
        <v>1.0</v>
      </c>
      <c r="F761" s="4" t="str">
        <f>IFERROR(__xludf.DUMMYFUNCTION("GOOGLETRANSLATE(D761)"),"房屋保險承保水災損失嗎？這裡有一些值得了解的好事情。 http://t.co/0uSDI5JCHo http://t.co/xyg7JhRjoF")</f>
        <v>房屋保險承保水災損失嗎？這裡有一些值得了解的好事情。 http://t.co/0uSDI5JCHo http://t.co/xyg7JhRjoF</v>
      </c>
      <c r="G761" s="4" t="str">
        <f>IFERROR(__xludf.DUMMYFUNCTION("GOOGLETRANSLATE(B761)"),"損害")</f>
        <v>損害</v>
      </c>
    </row>
    <row r="762" ht="15.75" customHeight="1">
      <c r="A762" s="4">
        <v>2886.0</v>
      </c>
      <c r="B762" s="4" t="s">
        <v>1243</v>
      </c>
      <c r="D762" s="4" t="s">
        <v>1267</v>
      </c>
      <c r="E762" s="4">
        <v>1.0</v>
      </c>
      <c r="F762" s="4" t="str">
        <f>IFERROR(__xludf.DUMMYFUNCTION("GOOGLETRANSLATE(D762)"),"海灘傷害了我的屎")</f>
        <v>海灘傷害了我的屎</v>
      </c>
      <c r="G762" s="4" t="str">
        <f>IFERROR(__xludf.DUMMYFUNCTION("GOOGLETRANSLATE(B762)"),"損害")</f>
        <v>損害</v>
      </c>
    </row>
    <row r="763" ht="15.75" customHeight="1">
      <c r="A763" s="4">
        <v>2889.0</v>
      </c>
      <c r="B763" s="4" t="s">
        <v>1243</v>
      </c>
      <c r="C763" s="4" t="s">
        <v>1268</v>
      </c>
      <c r="D763" s="4" t="s">
        <v>1269</v>
      </c>
      <c r="E763" s="4">
        <v>1.0</v>
      </c>
      <c r="F763" s="4" t="str">
        <f>IFERROR(__xludf.DUMMYFUNCTION("GOOGLETRANSLATE(D763)"),"報道：HIT &amp;amp; STATESVILLE RD 15901 號發生駛入道路財產損失")</f>
        <v>報道：HIT &amp;amp; STATESVILLE RD 15901 號發生駛入道路財產損失</v>
      </c>
      <c r="G763" s="4" t="str">
        <f>IFERROR(__xludf.DUMMYFUNCTION("GOOGLETRANSLATE(B763)"),"損害")</f>
        <v>損害</v>
      </c>
    </row>
    <row r="764" ht="15.75" customHeight="1">
      <c r="A764" s="4">
        <v>2891.0</v>
      </c>
      <c r="B764" s="4" t="s">
        <v>1243</v>
      </c>
      <c r="C764" s="4" t="s">
        <v>1270</v>
      </c>
      <c r="D764" s="4" t="s">
        <v>1271</v>
      </c>
      <c r="E764" s="4">
        <v>1.0</v>
      </c>
      <c r="F764" s="4" t="str">
        <f>IFERROR(__xludf.DUMMYFUNCTION("GOOGLETRANSLATE(D764)"),"#青光眼發生在 #eye 內液體壓力增加到可能損害視神經的水平 #eyefacts")</f>
        <v>#青光眼發生在 #eye 內液體壓力增加到可能損害視神經的水平 #eyefacts</v>
      </c>
      <c r="G764" s="4" t="str">
        <f>IFERROR(__xludf.DUMMYFUNCTION("GOOGLETRANSLATE(B764)"),"損害")</f>
        <v>損害</v>
      </c>
    </row>
    <row r="765" ht="15.75" customHeight="1">
      <c r="A765" s="4">
        <v>2893.0</v>
      </c>
      <c r="B765" s="4" t="s">
        <v>1243</v>
      </c>
      <c r="D765" s="4" t="s">
        <v>1272</v>
      </c>
      <c r="E765" s="4">
        <v>1.0</v>
      </c>
      <c r="F765" s="4" t="str">
        <f>IFERROR(__xludf.DUMMYFUNCTION("GOOGLETRANSLATE(D765)"),"#JSunNews 麥迪遜縣報告風暴損害：雷暴損害報告... http://t.co/s7NBowa7TP（取自 http://t.co/3f7owdEcy7）")</f>
        <v>#JSunNews 麥迪遜縣報告風暴損害：雷暴損害報告... http://t.co/s7NBowa7TP（取自 http://t.co/3f7owdEcy7）</v>
      </c>
      <c r="G765" s="4" t="str">
        <f>IFERROR(__xludf.DUMMYFUNCTION("GOOGLETRANSLATE(B765)"),"損害")</f>
        <v>損害</v>
      </c>
    </row>
    <row r="766" ht="15.75" customHeight="1">
      <c r="A766" s="4">
        <v>2895.0</v>
      </c>
      <c r="B766" s="4" t="s">
        <v>1243</v>
      </c>
      <c r="D766" s="4" t="s">
        <v>1273</v>
      </c>
      <c r="E766" s="4">
        <v>1.0</v>
      </c>
      <c r="F766" s="4" t="str">
        <f>IFERROR(__xludf.DUMMYFUNCTION("GOOGLETRANSLATE(D766)"),"S61.231A 左手食指無異物刺傷，指甲初遇無損傷#icd10")</f>
        <v>S61.231A 左手食指無異物刺傷，指甲初遇無損傷#icd10</v>
      </c>
      <c r="G766" s="4" t="str">
        <f>IFERROR(__xludf.DUMMYFUNCTION("GOOGLETRANSLATE(B766)"),"損害")</f>
        <v>損害</v>
      </c>
    </row>
    <row r="767" ht="15.75" customHeight="1">
      <c r="A767" s="4">
        <v>2900.0</v>
      </c>
      <c r="B767" s="4" t="s">
        <v>1243</v>
      </c>
      <c r="C767" s="4" t="s">
        <v>1274</v>
      </c>
      <c r="D767" s="4" t="s">
        <v>1275</v>
      </c>
      <c r="E767" s="4">
        <v>1.0</v>
      </c>
      <c r="F767" s="4" t="str">
        <f>IFERROR(__xludf.DUMMYFUNCTION("GOOGLETRANSLATE(D767)"),"@MichaelWestBiz 標準損害控制")</f>
        <v>@MichaelWestBiz 標準損害控制</v>
      </c>
      <c r="G767" s="4" t="str">
        <f>IFERROR(__xludf.DUMMYFUNCTION("GOOGLETRANSLATE(B767)"),"損害")</f>
        <v>損害</v>
      </c>
    </row>
    <row r="768" ht="15.75" customHeight="1">
      <c r="A768" s="4">
        <v>2902.0</v>
      </c>
      <c r="B768" s="4" t="s">
        <v>1243</v>
      </c>
      <c r="C768" s="4" t="s">
        <v>1276</v>
      </c>
      <c r="D768" s="4" t="s">
        <v>1277</v>
      </c>
      <c r="E768" s="4">
        <v>1.0</v>
      </c>
      <c r="F768" s="4" t="str">
        <f>IFERROR(__xludf.DUMMYFUNCTION("GOOGLETRANSLATE(D768)"),"@GettingLost @JennEllensBB @Muncle_jim 據說他們有淺表傷口，而胡椒噴霧造成的傷害最大。")</f>
        <v>@GettingLost @JennEllensBB @Muncle_jim 據說他們有淺表傷口，而胡椒噴霧造成的傷害最大。</v>
      </c>
      <c r="G768" s="4" t="str">
        <f>IFERROR(__xludf.DUMMYFUNCTION("GOOGLETRANSLATE(B768)"),"損害")</f>
        <v>損害</v>
      </c>
    </row>
    <row r="769" ht="15.75" customHeight="1">
      <c r="A769" s="4">
        <v>2909.0</v>
      </c>
      <c r="B769" s="4" t="s">
        <v>1278</v>
      </c>
      <c r="D769" s="4" t="s">
        <v>1279</v>
      </c>
      <c r="E769" s="4">
        <v>1.0</v>
      </c>
      <c r="F769" s="4" t="str">
        <f>IFERROR(__xludf.DUMMYFUNCTION("GOOGLETRANSLATE(D769)"),"《FALLING FOR DANGER》發行日爆炸和回顧巡演現已開放報名。在這裡註冊：... http://t.co/hbdo22nqPZ")</f>
        <v>《FALLING FOR DANGER》發行日爆炸和回顧巡演現已開放報名。在這裡註冊：... http://t.co/hbdo22nqPZ</v>
      </c>
      <c r="G769" s="4" t="str">
        <f>IFERROR(__xludf.DUMMYFUNCTION("GOOGLETRANSLATE(B769)"),"危險")</f>
        <v>危險</v>
      </c>
    </row>
    <row r="770" ht="15.75" customHeight="1">
      <c r="A770" s="4">
        <v>2911.0</v>
      </c>
      <c r="B770" s="4" t="s">
        <v>1278</v>
      </c>
      <c r="C770" s="4" t="s">
        <v>1280</v>
      </c>
      <c r="D770" s="4" t="s">
        <v>1281</v>
      </c>
      <c r="E770" s="4">
        <v>1.0</v>
      </c>
      <c r="F770" s="4" t="str">
        <f>IFERROR(__xludf.DUMMYFUNCTION("GOOGLETRANSLATE(D770)"),"火災危險和危險的紅旗警告灣區乾燥雷暴 http://t.co/ugzu9iqPRW #weather #cawx by @NWSBayArea")</f>
        <v>火災危險和危險的紅旗警告灣區乾燥雷暴 http://t.co/ugzu9iqPRW #weather #cawx by @NWSBayArea</v>
      </c>
      <c r="G770" s="4" t="str">
        <f>IFERROR(__xludf.DUMMYFUNCTION("GOOGLETRANSLATE(B770)"),"危險")</f>
        <v>危險</v>
      </c>
    </row>
    <row r="771" ht="15.75" customHeight="1">
      <c r="A771" s="4">
        <v>2913.0</v>
      </c>
      <c r="B771" s="4" t="s">
        <v>1278</v>
      </c>
      <c r="C771" s="4" t="s">
        <v>1282</v>
      </c>
      <c r="D771" s="4" t="s">
        <v>1283</v>
      </c>
      <c r="E771" s="4">
        <v>1.0</v>
      </c>
      <c r="F771" s="4" t="str">
        <f>IFERROR(__xludf.DUMMYFUNCTION("GOOGLETRANSLATE(D771)"),"這是什麼？就像我可能會遇到危險什麼的")</f>
        <v>這是什麼？就像我可能會遇到危險什麼的</v>
      </c>
      <c r="G771" s="4" t="str">
        <f>IFERROR(__xludf.DUMMYFUNCTION("GOOGLETRANSLATE(B771)"),"危險")</f>
        <v>危險</v>
      </c>
    </row>
    <row r="772" ht="15.75" customHeight="1">
      <c r="A772" s="4">
        <v>2917.0</v>
      </c>
      <c r="B772" s="4" t="s">
        <v>1278</v>
      </c>
      <c r="C772" s="4" t="s">
        <v>1284</v>
      </c>
      <c r="D772" s="4" t="s">
        <v>1285</v>
      </c>
      <c r="E772" s="4">
        <v>1.0</v>
      </c>
      <c r="F772" s="4" t="str">
        <f>IFERROR(__xludf.DUMMYFUNCTION("GOOGLETRANSLATE(D772)"),"印度政府&amp;amp;媒體應該認真關注他們的安全。他們現在正處於危險之中。 https://t.co/YX1UKbmTqB")</f>
        <v>印度政府&amp;amp;媒體應該認真關注他們的安全。他們現在正處於危險之中。 https://t.co/YX1UKbmTqB</v>
      </c>
      <c r="G772" s="4" t="str">
        <f>IFERROR(__xludf.DUMMYFUNCTION("GOOGLETRANSLATE(B772)"),"危險")</f>
        <v>危險</v>
      </c>
    </row>
    <row r="773" ht="15.75" customHeight="1">
      <c r="A773" s="4">
        <v>2929.0</v>
      </c>
      <c r="B773" s="4" t="s">
        <v>1278</v>
      </c>
      <c r="C773" s="4" t="s">
        <v>1286</v>
      </c>
      <c r="D773" s="4" t="s">
        <v>1287</v>
      </c>
      <c r="E773" s="4">
        <v>1.0</v>
      </c>
      <c r="F773" s="4" t="str">
        <f>IFERROR(__xludf.DUMMYFUNCTION("GOOGLETRANSLATE(D773)"),"@bluebirddenver #FETTILOOTCH 是 #SLANGLUCCI OPPRESSIONS 專輯即將推出的最大危險
https://t.co/moLL5vd8yD")</f>
        <v>@bluebirddenver #FETTILOOTCH 是 #SLANGLUCCI OPPRESSIONS 專輯即將推出的最大危險
https://t.co/moLL5vd8yD</v>
      </c>
      <c r="G773" s="4" t="str">
        <f>IFERROR(__xludf.DUMMYFUNCTION("GOOGLETRANSLATE(B773)"),"危險")</f>
        <v>危險</v>
      </c>
    </row>
    <row r="774" ht="15.75" customHeight="1">
      <c r="A774" s="4">
        <v>2942.0</v>
      </c>
      <c r="B774" s="4" t="s">
        <v>1278</v>
      </c>
      <c r="C774" s="4" t="s">
        <v>1288</v>
      </c>
      <c r="D774" s="4" t="s">
        <v>1289</v>
      </c>
      <c r="E774" s="4">
        <v>1.0</v>
      </c>
      <c r="F774" s="4" t="str">
        <f>IFERROR(__xludf.DUMMYFUNCTION("GOOGLETRANSLATE(D774)"),"太口渴了，有脫水的危險")</f>
        <v>太口渴了，有脫水的危險</v>
      </c>
      <c r="G774" s="4" t="str">
        <f>IFERROR(__xludf.DUMMYFUNCTION("GOOGLETRANSLATE(B774)"),"危險")</f>
        <v>危險</v>
      </c>
    </row>
    <row r="775" ht="15.75" customHeight="1">
      <c r="A775" s="4">
        <v>2943.0</v>
      </c>
      <c r="B775" s="4" t="s">
        <v>1278</v>
      </c>
      <c r="C775" s="4" t="s">
        <v>1290</v>
      </c>
      <c r="D775" s="4" t="s">
        <v>1291</v>
      </c>
      <c r="E775" s="4">
        <v>1.0</v>
      </c>
      <c r="F775" s="4" t="str">
        <f>IFERROR(__xludf.DUMMYFUNCTION("GOOGLETRANSLATE(D775)"),"加州中部預計有雷暴，降雨量不大。火災危險性高。 #天氣 #cawx http://t.co/A5GNzbuSqq")</f>
        <v>加州中部預計有雷暴，降雨量不大。火災危險性高。 #天氣 #cawx http://t.co/A5GNzbuSqq</v>
      </c>
      <c r="G775" s="4" t="str">
        <f>IFERROR(__xludf.DUMMYFUNCTION("GOOGLETRANSLATE(B775)"),"危險")</f>
        <v>危險</v>
      </c>
    </row>
    <row r="776" ht="15.75" customHeight="1">
      <c r="A776" s="4">
        <v>2950.0</v>
      </c>
      <c r="B776" s="4" t="s">
        <v>1278</v>
      </c>
      <c r="C776" s="4" t="s">
        <v>1292</v>
      </c>
      <c r="D776" s="4" t="s">
        <v>1293</v>
      </c>
      <c r="E776" s="4">
        <v>1.0</v>
      </c>
      <c r="F776" s="4" t="str">
        <f>IFERROR(__xludf.DUMMYFUNCTION("GOOGLETRANSLATE(D776)"),"老實說，莫迪博·麥加正在偷竊謀生 - 操他的一切 - 我已經過了我的最佳狀態，但仍然比那個混蛋更危險#coyi")</f>
        <v>老實說，莫迪博·麥加正在偷竊謀生 - 操他的一切 - 我已經過了我的最佳狀態，但仍然比那個混蛋更危險#coyi</v>
      </c>
      <c r="G776" s="4" t="str">
        <f>IFERROR(__xludf.DUMMYFUNCTION("GOOGLETRANSLATE(B776)"),"危險")</f>
        <v>危險</v>
      </c>
    </row>
    <row r="777" ht="15.75" customHeight="1">
      <c r="A777" s="4">
        <v>2954.0</v>
      </c>
      <c r="B777" s="4" t="s">
        <v>1294</v>
      </c>
      <c r="C777" s="4" t="s">
        <v>1295</v>
      </c>
      <c r="D777" s="4" t="s">
        <v>1296</v>
      </c>
      <c r="E777" s="4">
        <v>1.0</v>
      </c>
      <c r="F777" s="4" t="str">
        <f>IFERROR(__xludf.DUMMYFUNCTION("GOOGLETRANSLATE(D777)"),"阿富汗飛機墜毀造成17人死亡：一架阿富汗軍用直升機在該國偏遠地區墜毀... http://t.co/kI9eHjHl8y")</f>
        <v>阿富汗飛機墜毀造成17人死亡：一架阿富汗軍用直升機在該國偏遠地區墜毀... http://t.co/kI9eHjHl8y</v>
      </c>
      <c r="G777" s="4" t="str">
        <f>IFERROR(__xludf.DUMMYFUNCTION("GOOGLETRANSLATE(B777)"),"死的")</f>
        <v>死的</v>
      </c>
    </row>
    <row r="778" ht="15.75" customHeight="1">
      <c r="A778" s="4">
        <v>2969.0</v>
      </c>
      <c r="B778" s="4" t="s">
        <v>1294</v>
      </c>
      <c r="D778" s="4" t="s">
        <v>1297</v>
      </c>
      <c r="E778" s="4">
        <v>1.0</v>
      </c>
      <c r="F778" s="4" t="str">
        <f>IFERROR(__xludf.DUMMYFUNCTION("GOOGLETRANSLATE(D778)"),"我剛看了《艾默戴爾》，我不知道他們中的大多數是誰，但一個名叫羅斯的稍微有魅力的男人剛剛被毆打，現在他死了")</f>
        <v>我剛看了《艾默戴爾》，我不知道他們中的大多數是誰，但一個名叫羅斯的稍微有魅力的男人剛剛被毆打，現在他死了</v>
      </c>
      <c r="G778" s="4" t="str">
        <f>IFERROR(__xludf.DUMMYFUNCTION("GOOGLETRANSLATE(B778)"),"死的")</f>
        <v>死的</v>
      </c>
    </row>
    <row r="779" ht="15.75" customHeight="1">
      <c r="A779" s="4">
        <v>2973.0</v>
      </c>
      <c r="B779" s="4" t="s">
        <v>1294</v>
      </c>
      <c r="D779" s="4" t="s">
        <v>1298</v>
      </c>
      <c r="E779" s="4">
        <v>1.0</v>
      </c>
      <c r="F779" s="4" t="str">
        <f>IFERROR(__xludf.DUMMYFUNCTION("GOOGLETRANSLATE(D779)"),"beforeitsnews : 利比亞移民船在救援過程中傾覆後，數百人可能死亡 Û_ http://t.co/MjoeeBDLXn) http://t.co/fvEn1ex0PS")</f>
        <v>beforeitsnews : 利比亞移民船在救援過程中傾覆後，數百人可能死亡 Û_ http://t.co/MjoeeBDLXn) http://t.co/fvEn1ex0PS</v>
      </c>
      <c r="G779" s="4" t="str">
        <f>IFERROR(__xludf.DUMMYFUNCTION("GOOGLETRANSLATE(B779)"),"死的")</f>
        <v>死的</v>
      </c>
    </row>
    <row r="780" ht="15.75" customHeight="1">
      <c r="A780" s="4">
        <v>2982.0</v>
      </c>
      <c r="B780" s="4" t="s">
        <v>1294</v>
      </c>
      <c r="D780" s="4" t="s">
        <v>1299</v>
      </c>
      <c r="E780" s="4">
        <v>1.0</v>
      </c>
      <c r="F780" s="4" t="str">
        <f>IFERROR(__xludf.DUMMYFUNCTION("GOOGLETRANSLATE(D780)"),"對感恩而死者的看法：批判性著作（對研究的貢獻 http://t.co/fmu0fnuMxf http://t.co/AgGRyhVXKr")</f>
        <v>對感恩而死者的看法：批判性著作（對研究的貢獻 http://t.co/fmu0fnuMxf http://t.co/AgGRyhVXKr</v>
      </c>
      <c r="G780" s="4" t="str">
        <f>IFERROR(__xludf.DUMMYFUNCTION("GOOGLETRANSLATE(B780)"),"死的")</f>
        <v>死的</v>
      </c>
    </row>
    <row r="781" ht="15.75" customHeight="1">
      <c r="A781" s="4">
        <v>2991.0</v>
      </c>
      <c r="B781" s="4" t="s">
        <v>1294</v>
      </c>
      <c r="C781" s="4" t="s">
        <v>627</v>
      </c>
      <c r="D781" s="4" t="s">
        <v>1300</v>
      </c>
      <c r="E781" s="4">
        <v>1.0</v>
      </c>
      <c r="F781" s="4" t="str">
        <f>IFERROR(__xludf.DUMMYFUNCTION("GOOGLETRANSLATE(D781)"),"颱風「蘇迪勒」瞄準台灣 http://t.co/BhsUxVq6NF")</f>
        <v>颱風「蘇迪勒」瞄準台灣 http://t.co/BhsUxVq6NF</v>
      </c>
      <c r="G781" s="4" t="str">
        <f>IFERROR(__xludf.DUMMYFUNCTION("GOOGLETRANSLATE(B781)"),"死的")</f>
        <v>死的</v>
      </c>
    </row>
    <row r="782" ht="15.75" customHeight="1">
      <c r="A782" s="4">
        <v>2993.0</v>
      </c>
      <c r="B782" s="4" t="s">
        <v>1294</v>
      </c>
      <c r="C782" s="4" t="s">
        <v>947</v>
      </c>
      <c r="D782" s="4" t="s">
        <v>1301</v>
      </c>
      <c r="E782" s="4">
        <v>1.0</v>
      </c>
      <c r="F782" s="4" t="str">
        <f>IFERROR(__xludf.DUMMYFUNCTION("GOOGLETRANSLATE(D782)"),"黛米摩爾泳池內發現男子屍體！ http://t.co/oCtnPyUEei")</f>
        <v>黛米摩爾泳池內發現男子屍體！ http://t.co/oCtnPyUEei</v>
      </c>
      <c r="G782" s="4" t="str">
        <f>IFERROR(__xludf.DUMMYFUNCTION("GOOGLETRANSLATE(B782)"),"死的")</f>
        <v>死的</v>
      </c>
    </row>
    <row r="783" ht="15.75" customHeight="1">
      <c r="A783" s="4">
        <v>2995.0</v>
      </c>
      <c r="B783" s="4" t="s">
        <v>1294</v>
      </c>
      <c r="C783" s="4" t="s">
        <v>1302</v>
      </c>
      <c r="D783" s="4" t="s">
        <v>1303</v>
      </c>
      <c r="E783" s="4">
        <v>1.0</v>
      </c>
      <c r="F783" s="4" t="str">
        <f>IFERROR(__xludf.DUMMYFUNCTION("GOOGLETRANSLATE(D783)"),"就是這樣，val 死了，我正在起訴")</f>
        <v>就是這樣，val 死了，我正在起訴</v>
      </c>
      <c r="G783" s="4" t="str">
        <f>IFERROR(__xludf.DUMMYFUNCTION("GOOGLETRANSLATE(B783)"),"死的")</f>
        <v>死的</v>
      </c>
    </row>
    <row r="784" ht="15.75" customHeight="1">
      <c r="A784" s="4">
        <v>3005.0</v>
      </c>
      <c r="B784" s="4" t="s">
        <v>1304</v>
      </c>
      <c r="C784" s="4" t="s">
        <v>1305</v>
      </c>
      <c r="D784" s="4" t="s">
        <v>1306</v>
      </c>
      <c r="E784" s="4">
        <v>1.0</v>
      </c>
      <c r="F784" s="4" t="str">
        <f>IFERROR(__xludf.DUMMYFUNCTION("GOOGLETRANSLATE(D784)"),"直到我去世為止，我將永遠代表噴射機隊。")</f>
        <v>直到我去世為止，我將永遠代表噴射機隊。</v>
      </c>
      <c r="G784" s="4" t="str">
        <f>IFERROR(__xludf.DUMMYFUNCTION("GOOGLETRANSLATE(B784)"),"死亡")</f>
        <v>死亡</v>
      </c>
    </row>
    <row r="785" ht="15.75" customHeight="1">
      <c r="A785" s="4">
        <v>3010.0</v>
      </c>
      <c r="B785" s="4" t="s">
        <v>1304</v>
      </c>
      <c r="C785" s="4" t="s">
        <v>1307</v>
      </c>
      <c r="D785" s="4" t="s">
        <v>1308</v>
      </c>
      <c r="E785" s="4">
        <v>1.0</v>
      </c>
      <c r="F785" s="4" t="str">
        <f>IFERROR(__xludf.DUMMYFUNCTION("GOOGLETRANSLATE(D785)"),"科羅拉多州成年人死於鼠疫 http://t.co/yoHVu​​wuMZS")</f>
        <v>科羅拉多州成年人死於鼠疫 http://t.co/yoHVu​​wuMZS</v>
      </c>
      <c r="G785" s="4" t="str">
        <f>IFERROR(__xludf.DUMMYFUNCTION("GOOGLETRANSLATE(B785)"),"死亡")</f>
        <v>死亡</v>
      </c>
    </row>
    <row r="786" ht="15.75" customHeight="1">
      <c r="A786" s="4">
        <v>3012.0</v>
      </c>
      <c r="B786" s="4" t="s">
        <v>1304</v>
      </c>
      <c r="C786" s="4" t="s">
        <v>1309</v>
      </c>
      <c r="D786" s="4" t="s">
        <v>1310</v>
      </c>
      <c r="E786" s="4">
        <v>1.0</v>
      </c>
      <c r="F786" s="4" t="str">
        <f>IFERROR(__xludf.DUMMYFUNCTION("GOOGLETRANSLATE(D786)"),"回到蓋恩斯維爾將會是我的死亡")</f>
        <v>回到蓋恩斯維爾將會是我的死亡</v>
      </c>
      <c r="G786" s="4" t="str">
        <f>IFERROR(__xludf.DUMMYFUNCTION("GOOGLETRANSLATE(B786)"),"死亡")</f>
        <v>死亡</v>
      </c>
    </row>
    <row r="787" ht="15.75" customHeight="1">
      <c r="A787" s="4">
        <v>3022.0</v>
      </c>
      <c r="B787" s="4" t="s">
        <v>1304</v>
      </c>
      <c r="C787" s="4" t="s">
        <v>1311</v>
      </c>
      <c r="D787" s="4" t="s">
        <v>1312</v>
      </c>
      <c r="E787" s="4">
        <v>1.0</v>
      </c>
      <c r="F787" s="4" t="str">
        <f>IFERROR(__xludf.DUMMYFUNCTION("GOOGLETRANSLATE(D787)"),"http://t.co/lMA39ZRWoY 有一條路，人以為正，但最終卻是死亡之路。")</f>
        <v>http://t.co/lMA39ZRWoY 有一條路，人以為正，但最終卻是死亡之路。</v>
      </c>
      <c r="G787" s="4" t="str">
        <f>IFERROR(__xludf.DUMMYFUNCTION("GOOGLETRANSLATE(B787)"),"死亡")</f>
        <v>死亡</v>
      </c>
    </row>
    <row r="788" ht="15.75" customHeight="1">
      <c r="A788" s="4">
        <v>3023.0</v>
      </c>
      <c r="B788" s="4" t="s">
        <v>1304</v>
      </c>
      <c r="C788" s="4" t="s">
        <v>1313</v>
      </c>
      <c r="D788" s="4" t="s">
        <v>1314</v>
      </c>
      <c r="E788" s="4">
        <v>1.0</v>
      </c>
      <c r="F788" s="4" t="str">
        <f>IFERROR(__xludf.DUMMYFUNCTION("GOOGLETRANSLATE(D788)"),"@KellKane 謝謝我差一點就避免了死亡，這很有趣你是對的")</f>
        <v>@KellKane 謝謝我差一點就避免了死亡，這很有趣你是對的</v>
      </c>
      <c r="G788" s="4" t="str">
        <f>IFERROR(__xludf.DUMMYFUNCTION("GOOGLETRANSLATE(B788)"),"死亡")</f>
        <v>死亡</v>
      </c>
    </row>
    <row r="789" ht="15.75" customHeight="1">
      <c r="A789" s="4">
        <v>3026.0</v>
      </c>
      <c r="B789" s="4" t="s">
        <v>1304</v>
      </c>
      <c r="C789" s="4" t="s">
        <v>1315</v>
      </c>
      <c r="D789" s="4" t="s">
        <v>1316</v>
      </c>
      <c r="E789" s="4">
        <v>1.0</v>
      </c>
      <c r="F789" s="4" t="str">
        <f>IFERROR(__xludf.DUMMYFUNCTION("GOOGLETRANSLATE(D789)"),"@Allahsfinest12 ...穆斯林之死")</f>
        <v>@Allahsfinest12 ...穆斯林之死</v>
      </c>
      <c r="G789" s="4" t="str">
        <f>IFERROR(__xludf.DUMMYFUNCTION("GOOGLETRANSLATE(B789)"),"死亡")</f>
        <v>死亡</v>
      </c>
    </row>
    <row r="790" ht="15.75" customHeight="1">
      <c r="A790" s="4">
        <v>3037.0</v>
      </c>
      <c r="B790" s="4" t="s">
        <v>1304</v>
      </c>
      <c r="C790" s="4" t="s">
        <v>1317</v>
      </c>
      <c r="D790" s="4" t="s">
        <v>1318</v>
      </c>
      <c r="E790" s="4">
        <v>1.0</v>
      </c>
      <c r="F790" s="4" t="str">
        <f>IFERROR(__xludf.DUMMYFUNCTION("GOOGLETRANSLATE(D790)"),"特德·克魯茲猛烈抨擊歐巴馬，將共和黨與高喊「美國去死」的伊朗人進行比較 http://t.co/tXETcysm1H | #tcot")</f>
        <v>特德·克魯茲猛烈抨擊歐巴馬，將共和黨與高喊「美國去死」的伊朗人進行比較 http://t.co/tXETcysm1H | #tcot</v>
      </c>
      <c r="G790" s="4" t="str">
        <f>IFERROR(__xludf.DUMMYFUNCTION("GOOGLETRANSLATE(B790)"),"死亡")</f>
        <v>死亡</v>
      </c>
    </row>
    <row r="791" ht="15.75" customHeight="1">
      <c r="A791" s="4">
        <v>3038.0</v>
      </c>
      <c r="B791" s="4" t="s">
        <v>1304</v>
      </c>
      <c r="C791" s="4" t="s">
        <v>1319</v>
      </c>
      <c r="D791" s="4" t="s">
        <v>1320</v>
      </c>
      <c r="E791" s="4">
        <v>1.0</v>
      </c>
      <c r="F791" s="4" t="str">
        <f>IFERROR(__xludf.DUMMYFUNCTION("GOOGLETRANSLATE(D791)"),"#塞浦路斯：新聞分析：毛拉奧馬爾之死可能會分裂塔利班的隊伍 - ..奧馬爾的去世肯定會導致...... http://t.co/AJkmcusWHo")</f>
        <v>#塞浦路斯：新聞分析：毛拉奧馬爾之死可能會分裂塔利班的隊伍 - ..奧馬爾的去世肯定會導致...... http://t.co/AJkmcusWHo</v>
      </c>
      <c r="G791" s="4" t="str">
        <f>IFERROR(__xludf.DUMMYFUNCTION("GOOGLETRANSLATE(B791)"),"死亡")</f>
        <v>死亡</v>
      </c>
    </row>
    <row r="792" ht="15.75" customHeight="1">
      <c r="A792" s="4">
        <v>3052.0</v>
      </c>
      <c r="B792" s="4" t="s">
        <v>1304</v>
      </c>
      <c r="C792" s="4" t="s">
        <v>1321</v>
      </c>
      <c r="D792" s="4" t="s">
        <v>1322</v>
      </c>
      <c r="E792" s="4">
        <v>1.0</v>
      </c>
      <c r="F792" s="4" t="str">
        <f>IFERROR(__xludf.DUMMYFUNCTION("GOOGLETRANSLATE(D792)"),"新消息：紐約退伍軍人病死亡人數上升 http://t.co/NqL21ajmiv #follow (http://t.co/18xQ3FmuGE)")</f>
        <v>新消息：紐約退伍軍人病死亡人數上升 http://t.co/NqL21ajmiv #follow (http://t.co/18xQ3FmuGE)</v>
      </c>
      <c r="G792" s="4" t="str">
        <f>IFERROR(__xludf.DUMMYFUNCTION("GOOGLETRANSLATE(B792)"),"死亡")</f>
        <v>死亡</v>
      </c>
    </row>
    <row r="793" ht="15.75" customHeight="1">
      <c r="A793" s="4">
        <v>3053.0</v>
      </c>
      <c r="B793" s="4" t="s">
        <v>1323</v>
      </c>
      <c r="D793" s="4" t="s">
        <v>1324</v>
      </c>
      <c r="E793" s="4">
        <v>1.0</v>
      </c>
      <c r="F793" s="4" t="str">
        <f>IFERROR(__xludf.DUMMYFUNCTION("GOOGLETRANSLATE(D793)"),"#vaxshill 10 年內有 2 人死於麻疹併發症，每個人都失去了理智。一個月內有 8 名軍團士兵死亡蟋蟀")</f>
        <v>#vaxshill 10 年內有 2 人死於麻疹併發症，每個人都失去了理智。一個月內有 8 名軍團士兵死亡蟋蟀</v>
      </c>
      <c r="G793" s="4" t="str">
        <f>IFERROR(__xludf.DUMMYFUNCTION("GOOGLETRANSLATE(B793)"),"死亡人數")</f>
        <v>死亡人數</v>
      </c>
    </row>
    <row r="794" ht="15.75" customHeight="1">
      <c r="A794" s="4">
        <v>3055.0</v>
      </c>
      <c r="B794" s="4" t="s">
        <v>1323</v>
      </c>
      <c r="C794" s="4" t="s">
        <v>1325</v>
      </c>
      <c r="D794" s="4" t="s">
        <v>1326</v>
      </c>
      <c r="E794" s="4">
        <v>1.0</v>
      </c>
      <c r="F794" s="4" t="str">
        <f>IFERROR(__xludf.DUMMYFUNCTION("GOOGLETRANSLATE(D794)"),"不要上 I77 南...巨大的殘骸和空運，也許還有一些人死亡 州際公路完全被封鎖")</f>
        <v>不要上 I77 南...巨大的殘骸和空運，也許還有一些人死亡 州際公路完全被封鎖</v>
      </c>
      <c r="G794" s="4" t="str">
        <f>IFERROR(__xludf.DUMMYFUNCTION("GOOGLETRANSLATE(B794)"),"死亡人數")</f>
        <v>死亡人數</v>
      </c>
    </row>
    <row r="795" ht="15.75" customHeight="1">
      <c r="A795" s="4">
        <v>3056.0</v>
      </c>
      <c r="B795" s="4" t="s">
        <v>1323</v>
      </c>
      <c r="C795" s="4" t="s">
        <v>1327</v>
      </c>
      <c r="D795" s="4" t="s">
        <v>1328</v>
      </c>
      <c r="E795" s="4">
        <v>1.0</v>
      </c>
      <c r="F795" s="4" t="str">
        <f>IFERROR(__xludf.DUMMYFUNCTION("GOOGLETRANSLATE(D795)"),"ÛÏ@LOLGOP：每年 2.2 起選民詐欺案件。
我們需要新的法律！
每天有 83 人因槍擊死亡。
誰真正遵守阿米里特法律？
#VRA50¤Û")</f>
        <v>ÛÏ@LOLGOP：每年 2.2 起選民詐欺案件。
我們需要新的法律！
每天有 83 人因槍擊死亡。
誰真正遵守阿米里特法律？
#VRA50¤Û</v>
      </c>
      <c r="G795" s="4" t="str">
        <f>IFERROR(__xludf.DUMMYFUNCTION("GOOGLETRANSLATE(B795)"),"死亡人數")</f>
        <v>死亡人數</v>
      </c>
    </row>
    <row r="796" ht="15.75" customHeight="1">
      <c r="A796" s="4">
        <v>3057.0</v>
      </c>
      <c r="B796" s="4" t="s">
        <v>1323</v>
      </c>
      <c r="C796" s="4" t="s">
        <v>1329</v>
      </c>
      <c r="D796" s="4" t="s">
        <v>1330</v>
      </c>
      <c r="E796" s="4">
        <v>1.0</v>
      </c>
      <c r="F796" s="4" t="str">
        <f>IFERROR(__xludf.DUMMYFUNCTION("GOOGLETRANSLATE(D796)"),"安靜。 #巴勒莫 #Shipwreck #Children #Deaths http://t.co/Tm9ZBHJcyf")</f>
        <v>安靜。 #巴勒莫 #Shipwreck #Children #Deaths http://t.co/Tm9ZBHJcyf</v>
      </c>
      <c r="G796" s="4" t="str">
        <f>IFERROR(__xludf.DUMMYFUNCTION("GOOGLETRANSLATE(B796)"),"死亡人數")</f>
        <v>死亡人數</v>
      </c>
    </row>
    <row r="797" ht="15.75" customHeight="1">
      <c r="A797" s="4">
        <v>3058.0</v>
      </c>
      <c r="B797" s="4" t="s">
        <v>1323</v>
      </c>
      <c r="D797" s="4" t="s">
        <v>1331</v>
      </c>
      <c r="E797" s="4">
        <v>1.0</v>
      </c>
      <c r="F797" s="4" t="str">
        <f>IFERROR(__xludf.DUMMYFUNCTION("GOOGLETRANSLATE(D797)"),"這就是為什麼 BSF Jawans 死了 Fidayeen 有 AK，他們該死的#INSAS！ INSAS 步槍不應歸咎於國防部士兵的死亡 http://t.co/1Lk1EQwyUW")</f>
        <v>這就是為什麼 BSF Jawans 死了 Fidayeen 有 AK，他們該死的#INSAS！ INSAS 步槍不應歸咎於國防部士兵的死亡 http://t.co/1Lk1EQwyUW</v>
      </c>
      <c r="G797" s="4" t="str">
        <f>IFERROR(__xludf.DUMMYFUNCTION("GOOGLETRANSLATE(B797)"),"死亡人數")</f>
        <v>死亡人數</v>
      </c>
    </row>
    <row r="798" ht="15.75" customHeight="1">
      <c r="A798" s="4">
        <v>3060.0</v>
      </c>
      <c r="B798" s="4" t="s">
        <v>1323</v>
      </c>
      <c r="C798" s="4" t="s">
        <v>1332</v>
      </c>
      <c r="D798" s="4" t="s">
        <v>1333</v>
      </c>
      <c r="E798" s="4">
        <v>1.0</v>
      </c>
      <c r="F798" s="4" t="str">
        <f>IFERROR(__xludf.DUMMYFUNCTION("GOOGLETRANSLATE(D798)"),"闖紅燈事故死亡的 1/2 是行人、騎自行車者和騎自行車的人被闖紅燈者撞到的其他車輛乘員。")</f>
        <v>闖紅燈事故死亡的 1/2 是行人、騎自行車者和騎自行車的人被闖紅燈者撞到的其他車輛乘員。</v>
      </c>
      <c r="G798" s="4" t="str">
        <f>IFERROR(__xludf.DUMMYFUNCTION("GOOGLETRANSLATE(B798)"),"死亡人數")</f>
        <v>死亡人數</v>
      </c>
    </row>
    <row r="799" ht="15.75" customHeight="1">
      <c r="A799" s="4">
        <v>3061.0</v>
      </c>
      <c r="B799" s="4" t="s">
        <v>1323</v>
      </c>
      <c r="D799" s="4" t="s">
        <v>1334</v>
      </c>
      <c r="E799" s="4">
        <v>1.0</v>
      </c>
      <c r="F799" s="4" t="str">
        <f>IFERROR(__xludf.DUMMYFUNCTION("GOOGLETRANSLATE(D799)"),"RT @TrueDiagnosis：每年有 25 萬人因#醫生錯誤而死亡：http://t.co/DUtYzQR2P7åÊ 如何避免成為其中之一：http://t.co/OznsxxvxÛ_")</f>
        <v>RT @TrueDiagnosis：每年有 25 萬人因#醫生錯誤而死亡：http://t.co/DUtYzQR2P7åÊ 如何避免成為其中之一：http://t.co/OznsxxvxÛ_</v>
      </c>
      <c r="G799" s="4" t="str">
        <f>IFERROR(__xludf.DUMMYFUNCTION("GOOGLETRANSLATE(B799)"),"死亡人數")</f>
        <v>死亡人數</v>
      </c>
    </row>
    <row r="800" ht="15.75" customHeight="1">
      <c r="A800" s="4">
        <v>3062.0</v>
      </c>
      <c r="B800" s="4" t="s">
        <v>1323</v>
      </c>
      <c r="D800" s="4" t="s">
        <v>1335</v>
      </c>
      <c r="E800" s="4">
        <v>1.0</v>
      </c>
      <c r="F800" s="4" t="str">
        <f>IFERROR(__xludf.DUMMYFUNCTION("GOOGLETRANSLATE(D800)"),"#CDCwhistleblower 10 年內有 2 人死於麻疹併發症，每個人都失去了理智。一個月內有 8 名軍團士兵死亡蟋蟀")</f>
        <v>#CDCwhistleblower 10 年內有 2 人死於麻疹併發症，每個人都失去了理智。一個月內有 8 名軍團士兵死亡蟋蟀</v>
      </c>
      <c r="G800" s="4" t="str">
        <f>IFERROR(__xludf.DUMMYFUNCTION("GOOGLETRANSLATE(B800)"),"死亡人數")</f>
        <v>死亡人數</v>
      </c>
    </row>
    <row r="801" ht="15.75" customHeight="1">
      <c r="A801" s="4">
        <v>3066.0</v>
      </c>
      <c r="B801" s="4" t="s">
        <v>1323</v>
      </c>
      <c r="C801" s="4" t="s">
        <v>89</v>
      </c>
      <c r="D801" s="4" t="s">
        <v>1336</v>
      </c>
      <c r="E801" s="4">
        <v>1.0</v>
      </c>
      <c r="F801" s="4" t="str">
        <f>IFERROR(__xludf.DUMMYFUNCTION("GOOGLETRANSLATE(D801)"),"每年有 500 人死於食源性疾病... @frackfreelancs 親愛的... @DECCgovuk @frackfree_eu @tarleton_sophie http://t.co/JSccX8k0jA")</f>
        <v>每年有 500 人死於食源性疾病... @frackfreelancs 親愛的... @DECCgovuk @frackfree_eu @tarleton_sophie http://t.co/JSccX8k0jA</v>
      </c>
      <c r="G801" s="4" t="str">
        <f>IFERROR(__xludf.DUMMYFUNCTION("GOOGLETRANSLATE(B801)"),"死亡人數")</f>
        <v>死亡人數</v>
      </c>
    </row>
    <row r="802" ht="15.75" customHeight="1">
      <c r="A802" s="4">
        <v>3072.0</v>
      </c>
      <c r="B802" s="4" t="s">
        <v>1323</v>
      </c>
      <c r="C802" s="4" t="s">
        <v>1337</v>
      </c>
      <c r="D802" s="4" t="s">
        <v>1338</v>
      </c>
      <c r="E802" s="4">
        <v>1.0</v>
      </c>
      <c r="F802" s="4" t="str">
        <f>IFERROR(__xludf.DUMMYFUNCTION("GOOGLETRANSLATE(D802)"),"[評論]大齡兒童的死亡：數據告訴我們什麼#US？ http://t.co/p8Yr2po6Jn
 #nghlth")</f>
        <v>[評論]大齡兒童的死亡：數據告訴我們什麼#US？ http://t.co/p8Yr2po6Jn
 #nghlth</v>
      </c>
      <c r="G802" s="4" t="str">
        <f>IFERROR(__xludf.DUMMYFUNCTION("GOOGLETRANSLATE(B802)"),"死亡人數")</f>
        <v>死亡人數</v>
      </c>
    </row>
    <row r="803" ht="15.75" customHeight="1">
      <c r="A803" s="4">
        <v>3073.0</v>
      </c>
      <c r="B803" s="4" t="s">
        <v>1323</v>
      </c>
      <c r="C803" s="4" t="s">
        <v>1339</v>
      </c>
      <c r="D803" s="4" t="s">
        <v>1340</v>
      </c>
      <c r="E803" s="4">
        <v>1.0</v>
      </c>
      <c r="F803" s="4" t="str">
        <f>IFERROR(__xludf.DUMMYFUNCTION("GOOGLETRANSLATE(D803)"),"死亡 7 http://t.co/xRJA0XpL40")</f>
        <v>死亡 7 http://t.co/xRJA0XpL40</v>
      </c>
      <c r="G803" s="4" t="str">
        <f>IFERROR(__xludf.DUMMYFUNCTION("GOOGLETRANSLATE(B803)"),"死亡人數")</f>
        <v>死亡人數</v>
      </c>
    </row>
    <row r="804" ht="15.75" customHeight="1">
      <c r="A804" s="4">
        <v>3074.0</v>
      </c>
      <c r="B804" s="4" t="s">
        <v>1323</v>
      </c>
      <c r="D804" s="4" t="s">
        <v>1341</v>
      </c>
      <c r="E804" s="4">
        <v>1.0</v>
      </c>
      <c r="F804" s="4" t="str">
        <f>IFERROR(__xludf.DUMMYFUNCTION("GOOGLETRANSLATE(D804)"),"@Eazzy_P 我們永遠不會知道會發生什麼，但政府似乎認為他們的信仰值得無辜日本人的死亡")</f>
        <v>@Eazzy_P 我們永遠不會知道會發生什麼，但政府似乎認為他們的信仰值得無辜日本人的死亡</v>
      </c>
      <c r="G804" s="4" t="str">
        <f>IFERROR(__xludf.DUMMYFUNCTION("GOOGLETRANSLATE(B804)"),"死亡人數")</f>
        <v>死亡人數</v>
      </c>
    </row>
    <row r="805" ht="15.75" customHeight="1">
      <c r="A805" s="4">
        <v>3075.0</v>
      </c>
      <c r="B805" s="4" t="s">
        <v>1323</v>
      </c>
      <c r="C805" s="4" t="s">
        <v>1342</v>
      </c>
      <c r="D805" s="4" t="s">
        <v>1343</v>
      </c>
      <c r="E805" s="4">
        <v>1.0</v>
      </c>
      <c r="F805" s="4" t="str">
        <f>IFERROR(__xludf.DUMMYFUNCTION("GOOGLETRANSLATE(D805)"),"現實生活中的真正魔法：
俄亥俄州小鎮婦女失踪，這是聯邦調查局調查的焦點，發生奇怪的死亡事件... http://t.co/6m0YNJWbc9")</f>
        <v>現實生活中的真正魔法：
俄亥俄州小鎮婦女失踪，這是聯邦調查局調查的焦點，發生奇怪的死亡事件... http://t.co/6m0YNJWbc9</v>
      </c>
      <c r="G805" s="4" t="str">
        <f>IFERROR(__xludf.DUMMYFUNCTION("GOOGLETRANSLATE(B805)"),"死亡人數")</f>
        <v>死亡人數</v>
      </c>
    </row>
    <row r="806" ht="15.75" customHeight="1">
      <c r="A806" s="4">
        <v>3077.0</v>
      </c>
      <c r="B806" s="4" t="s">
        <v>1323</v>
      </c>
      <c r="C806" s="4" t="s">
        <v>395</v>
      </c>
      <c r="D806" s="4" t="s">
        <v>1344</v>
      </c>
      <c r="E806" s="4">
        <v>1.0</v>
      </c>
      <c r="F806" s="4" t="str">
        <f>IFERROR(__xludf.DUMMYFUNCTION("GOOGLETRANSLATE(D806)"),"沒有兩個病例不構成流行病。 http://t.co/jbLrRNMdsM #plague #health #publichealth")</f>
        <v>沒有兩個病例不構成流行病。 http://t.co/jbLrRNMdsM #plague #health #publichealth</v>
      </c>
      <c r="G806" s="4" t="str">
        <f>IFERROR(__xludf.DUMMYFUNCTION("GOOGLETRANSLATE(B806)"),"死亡人數")</f>
        <v>死亡人數</v>
      </c>
    </row>
    <row r="807" ht="15.75" customHeight="1">
      <c r="A807" s="4">
        <v>3082.0</v>
      </c>
      <c r="B807" s="4" t="s">
        <v>1323</v>
      </c>
      <c r="C807" s="4" t="s">
        <v>1345</v>
      </c>
      <c r="D807" s="4" t="s">
        <v>1346</v>
      </c>
      <c r="E807" s="4">
        <v>1.0</v>
      </c>
      <c r="F807" s="4" t="str">
        <f>IFERROR(__xludf.DUMMYFUNCTION("GOOGLETRANSLATE(D807)"),"韋本警方在該省發生芬太尼死亡事件後向公眾發出警告 - http://t.co/8bqjtp6iD5 http://t.co/8kjS7ZqAjS")</f>
        <v>韋本警方在該省發生芬太尼死亡事件後向公眾發出警告 - http://t.co/8bqjtp6iD5 http://t.co/8kjS7ZqAjS</v>
      </c>
      <c r="G807" s="4" t="str">
        <f>IFERROR(__xludf.DUMMYFUNCTION("GOOGLETRANSLATE(B807)"),"死亡人數")</f>
        <v>死亡人數</v>
      </c>
    </row>
    <row r="808" ht="15.75" customHeight="1">
      <c r="A808" s="4">
        <v>3084.0</v>
      </c>
      <c r="B808" s="4" t="s">
        <v>1323</v>
      </c>
      <c r="D808" s="4" t="s">
        <v>1347</v>
      </c>
      <c r="E808" s="4">
        <v>1.0</v>
      </c>
      <c r="F808" s="4" t="str">
        <f>IFERROR(__xludf.DUMMYFUNCTION("GOOGLETRANSLATE(D808)"),"是時候減少槍支死亡了 http://t.co/ilADQEBxPn")</f>
        <v>是時候減少槍支死亡了 http://t.co/ilADQEBxPn</v>
      </c>
      <c r="G808" s="4" t="str">
        <f>IFERROR(__xludf.DUMMYFUNCTION("GOOGLETRANSLATE(B808)"),"死亡人數")</f>
        <v>死亡人數</v>
      </c>
    </row>
    <row r="809" ht="15.75" customHeight="1">
      <c r="A809" s="4">
        <v>3086.0</v>
      </c>
      <c r="B809" s="4" t="s">
        <v>1323</v>
      </c>
      <c r="C809" s="4" t="s">
        <v>1348</v>
      </c>
      <c r="D809" s="4" t="s">
        <v>1349</v>
      </c>
      <c r="E809" s="4">
        <v>1.0</v>
      </c>
      <c r="F809" s="4" t="str">
        <f>IFERROR(__xludf.DUMMYFUNCTION("GOOGLETRANSLATE(D809)"),"在 #Blackpool，癌症約佔所有死亡人數的 25%。
認清這些跡象可以挽救你的生命：http://t.co/5lNIdvoBff
#BeClearOnCancer")</f>
        <v>在 #Blackpool，癌症約佔所有死亡人數的 25%。
認清這些跡象可以挽救你的生命：http://t.co/5lNIdvoBff
#BeClearOnCancer</v>
      </c>
      <c r="G809" s="4" t="str">
        <f>IFERROR(__xludf.DUMMYFUNCTION("GOOGLETRANSLATE(B809)"),"死亡人數")</f>
        <v>死亡人數</v>
      </c>
    </row>
    <row r="810" ht="15.75" customHeight="1">
      <c r="A810" s="4">
        <v>3089.0</v>
      </c>
      <c r="B810" s="4" t="s">
        <v>1323</v>
      </c>
      <c r="C810" s="4" t="s">
        <v>1350</v>
      </c>
      <c r="D810" s="4" t="s">
        <v>1351</v>
      </c>
      <c r="E810" s="4">
        <v>1.0</v>
      </c>
      <c r="F810" s="4" t="str">
        <f>IFERROR(__xludf.DUMMYFUNCTION("GOOGLETRANSLATE(D810)"),"@HighQualityBird 一個相反的情況（哈哈，我不知道9/11？），美國平民的死亡被專門用來製造政治事件")</f>
        <v>@HighQualityBird 一個相反的情況（哈哈，我不知道9/11？），美國平民的死亡被專門用來製造政治事件</v>
      </c>
      <c r="G810" s="4" t="str">
        <f>IFERROR(__xludf.DUMMYFUNCTION("GOOGLETRANSLATE(B810)"),"死亡人數")</f>
        <v>死亡人數</v>
      </c>
    </row>
    <row r="811" ht="15.75" customHeight="1">
      <c r="A811" s="4">
        <v>3091.0</v>
      </c>
      <c r="B811" s="4" t="s">
        <v>1323</v>
      </c>
      <c r="C811" s="4" t="s">
        <v>1352</v>
      </c>
      <c r="D811" s="4" t="s">
        <v>1353</v>
      </c>
      <c r="E811" s="4">
        <v>1.0</v>
      </c>
      <c r="F811" s="4" t="str">
        <f>IFERROR(__xludf.DUMMYFUNCTION("GOOGLETRANSLATE(D811)"),"@mathew_is_angry @Z3KE_SK1 @saladinahmed 他們被困在船上慘死，但他們知道這是一個風險。")</f>
        <v>@mathew_is_angry @Z3KE_SK1 @saladinahmed 他們被困在船上慘死，但他們知道這是一個風險。</v>
      </c>
      <c r="G811" s="4" t="str">
        <f>IFERROR(__xludf.DUMMYFUNCTION("GOOGLETRANSLATE(B811)"),"死亡人數")</f>
        <v>死亡人數</v>
      </c>
    </row>
    <row r="812" ht="15.75" customHeight="1">
      <c r="A812" s="4">
        <v>3092.0</v>
      </c>
      <c r="B812" s="4" t="s">
        <v>1323</v>
      </c>
      <c r="C812" s="4" t="s">
        <v>1354</v>
      </c>
      <c r="D812" s="4" t="s">
        <v>1355</v>
      </c>
      <c r="E812" s="4">
        <v>1.0</v>
      </c>
      <c r="F812" s="4" t="str">
        <f>IFERROR(__xludf.DUMMYFUNCTION("GOOGLETRANSLATE(D812)"),"英國外交部部長 @Tobias_Ellwood 譴責沙烏地阿拉伯一座清真寺發生的襲擊事件，該事件已導致至少 15 人死亡 http://t.co/c3W95h0ozZ")</f>
        <v>英國外交部部長 @Tobias_Ellwood 譴責沙烏地阿拉伯一座清真寺發生的襲擊事件，該事件已導致至少 15 人死亡 http://t.co/c3W95h0ozZ</v>
      </c>
      <c r="G812" s="4" t="str">
        <f>IFERROR(__xludf.DUMMYFUNCTION("GOOGLETRANSLATE(B812)"),"死亡人數")</f>
        <v>死亡人數</v>
      </c>
    </row>
    <row r="813" ht="15.75" customHeight="1">
      <c r="A813" s="4">
        <v>3093.0</v>
      </c>
      <c r="B813" s="4" t="s">
        <v>1323</v>
      </c>
      <c r="C813" s="4" t="s">
        <v>1348</v>
      </c>
      <c r="D813" s="4" t="s">
        <v>1356</v>
      </c>
      <c r="E813" s="4">
        <v>1.0</v>
      </c>
      <c r="F813" s="4" t="str">
        <f>IFERROR(__xludf.DUMMYFUNCTION("GOOGLETRANSLATE(D813)"),"在 #Blackpool，癌症約佔所有死亡人數的 25%。
認清這些跡象可以挽救你的生命：http://t.co/11dVqjVXPo
#BeClearOnCancer")</f>
        <v>在 #Blackpool，癌症約佔所有死亡人數的 25%。
認清這些跡象可以挽救你的生命：http://t.co/11dVqjVXPo
#BeClearOnCancer</v>
      </c>
      <c r="G813" s="4" t="str">
        <f>IFERROR(__xludf.DUMMYFUNCTION("GOOGLETRANSLATE(B813)"),"死亡人數")</f>
        <v>死亡人數</v>
      </c>
    </row>
    <row r="814" ht="15.75" customHeight="1">
      <c r="A814" s="4">
        <v>3095.0</v>
      </c>
      <c r="B814" s="4" t="s">
        <v>1323</v>
      </c>
      <c r="C814" s="4" t="s">
        <v>708</v>
      </c>
      <c r="D814" s="4" t="s">
        <v>1357</v>
      </c>
      <c r="E814" s="4">
        <v>1.0</v>
      </c>
      <c r="F814" s="4" t="str">
        <f>IFERROR(__xludf.DUMMYFUNCTION("GOOGLETRANSLATE(D814)"),"科羅拉多州的小動物氣候和兩例鼠疫死亡 http://t.co/DXkt2Shuj2")</f>
        <v>科羅拉多州的小動物氣候和兩例鼠疫死亡 http://t.co/DXkt2Shuj2</v>
      </c>
      <c r="G814" s="4" t="str">
        <f>IFERROR(__xludf.DUMMYFUNCTION("GOOGLETRANSLATE(B814)"),"死亡人數")</f>
        <v>死亡人數</v>
      </c>
    </row>
    <row r="815" ht="15.75" customHeight="1">
      <c r="A815" s="4">
        <v>3097.0</v>
      </c>
      <c r="B815" s="4" t="s">
        <v>1323</v>
      </c>
      <c r="D815" s="4" t="s">
        <v>1358</v>
      </c>
      <c r="E815" s="4">
        <v>1.0</v>
      </c>
      <c r="F815" s="4" t="str">
        <f>IFERROR(__xludf.DUMMYFUNCTION("GOOGLETRANSLATE(D815)"),"自 1940 年安吉拉桑德斯出生以來，與迴旋踢相關的死亡人數增加了 13,000%。")</f>
        <v>自 1940 年安吉拉桑德斯出生以來，與迴旋踢相關的死亡人數增加了 13,000%。</v>
      </c>
      <c r="G815" s="4" t="str">
        <f>IFERROR(__xludf.DUMMYFUNCTION("GOOGLETRANSLATE(B815)"),"死亡人數")</f>
        <v>死亡人數</v>
      </c>
    </row>
    <row r="816" ht="15.75" customHeight="1">
      <c r="A816" s="4">
        <v>3100.0</v>
      </c>
      <c r="B816" s="4" t="s">
        <v>1323</v>
      </c>
      <c r="C816" s="4" t="s">
        <v>1359</v>
      </c>
      <c r="D816" s="4" t="s">
        <v>1360</v>
      </c>
      <c r="E816" s="4">
        <v>1.0</v>
      </c>
      <c r="F816" s="4" t="str">
        <f>IFERROR(__xludf.DUMMYFUNCTION("GOOGLETRANSLATE(D816)"),"截至 2010 年，#SeaWorld 報告有 17 名白鯨死亡，他們的平均年齡為 15 1/2 歲#OpSeaWorld http://t.co/MZk5UjlFCV")</f>
        <v>截至 2010 年，#SeaWorld 報告有 17 名白鯨死亡，他們的平均年齡為 15 1/2 歲#OpSeaWorld http://t.co/MZk5UjlFCV</v>
      </c>
      <c r="G816" s="4" t="str">
        <f>IFERROR(__xludf.DUMMYFUNCTION("GOOGLETRANSLATE(B816)"),"死亡人數")</f>
        <v>死亡人數</v>
      </c>
    </row>
    <row r="817" ht="15.75" customHeight="1">
      <c r="A817" s="4">
        <v>3101.0</v>
      </c>
      <c r="B817" s="4" t="s">
        <v>1323</v>
      </c>
      <c r="C817" s="4" t="s">
        <v>1361</v>
      </c>
      <c r="D817" s="4" t="s">
        <v>1362</v>
      </c>
      <c r="E817" s="4">
        <v>1.0</v>
      </c>
      <c r="F817" s="4" t="str">
        <f>IFERROR(__xludf.DUMMYFUNCTION("GOOGLETRANSLATE(D817)"),"重婚者和他的「第一」妻子被指控殺害他的「第二」懷孕妻子、她的孩子 8、她的母親......http://t.co/rTEuGB5Tnv")</f>
        <v>重婚者和他的「第一」妻子被指控殺害他的「第二」懷孕妻子、她的孩子 8、她的母親......http://t.co/rTEuGB5Tnv</v>
      </c>
      <c r="G817" s="4" t="str">
        <f>IFERROR(__xludf.DUMMYFUNCTION("GOOGLETRANSLATE(B817)"),"死亡人數")</f>
        <v>死亡人數</v>
      </c>
    </row>
    <row r="818" ht="15.75" customHeight="1">
      <c r="A818" s="4">
        <v>3102.0</v>
      </c>
      <c r="B818" s="4" t="s">
        <v>1323</v>
      </c>
      <c r="C818" s="4" t="s">
        <v>1363</v>
      </c>
      <c r="D818" s="4" t="s">
        <v>1364</v>
      </c>
      <c r="E818" s="4">
        <v>1.0</v>
      </c>
      <c r="F818" s="4" t="str">
        <f>IFERROR(__xludf.DUMMYFUNCTION("GOOGLETRANSLATE(D818)"),"@倫敦市長，請像對待所有其他使用道路的車輛一樣，通過強制性公路法規測試來減少騎自行車者的死亡。 #不是火箭科學")</f>
        <v>@倫敦市長，請像對待所有其他使用道路的車輛一樣，通過強制性公路法規測試來減少騎自行車者的死亡。 #不是火箭科學</v>
      </c>
      <c r="G818" s="4" t="str">
        <f>IFERROR(__xludf.DUMMYFUNCTION("GOOGLETRANSLATE(B818)"),"死亡人數")</f>
        <v>死亡人數</v>
      </c>
    </row>
    <row r="819" ht="15.75" customHeight="1">
      <c r="A819" s="4">
        <v>3104.0</v>
      </c>
      <c r="B819" s="4" t="s">
        <v>1365</v>
      </c>
      <c r="C819" s="4" t="s">
        <v>1366</v>
      </c>
      <c r="D819" s="4" t="s">
        <v>1367</v>
      </c>
      <c r="E819" s="4">
        <v>1.0</v>
      </c>
      <c r="F819" s="4" t="str">
        <f>IFERROR(__xludf.DUMMYFUNCTION("GOOGLETRANSLATE(D819)"),"#aerospace #exec 飛機殘骸來自失蹤的 MH370 - 在留尼旺島發現的部分機翼來自... http://t.co/S2wm8lh7oO")</f>
        <v>#aerospace #exec 飛機殘骸來自失蹤的 MH370 - 在留尼旺島發現的部分機翼來自... http://t.co/S2wm8lh7oO</v>
      </c>
      <c r="G819" s="4" t="str">
        <f>IFERROR(__xludf.DUMMYFUNCTION("GOOGLETRANSLATE(B819)"),"碎片")</f>
        <v>碎片</v>
      </c>
    </row>
    <row r="820" ht="15.75" customHeight="1">
      <c r="A820" s="4">
        <v>3105.0</v>
      </c>
      <c r="B820" s="4" t="s">
        <v>1365</v>
      </c>
      <c r="D820" s="4" t="s">
        <v>1368</v>
      </c>
      <c r="E820" s="4">
        <v>1.0</v>
      </c>
      <c r="F820" s="4" t="str">
        <f>IFERROR(__xludf.DUMMYFUNCTION("GOOGLETRANSLATE(D820)"),"17 個月前失蹤的馬來西亞航空 370 航班殘骸在印度洋以南被發現 - http://t.co/nrHURYSyPd")</f>
        <v>17 個月前失蹤的馬來西亞航空 370 航班殘骸在印度洋以南被發現 - http://t.co/nrHURYSyPd</v>
      </c>
      <c r="G820" s="4" t="str">
        <f>IFERROR(__xludf.DUMMYFUNCTION("GOOGLETRANSLATE(B820)"),"碎片")</f>
        <v>碎片</v>
      </c>
    </row>
    <row r="821" ht="15.75" customHeight="1">
      <c r="A821" s="4">
        <v>3106.0</v>
      </c>
      <c r="B821" s="4" t="s">
        <v>1365</v>
      </c>
      <c r="D821" s="4" t="s">
        <v>1369</v>
      </c>
      <c r="E821" s="4">
        <v>1.0</v>
      </c>
      <c r="F821" s="4" t="str">
        <f>IFERROR(__xludf.DUMMYFUNCTION("GOOGLETRANSLATE(D821)"),"#?? #?? #??? #??? MH370：留尼旺島發現的飛機殘骸來自失蹤的馬來西亞航空公司...... http://t.co/MRVXBZywd4")</f>
        <v>#?? #?? #??? #??? MH370：留尼旺島發現的飛機殘骸來自失蹤的馬來西亞航空公司...... http://t.co/MRVXBZywd4</v>
      </c>
      <c r="G821" s="4" t="str">
        <f>IFERROR(__xludf.DUMMYFUNCTION("GOOGLETRANSLATE(B821)"),"碎片")</f>
        <v>碎片</v>
      </c>
    </row>
    <row r="822" ht="15.75" customHeight="1">
      <c r="A822" s="4">
        <v>3107.0</v>
      </c>
      <c r="B822" s="4" t="s">
        <v>1365</v>
      </c>
      <c r="C822" s="4" t="s">
        <v>1370</v>
      </c>
      <c r="D822" s="4" t="s">
        <v>1371</v>
      </c>
      <c r="E822" s="4">
        <v>1.0</v>
      </c>
      <c r="F822" s="4" t="str">
        <f>IFERROR(__xludf.DUMMYFUNCTION("GOOGLETRANSLATE(D822)"),"發現的飛機殘骸來自失蹤的馬來西亞航空 370 航班時間http://t.co/7fSn1GeWUX")</f>
        <v>發現的飛機殘骸來自失蹤的馬來西亞航空 370 航班時間http://t.co/7fSn1GeWUX</v>
      </c>
      <c r="G822" s="4" t="str">
        <f>IFERROR(__xludf.DUMMYFUNCTION("GOOGLETRANSLATE(B822)"),"碎片")</f>
        <v>碎片</v>
      </c>
    </row>
    <row r="823" ht="15.75" customHeight="1">
      <c r="A823" s="4">
        <v>3108.0</v>
      </c>
      <c r="B823" s="4" t="s">
        <v>1365</v>
      </c>
      <c r="D823" s="4" t="s">
        <v>1372</v>
      </c>
      <c r="E823" s="4">
        <v>1.0</v>
      </c>
      <c r="F823" s="4" t="str">
        <f>IFERROR(__xludf.DUMMYFUNCTION("GOOGLETRANSLATE(D823)"),"確認了MH370的殘骸？？")</f>
        <v>確認了MH370的殘骸？？</v>
      </c>
      <c r="G823" s="4" t="str">
        <f>IFERROR(__xludf.DUMMYFUNCTION("GOOGLETRANSLATE(B823)"),"碎片")</f>
        <v>碎片</v>
      </c>
    </row>
    <row r="824" ht="15.75" customHeight="1">
      <c r="A824" s="4">
        <v>3109.0</v>
      </c>
      <c r="B824" s="4" t="s">
        <v>1365</v>
      </c>
      <c r="D824" s="4" t="s">
        <v>1373</v>
      </c>
      <c r="E824" s="4">
        <v>1.0</v>
      </c>
      <c r="F824" s="4" t="str">
        <f>IFERROR(__xludf.DUMMYFUNCTION("GOOGLETRANSLATE(D824)"),"#?? #?? #??? #??? MH370：留尼旺島發現的飛機殘骸來自失蹤的馬來西亞航空公司...... http://t.co/q1GlK8plUD")</f>
        <v>#?? #?? #??? #??? MH370：留尼旺島發現的飛機殘骸來自失蹤的馬來西亞航空公司...... http://t.co/q1GlK8plUD</v>
      </c>
      <c r="G824" s="4" t="str">
        <f>IFERROR(__xludf.DUMMYFUNCTION("GOOGLETRANSLATE(B824)"),"碎片")</f>
        <v>碎片</v>
      </c>
    </row>
    <row r="825" ht="15.75" customHeight="1">
      <c r="A825" s="4">
        <v>3111.0</v>
      </c>
      <c r="B825" s="4" t="s">
        <v>1365</v>
      </c>
      <c r="C825" s="4" t="s">
        <v>1013</v>
      </c>
      <c r="D825" s="4" t="s">
        <v>1374</v>
      </c>
      <c r="E825" s="4">
        <v>1.0</v>
      </c>
      <c r="F825" s="4" t="str">
        <f>IFERROR(__xludf.DUMMYFUNCTION("GOOGLETRANSLATE(D825)"),"馬來西亞確認留尼汪島上被沖上的飛機殘骸來自 MH370 航班 http://t.co/BMxsndx14g")</f>
        <v>馬來西亞確認留尼汪島上被沖上的飛機殘骸來自 MH370 航班 http://t.co/BMxsndx14g</v>
      </c>
      <c r="G825" s="4" t="str">
        <f>IFERROR(__xludf.DUMMYFUNCTION("GOOGLETRANSLATE(B825)"),"碎片")</f>
        <v>碎片</v>
      </c>
    </row>
    <row r="826" ht="15.75" customHeight="1">
      <c r="A826" s="4">
        <v>3112.0</v>
      </c>
      <c r="B826" s="4" t="s">
        <v>1365</v>
      </c>
      <c r="D826" s="4" t="s">
        <v>1375</v>
      </c>
      <c r="E826" s="4">
        <v>1.0</v>
      </c>
      <c r="F826" s="4" t="str">
        <f>IFERROR(__xludf.DUMMYFUNCTION("GOOGLETRANSLATE(D826)"),"#?? #???? #??? #??? MH370：留尼旺島發現的飛機殘骸來自失蹤的馬來西亞航空公司...... http://t.co/hHWv0EUDFv")</f>
        <v>#?? #???? #??? #??? MH370：留尼旺島發現的飛機殘骸來自失蹤的馬來西亞航空公司...... http://t.co/hHWv0EUDFv</v>
      </c>
      <c r="G826" s="4" t="str">
        <f>IFERROR(__xludf.DUMMYFUNCTION("GOOGLETRANSLATE(B826)"),"碎片")</f>
        <v>碎片</v>
      </c>
    </row>
    <row r="827" ht="15.75" customHeight="1">
      <c r="A827" s="4">
        <v>3114.0</v>
      </c>
      <c r="B827" s="4" t="s">
        <v>1365</v>
      </c>
      <c r="C827" s="4" t="s">
        <v>1376</v>
      </c>
      <c r="D827" s="4" t="s">
        <v>1377</v>
      </c>
      <c r="E827" s="4">
        <v>1.0</v>
      </c>
      <c r="F827" s="4" t="str">
        <f>IFERROR(__xludf.DUMMYFUNCTION("GOOGLETRANSLATE(D827)"),"失蹤飛機的殘骸如何飄到魯尼翁 - 紐約時報 http://t.co/pNnUnrnqjA")</f>
        <v>失蹤飛機的殘骸如何飄到魯尼翁 - 紐約時報 http://t.co/pNnUnrnqjA</v>
      </c>
      <c r="G827" s="4" t="str">
        <f>IFERROR(__xludf.DUMMYFUNCTION("GOOGLETRANSLATE(B827)"),"碎片")</f>
        <v>碎片</v>
      </c>
    </row>
    <row r="828" ht="15.75" customHeight="1">
      <c r="A828" s="4">
        <v>3115.0</v>
      </c>
      <c r="B828" s="4" t="s">
        <v>1365</v>
      </c>
      <c r="D828" s="4" t="s">
        <v>1378</v>
      </c>
      <c r="E828" s="4">
        <v>1.0</v>
      </c>
      <c r="F828" s="4" t="str">
        <f>IFERROR(__xludf.DUMMYFUNCTION("GOOGLETRANSLATE(D828)"),"官員稱魯尼島殘骸幾乎肯定來自 370 航班 - 紐約時報 http://t.co/gyQLAOz3l2")</f>
        <v>官員稱魯尼島殘骸幾乎肯定來自 370 航班 - 紐約時報 http://t.co/gyQLAOz3l2</v>
      </c>
      <c r="G828" s="4" t="str">
        <f>IFERROR(__xludf.DUMMYFUNCTION("GOOGLETRANSLATE(B828)"),"碎片")</f>
        <v>碎片</v>
      </c>
    </row>
    <row r="829" ht="15.75" customHeight="1">
      <c r="A829" s="4">
        <v>3116.0</v>
      </c>
      <c r="B829" s="4" t="s">
        <v>1365</v>
      </c>
      <c r="D829" s="4" t="s">
        <v>1379</v>
      </c>
      <c r="E829" s="4">
        <v>1.0</v>
      </c>
      <c r="F829" s="4" t="str">
        <f>IFERROR(__xludf.DUMMYFUNCTION("GOOGLETRANSLATE(D829)"),"官員稱魯尼島殘骸幾乎肯定來自 370 航班 - 紐約時報 http://t.co/VFbW3NyO9L")</f>
        <v>官員稱魯尼島殘骸幾乎肯定來自 370 航班 - 紐約時報 http://t.co/VFbW3NyO9L</v>
      </c>
      <c r="G829" s="4" t="str">
        <f>IFERROR(__xludf.DUMMYFUNCTION("GOOGLETRANSLATE(B829)"),"碎片")</f>
        <v>碎片</v>
      </c>
    </row>
    <row r="830" ht="15.75" customHeight="1">
      <c r="A830" s="4">
        <v>3117.0</v>
      </c>
      <c r="B830" s="4" t="s">
        <v>1365</v>
      </c>
      <c r="C830" s="4" t="s">
        <v>1380</v>
      </c>
      <c r="D830" s="4" t="s">
        <v>1381</v>
      </c>
      <c r="E830" s="4">
        <v>1.0</v>
      </c>
      <c r="F830" s="4" t="str">
        <f>IFERROR(__xludf.DUMMYFUNCTION("GOOGLETRANSLATE(D830)"),"留尼旺島發現的殘骸來自#MH370航班。飛機失蹤背後的謎團可能比任何小說都更好。")</f>
        <v>留尼旺島發現的殘骸來自#MH370航班。飛機失蹤背後的謎團可能比任何小說都更好。</v>
      </c>
      <c r="G830" s="4" t="str">
        <f>IFERROR(__xludf.DUMMYFUNCTION("GOOGLETRANSLATE(B830)"),"碎片")</f>
        <v>碎片</v>
      </c>
    </row>
    <row r="831" ht="15.75" customHeight="1">
      <c r="A831" s="4">
        <v>3118.0</v>
      </c>
      <c r="B831" s="4" t="s">
        <v>1365</v>
      </c>
      <c r="D831" s="4" t="s">
        <v>1382</v>
      </c>
      <c r="E831" s="4">
        <v>1.0</v>
      </c>
      <c r="F831" s="4" t="str">
        <f>IFERROR(__xludf.DUMMYFUNCTION("GOOGLETRANSLATE(D831)"),"#?? #???? #??? #??? MH370：留尼旺島發現的飛機殘骸來自失蹤的馬來西亞航空公司...... http://t.co/oTsM38XMas")</f>
        <v>#?? #???? #??? #??? MH370：留尼旺島發現的飛機殘骸來自失蹤的馬來西亞航空公司...... http://t.co/oTsM38XMas</v>
      </c>
      <c r="G831" s="4" t="str">
        <f>IFERROR(__xludf.DUMMYFUNCTION("GOOGLETRANSLATE(B831)"),"碎片")</f>
        <v>碎片</v>
      </c>
    </row>
    <row r="832" ht="15.75" customHeight="1">
      <c r="A832" s="4">
        <v>3119.0</v>
      </c>
      <c r="B832" s="4" t="s">
        <v>1365</v>
      </c>
      <c r="C832" s="4" t="s">
        <v>1383</v>
      </c>
      <c r="D832" s="4" t="s">
        <v>1384</v>
      </c>
      <c r="E832" s="4">
        <v>1.0</v>
      </c>
      <c r="F832" s="4" t="str">
        <f>IFERROR(__xludf.DUMMYFUNCTION("GOOGLETRANSLATE(D832)"),"[路透社] 確認來自 MH370 的殘骸；親屬希望找到墜機地點 http://t.co/DFYaSVj7NF")</f>
        <v>[路透社] 確認來自 MH370 的殘骸；親屬希望找到墜機地點 http://t.co/DFYaSVj7NF</v>
      </c>
      <c r="G832" s="4" t="str">
        <f>IFERROR(__xludf.DUMMYFUNCTION("GOOGLETRANSLATE(B832)"),"碎片")</f>
        <v>碎片</v>
      </c>
    </row>
    <row r="833" ht="15.75" customHeight="1">
      <c r="A833" s="4">
        <v>3120.0</v>
      </c>
      <c r="B833" s="4" t="s">
        <v>1365</v>
      </c>
      <c r="C833" s="4" t="s">
        <v>1385</v>
      </c>
      <c r="D833" s="4" t="s">
        <v>1386</v>
      </c>
      <c r="E833" s="4">
        <v>1.0</v>
      </c>
      <c r="F833" s="4" t="str">
        <f>IFERROR(__xludf.DUMMYFUNCTION("GOOGLETRANSLATE(D833)"),"NBCNightlyNews：馬來西亞官員稱留尼旺島發現的碎片來自#MH370。 BillNeelyNBC 報導：http://t.co/foUtpwgFWy")</f>
        <v>NBCNightlyNews：馬來西亞官員稱留尼旺島發現的碎片來自#MH370。 BillNeelyNBC 報導：http://t.co/foUtpwgFWy</v>
      </c>
      <c r="G833" s="4" t="str">
        <f>IFERROR(__xludf.DUMMYFUNCTION("GOOGLETRANSLATE(B833)"),"碎片")</f>
        <v>碎片</v>
      </c>
    </row>
    <row r="834" ht="15.75" customHeight="1">
      <c r="A834" s="4">
        <v>3122.0</v>
      </c>
      <c r="B834" s="4" t="s">
        <v>1365</v>
      </c>
      <c r="D834" s="4" t="s">
        <v>1387</v>
      </c>
      <c r="E834" s="4">
        <v>1.0</v>
      </c>
      <c r="F834" s="4" t="str">
        <f>IFERROR(__xludf.DUMMYFUNCTION("GOOGLETRANSLATE(D834)"),"MH370：在留尼旺島發現殘骸。 ?? #悲傷#悲劇#無辜#崩潰#mh370")</f>
        <v>MH370：在留尼旺島發現殘骸。 ?? #悲傷#悲劇#無辜#崩潰#mh370</v>
      </c>
      <c r="G834" s="4" t="str">
        <f>IFERROR(__xludf.DUMMYFUNCTION("GOOGLETRANSLATE(B834)"),"碎片")</f>
        <v>碎片</v>
      </c>
    </row>
    <row r="835" ht="15.75" customHeight="1">
      <c r="A835" s="4">
        <v>3123.0</v>
      </c>
      <c r="B835" s="4" t="s">
        <v>1365</v>
      </c>
      <c r="C835" s="4" t="s">
        <v>915</v>
      </c>
      <c r="D835" s="4" t="s">
        <v>1388</v>
      </c>
      <c r="E835" s="4">
        <v>1.0</v>
      </c>
      <c r="F835" s="4" t="str">
        <f>IFERROR(__xludf.DUMMYFUNCTION("GOOGLETRANSLATE(D835)"),"#love #food #fun 馬來西亞總理納吉布·拉扎克證實，在魯尼翁島發現的飛機殘骸...... http://t.co/FK1L4noziG")</f>
        <v>#love #food #fun 馬來西亞總理納吉布·拉扎克證實，在魯尼翁島發現的飛機殘骸...... http://t.co/FK1L4noziG</v>
      </c>
      <c r="G835" s="4" t="str">
        <f>IFERROR(__xludf.DUMMYFUNCTION("GOOGLETRANSLATE(B835)"),"碎片")</f>
        <v>碎片</v>
      </c>
    </row>
    <row r="836" ht="15.75" customHeight="1">
      <c r="A836" s="4">
        <v>3124.0</v>
      </c>
      <c r="B836" s="4" t="s">
        <v>1365</v>
      </c>
      <c r="C836" s="4" t="s">
        <v>1389</v>
      </c>
      <c r="D836" s="4" t="s">
        <v>1390</v>
      </c>
      <c r="E836" s="4">
        <v>1.0</v>
      </c>
      <c r="F836" s="4" t="str">
        <f>IFERROR(__xludf.DUMMYFUNCTION("GOOGLETRANSLATE(D836)"),"馬來西亞似乎比法國更有把握。
飛機殘骸來自失蹤的 MH370 http://t.co/eXZnmxbINJ")</f>
        <v>馬來西亞似乎比法國更有把握。
飛機殘骸來自失蹤的 MH370 http://t.co/eXZnmxbINJ</v>
      </c>
      <c r="G836" s="4" t="str">
        <f>IFERROR(__xludf.DUMMYFUNCTION("GOOGLETRANSLATE(B836)"),"碎片")</f>
        <v>碎片</v>
      </c>
    </row>
    <row r="837" ht="15.75" customHeight="1">
      <c r="A837" s="4">
        <v>3125.0</v>
      </c>
      <c r="B837" s="4" t="s">
        <v>1365</v>
      </c>
      <c r="C837" s="4" t="s">
        <v>291</v>
      </c>
      <c r="D837" s="4" t="s">
        <v>1391</v>
      </c>
      <c r="E837" s="4">
        <v>1.0</v>
      </c>
      <c r="F837" s="4" t="str">
        <f>IFERROR(__xludf.DUMMYFUNCTION("GOOGLETRANSLATE(D837)"),"馬來西亞官員稱留尼旺島發現的碎片來自#MH370。 @BillNeelyNBC 報導：http://t.co/r6kZSQDghZ")</f>
        <v>馬來西亞官員稱留尼旺島發現的碎片來自#MH370。 @BillNeelyNBC 報導：http://t.co/r6kZSQDghZ</v>
      </c>
      <c r="G837" s="4" t="str">
        <f>IFERROR(__xludf.DUMMYFUNCTION("GOOGLETRANSLATE(B837)"),"碎片")</f>
        <v>碎片</v>
      </c>
    </row>
    <row r="838" ht="15.75" customHeight="1">
      <c r="A838" s="4">
        <v>3126.0</v>
      </c>
      <c r="B838" s="4" t="s">
        <v>1365</v>
      </c>
      <c r="D838" s="4" t="s">
        <v>1392</v>
      </c>
      <c r="E838" s="4">
        <v>1.0</v>
      </c>
      <c r="F838" s="4" t="str">
        <f>IFERROR(__xludf.DUMMYFUNCTION("GOOGLETRANSLATE(D838)"),"#??? #?? #??? #??? MH370：留尼旺島發現的飛機殘骸來自失蹤的馬來西亞航空公司...... http://t.co/zxCORQ0A3a")</f>
        <v>#??? #?? #??? #??? MH370：留尼旺島發現的飛機殘骸來自失蹤的馬來西亞航空公司...... http://t.co/zxCORQ0A3a</v>
      </c>
      <c r="G838" s="4" t="str">
        <f>IFERROR(__xludf.DUMMYFUNCTION("GOOGLETRANSLATE(B838)"),"碎片")</f>
        <v>碎片</v>
      </c>
    </row>
    <row r="839" ht="15.75" customHeight="1">
      <c r="A839" s="4">
        <v>3130.0</v>
      </c>
      <c r="B839" s="4" t="s">
        <v>1365</v>
      </c>
      <c r="D839" s="4" t="s">
        <v>1393</v>
      </c>
      <c r="E839" s="4">
        <v>1.0</v>
      </c>
      <c r="F839" s="4" t="str">
        <f>IFERROR(__xludf.DUMMYFUNCTION("GOOGLETRANSLATE(D839)"),"留尼旺島發現的殘骸來自MH370：馬來西亞總理 http://t.co/f75qWyeeEC")</f>
        <v>留尼旺島發現的殘骸來自MH370：馬來西亞總理 http://t.co/f75qWyeeEC</v>
      </c>
      <c r="G839" s="4" t="str">
        <f>IFERROR(__xludf.DUMMYFUNCTION("GOOGLETRANSLATE(B839)"),"碎片")</f>
        <v>碎片</v>
      </c>
    </row>
    <row r="840" ht="15.75" customHeight="1">
      <c r="A840" s="4">
        <v>3131.0</v>
      </c>
      <c r="B840" s="4" t="s">
        <v>1365</v>
      </c>
      <c r="D840" s="4" t="s">
        <v>1394</v>
      </c>
      <c r="E840" s="4">
        <v>1.0</v>
      </c>
      <c r="F840" s="4" t="str">
        <f>IFERROR(__xludf.DUMMYFUNCTION("GOOGLETRANSLATE(D840)"),"馬來西亞確認島上發現的飛機殘骸來自 MH370 http://t.co/X3RccHKagO")</f>
        <v>馬來西亞確認島上發現的飛機殘骸來自 MH370 http://t.co/X3RccHKagO</v>
      </c>
      <c r="G840" s="4" t="str">
        <f>IFERROR(__xludf.DUMMYFUNCTION("GOOGLETRANSLATE(B840)"),"碎片")</f>
        <v>碎片</v>
      </c>
    </row>
    <row r="841" ht="15.75" customHeight="1">
      <c r="A841" s="4">
        <v>3132.0</v>
      </c>
      <c r="B841" s="4" t="s">
        <v>1365</v>
      </c>
      <c r="C841" s="4" t="s">
        <v>1395</v>
      </c>
      <c r="D841" s="4" t="s">
        <v>1396</v>
      </c>
      <c r="E841" s="4">
        <v>1.0</v>
      </c>
      <c r="F841" s="4" t="str">
        <f>IFERROR(__xludf.DUMMYFUNCTION("GOOGLETRANSLATE(D841)"),"MH370 航班在「留尼旺島」發現的諷刺碎片。")</f>
        <v>MH370 航班在「留尼旺島」發現的諷刺碎片。</v>
      </c>
      <c r="G841" s="4" t="str">
        <f>IFERROR(__xludf.DUMMYFUNCTION("GOOGLETRANSLATE(B841)"),"碎片")</f>
        <v>碎片</v>
      </c>
    </row>
    <row r="842" ht="15.75" customHeight="1">
      <c r="A842" s="4">
        <v>3133.0</v>
      </c>
      <c r="B842" s="4" t="s">
        <v>1365</v>
      </c>
      <c r="C842" s="4" t="s">
        <v>34</v>
      </c>
      <c r="D842" s="4" t="s">
        <v>1397</v>
      </c>
      <c r="E842" s="4">
        <v>1.0</v>
      </c>
      <c r="F842" s="4" t="str">
        <f>IFERROR(__xludf.DUMMYFUNCTION("GOOGLETRANSLATE(D842)"),"MH370：留尼旺島發現的飛機殘骸來自失蹤的馬來西亞航空公司...... - ABC Online http://t.co/C5JuTFXBM9")</f>
        <v>MH370：留尼旺島發現的飛機殘骸來自失蹤的馬來西亞航空公司...... - ABC Online http://t.co/C5JuTFXBM9</v>
      </c>
      <c r="G842" s="4" t="str">
        <f>IFERROR(__xludf.DUMMYFUNCTION("GOOGLETRANSLATE(B842)"),"碎片")</f>
        <v>碎片</v>
      </c>
    </row>
    <row r="843" ht="15.75" customHeight="1">
      <c r="A843" s="4">
        <v>3134.0</v>
      </c>
      <c r="B843" s="4" t="s">
        <v>1365</v>
      </c>
      <c r="C843" s="4" t="s">
        <v>1398</v>
      </c>
      <c r="D843" s="4" t="s">
        <v>1399</v>
      </c>
      <c r="E843" s="4">
        <v>1.0</v>
      </c>
      <c r="F843" s="4" t="str">
        <f>IFERROR(__xludf.DUMMYFUNCTION("GOOGLETRANSLATE(D843)"),"MH370：團聚殘骸來自失蹤的馬來西亞航班 http://t.co/6iMe8KJaCV")</f>
        <v>MH370：團聚殘骸來自失蹤的馬來西亞航班 http://t.co/6iMe8KJaCV</v>
      </c>
      <c r="G843" s="4" t="str">
        <f>IFERROR(__xludf.DUMMYFUNCTION("GOOGLETRANSLATE(B843)"),"碎片")</f>
        <v>碎片</v>
      </c>
    </row>
    <row r="844" ht="15.75" customHeight="1">
      <c r="A844" s="4">
        <v>3136.0</v>
      </c>
      <c r="B844" s="4" t="s">
        <v>1365</v>
      </c>
      <c r="C844" s="4" t="s">
        <v>1400</v>
      </c>
      <c r="D844" s="4" t="s">
        <v>1401</v>
      </c>
      <c r="E844" s="4">
        <v>1.0</v>
      </c>
      <c r="F844" s="4" t="str">
        <f>IFERROR(__xludf.DUMMYFUNCTION("GOOGLETRANSLATE(D844)"),"馬來西亞確認碎片來自 #MH370，專家離開實驗室 http://t.co/Ba4pUSvJLN")</f>
        <v>馬來西亞確認碎片來自 #MH370，專家離開實驗室 http://t.co/Ba4pUSvJLN</v>
      </c>
      <c r="G844" s="4" t="str">
        <f>IFERROR(__xludf.DUMMYFUNCTION("GOOGLETRANSLATE(B844)"),"碎片")</f>
        <v>碎片</v>
      </c>
    </row>
    <row r="845" ht="15.75" customHeight="1">
      <c r="A845" s="4">
        <v>3137.0</v>
      </c>
      <c r="B845" s="4" t="s">
        <v>1365</v>
      </c>
      <c r="C845" s="4" t="s">
        <v>1013</v>
      </c>
      <c r="D845" s="4" t="s">
        <v>1402</v>
      </c>
      <c r="E845" s="4">
        <v>1.0</v>
      </c>
      <c r="F845" s="4" t="str">
        <f>IFERROR(__xludf.DUMMYFUNCTION("GOOGLETRANSLATE(D845)"),"馬來西亞證實留尼旺島被沖上的飛機殘骸來自 MH370 航班 http://t.co/YS3WALzvjg")</f>
        <v>馬來西亞證實留尼旺島被沖上的飛機殘骸來自 MH370 航班 http://t.co/YS3WALzvjg</v>
      </c>
      <c r="G845" s="4" t="str">
        <f>IFERROR(__xludf.DUMMYFUNCTION("GOOGLETRANSLATE(B845)"),"碎片")</f>
        <v>碎片</v>
      </c>
    </row>
    <row r="846" ht="15.75" customHeight="1">
      <c r="A846" s="4">
        <v>3138.0</v>
      </c>
      <c r="B846" s="4" t="s">
        <v>1365</v>
      </c>
      <c r="C846" s="4" t="s">
        <v>1403</v>
      </c>
      <c r="D846" s="4" t="s">
        <v>1404</v>
      </c>
      <c r="E846" s="4">
        <v>1.0</v>
      </c>
      <c r="F846" s="4" t="str">
        <f>IFERROR(__xludf.DUMMYFUNCTION("GOOGLETRANSLATE(D846)"),"#KAMINDOZ #reuters 確認來自 MH370 的殘骸；親屬希望發現墜機事故... http://t.co/xrdwR8CDvM http://t.co/fxtfFL4aXy")</f>
        <v>#KAMINDOZ #reuters 確認來自 MH370 的殘骸；親屬希望發現墜機事故... http://t.co/xrdwR8CDvM http://t.co/fxtfFL4aXy</v>
      </c>
      <c r="G846" s="4" t="str">
        <f>IFERROR(__xludf.DUMMYFUNCTION("GOOGLETRANSLATE(B846)"),"碎片")</f>
        <v>碎片</v>
      </c>
    </row>
    <row r="847" ht="15.75" customHeight="1">
      <c r="A847" s="4">
        <v>3139.0</v>
      </c>
      <c r="B847" s="4" t="s">
        <v>1365</v>
      </c>
      <c r="D847" s="4" t="s">
        <v>1405</v>
      </c>
      <c r="E847" s="4">
        <v>1.0</v>
      </c>
      <c r="F847" s="4" t="str">
        <f>IFERROR(__xludf.DUMMYFUNCTION("GOOGLETRANSLATE(D847)"),"留尼旺島發現的飛機殘骸屬於 MH370 航班 馬來西亞總理 http://t.co/jkc0DIqvXC")</f>
        <v>留尼旺島發現的飛機殘骸屬於 MH370 航班 馬來西亞總理 http://t.co/jkc0DIqvXC</v>
      </c>
      <c r="G847" s="4" t="str">
        <f>IFERROR(__xludf.DUMMYFUNCTION("GOOGLETRANSLATE(B847)"),"碎片")</f>
        <v>碎片</v>
      </c>
    </row>
    <row r="848" ht="15.75" customHeight="1">
      <c r="A848" s="4">
        <v>3140.0</v>
      </c>
      <c r="B848" s="4" t="s">
        <v>1365</v>
      </c>
      <c r="C848" s="4" t="s">
        <v>1406</v>
      </c>
      <c r="D848" s="4" t="s">
        <v>1407</v>
      </c>
      <c r="E848" s="4">
        <v>1.0</v>
      </c>
      <c r="F848" s="4" t="str">
        <f>IFERROR(__xludf.DUMMYFUNCTION("GOOGLETRANSLATE(D848)"),"確認來自 MH370 的殘骸；親屬希望發現墜機地點：馬來西亞官員證實有突破...http://t.co/MGYVGlENKS")</f>
        <v>確認來自 MH370 的殘骸；親屬希望發現墜機地點：馬來西亞官員證實有突破...http://t.co/MGYVGlENKS</v>
      </c>
      <c r="G848" s="4" t="str">
        <f>IFERROR(__xludf.DUMMYFUNCTION("GOOGLETRANSLATE(B848)"),"碎片")</f>
        <v>碎片</v>
      </c>
    </row>
    <row r="849" ht="15.75" customHeight="1">
      <c r="A849" s="4">
        <v>3141.0</v>
      </c>
      <c r="B849" s="4" t="s">
        <v>1365</v>
      </c>
      <c r="C849" s="4" t="s">
        <v>1408</v>
      </c>
      <c r="D849" s="4" t="s">
        <v>1409</v>
      </c>
      <c r="E849" s="4">
        <v>1.0</v>
      </c>
      <c r="F849" s="4" t="str">
        <f>IFERROR(__xludf.DUMMYFUNCTION("GOOGLETRANSLATE(D849)"),"ABC OnlineMH370：在留尼汪島發現的飛機殘骸來自失蹤的馬來西亞航空公司...ABC Online一塊飛機殘骸......")</f>
        <v>ABC OnlineMH370：在留尼汪島發現的飛機殘骸來自失蹤的馬來西亞航空公司...ABC Online一塊飛機殘骸......</v>
      </c>
      <c r="G849" s="4" t="str">
        <f>IFERROR(__xludf.DUMMYFUNCTION("GOOGLETRANSLATE(B849)"),"碎片")</f>
        <v>碎片</v>
      </c>
    </row>
    <row r="850" ht="15.75" customHeight="1">
      <c r="A850" s="4">
        <v>3142.0</v>
      </c>
      <c r="B850" s="4" t="s">
        <v>1365</v>
      </c>
      <c r="C850" s="4" t="s">
        <v>1398</v>
      </c>
      <c r="D850" s="4" t="s">
        <v>1410</v>
      </c>
      <c r="E850" s="4">
        <v>1.0</v>
      </c>
      <c r="F850" s="4" t="str">
        <f>IFERROR(__xludf.DUMMYFUNCTION("GOOGLETRANSLATE(D850)"),"馬來西亞確認留尼旺島殘骸來自 MH370 http://t.co/1bEeGWRsis @SCMP_News http://t.co/drcuLIYp0T")</f>
        <v>馬來西亞確認留尼旺島殘骸來自 MH370 http://t.co/1bEeGWRsis @SCMP_News http://t.co/drcuLIYp0T</v>
      </c>
      <c r="G850" s="4" t="str">
        <f>IFERROR(__xludf.DUMMYFUNCTION("GOOGLETRANSLATE(B850)"),"碎片")</f>
        <v>碎片</v>
      </c>
    </row>
    <row r="851" ht="15.75" customHeight="1">
      <c r="A851" s="4">
        <v>3144.0</v>
      </c>
      <c r="B851" s="4" t="s">
        <v>1365</v>
      </c>
      <c r="D851" s="4" t="s">
        <v>1411</v>
      </c>
      <c r="E851" s="4">
        <v>1.0</v>
      </c>
      <c r="F851" s="4" t="str">
        <f>IFERROR(__xludf.DUMMYFUNCTION("GOOGLETRANSLATE(D851)"),"確認來自 MH370 的殘骸；親屬希望透過@Reuters #Video 發現墜機地點 http://t.co/rLFtjmHHvT")</f>
        <v>確認來自 MH370 的殘骸；親屬希望透過@Reuters #Video 發現墜機地點 http://t.co/rLFtjmHHvT</v>
      </c>
      <c r="G851" s="4" t="str">
        <f>IFERROR(__xludf.DUMMYFUNCTION("GOOGLETRANSLATE(B851)"),"碎片")</f>
        <v>碎片</v>
      </c>
    </row>
    <row r="852" ht="15.75" customHeight="1">
      <c r="A852" s="4">
        <v>3145.0</v>
      </c>
      <c r="B852" s="4" t="s">
        <v>1365</v>
      </c>
      <c r="C852" s="4" t="s">
        <v>1398</v>
      </c>
      <c r="D852" s="4" t="s">
        <v>1412</v>
      </c>
      <c r="E852" s="4">
        <v>1.0</v>
      </c>
      <c r="F852" s="4" t="str">
        <f>IFERROR(__xludf.DUMMYFUNCTION("GOOGLETRANSLATE(D852)"),"飛機殘骸來自失蹤的 MH370 http://t.co/kxy56FR8vM")</f>
        <v>飛機殘骸來自失蹤的 MH370 http://t.co/kxy56FR8vM</v>
      </c>
      <c r="G852" s="4" t="str">
        <f>IFERROR(__xludf.DUMMYFUNCTION("GOOGLETRANSLATE(B852)"),"碎片")</f>
        <v>碎片</v>
      </c>
    </row>
    <row r="853" ht="15.75" customHeight="1">
      <c r="A853" s="4">
        <v>3147.0</v>
      </c>
      <c r="B853" s="4" t="s">
        <v>1365</v>
      </c>
      <c r="D853" s="4" t="s">
        <v>1413</v>
      </c>
      <c r="E853" s="4">
        <v>1.0</v>
      </c>
      <c r="F853" s="4" t="str">
        <f>IFERROR(__xludf.DUMMYFUNCTION("GOOGLETRANSLATE(D853)"),"MH370：在留尼旺島發現的飛機殘骸來自失踪的馬來西亞航空公司... - ABC Online... http://t.co/N3lNdJKYo3 G #Malaysia #News")</f>
        <v>MH370：在留尼旺島發現的飛機殘骸來自失踪的馬來西亞航空公司... - ABC Online... http://t.co/N3lNdJKYo3 G #Malaysia #News</v>
      </c>
      <c r="G853" s="4" t="str">
        <f>IFERROR(__xludf.DUMMYFUNCTION("GOOGLETRANSLATE(B853)"),"碎片")</f>
        <v>碎片</v>
      </c>
    </row>
    <row r="854" ht="15.75" customHeight="1">
      <c r="A854" s="4">
        <v>3150.0</v>
      </c>
      <c r="B854" s="4" t="s">
        <v>1365</v>
      </c>
      <c r="C854" s="4" t="s">
        <v>1414</v>
      </c>
      <c r="D854" s="4" t="s">
        <v>1415</v>
      </c>
      <c r="E854" s="4">
        <v>1.0</v>
      </c>
      <c r="F854" s="4" t="str">
        <f>IFERROR(__xludf.DUMMYFUNCTION("GOOGLETRANSLATE(D854)"),"有趣：MH370：在留尼汪島發現的飛機殘骸來自失踪的馬來西亞航空公司... - ABC ... http://t.co/950xIJhnVH 請轉發")</f>
        <v>有趣：MH370：在留尼汪島發現的飛機殘骸來自失踪的馬來西亞航空公司... - ABC ... http://t.co/950xIJhnVH 請轉發</v>
      </c>
      <c r="G854" s="4" t="str">
        <f>IFERROR(__xludf.DUMMYFUNCTION("GOOGLETRANSLATE(B854)"),"碎片")</f>
        <v>碎片</v>
      </c>
    </row>
    <row r="855" ht="15.75" customHeight="1">
      <c r="A855" s="4">
        <v>3152.0</v>
      </c>
      <c r="B855" s="4" t="s">
        <v>1365</v>
      </c>
      <c r="C855" s="4" t="s">
        <v>1416</v>
      </c>
      <c r="D855" s="4" t="s">
        <v>1417</v>
      </c>
      <c r="E855" s="4">
        <v>1.0</v>
      </c>
      <c r="F855" s="4" t="str">
        <f>IFERROR(__xludf.DUMMYFUNCTION("GOOGLETRANSLATE(D855)"),"飛機殘骸確認來自MH370星在線 http://t.co/heS0bPU60Y")</f>
        <v>飛機殘骸確認來自MH370星在線 http://t.co/heS0bPU60Y</v>
      </c>
      <c r="G855" s="4" t="str">
        <f>IFERROR(__xludf.DUMMYFUNCTION("GOOGLETRANSLATE(B855)"),"碎片")</f>
        <v>碎片</v>
      </c>
    </row>
    <row r="856" ht="15.75" customHeight="1">
      <c r="A856" s="4">
        <v>3161.0</v>
      </c>
      <c r="B856" s="4" t="s">
        <v>1418</v>
      </c>
      <c r="C856" s="4" t="s">
        <v>1118</v>
      </c>
      <c r="D856" s="4" t="s">
        <v>1419</v>
      </c>
      <c r="E856" s="4">
        <v>1.0</v>
      </c>
      <c r="F856" s="4" t="str">
        <f>IFERROR(__xludf.DUMMYFUNCTION("GOOGLETRANSLATE(D856)"),"RT @NLM_DIMRC：#floods 上為醫療服務提供者和清理人員提供了大量資源。更多資訊請見：http://t.co/aUoeyIRqE6")</f>
        <v>RT @NLM_DIMRC：#floods 上為醫療服務提供者和清理人員提供了大量資源。更多資訊請見：http://t.co/aUoeyIRqE6</v>
      </c>
      <c r="G856" s="4" t="str">
        <f>IFERROR(__xludf.DUMMYFUNCTION("GOOGLETRANSLATE(B856)"),"洪水")</f>
        <v>洪水</v>
      </c>
    </row>
    <row r="857" ht="15.75" customHeight="1">
      <c r="A857" s="4">
        <v>3162.0</v>
      </c>
      <c r="B857" s="4" t="s">
        <v>1418</v>
      </c>
      <c r="D857" s="4" t="s">
        <v>1420</v>
      </c>
      <c r="E857" s="4">
        <v>1.0</v>
      </c>
      <c r="F857" s="4" t="str">
        <f>IFERROR(__xludf.DUMMYFUNCTION("GOOGLETRANSLATE(D857)"),"拖船跋涉同情洪水瀑布：VTc http://t.co/eaaQUMkkc9")</f>
        <v>拖船跋涉同情洪水瀑布：VTc http://t.co/eaaQUMkkc9</v>
      </c>
      <c r="G857" s="4" t="str">
        <f>IFERROR(__xludf.DUMMYFUNCTION("GOOGLETRANSLATE(B857)"),"洪水")</f>
        <v>洪水</v>
      </c>
    </row>
    <row r="858" ht="15.75" customHeight="1">
      <c r="A858" s="4">
        <v>3177.0</v>
      </c>
      <c r="B858" s="4" t="s">
        <v>1418</v>
      </c>
      <c r="C858" s="4" t="s">
        <v>1421</v>
      </c>
      <c r="D858" s="4" t="s">
        <v>1422</v>
      </c>
      <c r="E858" s="4">
        <v>1.0</v>
      </c>
      <c r="F858" s="4" t="str">
        <f>IFERROR(__xludf.DUMMYFUNCTION("GOOGLETRANSLATE(D858)"),"洪水過後回到海灘。衝浪營進行中。我們的衝浪治療計劃今天開始... http://t.co/vjsAqPxngN")</f>
        <v>洪水過後回到海灘。衝浪營進行中。我們的衝浪治療計劃今天開始... http://t.co/vjsAqPxngN</v>
      </c>
      <c r="G858" s="4" t="str">
        <f>IFERROR(__xludf.DUMMYFUNCTION("GOOGLETRANSLATE(B858)"),"洪水")</f>
        <v>洪水</v>
      </c>
    </row>
    <row r="859" ht="15.75" customHeight="1">
      <c r="A859" s="4">
        <v>3180.0</v>
      </c>
      <c r="B859" s="4" t="s">
        <v>1418</v>
      </c>
      <c r="C859" s="4" t="s">
        <v>183</v>
      </c>
      <c r="D859" s="4" t="s">
        <v>1423</v>
      </c>
      <c r="E859" s="4">
        <v>1.0</v>
      </c>
      <c r="F859" s="4" t="str">
        <f>IFERROR(__xludf.DUMMYFUNCTION("GOOGLETRANSLATE(D859)"),"也許「歷史性」不應該應用於最近曝光的大量#ChildSexAbuse，而應該應用於掩蓋的真正「歷史性」規模")</f>
        <v>也許「歷史性」不應該應用於最近曝光的大量#ChildSexAbuse，而應該應用於掩蓋的真正「歷史性」規模</v>
      </c>
      <c r="G859" s="4" t="str">
        <f>IFERROR(__xludf.DUMMYFUNCTION("GOOGLETRANSLATE(B859)"),"洪水")</f>
        <v>洪水</v>
      </c>
    </row>
    <row r="860" ht="15.75" customHeight="1">
      <c r="A860" s="4">
        <v>3196.0</v>
      </c>
      <c r="B860" s="4" t="s">
        <v>1418</v>
      </c>
      <c r="C860" s="4" t="s">
        <v>1424</v>
      </c>
      <c r="D860" s="4" t="s">
        <v>1425</v>
      </c>
      <c r="E860" s="4">
        <v>1.0</v>
      </c>
      <c r="F860" s="4" t="str">
        <f>IFERROR(__xludf.DUMMYFUNCTION("GOOGLETRANSLATE(D860)"),"如果您正在尋找強大的內容來改善您的業務，或者對大量的「quantitÛ_https://t.co/64cyMG1lTG」感到沮喪")</f>
        <v>如果您正在尋找強大的內容來改善您的業務，或者對大量的「quantitÛ_https://t.co/64cyMG1lTG」感到沮喪</v>
      </c>
      <c r="G860" s="4" t="str">
        <f>IFERROR(__xludf.DUMMYFUNCTION("GOOGLETRANSLATE(B860)"),"洪水")</f>
        <v>洪水</v>
      </c>
    </row>
    <row r="861" ht="15.75" customHeight="1">
      <c r="A861" s="4">
        <v>3199.0</v>
      </c>
      <c r="B861" s="4" t="s">
        <v>1418</v>
      </c>
      <c r="C861" s="4" t="s">
        <v>1426</v>
      </c>
      <c r="D861" s="4" t="s">
        <v>1427</v>
      </c>
      <c r="E861" s="4">
        <v>1.0</v>
      </c>
      <c r="F861" s="4" t="str">
        <f>IFERROR(__xludf.DUMMYFUNCTION("GOOGLETRANSLATE(D861)"),"我在英國，周圍沒有大量的加拿大主題上衣……時機非常完美。我不太相信。瘋狂的。")</f>
        <v>我在英國，周圍沒有大量的加拿大主題上衣……時機非常完美。我不太相信。瘋狂的。</v>
      </c>
      <c r="G861" s="4" t="str">
        <f>IFERROR(__xludf.DUMMYFUNCTION("GOOGLETRANSLATE(B861)"),"洪水")</f>
        <v>洪水</v>
      </c>
    </row>
    <row r="862" ht="15.75" customHeight="1">
      <c r="A862" s="4">
        <v>3212.0</v>
      </c>
      <c r="B862" s="4" t="s">
        <v>1428</v>
      </c>
      <c r="C862" s="4" t="s">
        <v>1429</v>
      </c>
      <c r="D862" s="4" t="s">
        <v>1430</v>
      </c>
      <c r="E862" s="4">
        <v>1.0</v>
      </c>
      <c r="F862" s="4" t="str">
        <f>IFERROR(__xludf.DUMMYFUNCTION("GOOGLETRANSLATE(D862)"),"#Glimpses：海德拉巴被強降雨淹沒 | http://t.co/DctV1uJLHc http://t.co/QOx1jNQSAU")</f>
        <v>#Glimpses：海德拉巴被強降雨淹沒 | http://t.co/DctV1uJLHc http://t.co/QOx1jNQSAU</v>
      </c>
      <c r="G862" s="4" t="str">
        <f>IFERROR(__xludf.DUMMYFUNCTION("GOOGLETRANSLATE(B862)"),"被淹沒的")</f>
        <v>被淹沒的</v>
      </c>
    </row>
    <row r="863" ht="15.75" customHeight="1">
      <c r="A863" s="4">
        <v>3221.0</v>
      </c>
      <c r="B863" s="4" t="s">
        <v>1428</v>
      </c>
      <c r="C863" s="4" t="s">
        <v>183</v>
      </c>
      <c r="D863" s="4" t="s">
        <v>1431</v>
      </c>
      <c r="E863" s="4">
        <v>1.0</v>
      </c>
      <c r="F863" s="4" t="str">
        <f>IFERROR(__xludf.DUMMYFUNCTION("GOOGLETRANSLATE(D863)"),"為什麼你的自我形象低？參加測驗：http://t.co/XsPqdOrIqj http://t.co/CQYvFR4UCy")</f>
        <v>為什麼你的自我形象低？參加測驗：http://t.co/XsPqdOrIqj http://t.co/CQYvFR4UCy</v>
      </c>
      <c r="G863" s="4" t="str">
        <f>IFERROR(__xludf.DUMMYFUNCTION("GOOGLETRANSLATE(B863)"),"被淹沒的")</f>
        <v>被淹沒的</v>
      </c>
    </row>
    <row r="864" ht="15.75" customHeight="1">
      <c r="A864" s="4">
        <v>3231.0</v>
      </c>
      <c r="B864" s="4" t="s">
        <v>1428</v>
      </c>
      <c r="D864" s="4" t="s">
        <v>1432</v>
      </c>
      <c r="E864" s="4">
        <v>1.0</v>
      </c>
      <c r="F864" s="4" t="str">
        <f>IFERROR(__xludf.DUMMYFUNCTION("GOOGLETRANSLATE(D864)"),"防水布正在保護外場，無法移動。內場被淹沒。")</f>
        <v>防水布正在保護外場，無法移動。內場被淹沒。</v>
      </c>
      <c r="G864" s="4" t="str">
        <f>IFERROR(__xludf.DUMMYFUNCTION("GOOGLETRANSLATE(B864)"),"被淹沒的")</f>
        <v>被淹沒的</v>
      </c>
    </row>
    <row r="865" ht="15.75" customHeight="1">
      <c r="A865" s="4">
        <v>3236.0</v>
      </c>
      <c r="B865" s="4" t="s">
        <v>1428</v>
      </c>
      <c r="C865" s="4" t="s">
        <v>1433</v>
      </c>
      <c r="D865" s="4" t="s">
        <v>1434</v>
      </c>
      <c r="E865" s="4">
        <v>1.0</v>
      </c>
      <c r="F865" s="4" t="str">
        <f>IFERROR(__xludf.DUMMYFUNCTION("GOOGLETRANSLATE(D865)"),"歐盟國家在移民問題上存在爭執。英法歐洲隧道擠滿了移民。 「數千風暴」隧道造成一人死亡 http://t.co/vf6CKLmCSX")</f>
        <v>歐盟國家在移民問題上存在爭執。英法歐洲隧道擠滿了移民。 「數千風暴」隧道造成一人死亡 http://t.co/vf6CKLmCSX</v>
      </c>
      <c r="G865" s="4" t="str">
        <f>IFERROR(__xludf.DUMMYFUNCTION("GOOGLETRANSLATE(B865)"),"被淹沒的")</f>
        <v>被淹沒的</v>
      </c>
    </row>
    <row r="866" ht="15.75" customHeight="1">
      <c r="A866" s="4">
        <v>3240.0</v>
      </c>
      <c r="B866" s="4" t="s">
        <v>1428</v>
      </c>
      <c r="D866" s="4" t="s">
        <v>1435</v>
      </c>
      <c r="E866" s="4">
        <v>1.0</v>
      </c>
      <c r="F866" s="4" t="str">
        <f>IFERROR(__xludf.DUMMYFUNCTION("GOOGLETRANSLATE(D866)"),"企業充斥著大量的發票。讓您的產品在顏色或形狀上脫穎而出，它很可能會成為熱門產品")</f>
        <v>企業充斥著大量的發票。讓您的產品在顏色或形狀上脫穎而出，它很可能會成為熱門產品</v>
      </c>
      <c r="G866" s="4" t="str">
        <f>IFERROR(__xludf.DUMMYFUNCTION("GOOGLETRANSLATE(B866)"),"被淹沒的")</f>
        <v>被淹沒的</v>
      </c>
    </row>
    <row r="867" ht="15.75" customHeight="1">
      <c r="A867" s="4">
        <v>3248.0</v>
      </c>
      <c r="B867" s="4" t="s">
        <v>1428</v>
      </c>
      <c r="C867" s="4" t="s">
        <v>1073</v>
      </c>
      <c r="D867" s="4" t="s">
        <v>1436</v>
      </c>
      <c r="E867" s="4">
        <v>1.0</v>
      </c>
      <c r="F867" s="4" t="str">
        <f>IFERROR(__xludf.DUMMYFUNCTION("GOOGLETRANSLATE(D867)"),"新聞快訊 - 概覽：海德拉巴遭強降雨淹沒")</f>
        <v>新聞快訊 - 概覽：海德拉巴遭強降雨淹沒</v>
      </c>
      <c r="G867" s="4" t="str">
        <f>IFERROR(__xludf.DUMMYFUNCTION("GOOGLETRANSLATE(B867)"),"被淹沒的")</f>
        <v>被淹沒的</v>
      </c>
    </row>
    <row r="868" ht="15.75" customHeight="1">
      <c r="A868" s="4">
        <v>3252.0</v>
      </c>
      <c r="B868" s="4" t="s">
        <v>1428</v>
      </c>
      <c r="C868" s="4" t="s">
        <v>1437</v>
      </c>
      <c r="D868" s="4" t="s">
        <v>1438</v>
      </c>
      <c r="E868" s="4">
        <v>1.0</v>
      </c>
      <c r="F868" s="4" t="str">
        <f>IFERROR(__xludf.DUMMYFUNCTION("GOOGLETRANSLATE(D868)"),"他們回來了！！ &gt;&gt;&gt;飛蟻日：首都被一年一度的飛蟲群淹沒 http://t.co/mNkoYZ76Cp")</f>
        <v>他們回來了！！ &gt;&gt;&gt;飛蟻日：首都被一年一度的飛蟲群淹沒 http://t.co/mNkoYZ76Cp</v>
      </c>
      <c r="G868" s="4" t="str">
        <f>IFERROR(__xludf.DUMMYFUNCTION("GOOGLETRANSLATE(B868)"),"被淹沒的")</f>
        <v>被淹沒的</v>
      </c>
    </row>
    <row r="869" ht="15.75" customHeight="1">
      <c r="A869" s="4">
        <v>3253.0</v>
      </c>
      <c r="B869" s="4" t="s">
        <v>1439</v>
      </c>
      <c r="C869" s="4" t="s">
        <v>387</v>
      </c>
      <c r="D869" s="4" t="s">
        <v>1440</v>
      </c>
      <c r="E869" s="4">
        <v>1.0</v>
      </c>
      <c r="F869" s="4" t="str">
        <f>IFERROR(__xludf.DUMMYFUNCTION("GOOGLETRANSLATE(D869)"),"蘭德保羅的辯論策略「推翻了其他一些糟糕的想法，或者指出也許還有一些…http://t.co/qzdqRBr4Lh")</f>
        <v>蘭德保羅的辯論策略「推翻了其他一些糟糕的想法，或者指出也許還有一些…http://t.co/qzdqRBr4Lh</v>
      </c>
      <c r="G869" s="4" t="str">
        <f>IFERROR(__xludf.DUMMYFUNCTION("GOOGLETRANSLATE(B869)"),"拆除")</f>
        <v>拆除</v>
      </c>
    </row>
    <row r="870" ht="15.75" customHeight="1">
      <c r="A870" s="4">
        <v>3270.0</v>
      </c>
      <c r="B870" s="4" t="s">
        <v>1439</v>
      </c>
      <c r="C870" s="4" t="s">
        <v>1441</v>
      </c>
      <c r="D870" s="4" t="s">
        <v>1442</v>
      </c>
      <c r="E870" s="4">
        <v>1.0</v>
      </c>
      <c r="F870" s="4" t="str">
        <f>IFERROR(__xludf.DUMMYFUNCTION("GOOGLETRANSLATE(D870)"),"埃努古政府將拆除國際會議中心的非法建築 http://t.co/ouYLwuIXcs")</f>
        <v>埃努古政府將拆除國際會議中心的非法建築 http://t.co/ouYLwuIXcs</v>
      </c>
      <c r="G870" s="4" t="str">
        <f>IFERROR(__xludf.DUMMYFUNCTION("GOOGLETRANSLATE(B870)"),"拆除")</f>
        <v>拆除</v>
      </c>
    </row>
    <row r="871" ht="15.75" customHeight="1">
      <c r="A871" s="4">
        <v>3280.0</v>
      </c>
      <c r="B871" s="4" t="s">
        <v>1439</v>
      </c>
      <c r="C871" s="4" t="s">
        <v>1443</v>
      </c>
      <c r="D871" s="4" t="s">
        <v>1444</v>
      </c>
      <c r="E871" s="4">
        <v>1.0</v>
      </c>
      <c r="F871" s="4" t="str">
        <f>IFERROR(__xludf.DUMMYFUNCTION("GOOGLETRANSLATE(D871)"),"RT AbbsWinston：#Zionist #Terrorist 拆除了約旦河谷的 18 座 #Palestinian 建築 http://t.co/rg3BndKXjX
Û_ http://t.co/Bq90pfzMrP")</f>
        <v>RT AbbsWinston：#Zionist #Terrorist 拆除了約旦河谷的 18 座 #Palestinian 建築 http://t.co/rg3BndKXjX
Û_ http://t.co/Bq90pfzMrP</v>
      </c>
      <c r="G871" s="4" t="str">
        <f>IFERROR(__xludf.DUMMYFUNCTION("GOOGLETRANSLATE(B871)"),"拆除")</f>
        <v>拆除</v>
      </c>
    </row>
    <row r="872" ht="15.75" customHeight="1">
      <c r="A872" s="4">
        <v>3286.0</v>
      </c>
      <c r="B872" s="4" t="s">
        <v>1439</v>
      </c>
      <c r="C872" s="4" t="s">
        <v>1445</v>
      </c>
      <c r="D872" s="4" t="s">
        <v>1446</v>
      </c>
      <c r="E872" s="4">
        <v>1.0</v>
      </c>
      <c r="F872" s="4" t="str">
        <f>IFERROR(__xludf.DUMMYFUNCTION("GOOGLETRANSLATE(D872)"),"極右派種族主義者#AvigdorLiberman 呼籲摧毀#Susiya！此前他還呼籲斬首！ http://t.co/Li8otXt8hh")</f>
        <v>極右派種族主義者#AvigdorLiberman 呼籲摧毀#Susiya！此前他還呼籲斬首！ http://t.co/Li8otXt8hh</v>
      </c>
      <c r="G872" s="4" t="str">
        <f>IFERROR(__xludf.DUMMYFUNCTION("GOOGLETRANSLATE(B872)"),"拆除")</f>
        <v>拆除</v>
      </c>
    </row>
    <row r="873" ht="15.75" customHeight="1">
      <c r="A873" s="4">
        <v>3299.0</v>
      </c>
      <c r="B873" s="4" t="s">
        <v>1439</v>
      </c>
      <c r="C873" s="4" t="s">
        <v>1447</v>
      </c>
      <c r="D873" s="4" t="s">
        <v>1448</v>
      </c>
      <c r="E873" s="4">
        <v>1.0</v>
      </c>
      <c r="F873" s="4" t="str">
        <f>IFERROR(__xludf.DUMMYFUNCTION("GOOGLETRANSLATE(D873)"),"如果你想因為一些代筆的事情而拆掉德雷克的房子，你應該知道蕾哈娜住在隔壁。")</f>
        <v>如果你想因為一些代筆的事情而拆掉德雷克的房子，你應該知道蕾哈娜住在隔壁。</v>
      </c>
      <c r="G873" s="4" t="str">
        <f>IFERROR(__xludf.DUMMYFUNCTION("GOOGLETRANSLATE(B873)"),"拆除")</f>
        <v>拆除</v>
      </c>
    </row>
    <row r="874" ht="15.75" customHeight="1">
      <c r="A874" s="4">
        <v>3318.0</v>
      </c>
      <c r="B874" s="4" t="s">
        <v>1449</v>
      </c>
      <c r="D874" s="4" t="s">
        <v>1450</v>
      </c>
      <c r="E874" s="4">
        <v>1.0</v>
      </c>
      <c r="F874" s="4" t="str">
        <f>IFERROR(__xludf.DUMMYFUNCTION("GOOGLETRANSLATE(D874)"),"我遇到了我的第一個玩家巨魔，我剛剛在 MLB 上擊敗了一個來自費城和多倫多的孩子，他很沮喪 #BacktoBack #ChargedUp ??????")</f>
        <v>我遇到了我的第一個玩家巨魔，我剛剛在 MLB 上擊敗了一個來自費城和多倫多的孩子，他很沮喪 #BacktoBack #ChargedUp ??????</v>
      </c>
      <c r="G874" s="4" t="str">
        <f>IFERROR(__xludf.DUMMYFUNCTION("GOOGLETRANSLATE(B874)"),"被拆毀")</f>
        <v>被拆毀</v>
      </c>
    </row>
    <row r="875" ht="15.75" customHeight="1">
      <c r="A875" s="4">
        <v>3319.0</v>
      </c>
      <c r="B875" s="4" t="s">
        <v>1449</v>
      </c>
      <c r="D875" s="4" t="s">
        <v>1451</v>
      </c>
      <c r="E875" s="4">
        <v>1.0</v>
      </c>
      <c r="F875" s="4" t="str">
        <f>IFERROR(__xludf.DUMMYFUNCTION("GOOGLETRANSLATE(D875)"),"當#PapiCongress 拆除英國記者的房子時，為什麼教會媒體和#Media420 保持沉默@pragnik")</f>
        <v>當#PapiCongress 拆除英國記者的房子時，為什麼教會媒體和#Media420 保持沉默@pragnik</v>
      </c>
      <c r="G875" s="4" t="str">
        <f>IFERROR(__xludf.DUMMYFUNCTION("GOOGLETRANSLATE(B875)"),"被拆毀")</f>
        <v>被拆毀</v>
      </c>
    </row>
    <row r="876" ht="15.75" customHeight="1">
      <c r="A876" s="4">
        <v>3334.0</v>
      </c>
      <c r="B876" s="4" t="s">
        <v>1449</v>
      </c>
      <c r="C876" s="4" t="s">
        <v>1452</v>
      </c>
      <c r="D876" s="4" t="s">
        <v>1453</v>
      </c>
      <c r="E876" s="4">
        <v>1.0</v>
      </c>
      <c r="F876" s="4" t="str">
        <f>IFERROR(__xludf.DUMMYFUNCTION("GOOGLETRANSLATE(D876)"),"ÛÏ@SplottDave：@TeamPalestina 自 1967 年以來，以色列拆除了大約 28700 棟巴勒斯坦房屋，其中 0 棟以色列房屋拆除了 @POTUS")</f>
        <v>ÛÏ@SplottDave：@TeamPalestina 自 1967 年以來，以色列拆除了大約 28700 棟巴勒斯坦房屋，其中 0 棟以色列房屋拆除了 @POTUS</v>
      </c>
      <c r="G876" s="4" t="str">
        <f>IFERROR(__xludf.DUMMYFUNCTION("GOOGLETRANSLATE(B876)"),"被拆毀")</f>
        <v>被拆毀</v>
      </c>
    </row>
    <row r="877" ht="15.75" customHeight="1">
      <c r="A877" s="4">
        <v>3337.0</v>
      </c>
      <c r="B877" s="4" t="s">
        <v>1449</v>
      </c>
      <c r="C877" s="4" t="s">
        <v>38</v>
      </c>
      <c r="D877" s="4" t="s">
        <v>1454</v>
      </c>
      <c r="E877" s="4">
        <v>1.0</v>
      </c>
      <c r="F877" s="4" t="str">
        <f>IFERROR(__xludf.DUMMYFUNCTION("GOOGLETRANSLATE(D877)"),"#BBSNews 最新 4 #巴勒斯坦和#以色列 - 六名巴勒斯坦人在西岸希伯崙被綁架，房屋被拆除 http://t.co/gne1fW0XHE")</f>
        <v>#BBSNews 最新 4 #巴勒斯坦和#以色列 - 六名巴勒斯坦人在西岸希伯崙被綁架，房屋被拆除 http://t.co/gne1fW0XHE</v>
      </c>
      <c r="G877" s="4" t="str">
        <f>IFERROR(__xludf.DUMMYFUNCTION("GOOGLETRANSLATE(B877)"),"被拆毀")</f>
        <v>被拆毀</v>
      </c>
    </row>
    <row r="878" ht="15.75" customHeight="1">
      <c r="A878" s="4">
        <v>3340.0</v>
      </c>
      <c r="B878" s="4" t="s">
        <v>1449</v>
      </c>
      <c r="C878" s="4" t="s">
        <v>1455</v>
      </c>
      <c r="D878" s="4" t="s">
        <v>1456</v>
      </c>
      <c r="E878" s="4">
        <v>1.0</v>
      </c>
      <c r="F878" s="4" t="str">
        <f>IFERROR(__xludf.DUMMYFUNCTION("GOOGLETRANSLATE(D878)"),"@stallion150 @kbeastx 他們完全摧毀了創世紀，這是一部美麗的電影，幾乎 90% 的人都同意")</f>
        <v>@stallion150 @kbeastx 他們完全摧毀了創世紀，這是一部美麗的電影，幾乎 90% 的人都同意</v>
      </c>
      <c r="G878" s="4" t="str">
        <f>IFERROR(__xludf.DUMMYFUNCTION("GOOGLETRANSLATE(B878)"),"被拆毀")</f>
        <v>被拆毀</v>
      </c>
    </row>
    <row r="879" ht="15.75" customHeight="1">
      <c r="A879" s="4">
        <v>3347.0</v>
      </c>
      <c r="B879" s="4" t="s">
        <v>1449</v>
      </c>
      <c r="D879" s="4" t="s">
        <v>1457</v>
      </c>
      <c r="E879" s="4">
        <v>1.0</v>
      </c>
      <c r="F879" s="4" t="str">
        <f>IFERROR(__xludf.DUMMYFUNCTION("GOOGLETRANSLATE(D879)"),"被拆除的巴勒斯坦村落重獲新生 http://t.co/9Lpf4V4hMq")</f>
        <v>被拆除的巴勒斯坦村落重獲新生 http://t.co/9Lpf4V4hMq</v>
      </c>
      <c r="G879" s="4" t="str">
        <f>IFERROR(__xludf.DUMMYFUNCTION("GOOGLETRANSLATE(B879)"),"被拆毀")</f>
        <v>被拆毀</v>
      </c>
    </row>
    <row r="880" ht="15.75" customHeight="1">
      <c r="A880" s="4">
        <v>3351.0</v>
      </c>
      <c r="B880" s="4" t="s">
        <v>1449</v>
      </c>
      <c r="C880" s="4" t="s">
        <v>1458</v>
      </c>
      <c r="D880" s="4" t="s">
        <v>1459</v>
      </c>
      <c r="E880" s="4">
        <v>1.0</v>
      </c>
      <c r="F880" s="4" t="str">
        <f>IFERROR(__xludf.DUMMYFUNCTION("GOOGLETRANSLATE(D880)"),"阿拉伯村莊三棟房屋被拆除 - 國際中東媒體中心 http://t.co/ik8m4Yi9T4")</f>
        <v>阿拉伯村莊三棟房屋被拆除 - 國際中東媒體中心 http://t.co/ik8m4Yi9T4</v>
      </c>
      <c r="G880" s="4" t="str">
        <f>IFERROR(__xludf.DUMMYFUNCTION("GOOGLETRANSLATE(B880)"),"被拆毀")</f>
        <v>被拆毀</v>
      </c>
    </row>
    <row r="881" ht="15.75" customHeight="1">
      <c r="A881" s="4">
        <v>3355.0</v>
      </c>
      <c r="B881" s="4" t="s">
        <v>1460</v>
      </c>
      <c r="C881" s="4" t="s">
        <v>38</v>
      </c>
      <c r="D881" s="4" t="s">
        <v>1461</v>
      </c>
      <c r="E881" s="4">
        <v>1.0</v>
      </c>
      <c r="F881" s="4" t="str">
        <f>IFERROR(__xludf.DUMMYFUNCTION("GOOGLETRANSLATE(D881)"),"EPA 開始拆除有毒地區的房屋#Buffalo - http://t.co/noRkXBRS6G")</f>
        <v>EPA 開始拆除有毒地區的房屋#Buffalo - http://t.co/noRkXBRS6G</v>
      </c>
      <c r="G881" s="4" t="str">
        <f>IFERROR(__xludf.DUMMYFUNCTION("GOOGLETRANSLATE(B881)"),"拆除")</f>
        <v>拆除</v>
      </c>
    </row>
    <row r="882" ht="15.75" customHeight="1">
      <c r="A882" s="4">
        <v>3367.0</v>
      </c>
      <c r="B882" s="4" t="s">
        <v>1460</v>
      </c>
      <c r="C882" s="4" t="s">
        <v>1452</v>
      </c>
      <c r="D882" s="4" t="s">
        <v>1462</v>
      </c>
      <c r="E882" s="4">
        <v>1.0</v>
      </c>
      <c r="F882" s="4" t="str">
        <f>IFERROR(__xludf.DUMMYFUNCTION("GOOGLETRANSLATE(D882)"),"拯救舊城區的城市：西伯頓 159 號的擬議拆除 http://t.co/FJddx43Ewj @MessnerMatthew for @newcity")</f>
        <v>拯救舊城區的城市：西伯頓 159 號的擬議拆除 http://t.co/FJddx43Ewj @MessnerMatthew for @newcity</v>
      </c>
      <c r="G882" s="4" t="str">
        <f>IFERROR(__xludf.DUMMYFUNCTION("GOOGLETRANSLATE(B882)"),"拆除")</f>
        <v>拆除</v>
      </c>
    </row>
    <row r="883" ht="15.75" customHeight="1">
      <c r="A883" s="4">
        <v>3368.0</v>
      </c>
      <c r="B883" s="4" t="s">
        <v>1460</v>
      </c>
      <c r="D883" s="4" t="s">
        <v>1463</v>
      </c>
      <c r="E883" s="4">
        <v>1.0</v>
      </c>
      <c r="F883" s="4" t="str">
        <f>IFERROR(__xludf.DUMMYFUNCTION("GOOGLETRANSLATE(D883)"),"沒有任何平民值得被摧毀，願我們永遠不會忘記&amp;amp;從我們的錯誤中學習#Hiroshima")</f>
        <v>沒有任何平民值得被摧毀，願我們永遠不會忘記&amp;amp;從我們的錯誤中學習#Hiroshima</v>
      </c>
      <c r="G883" s="4" t="str">
        <f>IFERROR(__xludf.DUMMYFUNCTION("GOOGLETRANSLATE(B883)"),"拆除")</f>
        <v>拆除</v>
      </c>
    </row>
    <row r="884" ht="15.75" customHeight="1">
      <c r="A884" s="4">
        <v>3369.0</v>
      </c>
      <c r="B884" s="4" t="s">
        <v>1460</v>
      </c>
      <c r="D884" s="4" t="s">
        <v>1464</v>
      </c>
      <c r="E884" s="4">
        <v>1.0</v>
      </c>
      <c r="F884" s="4" t="str">
        <f>IFERROR(__xludf.DUMMYFUNCTION("GOOGLETRANSLATE(D884)"),"#下載&amp;amp; #watch 爆破青蛙 (2002) http://t.co/81nEizeknm #movie")</f>
        <v>#下載&amp;amp; #watch 爆破青蛙 (2002) http://t.co/81nEizeknm #movie</v>
      </c>
      <c r="G884" s="4" t="str">
        <f>IFERROR(__xludf.DUMMYFUNCTION("GOOGLETRANSLATE(B884)"),"拆除")</f>
        <v>拆除</v>
      </c>
    </row>
    <row r="885" ht="15.75" customHeight="1">
      <c r="A885" s="4">
        <v>3370.0</v>
      </c>
      <c r="B885" s="4" t="s">
        <v>1460</v>
      </c>
      <c r="C885" s="4" t="s">
        <v>1465</v>
      </c>
      <c r="D885" s="4" t="s">
        <v>1466</v>
      </c>
      <c r="E885" s="4">
        <v>1.0</v>
      </c>
      <c r="F885" s="4" t="str">
        <f>IFERROR(__xludf.DUMMYFUNCTION("GOOGLETRANSLATE(D885)"),"拆除意味著進步：密西根州弗林特和美國大都市海史密斯的命運 https://t.co/ZvoBMDxHGP")</f>
        <v>拆除意味著進步：密西根州弗林特和美國大都市海史密斯的命運 https://t.co/ZvoBMDxHGP</v>
      </c>
      <c r="G885" s="4" t="str">
        <f>IFERROR(__xludf.DUMMYFUNCTION("GOOGLETRANSLATE(B885)"),"拆除")</f>
        <v>拆除</v>
      </c>
    </row>
    <row r="886" ht="15.75" customHeight="1">
      <c r="A886" s="4">
        <v>3376.0</v>
      </c>
      <c r="B886" s="4" t="s">
        <v>1460</v>
      </c>
      <c r="C886" s="4" t="s">
        <v>351</v>
      </c>
      <c r="D886" s="4" t="s">
        <v>1467</v>
      </c>
      <c r="E886" s="4">
        <v>1.0</v>
      </c>
      <c r="F886" s="4" t="str">
        <f>IFERROR(__xludf.DUMMYFUNCTION("GOOGLETRANSLATE(D886)"),"德爾蒙特的「洋蔥屋」在計劃拆除後購買 http://t.co/yojKfQeJ6s")</f>
        <v>德爾蒙特的「洋蔥屋」在計劃拆除後購買 http://t.co/yojKfQeJ6s</v>
      </c>
      <c r="G886" s="4" t="str">
        <f>IFERROR(__xludf.DUMMYFUNCTION("GOOGLETRANSLATE(B886)"),"拆除")</f>
        <v>拆除</v>
      </c>
    </row>
    <row r="887" ht="15.75" customHeight="1">
      <c r="A887" s="4">
        <v>3379.0</v>
      </c>
      <c r="B887" s="4" t="s">
        <v>1460</v>
      </c>
      <c r="D887" s="4" t="s">
        <v>1468</v>
      </c>
      <c r="E887" s="4">
        <v>1.0</v>
      </c>
      <c r="F887" s="4" t="str">
        <f>IFERROR(__xludf.DUMMYFUNCTION("GOOGLETRANSLATE(D887)"),"以色列繼續拆除巴勒斯坦房屋#gop #potus #irandeal #isis https://t.co/NMgp7iMEIi")</f>
        <v>以色列繼續拆除巴勒斯坦房屋#gop #potus #irandeal #isis https://t.co/NMgp7iMEIi</v>
      </c>
      <c r="G887" s="4" t="str">
        <f>IFERROR(__xludf.DUMMYFUNCTION("GOOGLETRANSLATE(B887)"),"拆除")</f>
        <v>拆除</v>
      </c>
    </row>
    <row r="888" ht="15.75" customHeight="1">
      <c r="A888" s="4">
        <v>3391.0</v>
      </c>
      <c r="B888" s="4" t="s">
        <v>1460</v>
      </c>
      <c r="C888" s="4" t="s">
        <v>1469</v>
      </c>
      <c r="D888" s="4" t="s">
        <v>1470</v>
      </c>
      <c r="E888" s="4">
        <v>1.0</v>
      </c>
      <c r="F888" s="4" t="str">
        <f>IFERROR(__xludf.DUMMYFUNCTION("GOOGLETRANSLATE(D888)"),"卡杜納開始拆除政府學校土地上的建築物
http://t.co/77cIWXABVAÛ_t-school-lands/")</f>
        <v>卡杜納開始拆除政府學校土地上的建築物
http://t.co/77cIWXABVAÛ_t-school-lands/</v>
      </c>
      <c r="G888" s="4" t="str">
        <f>IFERROR(__xludf.DUMMYFUNCTION("GOOGLETRANSLATE(B888)"),"拆除")</f>
        <v>拆除</v>
      </c>
    </row>
    <row r="889" ht="15.75" customHeight="1">
      <c r="A889" s="4">
        <v>3397.0</v>
      </c>
      <c r="B889" s="4" t="s">
        <v>1460</v>
      </c>
      <c r="C889" s="4" t="s">
        <v>193</v>
      </c>
      <c r="D889" s="4" t="s">
        <v>1471</v>
      </c>
      <c r="E889" s="4">
        <v>1.0</v>
      </c>
      <c r="F889" s="4" t="str">
        <f>IFERROR(__xludf.DUMMYFUNCTION("GOOGLETRANSLATE(D889)"),"七名中國基督徒在拆除十字架的普遍憤怒中被拘留 http://t.co/65xR1p9sOO")</f>
        <v>七名中國基督徒在拆除十字架的普遍憤怒中被拘留 http://t.co/65xR1p9sOO</v>
      </c>
      <c r="G889" s="4" t="str">
        <f>IFERROR(__xludf.DUMMYFUNCTION("GOOGLETRANSLATE(B889)"),"拆除")</f>
        <v>拆除</v>
      </c>
    </row>
    <row r="890" ht="15.75" customHeight="1">
      <c r="A890" s="4">
        <v>3404.0</v>
      </c>
      <c r="B890" s="4" t="s">
        <v>1472</v>
      </c>
      <c r="C890" s="4" t="s">
        <v>708</v>
      </c>
      <c r="D890" s="4" t="s">
        <v>1473</v>
      </c>
      <c r="E890" s="4">
        <v>1.0</v>
      </c>
      <c r="F890" s="4" t="str">
        <f>IFERROR(__xludf.DUMMYFUNCTION("GOOGLETRANSLATE(D890)"),"以下是導致華盛頓市中心地鐵脫軌的原因。http://t.co/ImTYgdS5qO")</f>
        <v>以下是導致華盛頓市中心地鐵脫軌的原因。http://t.co/ImTYgdS5qO</v>
      </c>
      <c r="G890" s="4" t="str">
        <f>IFERROR(__xludf.DUMMYFUNCTION("GOOGLETRANSLATE(B890)"),"出軌")</f>
        <v>出軌</v>
      </c>
    </row>
    <row r="891" ht="15.75" customHeight="1">
      <c r="A891" s="4">
        <v>3412.0</v>
      </c>
      <c r="B891" s="4" t="s">
        <v>1472</v>
      </c>
      <c r="D891" s="4" t="s">
        <v>1474</v>
      </c>
      <c r="E891" s="4">
        <v>1.0</v>
      </c>
      <c r="F891" s="4" t="str">
        <f>IFERROR(__xludf.DUMMYFUNCTION("GOOGLETRANSLATE(D891)"),"BBC 新聞 - 印度鐵路事故：火車在中央邦山洪脫軌 http://t.co/WgmZmJ5imD")</f>
        <v>BBC 新聞 - 印度鐵路事故：火車在中央邦山洪脫軌 http://t.co/WgmZmJ5imD</v>
      </c>
      <c r="G891" s="4" t="str">
        <f>IFERROR(__xludf.DUMMYFUNCTION("GOOGLETRANSLATE(B891)"),"出軌")</f>
        <v>出軌</v>
      </c>
    </row>
    <row r="892" ht="15.75" customHeight="1">
      <c r="A892" s="4">
        <v>3413.0</v>
      </c>
      <c r="B892" s="4" t="s">
        <v>1472</v>
      </c>
      <c r="C892" s="4" t="s">
        <v>1475</v>
      </c>
      <c r="D892" s="4" t="s">
        <v>1476</v>
      </c>
      <c r="E892" s="4">
        <v>1.0</v>
      </c>
      <c r="F892" s="4" t="str">
        <f>IFERROR(__xludf.DUMMYFUNCTION("GOOGLETRANSLATE(D892)"),"Dr. Gridlock： 這就是導致華盛頓特區市中心地鐵脫軌的原因。http://t.co/Pm2TNnFDWw #washingtonpost")</f>
        <v>Dr. Gridlock： 這就是導致華盛頓特區市中心地鐵脫軌的原因。http://t.co/Pm2TNnFDWw #washingtonpost</v>
      </c>
      <c r="G892" s="4" t="str">
        <f>IFERROR(__xludf.DUMMYFUNCTION("GOOGLETRANSLATE(B892)"),"出軌")</f>
        <v>出軌</v>
      </c>
    </row>
    <row r="893" ht="15.75" customHeight="1">
      <c r="A893" s="4">
        <v>3414.0</v>
      </c>
      <c r="B893" s="4" t="s">
        <v>1472</v>
      </c>
      <c r="C893" s="4" t="s">
        <v>1477</v>
      </c>
      <c r="D893" s="4" t="s">
        <v>1478</v>
      </c>
      <c r="E893" s="4">
        <v>1.0</v>
      </c>
      <c r="F893" s="4" t="str">
        <f>IFERROR(__xludf.DUMMYFUNCTION("GOOGLETRANSLATE(D893)"),"@TemecaFreeman 總經理！我祈禱敵人2的任何攻擊都會使你的命運脫軌，主和上帝會阻止你的命運。祂用天堂的祝福淹沒你的生活")</f>
        <v>@TemecaFreeman 總經理！我祈禱敵人2的任何攻擊都會使你的命運脫軌，主和上帝會阻止你的命運。祂用天堂的祝福淹沒你的生活</v>
      </c>
      <c r="G893" s="4" t="str">
        <f>IFERROR(__xludf.DUMMYFUNCTION("GOOGLETRANSLATE(B893)"),"出軌")</f>
        <v>出軌</v>
      </c>
    </row>
    <row r="894" ht="15.75" customHeight="1">
      <c r="A894" s="4">
        <v>3415.0</v>
      </c>
      <c r="B894" s="4" t="s">
        <v>1472</v>
      </c>
      <c r="C894" s="4" t="s">
        <v>1479</v>
      </c>
      <c r="D894" s="4" t="s">
        <v>1480</v>
      </c>
      <c r="E894" s="4">
        <v>1.0</v>
      </c>
      <c r="F894" s="4" t="str">
        <f>IFERROR(__xludf.DUMMYFUNCTION("GOOGLETRANSLATE(D894)"),"嚴重洪水導致兩列火車脫軌，兩起同時發生的鐵路事故造成 24 人死亡#India #mumbai... http://t.co/4KBWPCmMbM")</f>
        <v>嚴重洪水導致兩列火車脫軌，兩起同時發生的鐵路事故造成 24 人死亡#India #mumbai... http://t.co/4KBWPCmMbM</v>
      </c>
      <c r="G894" s="4" t="str">
        <f>IFERROR(__xludf.DUMMYFUNCTION("GOOGLETRANSLATE(B894)"),"出軌")</f>
        <v>出軌</v>
      </c>
    </row>
    <row r="895" ht="15.75" customHeight="1">
      <c r="A895" s="4">
        <v>3417.0</v>
      </c>
      <c r="B895" s="4" t="s">
        <v>1472</v>
      </c>
      <c r="C895" s="4" t="s">
        <v>1481</v>
      </c>
      <c r="D895" s="4" t="s">
        <v>1482</v>
      </c>
      <c r="E895" s="4">
        <v>1.0</v>
      </c>
      <c r="F895" s="4" t="str">
        <f>IFERROR(__xludf.DUMMYFUNCTION("GOOGLETRANSLATE(D895)"),"BBC 新聞 - 印度鐵路事故：火車在中央邦山洪脫軌 http://t.co/fU1Btuq1Et")</f>
        <v>BBC 新聞 - 印度鐵路事故：火車在中央邦山洪脫軌 http://t.co/fU1Btuq1Et</v>
      </c>
      <c r="G895" s="4" t="str">
        <f>IFERROR(__xludf.DUMMYFUNCTION("GOOGLETRANSLATE(B895)"),"出軌")</f>
        <v>出軌</v>
      </c>
    </row>
    <row r="896" ht="15.75" customHeight="1">
      <c r="A896" s="4">
        <v>3419.0</v>
      </c>
      <c r="B896" s="4" t="s">
        <v>1472</v>
      </c>
      <c r="D896" s="4" t="s">
        <v>1483</v>
      </c>
      <c r="E896" s="4">
        <v>1.0</v>
      </c>
      <c r="F896" s="4" t="str">
        <f>IFERROR(__xludf.DUMMYFUNCTION("GOOGLETRANSLATE(D896)"),"@FoxNews 會在今晚的 #GOPDebate 期間繼續破壞伊朗核協議嗎？哦，是的。")</f>
        <v>@FoxNews 會在今晚的 #GOPDebate 期間繼續破壞伊朗核協議嗎？哦，是的。</v>
      </c>
      <c r="G896" s="4" t="str">
        <f>IFERROR(__xludf.DUMMYFUNCTION("GOOGLETRANSLATE(B896)"),"出軌")</f>
        <v>出軌</v>
      </c>
    </row>
    <row r="897" ht="15.75" customHeight="1">
      <c r="A897" s="4">
        <v>3423.0</v>
      </c>
      <c r="B897" s="4" t="s">
        <v>1472</v>
      </c>
      <c r="C897" s="4" t="s">
        <v>38</v>
      </c>
      <c r="D897" s="4" t="s">
        <v>1484</v>
      </c>
      <c r="E897" s="4">
        <v>1.0</v>
      </c>
      <c r="F897" s="4" t="str">
        <f>IFERROR(__xludf.DUMMYFUNCTION("GOOGLETRANSLATE(D897)"),"達拉斯湖事故導致火車出軌 http://t.co/ao4Ju9vMMF")</f>
        <v>達拉斯湖事故導致火車出軌 http://t.co/ao4Ju9vMMF</v>
      </c>
      <c r="G897" s="4" t="str">
        <f>IFERROR(__xludf.DUMMYFUNCTION("GOOGLETRANSLATE(B897)"),"出軌")</f>
        <v>出軌</v>
      </c>
    </row>
    <row r="898" ht="15.75" customHeight="1">
      <c r="A898" s="4">
        <v>3429.0</v>
      </c>
      <c r="B898" s="4" t="s">
        <v>1472</v>
      </c>
      <c r="C898" s="4" t="s">
        <v>1485</v>
      </c>
      <c r="D898" s="4" t="s">
        <v>1486</v>
      </c>
      <c r="E898" s="4">
        <v>1.0</v>
      </c>
      <c r="F898" s="4" t="str">
        <f>IFERROR(__xludf.DUMMYFUNCTION("GOOGLETRANSLATE(D898)"),"如何讓史密森尼的火車出軌？")</f>
        <v>如何讓史密森尼的火車出軌？</v>
      </c>
      <c r="G898" s="4" t="str">
        <f>IFERROR(__xludf.DUMMYFUNCTION("GOOGLETRANSLATE(B898)"),"出軌")</f>
        <v>出軌</v>
      </c>
    </row>
    <row r="899" ht="15.75" customHeight="1">
      <c r="A899" s="4">
        <v>3431.0</v>
      </c>
      <c r="B899" s="4" t="s">
        <v>1472</v>
      </c>
      <c r="D899" s="4" t="s">
        <v>1487</v>
      </c>
      <c r="E899" s="4">
        <v>1.0</v>
      </c>
      <c r="F899" s="4" t="str">
        <f>IFERROR(__xludf.DUMMYFUNCTION("GOOGLETRANSLATE(D899)"),"BBC 新聞 - 印度鐵路事故：火車在中央邦山洪脫軌 http://t.co/wmUTCDG36b")</f>
        <v>BBC 新聞 - 印度鐵路事故：火車在中央邦山洪脫軌 http://t.co/wmUTCDG36b</v>
      </c>
      <c r="G899" s="4" t="str">
        <f>IFERROR(__xludf.DUMMYFUNCTION("GOOGLETRANSLATE(B899)"),"出軌")</f>
        <v>出軌</v>
      </c>
    </row>
    <row r="900" ht="15.75" customHeight="1">
      <c r="A900" s="4">
        <v>3432.0</v>
      </c>
      <c r="B900" s="4" t="s">
        <v>1472</v>
      </c>
      <c r="C900" s="4" t="s">
        <v>892</v>
      </c>
      <c r="D900" s="4" t="s">
        <v>1488</v>
      </c>
      <c r="E900" s="4">
        <v>1.0</v>
      </c>
      <c r="F900" s="4" t="str">
        <f>IFERROR(__xludf.DUMMYFUNCTION("GOOGLETRANSLATE(D900)"),"Kamayani Express Janata Express 在中央邦出軌，造成 25 人死亡；特惠宣布 http://t.co/6SDTzSgElq")</f>
        <v>Kamayani Express Janata Express 在中央邦出軌，造成 25 人死亡；特惠宣布 http://t.co/6SDTzSgElq</v>
      </c>
      <c r="G900" s="4" t="str">
        <f>IFERROR(__xludf.DUMMYFUNCTION("GOOGLETRANSLATE(B900)"),"出軌")</f>
        <v>出軌</v>
      </c>
    </row>
    <row r="901" ht="15.75" customHeight="1">
      <c r="A901" s="4">
        <v>3436.0</v>
      </c>
      <c r="B901" s="4" t="s">
        <v>1472</v>
      </c>
      <c r="D901" s="4" t="s">
        <v>1489</v>
      </c>
      <c r="E901" s="4">
        <v>1.0</v>
      </c>
      <c r="F901" s="4" t="str">
        <f>IFERROR(__xludf.DUMMYFUNCTION("GOOGLETRANSLATE(D901)"),"印度兩列火車過河出軌，數十人死亡 http://t.co/zkKn6mSE1n http://t.co/FzHJF8BXlD")</f>
        <v>印度兩列火車過河出軌，數十人死亡 http://t.co/zkKn6mSE1n http://t.co/FzHJF8BXlD</v>
      </c>
      <c r="G901" s="4" t="str">
        <f>IFERROR(__xludf.DUMMYFUNCTION("GOOGLETRANSLATE(B901)"),"出軌")</f>
        <v>出軌</v>
      </c>
    </row>
    <row r="902" ht="15.75" customHeight="1">
      <c r="A902" s="4">
        <v>3437.0</v>
      </c>
      <c r="B902" s="4" t="s">
        <v>1472</v>
      </c>
      <c r="C902" s="4" t="s">
        <v>1479</v>
      </c>
      <c r="D902" s="4" t="s">
        <v>1490</v>
      </c>
      <c r="E902" s="4">
        <v>1.0</v>
      </c>
      <c r="F902" s="4" t="str">
        <f>IFERROR(__xludf.DUMMYFUNCTION("GOOGLETRANSLATE(D902)"),"嚴重洪水導致兩列火車脫軌，兩起同時發生的鐵路事故造成 24 人死亡#India #mumbai... http://t.co/b0ZwI0qPTU")</f>
        <v>嚴重洪水導致兩列火車脫軌，兩起同時發生的鐵路事故造成 24 人死亡#India #mumbai... http://t.co/b0ZwI0qPTU</v>
      </c>
      <c r="G902" s="4" t="str">
        <f>IFERROR(__xludf.DUMMYFUNCTION("GOOGLETRANSLATE(B902)"),"出軌")</f>
        <v>出軌</v>
      </c>
    </row>
    <row r="903" ht="15.75" customHeight="1">
      <c r="A903" s="4">
        <v>3439.0</v>
      </c>
      <c r="B903" s="4" t="s">
        <v>1472</v>
      </c>
      <c r="D903" s="4" t="s">
        <v>1491</v>
      </c>
      <c r="E903" s="4">
        <v>1.0</v>
      </c>
      <c r="F903" s="4" t="str">
        <f>IFERROR(__xludf.DUMMYFUNCTION("GOOGLETRANSLATE(D903)"),"印度洪水使兩列火車脫軌，造成 21 人死亡 http://t.co/2Fs649QdWX")</f>
        <v>印度洪水使兩列火車脫軌，造成 21 人死亡 http://t.co/2Fs649QdWX</v>
      </c>
      <c r="G903" s="4" t="str">
        <f>IFERROR(__xludf.DUMMYFUNCTION("GOOGLETRANSLATE(B903)"),"出軌")</f>
        <v>出軌</v>
      </c>
    </row>
    <row r="904" ht="15.75" customHeight="1">
      <c r="A904" s="4">
        <v>3446.0</v>
      </c>
      <c r="B904" s="4" t="s">
        <v>1472</v>
      </c>
      <c r="D904" s="4" t="s">
        <v>1492</v>
      </c>
      <c r="E904" s="4">
        <v>1.0</v>
      </c>
      <c r="F904" s="4" t="str">
        <f>IFERROR(__xludf.DUMMYFUNCTION("GOOGLETRANSLATE(D904)"),"印度兩列火車脫軌落入河中，數十人死亡http://www.informationng.com/?p=309943")</f>
        <v>印度兩列火車脫軌落入河中，數十人死亡http://www.informationng.com/?p=309943</v>
      </c>
      <c r="G904" s="4" t="str">
        <f>IFERROR(__xludf.DUMMYFUNCTION("GOOGLETRANSLATE(B904)"),"出軌")</f>
        <v>出軌</v>
      </c>
    </row>
    <row r="905" ht="15.75" customHeight="1">
      <c r="A905" s="4">
        <v>3451.0</v>
      </c>
      <c r="B905" s="4" t="s">
        <v>1472</v>
      </c>
      <c r="C905" s="4" t="s">
        <v>620</v>
      </c>
      <c r="D905" s="4" t="s">
        <v>1493</v>
      </c>
      <c r="E905" s="4">
        <v>1.0</v>
      </c>
      <c r="F905" s="4" t="str">
        <f>IFERROR(__xludf.DUMMYFUNCTION("GOOGLETRANSLATE(D905)"),"以下是導致華盛頓市中心地鐵脫軌的原因。http://t.co/mEiSNKv5Tb")</f>
        <v>以下是導致華盛頓市中心地鐵脫軌的原因。http://t.co/mEiSNKv5Tb</v>
      </c>
      <c r="G905" s="4" t="str">
        <f>IFERROR(__xludf.DUMMYFUNCTION("GOOGLETRANSLATE(B905)"),"出軌")</f>
        <v>出軌</v>
      </c>
    </row>
    <row r="906" ht="15.75" customHeight="1">
      <c r="A906" s="4">
        <v>3452.0</v>
      </c>
      <c r="B906" s="4" t="s">
        <v>1472</v>
      </c>
      <c r="C906" s="4" t="s">
        <v>1494</v>
      </c>
      <c r="D906" s="4" t="s">
        <v>1495</v>
      </c>
      <c r="E906" s="4">
        <v>1.0</v>
      </c>
      <c r="F906" s="4" t="str">
        <f>IFERROR(__xludf.DUMMYFUNCTION("GOOGLETRANSLATE(D906)"),"MPC 的正確判斷 - 過早上漲可能會破壞復甦#Business http://t.co/fvLgU1naYr")</f>
        <v>MPC 的正確判斷 - 過早上漲可能會破壞復甦#Business http://t.co/fvLgU1naYr</v>
      </c>
      <c r="G906" s="4" t="str">
        <f>IFERROR(__xludf.DUMMYFUNCTION("GOOGLETRANSLATE(B906)"),"出軌")</f>
        <v>出軌</v>
      </c>
    </row>
    <row r="907" ht="15.75" customHeight="1">
      <c r="A907" s="4">
        <v>3455.0</v>
      </c>
      <c r="B907" s="4" t="s">
        <v>1496</v>
      </c>
      <c r="C907" s="4" t="s">
        <v>1497</v>
      </c>
      <c r="D907" s="4" t="s">
        <v>1498</v>
      </c>
      <c r="E907" s="4">
        <v>1.0</v>
      </c>
      <c r="F907" s="4" t="str">
        <f>IFERROR(__xludf.DUMMYFUNCTION("GOOGLETRANSLATE(D907)"),"@Ohmygoshi @unsuckdcmetro 此時我希望聽到有關 Metrobus 脫軌的報道。")</f>
        <v>@Ohmygoshi @unsuckdcmetro 此時我希望聽到有關 Metrobus 脫軌的報道。</v>
      </c>
      <c r="G907" s="4" t="str">
        <f>IFERROR(__xludf.DUMMYFUNCTION("GOOGLETRANSLATE(B907)"),"出軌的")</f>
        <v>出軌的</v>
      </c>
    </row>
    <row r="908" ht="15.75" customHeight="1">
      <c r="A908" s="4">
        <v>3459.0</v>
      </c>
      <c r="B908" s="4" t="s">
        <v>1496</v>
      </c>
      <c r="C908" s="4" t="s">
        <v>620</v>
      </c>
      <c r="D908" s="4" t="s">
        <v>1499</v>
      </c>
      <c r="E908" s="4">
        <v>1.0</v>
      </c>
      <c r="F908" s="4" t="str">
        <f>IFERROR(__xludf.DUMMYFUNCTION("GOOGLETRANSLATE(D908)"),"很高興 #wmata 火車出軌時沒有人受傷。而且高速巴士比地鐵好得多 http://t.co/7cEhNV3DKy @fox5newsdc")</f>
        <v>很高興 #wmata 火車出軌時沒有人受傷。而且高速巴士比地鐵好得多 http://t.co/7cEhNV3DKy @fox5newsdc</v>
      </c>
      <c r="G908" s="4" t="str">
        <f>IFERROR(__xludf.DUMMYFUNCTION("GOOGLETRANSLATE(B908)"),"出軌的")</f>
        <v>出軌的</v>
      </c>
    </row>
    <row r="909" ht="15.75" customHeight="1">
      <c r="A909" s="4">
        <v>3462.0</v>
      </c>
      <c r="B909" s="4" t="s">
        <v>1496</v>
      </c>
      <c r="C909" s="4" t="s">
        <v>620</v>
      </c>
      <c r="D909" s="4" t="s">
        <v>1500</v>
      </c>
      <c r="E909" s="4">
        <v>1.0</v>
      </c>
      <c r="F909" s="4" t="str">
        <f>IFERROR(__xludf.DUMMYFUNCTION("GOOGLETRANSLATE(D909)"),"DC Media：獲取今天脫軌#WMATA 火車最新消息的提示 - 向他們詢問電影之夜並迅速改變話題！")</f>
        <v>DC Media：獲取今天脫軌#WMATA 火車最新消息的提示 - 向他們詢問電影之夜並迅速改變話題！</v>
      </c>
      <c r="G909" s="4" t="str">
        <f>IFERROR(__xludf.DUMMYFUNCTION("GOOGLETRANSLATE(B909)"),"出軌的")</f>
        <v>出軌的</v>
      </c>
    </row>
    <row r="910" ht="15.75" customHeight="1">
      <c r="A910" s="4">
        <v>3463.0</v>
      </c>
      <c r="B910" s="4" t="s">
        <v>1496</v>
      </c>
      <c r="D910" s="4" t="s">
        <v>1501</v>
      </c>
      <c r="E910" s="4">
        <v>1.0</v>
      </c>
      <c r="F910" s="4" t="str">
        <f>IFERROR(__xludf.DUMMYFUNCTION("GOOGLETRANSLATE(D910)"),"@jozerphine 字面上就知道了！是的，史密森尼出軌了，所以從聯邦中心 SW 到麥克弗森的一切都關閉了")</f>
        <v>@jozerphine 字面上就知道了！是的，史密森尼出軌了，所以從聯邦中心 SW 到麥克弗森的一切都關閉了</v>
      </c>
      <c r="G910" s="4" t="str">
        <f>IFERROR(__xludf.DUMMYFUNCTION("GOOGLETRANSLATE(B910)"),"出軌的")</f>
        <v>出軌的</v>
      </c>
    </row>
    <row r="911" ht="15.75" customHeight="1">
      <c r="A911" s="4">
        <v>3465.0</v>
      </c>
      <c r="B911" s="4" t="s">
        <v>1496</v>
      </c>
      <c r="C911" s="4" t="s">
        <v>1502</v>
      </c>
      <c r="D911" s="4" t="s">
        <v>1503</v>
      </c>
      <c r="E911" s="4">
        <v>1.0</v>
      </c>
      <c r="F911" s="4" t="str">
        <f>IFERROR(__xludf.DUMMYFUNCTION("GOOGLETRANSLATE(D911)"),"@TrustyMcLusty 出軌的火車上沒有乘客。但早上的通勤時間太糟糕了。回家。")</f>
        <v>@TrustyMcLusty 出軌的火車上沒有乘客。但早上的通勤時間太糟糕了。回家。</v>
      </c>
      <c r="G911" s="4" t="str">
        <f>IFERROR(__xludf.DUMMYFUNCTION("GOOGLETRANSLATE(B911)"),"出軌的")</f>
        <v>出軌的</v>
      </c>
    </row>
    <row r="912" ht="15.75" customHeight="1">
      <c r="A912" s="4">
        <v>3466.0</v>
      </c>
      <c r="B912" s="4" t="s">
        <v>1496</v>
      </c>
      <c r="C912" s="4" t="s">
        <v>1504</v>
      </c>
      <c r="D912" s="4" t="s">
        <v>1505</v>
      </c>
      <c r="E912" s="4">
        <v>1.0</v>
      </c>
      <c r="F912" s="4" t="str">
        <f>IFERROR(__xludf.DUMMYFUNCTION("GOOGLETRANSLATE(D912)"),"鱷魚的眼淚不會跟我一起洗掉，她更難過的是肉汁列車出軌了#kidscompany http://t.co/BCPmVylSih")</f>
        <v>鱷魚的眼淚不會跟我一起洗掉，她更難過的是肉汁列車出軌了#kidscompany http://t.co/BCPmVylSih</v>
      </c>
      <c r="G912" s="4" t="str">
        <f>IFERROR(__xludf.DUMMYFUNCTION("GOOGLETRANSLATE(B912)"),"出軌的")</f>
        <v>出軌的</v>
      </c>
    </row>
    <row r="913" ht="15.75" customHeight="1">
      <c r="A913" s="4">
        <v>3468.0</v>
      </c>
      <c r="B913" s="4" t="s">
        <v>1496</v>
      </c>
      <c r="C913" s="4" t="s">
        <v>1506</v>
      </c>
      <c r="D913" s="4" t="s">
        <v>1507</v>
      </c>
      <c r="E913" s="4">
        <v>1.0</v>
      </c>
      <c r="F913" s="4" t="str">
        <f>IFERROR(__xludf.DUMMYFUNCTION("GOOGLETRANSLATE(D913)"),"@Epic_Insanity 它在 Grimrail 車站外出軌了…")</f>
        <v>@Epic_Insanity 它在 Grimrail 車站外出軌了…</v>
      </c>
      <c r="G913" s="4" t="str">
        <f>IFERROR(__xludf.DUMMYFUNCTION("GOOGLETRANSLATE(B913)"),"出軌的")</f>
        <v>出軌的</v>
      </c>
    </row>
    <row r="914" ht="15.75" customHeight="1">
      <c r="A914" s="4">
        <v>3469.0</v>
      </c>
      <c r="B914" s="4" t="s">
        <v>1496</v>
      </c>
      <c r="C914" s="4" t="s">
        <v>620</v>
      </c>
      <c r="D914" s="4" t="s">
        <v>1508</v>
      </c>
      <c r="E914" s="4">
        <v>1.0</v>
      </c>
      <c r="F914" s="4" t="str">
        <f>IFERROR(__xludf.DUMMYFUNCTION("GOOGLETRANSLATE(D914)"),"[更新] 無人地鐵列車出軌，導致今天早上嚴重延誤：出軌的列車正在造成地獄Û_ http://t.co/bLCBAbM7A1")</f>
        <v>[更新] 無人地鐵列車出軌，導致今天早上嚴重延誤：出軌的列車正在造成地獄Û_ http://t.co/bLCBAbM7A1</v>
      </c>
      <c r="G914" s="4" t="str">
        <f>IFERROR(__xludf.DUMMYFUNCTION("GOOGLETRANSLATE(B914)"),"出軌的")</f>
        <v>出軌的</v>
      </c>
    </row>
    <row r="915" ht="15.75" customHeight="1">
      <c r="A915" s="4">
        <v>3470.0</v>
      </c>
      <c r="B915" s="4" t="s">
        <v>1496</v>
      </c>
      <c r="C915" s="4" t="s">
        <v>38</v>
      </c>
      <c r="D915" s="4" t="s">
        <v>1509</v>
      </c>
      <c r="E915" s="4">
        <v>1.0</v>
      </c>
      <c r="F915" s="4" t="str">
        <f>IFERROR(__xludf.DUMMYFUNCTION("GOOGLETRANSLATE(D915)"),"@stury 請注意，今天早上火車脫軌時車上沒有乘客。")</f>
        <v>@stury 請注意，今天早上火車脫軌時車上沒有乘客。</v>
      </c>
      <c r="G915" s="4" t="str">
        <f>IFERROR(__xludf.DUMMYFUNCTION("GOOGLETRANSLATE(B915)"),"出軌的")</f>
        <v>出軌的</v>
      </c>
    </row>
    <row r="916" ht="15.75" customHeight="1">
      <c r="A916" s="4">
        <v>3473.0</v>
      </c>
      <c r="B916" s="4" t="s">
        <v>1496</v>
      </c>
      <c r="C916" s="4" t="s">
        <v>1510</v>
      </c>
      <c r="D916" s="4" t="s">
        <v>1511</v>
      </c>
      <c r="E916" s="4">
        <v>1.0</v>
      </c>
      <c r="F916" s="4" t="str">
        <f>IFERROR(__xludf.DUMMYFUNCTION("GOOGLETRANSLATE(D916)"),"哇哦，#wmata 火車在史密森尼出軌了？")</f>
        <v>哇哦，#wmata 火車在史密森尼出軌了？</v>
      </c>
      <c r="G916" s="4" t="str">
        <f>IFERROR(__xludf.DUMMYFUNCTION("GOOGLETRANSLATE(B916)"),"出軌的")</f>
        <v>出軌的</v>
      </c>
    </row>
    <row r="917" ht="15.75" customHeight="1">
      <c r="A917" s="4">
        <v>3474.0</v>
      </c>
      <c r="B917" s="4" t="s">
        <v>1496</v>
      </c>
      <c r="C917" s="4" t="s">
        <v>620</v>
      </c>
      <c r="D917" s="4" t="s">
        <v>1512</v>
      </c>
      <c r="E917" s="4">
        <v>1.0</v>
      </c>
      <c r="F917" s="4" t="str">
        <f>IFERROR(__xludf.DUMMYFUNCTION("GOOGLETRANSLATE(D917)"),"地鐵代理負責人傑克雷誇 (Jack Requa) 表示，脫軌的列車是一列六節車廂的列車，配有 1000 和 2000 系列軌道車。 #wmata")</f>
        <v>地鐵代理負責人傑克雷誇 (Jack Requa) 表示，脫軌的列車是一列六節車廂的列車，配有 1000 和 2000 系列軌道車。 #wmata</v>
      </c>
      <c r="G917" s="4" t="str">
        <f>IFERROR(__xludf.DUMMYFUNCTION("GOOGLETRANSLATE(B917)"),"出軌的")</f>
        <v>出軌的</v>
      </c>
    </row>
    <row r="918" ht="15.75" customHeight="1">
      <c r="A918" s="4">
        <v>3476.0</v>
      </c>
      <c r="B918" s="4" t="s">
        <v>1496</v>
      </c>
      <c r="C918" s="4" t="s">
        <v>620</v>
      </c>
      <c r="D918" s="4" t="s">
        <v>1513</v>
      </c>
      <c r="E918" s="4">
        <v>1.0</v>
      </c>
      <c r="F918" s="4" t="str">
        <f>IFERROR(__xludf.DUMMYFUNCTION("GOOGLETRANSLATE(D918)"),"#Metro 還是不知道什麼時候 Blue &amp;amp;橙色線路將重新開放。凌晨 5 點左右，空中巴士脫軌，不是新的 7000 系列。 @CQnow #WMATA")</f>
        <v>#Metro 還是不知道什麼時候 Blue &amp;amp;橙色線路將重新開放。凌晨 5 點左右，空中巴士脫軌，不是新的 7000 系列。 @CQnow #WMATA</v>
      </c>
      <c r="G918" s="4" t="str">
        <f>IFERROR(__xludf.DUMMYFUNCTION("GOOGLETRANSLATE(B918)"),"出軌的")</f>
        <v>出軌的</v>
      </c>
    </row>
    <row r="919" ht="15.75" customHeight="1">
      <c r="A919" s="4">
        <v>3477.0</v>
      </c>
      <c r="B919" s="4" t="s">
        <v>1496</v>
      </c>
      <c r="C919" s="4" t="s">
        <v>405</v>
      </c>
      <c r="D919" s="4" t="s">
        <v>1514</v>
      </c>
      <c r="E919" s="4">
        <v>1.0</v>
      </c>
      <c r="F919" s="4" t="str">
        <f>IFERROR(__xludf.DUMMYFUNCTION("GOOGLETRANSLATE(D919)"),"早餐連結：在家工作：出軌：一列空火車今天早上在史密森尼出軌，暫停服務... http://t.co/iD4QGqDnJQ")</f>
        <v>早餐連結：在家工作：出軌：一列空火車今天早上在史密森尼出軌，暫停服務... http://t.co/iD4QGqDnJQ</v>
      </c>
      <c r="G919" s="4" t="str">
        <f>IFERROR(__xludf.DUMMYFUNCTION("GOOGLETRANSLATE(B919)"),"出軌的")</f>
        <v>出軌的</v>
      </c>
    </row>
    <row r="920" ht="15.75" customHeight="1">
      <c r="A920" s="4">
        <v>3478.0</v>
      </c>
      <c r="B920" s="4" t="s">
        <v>1496</v>
      </c>
      <c r="C920" s="4" t="s">
        <v>1515</v>
      </c>
      <c r="D920" s="4" t="s">
        <v>1516</v>
      </c>
      <c r="E920" s="4">
        <v>1.0</v>
      </c>
      <c r="F920" s="4" t="str">
        <f>IFERROR(__xludf.DUMMYFUNCTION("GOOGLETRANSLATE(D920)"),"在 Jon Stewart 離開《每日秀》前夕，WMATA 允許另一列火車脫軌並導致服務癱瘓，以此向他致敬。")</f>
        <v>在 Jon Stewart 離開《每日秀》前夕，WMATA 允許另一列火車脫軌並導致服務癱瘓，以此向他致敬。</v>
      </c>
      <c r="G920" s="4" t="str">
        <f>IFERROR(__xludf.DUMMYFUNCTION("GOOGLETRANSLATE(B920)"),"出軌的")</f>
        <v>出軌的</v>
      </c>
    </row>
    <row r="921" ht="15.75" customHeight="1">
      <c r="A921" s="4">
        <v>3480.0</v>
      </c>
      <c r="B921" s="4" t="s">
        <v>1496</v>
      </c>
      <c r="C921" s="4" t="s">
        <v>1517</v>
      </c>
      <c r="D921" s="4" t="s">
        <v>1518</v>
      </c>
      <c r="E921" s="4">
        <v>1.0</v>
      </c>
      <c r="F921" s="4" t="str">
        <f>IFERROR(__xludf.DUMMYFUNCTION("GOOGLETRANSLATE(D921)"),"去starbs，地鐵只有70度的部分出軌了，這是華盛頓特區的一個美麗的早晨。")</f>
        <v>去starbs，地鐵只有70度的部分出軌了，這是華盛頓特區的一個美麗的早晨。</v>
      </c>
      <c r="G921" s="4" t="str">
        <f>IFERROR(__xludf.DUMMYFUNCTION("GOOGLETRANSLATE(B921)"),"出軌的")</f>
        <v>出軌的</v>
      </c>
    </row>
    <row r="922" ht="15.75" customHeight="1">
      <c r="A922" s="4">
        <v>3482.0</v>
      </c>
      <c r="B922" s="4" t="s">
        <v>1496</v>
      </c>
      <c r="C922" s="4" t="s">
        <v>1519</v>
      </c>
      <c r="D922" s="4" t="s">
        <v>1520</v>
      </c>
      <c r="E922" s="4">
        <v>1.0</v>
      </c>
      <c r="F922" s="4" t="str">
        <f>IFERROR(__xludf.DUMMYFUNCTION("GOOGLETRANSLATE(D922)"),"@AdamTuss，這輛車偶然使 5000 系列脫軌。他們曾經遇到車輪攀爬問題 RE：1/2007 Mt. Vern Sq 脫軌")</f>
        <v>@AdamTuss，這輛車偶然使 5000 系列脫軌。他們曾經遇到車輪攀爬問題 RE：1/2007 Mt. Vern Sq 脫軌</v>
      </c>
      <c r="G922" s="4" t="str">
        <f>IFERROR(__xludf.DUMMYFUNCTION("GOOGLETRANSLATE(B922)"),"出軌的")</f>
        <v>出軌的</v>
      </c>
    </row>
    <row r="923" ht="15.75" customHeight="1">
      <c r="A923" s="4">
        <v>3484.0</v>
      </c>
      <c r="B923" s="4" t="s">
        <v>1496</v>
      </c>
      <c r="C923" s="4" t="s">
        <v>1521</v>
      </c>
      <c r="D923" s="4" t="s">
        <v>1522</v>
      </c>
      <c r="E923" s="4">
        <v>1.0</v>
      </c>
      <c r="F923" s="4" t="str">
        <f>IFERROR(__xludf.DUMMYFUNCTION("GOOGLETRANSLATE(D923)"),"結果一列火車出軌了，我沒有像以前那樣早點去上班，現在卻遲到了")</f>
        <v>結果一列火車出軌了，我沒有像以前那樣早點去上班，現在卻遲到了</v>
      </c>
      <c r="G923" s="4" t="str">
        <f>IFERROR(__xludf.DUMMYFUNCTION("GOOGLETRANSLATE(B923)"),"出軌的")</f>
        <v>出軌的</v>
      </c>
    </row>
    <row r="924" ht="15.75" customHeight="1">
      <c r="A924" s="4">
        <v>3486.0</v>
      </c>
      <c r="B924" s="4" t="s">
        <v>1496</v>
      </c>
      <c r="D924" s="4" t="s">
        <v>1523</v>
      </c>
      <c r="E924" s="4">
        <v>1.0</v>
      </c>
      <c r="F924" s="4" t="str">
        <f>IFERROR(__xludf.DUMMYFUNCTION("GOOGLETRANSLATE(D924)"),"載有 Janta Express 脫軌倖存者的救援列車透過 @firstpostin http://t.co/CZNXHuTASX 抵達孟買")</f>
        <v>載有 Janta Express 脫軌倖存者的救援列車透過 @firstpostin http://t.co/CZNXHuTASX 抵達孟買</v>
      </c>
      <c r="G924" s="4" t="str">
        <f>IFERROR(__xludf.DUMMYFUNCTION("GOOGLETRANSLATE(B924)"),"出軌的")</f>
        <v>出軌的</v>
      </c>
    </row>
    <row r="925" ht="15.75" customHeight="1">
      <c r="A925" s="4">
        <v>3487.0</v>
      </c>
      <c r="B925" s="4" t="s">
        <v>1496</v>
      </c>
      <c r="D925" s="4" t="s">
        <v>1524</v>
      </c>
      <c r="E925" s="4">
        <v>1.0</v>
      </c>
      <c r="F925" s="4" t="str">
        <f>IFERROR(__xludf.DUMMYFUNCTION("GOOGLETRANSLATE(D925)"),"有多少火車脫軌，@wmata 必須在華盛頓大部分地區關閉橙色/藍色列車？復仇者聯盟不再那麼混亂@unsuckdcmetro")</f>
        <v>有多少火車脫軌，@wmata 必須在華盛頓大部分地區關閉橙色/藍色列車？復仇者聯盟不再那麼混亂@unsuckdcmetro</v>
      </c>
      <c r="G925" s="4" t="str">
        <f>IFERROR(__xludf.DUMMYFUNCTION("GOOGLETRANSLATE(B925)"),"出軌的")</f>
        <v>出軌的</v>
      </c>
    </row>
    <row r="926" ht="15.75" customHeight="1">
      <c r="A926" s="4">
        <v>3489.0</v>
      </c>
      <c r="B926" s="4" t="s">
        <v>1496</v>
      </c>
      <c r="C926" s="4" t="s">
        <v>1525</v>
      </c>
      <c r="D926" s="4" t="s">
        <v>1526</v>
      </c>
      <c r="E926" s="4">
        <v>1.0</v>
      </c>
      <c r="F926" s="4" t="str">
        <f>IFERROR(__xludf.DUMMYFUNCTION("GOOGLETRANSLATE(D926)"),"在那些日子裡，你直到在運輸途中才意識到一列火車在離工作地點最近的地鐵街脫軌了？ https://t.co/QYX5ThkRbH")</f>
        <v>在那些日子裡，你直到在運輸途中才意識到一列火車在離工作地點最近的地鐵街脫軌了？ https://t.co/QYX5ThkRbH</v>
      </c>
      <c r="G926" s="4" t="str">
        <f>IFERROR(__xludf.DUMMYFUNCTION("GOOGLETRANSLATE(B926)"),"出軌的")</f>
        <v>出軌的</v>
      </c>
    </row>
    <row r="927" ht="15.75" customHeight="1">
      <c r="A927" s="4">
        <v>3494.0</v>
      </c>
      <c r="B927" s="4" t="s">
        <v>1496</v>
      </c>
      <c r="C927" s="4" t="s">
        <v>1527</v>
      </c>
      <c r="D927" s="4" t="s">
        <v>1528</v>
      </c>
      <c r="E927" s="4">
        <v>1.0</v>
      </c>
      <c r="F927" s="4" t="str">
        <f>IFERROR(__xludf.DUMMYFUNCTION("GOOGLETRANSLATE(D927)"),".@unsuckdcmetro 火車是半脫軌還是半脫軌？ ＃慎重考慮")</f>
        <v>.@unsuckdcmetro 火車是半脫軌還是半脫軌？ ＃慎重考慮</v>
      </c>
      <c r="G927" s="4" t="str">
        <f>IFERROR(__xludf.DUMMYFUNCTION("GOOGLETRANSLATE(B927)"),"出軌的")</f>
        <v>出軌的</v>
      </c>
    </row>
    <row r="928" ht="15.75" customHeight="1">
      <c r="A928" s="4">
        <v>3495.0</v>
      </c>
      <c r="B928" s="4" t="s">
        <v>1496</v>
      </c>
      <c r="C928" s="4" t="s">
        <v>1529</v>
      </c>
      <c r="D928" s="4" t="s">
        <v>1530</v>
      </c>
      <c r="E928" s="4">
        <v>1.0</v>
      </c>
      <c r="F928" s="4" t="str">
        <f>IFERROR(__xludf.DUMMYFUNCTION("GOOGLETRANSLATE(D928)"),"遺憾的是，騎車人的毆打破壞了他作為@NYPDnews 臥底的民主工作：http://t.co/iHHRKG4V1S。 http://t.co/aryU5qNgJJ")</f>
        <v>遺憾的是，騎車人的毆打破壞了他作為@NYPDnews 臥底的民主工作：http://t.co/iHHRKG4V1S。 http://t.co/aryU5qNgJJ</v>
      </c>
      <c r="G928" s="4" t="str">
        <f>IFERROR(__xludf.DUMMYFUNCTION("GOOGLETRANSLATE(B928)"),"出軌的")</f>
        <v>出軌的</v>
      </c>
    </row>
    <row r="929" ht="15.75" customHeight="1">
      <c r="A929" s="4">
        <v>3497.0</v>
      </c>
      <c r="B929" s="4" t="s">
        <v>1496</v>
      </c>
      <c r="D929" s="4" t="s">
        <v>1531</v>
      </c>
      <c r="E929" s="4">
        <v>1.0</v>
      </c>
      <c r="F929" s="4" t="str">
        <f>IFERROR(__xludf.DUMMYFUNCTION("GOOGLETRANSLATE(D929)"),"@ItsQueenBaby 我正在工作，有一群人和公共汽車，因為火車脫軌了")</f>
        <v>@ItsQueenBaby 我正在工作，有一群人和公共汽車，因為火車脫軌了</v>
      </c>
      <c r="G929" s="4" t="str">
        <f>IFERROR(__xludf.DUMMYFUNCTION("GOOGLETRANSLATE(B929)"),"出軌的")</f>
        <v>出軌的</v>
      </c>
    </row>
    <row r="930" ht="15.75" customHeight="1">
      <c r="A930" s="4">
        <v>3498.0</v>
      </c>
      <c r="B930" s="4" t="s">
        <v>1496</v>
      </c>
      <c r="C930" s="4" t="s">
        <v>1532</v>
      </c>
      <c r="D930" s="4" t="s">
        <v>1533</v>
      </c>
      <c r="E930" s="4">
        <v>1.0</v>
      </c>
      <c r="F930" s="4" t="str">
        <f>IFERROR(__xludf.DUMMYFUNCTION("GOOGLETRANSLATE(D930)"),"CNN 新聞 2015 年 8 月 5 日兩列火車在洪水中脫軌...
印度 8 月洪水 2015 年影片 youtube？... http://t.co/MMIyE1k8ZZ")</f>
        <v>CNN 新聞 2015 年 8 月 5 日兩列火車在洪水中脫軌...
印度 8 月洪水 2015 年影片 youtube？... http://t.co/MMIyE1k8ZZ</v>
      </c>
      <c r="G930" s="4" t="str">
        <f>IFERROR(__xludf.DUMMYFUNCTION("GOOGLETRANSLATE(B930)"),"出軌的")</f>
        <v>出軌的</v>
      </c>
    </row>
    <row r="931" ht="15.75" customHeight="1">
      <c r="A931" s="4">
        <v>3500.0</v>
      </c>
      <c r="B931" s="4" t="s">
        <v>1496</v>
      </c>
      <c r="C931" s="4" t="s">
        <v>1534</v>
      </c>
      <c r="D931" s="4" t="s">
        <v>1535</v>
      </c>
      <c r="E931" s="4">
        <v>1.0</v>
      </c>
      <c r="F931" s="4" t="str">
        <f>IFERROR(__xludf.DUMMYFUNCTION("GOOGLETRANSLATE(D931)"),"@GerryConnolly @RepDonBeyer @timkaine 今天的 #Metro 通勤災難和脫軌的非客運列車清楚地表明我們需要一位鐵路 MGR 首席執行官！")</f>
        <v>@GerryConnolly @RepDonBeyer @timkaine 今天的 #Metro 通勤災難和脫軌的非客運列車清楚地表明我們需要一位鐵路 MGR 首席執行官！</v>
      </c>
      <c r="G931" s="4" t="str">
        <f>IFERROR(__xludf.DUMMYFUNCTION("GOOGLETRANSLATE(B931)"),"出軌的")</f>
        <v>出軌的</v>
      </c>
    </row>
    <row r="932" ht="15.75" customHeight="1">
      <c r="A932" s="4">
        <v>3501.0</v>
      </c>
      <c r="B932" s="4" t="s">
        <v>1496</v>
      </c>
      <c r="C932" s="4" t="s">
        <v>1536</v>
      </c>
      <c r="D932" s="4" t="s">
        <v>1537</v>
      </c>
      <c r="E932" s="4">
        <v>1.0</v>
      </c>
      <c r="F932" s="4" t="str">
        <f>IFERROR(__xludf.DUMMYFUNCTION("GOOGLETRANSLATE(D932)"),"@OhYayyyYay 今天早上火車出軌了")</f>
        <v>@OhYayyyYay 今天早上火車出軌了</v>
      </c>
      <c r="G932" s="4" t="str">
        <f>IFERROR(__xludf.DUMMYFUNCTION("GOOGLETRANSLATE(B932)"),"出軌的")</f>
        <v>出軌的</v>
      </c>
    </row>
    <row r="933" ht="15.75" customHeight="1">
      <c r="A933" s="4">
        <v>3503.0</v>
      </c>
      <c r="B933" s="4" t="s">
        <v>1538</v>
      </c>
      <c r="C933" s="4" t="s">
        <v>1539</v>
      </c>
      <c r="D933" s="4" t="s">
        <v>1540</v>
      </c>
      <c r="E933" s="4">
        <v>1.0</v>
      </c>
      <c r="F933" s="4" t="str">
        <f>IFERROR(__xludf.DUMMYFUNCTION("GOOGLETRANSLATE(D933)"),"中央邦火車出軌：鄉村青年拯救了許多生命")</f>
        <v>中央邦火車出軌：鄉村青年拯救了許多生命</v>
      </c>
      <c r="G933" s="4" t="str">
        <f>IFERROR(__xludf.DUMMYFUNCTION("GOOGLETRANSLATE(B933)"),"出軌")</f>
        <v>出軌</v>
      </c>
    </row>
    <row r="934" ht="15.75" customHeight="1">
      <c r="A934" s="4">
        <v>3504.0</v>
      </c>
      <c r="B934" s="4" t="s">
        <v>1538</v>
      </c>
      <c r="C934" s="4" t="s">
        <v>1205</v>
      </c>
      <c r="D934" s="4" t="s">
        <v>1541</v>
      </c>
      <c r="E934" s="4">
        <v>1.0</v>
      </c>
      <c r="F934" s="4" t="str">
        <f>IFERROR(__xludf.DUMMYFUNCTION("GOOGLETRANSLATE(D934)"),"早先在加菲貓附近發生脫軌事故並造成剩餘延誤後，綠線的服務已恢復。")</f>
        <v>早先在加菲貓附近發生脫軌事故並造成剩餘延誤後，綠線的服務已恢復。</v>
      </c>
      <c r="G934" s="4" t="str">
        <f>IFERROR(__xludf.DUMMYFUNCTION("GOOGLETRANSLATE(B934)"),"出軌")</f>
        <v>出軌</v>
      </c>
    </row>
    <row r="935" ht="15.75" customHeight="1">
      <c r="A935" s="4">
        <v>3505.0</v>
      </c>
      <c r="B935" s="4" t="s">
        <v>1538</v>
      </c>
      <c r="C935" s="4" t="s">
        <v>34</v>
      </c>
      <c r="D935" s="4" t="s">
        <v>1540</v>
      </c>
      <c r="E935" s="4">
        <v>1.0</v>
      </c>
      <c r="F935" s="4" t="str">
        <f>IFERROR(__xludf.DUMMYFUNCTION("GOOGLETRANSLATE(D935)"),"中央邦火車出軌：鄉村青年拯救了許多生命")</f>
        <v>中央邦火車出軌：鄉村青年拯救了許多生命</v>
      </c>
      <c r="G935" s="4" t="str">
        <f>IFERROR(__xludf.DUMMYFUNCTION("GOOGLETRANSLATE(B935)"),"出軌")</f>
        <v>出軌</v>
      </c>
    </row>
    <row r="936" ht="15.75" customHeight="1">
      <c r="A936" s="4">
        <v>3506.0</v>
      </c>
      <c r="B936" s="4" t="s">
        <v>1538</v>
      </c>
      <c r="D936" s="4" t="s">
        <v>1542</v>
      </c>
      <c r="E936" s="4">
        <v>1.0</v>
      </c>
      <c r="F936" s="4" t="str">
        <f>IFERROR(__xludf.DUMMYFUNCTION("GOOGLETRANSLATE(D936)"),"鐵軌上的死亡：為什麼下雨不能承擔全部責任？：脫軌並不常見。去年少了... http://t.co/jdkQC12tid")</f>
        <v>鐵軌上的死亡：為什麼下雨不能承擔全部責任？：脫軌並不常見。去年少了... http://t.co/jdkQC12tid</v>
      </c>
      <c r="G936" s="4" t="str">
        <f>IFERROR(__xludf.DUMMYFUNCTION("GOOGLETRANSLATE(B936)"),"出軌")</f>
        <v>出軌</v>
      </c>
    </row>
    <row r="937" ht="15.75" customHeight="1">
      <c r="A937" s="4">
        <v>3508.0</v>
      </c>
      <c r="B937" s="4" t="s">
        <v>1538</v>
      </c>
      <c r="D937" s="4" t="s">
        <v>1543</v>
      </c>
      <c r="E937" s="4">
        <v>1.0</v>
      </c>
      <c r="F937" s="4" t="str">
        <f>IFERROR(__xludf.DUMMYFUNCTION("GOOGLETRANSLATE(D937)"),"#news 中央邦火車脫軌：鄉村青年拯救了許多生命 http://t.co/fcTrAWJcYL #til_now #NDTV")</f>
        <v>#news 中央邦火車脫軌：鄉村青年拯救了許多生命 http://t.co/fcTrAWJcYL #til_now #NDTV</v>
      </c>
      <c r="G937" s="4" t="str">
        <f>IFERROR(__xludf.DUMMYFUNCTION("GOOGLETRANSLATE(B937)"),"出軌")</f>
        <v>出軌</v>
      </c>
    </row>
    <row r="938" ht="15.75" customHeight="1">
      <c r="A938" s="4">
        <v>3509.0</v>
      </c>
      <c r="B938" s="4" t="s">
        <v>1538</v>
      </c>
      <c r="C938" s="4" t="s">
        <v>323</v>
      </c>
      <c r="D938" s="4" t="s">
        <v>1544</v>
      </c>
      <c r="E938" s="4">
        <v>1.0</v>
      </c>
      <c r="F938" s="4" t="str">
        <f>IFERROR(__xludf.DUMMYFUNCTION("GOOGLETRANSLATE(D938)"),"MP列車出軌：這是最奇怪的事故：
MP列車脫軌：這是最奇怪的... http://t.co/uHXODSc7Wi")</f>
        <v>MP列車出軌：這是最奇怪的事故：
MP列車脫軌：這是最奇怪的... http://t.co/uHXODSc7Wi</v>
      </c>
      <c r="G938" s="4" t="str">
        <f>IFERROR(__xludf.DUMMYFUNCTION("GOOGLETRANSLATE(B938)"),"出軌")</f>
        <v>出軌</v>
      </c>
    </row>
    <row r="939" ht="15.75" customHeight="1">
      <c r="A939" s="4">
        <v>3510.0</v>
      </c>
      <c r="B939" s="4" t="s">
        <v>1538</v>
      </c>
      <c r="C939" s="4" t="s">
        <v>1545</v>
      </c>
      <c r="D939" s="4" t="s">
        <v>1546</v>
      </c>
      <c r="E939" s="4">
        <v>1.0</v>
      </c>
      <c r="F939" s="4" t="str">
        <f>IFERROR(__xludf.DUMMYFUNCTION("GOOGLETRANSLATE(D939)"),"#TeamFollowBack 中央邦火車脫軌：鄉村青年拯救了許多生命#FollowBack")</f>
        <v>#TeamFollowBack 中央邦火車脫軌：鄉村青年拯救了許多生命#FollowBack</v>
      </c>
      <c r="G939" s="4" t="str">
        <f>IFERROR(__xludf.DUMMYFUNCTION("GOOGLETRANSLATE(B939)"),"出軌")</f>
        <v>出軌</v>
      </c>
    </row>
    <row r="940" ht="15.75" customHeight="1">
      <c r="A940" s="4">
        <v>3512.0</v>
      </c>
      <c r="B940" s="4" t="s">
        <v>1538</v>
      </c>
      <c r="D940" s="4" t="s">
        <v>1547</v>
      </c>
      <c r="E940" s="4">
        <v>1.0</v>
      </c>
      <c r="F940" s="4" t="str">
        <f>IFERROR(__xludf.DUMMYFUNCTION("GOOGLETRANSLATE(D940)"),"#ModiMinistry 中央邦火車脫軌：鄉村青年拯救了許多生命 http://t.co/YvMpHd0z9X")</f>
        <v>#ModiMinistry 中央邦火車脫軌：鄉村青年拯救了許多生命 http://t.co/YvMpHd0z9X</v>
      </c>
      <c r="G940" s="4" t="str">
        <f>IFERROR(__xludf.DUMMYFUNCTION("GOOGLETRANSLATE(B940)"),"出軌")</f>
        <v>出軌</v>
      </c>
    </row>
    <row r="941" ht="15.75" customHeight="1">
      <c r="A941" s="4">
        <v>3513.0</v>
      </c>
      <c r="B941" s="4" t="s">
        <v>1538</v>
      </c>
      <c r="C941" s="4" t="s">
        <v>1548</v>
      </c>
      <c r="D941" s="4" t="s">
        <v>1549</v>
      </c>
      <c r="E941" s="4">
        <v>1.0</v>
      </c>
      <c r="F941" s="4" t="str">
        <f>IFERROR(__xludf.DUMMYFUNCTION("GOOGLETRANSLATE(D941)"),"斯蒂爾和博克斯在 61 號就火車脫軌發出警報，卡魯梅特則按照 2-1-21 的命令出擊。 #ChicagoScanner")</f>
        <v>斯蒂爾和博克斯在 61 號就火車脫軌發出警報，卡魯梅特則按照 2-1-21 的命令出擊。 #ChicagoScanner</v>
      </c>
      <c r="G941" s="4" t="str">
        <f>IFERROR(__xludf.DUMMYFUNCTION("GOOGLETRANSLATE(B941)"),"出軌")</f>
        <v>出軌</v>
      </c>
    </row>
    <row r="942" ht="15.75" customHeight="1">
      <c r="A942" s="4">
        <v>3514.0</v>
      </c>
      <c r="B942" s="4" t="s">
        <v>1538</v>
      </c>
      <c r="C942" s="4" t="s">
        <v>1550</v>
      </c>
      <c r="D942" s="4" t="s">
        <v>1551</v>
      </c>
      <c r="E942" s="4">
        <v>1.0</v>
      </c>
      <c r="F942" s="4" t="str">
        <f>IFERROR(__xludf.DUMMYFUNCTION("GOOGLETRANSLATE(D942)"),"關於 CSX 脫軌現場正在進行清理的同意令 - 諾克斯維爾新聞哨兵 http://t.co/GieSoMgWTR http://t.co/NMFsgKf1Za")</f>
        <v>關於 CSX 脫軌現場正在進行清理的同意令 - 諾克斯維爾新聞哨兵 http://t.co/GieSoMgWTR http://t.co/NMFsgKf1Za</v>
      </c>
      <c r="G942" s="4" t="str">
        <f>IFERROR(__xludf.DUMMYFUNCTION("GOOGLETRANSLATE(B942)"),"出軌")</f>
        <v>出軌</v>
      </c>
    </row>
    <row r="943" ht="15.75" customHeight="1">
      <c r="A943" s="4">
        <v>3517.0</v>
      </c>
      <c r="B943" s="4" t="s">
        <v>1538</v>
      </c>
      <c r="D943" s="4" t="s">
        <v>1540</v>
      </c>
      <c r="E943" s="4">
        <v>1.0</v>
      </c>
      <c r="F943" s="4" t="str">
        <f>IFERROR(__xludf.DUMMYFUNCTION("GOOGLETRANSLATE(D943)"),"中央邦火車出軌：鄉村青年拯救了許多生命")</f>
        <v>中央邦火車出軌：鄉村青年拯救了許多生命</v>
      </c>
      <c r="G943" s="4" t="str">
        <f>IFERROR(__xludf.DUMMYFUNCTION("GOOGLETRANSLATE(B943)"),"出軌")</f>
        <v>出軌</v>
      </c>
    </row>
    <row r="944" ht="15.75" customHeight="1">
      <c r="A944" s="4">
        <v>3518.0</v>
      </c>
      <c r="B944" s="4" t="s">
        <v>1538</v>
      </c>
      <c r="D944" s="4" t="s">
        <v>1552</v>
      </c>
      <c r="E944" s="4">
        <v>1.0</v>
      </c>
      <c r="F944" s="4" t="str">
        <f>IFERROR(__xludf.DUMMYFUNCTION("GOOGLETRANSLATE(D944)"),"中央邦火車出軌：鄉村青年拯救了許多人的生命：兩列火車發生事故後，一群村民拯救了 70 多名乘客的生命...")</f>
        <v>中央邦火車出軌：鄉村青年拯救了許多人的生命：兩列火車發生事故後，一群村民拯救了 70 多名乘客的生命...</v>
      </c>
      <c r="G944" s="4" t="str">
        <f>IFERROR(__xludf.DUMMYFUNCTION("GOOGLETRANSLATE(B944)"),"出軌")</f>
        <v>出軌</v>
      </c>
    </row>
    <row r="945" ht="15.75" customHeight="1">
      <c r="A945" s="4">
        <v>3519.0</v>
      </c>
      <c r="B945" s="4" t="s">
        <v>1538</v>
      </c>
      <c r="D945" s="4" t="s">
        <v>1553</v>
      </c>
      <c r="E945" s="4">
        <v>1.0</v>
      </c>
      <c r="F945" s="4" t="str">
        <f>IFERROR(__xludf.DUMMYFUNCTION("GOOGLETRANSLATE(D945)"),"MP火車脫軌：鄉村青年拯救了許多人的生命
http://t.co/lTYeFJdM3A #IndiaTV http://t.co/0La1aw9uUd")</f>
        <v>MP火車脫軌：鄉村青年拯救了許多人的生命
http://t.co/lTYeFJdM3A #IndiaTV http://t.co/0La1aw9uUd</v>
      </c>
      <c r="G945" s="4" t="str">
        <f>IFERROR(__xludf.DUMMYFUNCTION("GOOGLETRANSLATE(B945)"),"出軌")</f>
        <v>出軌</v>
      </c>
    </row>
    <row r="946" ht="15.75" customHeight="1">
      <c r="A946" s="4">
        <v>3520.0</v>
      </c>
      <c r="B946" s="4" t="s">
        <v>1538</v>
      </c>
      <c r="D946" s="4" t="s">
        <v>1552</v>
      </c>
      <c r="E946" s="4">
        <v>1.0</v>
      </c>
      <c r="F946" s="4" t="str">
        <f>IFERROR(__xludf.DUMMYFUNCTION("GOOGLETRANSLATE(D946)"),"中央邦火車出軌：鄉村青年拯救了許多人的生命：兩列火車發生事故後，一群村民拯救了 70 多名乘客的生命...")</f>
        <v>中央邦火車出軌：鄉村青年拯救了許多人的生命：兩列火車發生事故後，一群村民拯救了 70 多名乘客的生命...</v>
      </c>
      <c r="G946" s="4" t="str">
        <f>IFERROR(__xludf.DUMMYFUNCTION("GOOGLETRANSLATE(B946)"),"出軌")</f>
        <v>出軌</v>
      </c>
    </row>
    <row r="947" ht="15.75" customHeight="1">
      <c r="A947" s="4">
        <v>3521.0</v>
      </c>
      <c r="B947" s="4" t="s">
        <v>1538</v>
      </c>
      <c r="D947" s="4" t="s">
        <v>1554</v>
      </c>
      <c r="E947" s="4">
        <v>1.0</v>
      </c>
      <c r="F947" s="4" t="str">
        <f>IFERROR(__xludf.DUMMYFUNCTION("GOOGLETRANSLATE(D947)"),"@greateranglia 我知道乳牛事件不是你的錯，因為它們在線路上的位置可能導致脫軌")</f>
        <v>@greateranglia 我知道乳牛事件不是你的錯，因為它們在線路上的位置可能導致脫軌</v>
      </c>
      <c r="G947" s="4" t="str">
        <f>IFERROR(__xludf.DUMMYFUNCTION("GOOGLETRANSLATE(B947)"),"出軌")</f>
        <v>出軌</v>
      </c>
    </row>
    <row r="948" ht="15.75" customHeight="1">
      <c r="A948" s="4">
        <v>3522.0</v>
      </c>
      <c r="B948" s="4" t="s">
        <v>1538</v>
      </c>
      <c r="C948" s="4" t="s">
        <v>34</v>
      </c>
      <c r="D948" s="4" t="s">
        <v>1540</v>
      </c>
      <c r="E948" s="4">
        <v>1.0</v>
      </c>
      <c r="F948" s="4" t="str">
        <f>IFERROR(__xludf.DUMMYFUNCTION("GOOGLETRANSLATE(D948)"),"中央邦火車出軌：鄉村青年拯救了許多生命")</f>
        <v>中央邦火車出軌：鄉村青年拯救了許多生命</v>
      </c>
      <c r="G948" s="4" t="str">
        <f>IFERROR(__xludf.DUMMYFUNCTION("GOOGLETRANSLATE(B948)"),"出軌")</f>
        <v>出軌</v>
      </c>
    </row>
    <row r="949" ht="15.75" customHeight="1">
      <c r="A949" s="4">
        <v>3523.0</v>
      </c>
      <c r="B949" s="4" t="s">
        <v>1538</v>
      </c>
      <c r="C949" s="4" t="s">
        <v>1555</v>
      </c>
      <c r="D949" s="4" t="s">
        <v>1556</v>
      </c>
      <c r="E949" s="4">
        <v>1.0</v>
      </c>
      <c r="F949" s="4" t="str">
        <f>IFERROR(__xludf.DUMMYFUNCTION("GOOGLETRANSLATE(D949)"),"芝加哥FD
仍然&amp;amp;警報箱/EMS 計畫 I
 61ST&amp;amp; CALUMET 應對 EL 列車脫軌事件
CINS/TG")</f>
        <v>芝加哥FD
仍然&amp;amp;警報箱/EMS 計畫 I
 61ST&amp;amp; CALUMET 應對 EL 列車脫軌事件
CINS/TG</v>
      </c>
      <c r="G949" s="4" t="str">
        <f>IFERROR(__xludf.DUMMYFUNCTION("GOOGLETRANSLATE(B949)"),"出軌")</f>
        <v>出軌</v>
      </c>
    </row>
    <row r="950" ht="15.75" customHeight="1">
      <c r="A950" s="4">
        <v>3524.0</v>
      </c>
      <c r="B950" s="4" t="s">
        <v>1538</v>
      </c>
      <c r="D950" s="4" t="s">
        <v>1552</v>
      </c>
      <c r="E950" s="4">
        <v>1.0</v>
      </c>
      <c r="F950" s="4" t="str">
        <f>IFERROR(__xludf.DUMMYFUNCTION("GOOGLETRANSLATE(D950)"),"中央邦火車出軌：鄉村青年拯救了許多人的生命：兩列火車發生事故後，一群村民拯救了 70 多名乘客的生命...")</f>
        <v>中央邦火車出軌：鄉村青年拯救了許多人的生命：兩列火車發生事故後，一群村民拯救了 70 多名乘客的生命...</v>
      </c>
      <c r="G950" s="4" t="str">
        <f>IFERROR(__xludf.DUMMYFUNCTION("GOOGLETRANSLATE(B950)"),"出軌")</f>
        <v>出軌</v>
      </c>
    </row>
    <row r="951" ht="15.75" customHeight="1">
      <c r="A951" s="4">
        <v>3525.0</v>
      </c>
      <c r="B951" s="4" t="s">
        <v>1538</v>
      </c>
      <c r="C951" s="4" t="s">
        <v>89</v>
      </c>
      <c r="D951" s="4" t="s">
        <v>1557</v>
      </c>
      <c r="E951" s="4">
        <v>1.0</v>
      </c>
      <c r="F951" s="4" t="str">
        <f>IFERROR(__xludf.DUMMYFUNCTION("GOOGLETRANSLATE(D951)"),"@Raishimi33 :) 好吧，我認為這聽起來像是一個很好的計劃，幾乎不可能出軌，所以我為你鼓掌:)")</f>
        <v>@Raishimi33 :) 好吧，我認為這聽起來像是一個很好的計劃，幾乎不可能出軌，所以我為你鼓掌:)</v>
      </c>
      <c r="G951" s="4" t="str">
        <f>IFERROR(__xludf.DUMMYFUNCTION("GOOGLETRANSLATE(B951)"),"出軌")</f>
        <v>出軌</v>
      </c>
    </row>
    <row r="952" ht="15.75" customHeight="1">
      <c r="A952" s="4">
        <v>3526.0</v>
      </c>
      <c r="B952" s="4" t="s">
        <v>1538</v>
      </c>
      <c r="C952" s="4" t="s">
        <v>34</v>
      </c>
      <c r="D952" s="4" t="s">
        <v>1558</v>
      </c>
      <c r="E952" s="4">
        <v>1.0</v>
      </c>
      <c r="F952" s="4" t="str">
        <f>IFERROR(__xludf.DUMMYFUNCTION("GOOGLETRANSLATE(D952)"),"鐵路部長普拉布稱國會議員出軌是自然災害 http://t.co/ocxBWGyFT8")</f>
        <v>鐵路部長普拉布稱國會議員出軌是自然災害 http://t.co/ocxBWGyFT8</v>
      </c>
      <c r="G952" s="4" t="str">
        <f>IFERROR(__xludf.DUMMYFUNCTION("GOOGLETRANSLATE(B952)"),"出軌")</f>
        <v>出軌</v>
      </c>
    </row>
    <row r="953" ht="15.75" customHeight="1">
      <c r="A953" s="4">
        <v>3527.0</v>
      </c>
      <c r="B953" s="4" t="s">
        <v>1538</v>
      </c>
      <c r="C953" s="4" t="s">
        <v>323</v>
      </c>
      <c r="D953" s="4" t="s">
        <v>1559</v>
      </c>
      <c r="E953" s="4">
        <v>1.0</v>
      </c>
      <c r="F953" s="4" t="str">
        <f>IFERROR(__xludf.DUMMYFUNCTION("GOOGLETRANSLATE(D953)"),"最新消息：火車出軌：「這是最奇怪的事故」 - 印度快報：印度...... http://t.co/iLdbeJe225 #IndianNews")</f>
        <v>最新消息：火車出軌：「這是最奇怪的事故」 - 印度快報：印度...... http://t.co/iLdbeJe225 #IndianNews</v>
      </c>
      <c r="G953" s="4" t="str">
        <f>IFERROR(__xludf.DUMMYFUNCTION("GOOGLETRANSLATE(B953)"),"出軌")</f>
        <v>出軌</v>
      </c>
    </row>
    <row r="954" ht="15.75" customHeight="1">
      <c r="A954" s="4">
        <v>3528.0</v>
      </c>
      <c r="B954" s="4" t="s">
        <v>1538</v>
      </c>
      <c r="C954" s="4" t="s">
        <v>512</v>
      </c>
      <c r="D954" s="4" t="s">
        <v>1560</v>
      </c>
      <c r="E954" s="4">
        <v>1.0</v>
      </c>
      <c r="F954" s="4" t="str">
        <f>IFERROR(__xludf.DUMMYFUNCTION("GOOGLETRANSLATE(D954)"),"@AlvinNelson07 火車不是用來承受碰撞的！立即出軌。完全完蛋了。")</f>
        <v>@AlvinNelson07 火車不是用來承受碰撞的！立即出軌。完全完蛋了。</v>
      </c>
      <c r="G954" s="4" t="str">
        <f>IFERROR(__xludf.DUMMYFUNCTION("GOOGLETRANSLATE(B954)"),"出軌")</f>
        <v>出軌</v>
      </c>
    </row>
    <row r="955" ht="15.75" customHeight="1">
      <c r="A955" s="4">
        <v>3529.0</v>
      </c>
      <c r="B955" s="4" t="s">
        <v>1538</v>
      </c>
      <c r="D955" s="4" t="s">
        <v>1561</v>
      </c>
      <c r="E955" s="4">
        <v>1.0</v>
      </c>
      <c r="F955" s="4" t="str">
        <f>IFERROR(__xludf.DUMMYFUNCTION("GOOGLETRANSLATE(D955)"),"#???? #?? #??? #???火車出軌：「這是最奇怪的事故」 - 印度快報 http://t.co/4Y4YtwhD74")</f>
        <v>#???? #?? #??? #???火車出軌：「這是最奇怪的事故」 - 印度快報 http://t.co/4Y4YtwhD74</v>
      </c>
      <c r="G955" s="4" t="str">
        <f>IFERROR(__xludf.DUMMYFUNCTION("GOOGLETRANSLATE(B955)"),"出軌")</f>
        <v>出軌</v>
      </c>
    </row>
    <row r="956" ht="15.75" customHeight="1">
      <c r="A956" s="4">
        <v>3530.0</v>
      </c>
      <c r="B956" s="4" t="s">
        <v>1538</v>
      </c>
      <c r="C956" s="4" t="s">
        <v>1562</v>
      </c>
      <c r="D956" s="4" t="s">
        <v>1563</v>
      </c>
      <c r="E956" s="4">
        <v>1.0</v>
      </c>
      <c r="F956" s="4" t="str">
        <f>IFERROR(__xludf.DUMMYFUNCTION("GOOGLETRANSLATE(D956)"),"蘇雷什·帕布 (Suresh Prabhu) 稱哈達出軌是一場自然災害；官員們認為警告信號被忽視：普拉布可能... http://t.co/Q5MlbODVm4")</f>
        <v>蘇雷什·帕布 (Suresh Prabhu) 稱哈達出軌是一場自然災害；官員們認為警告信號被忽視：普拉布可能... http://t.co/Q5MlbODVm4</v>
      </c>
      <c r="G956" s="4" t="str">
        <f>IFERROR(__xludf.DUMMYFUNCTION("GOOGLETRANSLATE(B956)"),"出軌")</f>
        <v>出軌</v>
      </c>
    </row>
    <row r="957" ht="15.75" customHeight="1">
      <c r="A957" s="4">
        <v>3531.0</v>
      </c>
      <c r="B957" s="4" t="s">
        <v>1538</v>
      </c>
      <c r="C957" s="4" t="s">
        <v>34</v>
      </c>
      <c r="D957" s="4" t="s">
        <v>1564</v>
      </c>
      <c r="E957" s="4">
        <v>1.0</v>
      </c>
      <c r="F957" s="4" t="str">
        <f>IFERROR(__xludf.DUMMYFUNCTION("GOOGLETRANSLATE(D957)"),"中央邦雙列火車脫軌事故已造成25人死亡、50人受傷 http://t.co/DNU5HWSxo2")</f>
        <v>中央邦雙列火車脫軌事故已造成25人死亡、50人受傷 http://t.co/DNU5HWSxo2</v>
      </c>
      <c r="G957" s="4" t="str">
        <f>IFERROR(__xludf.DUMMYFUNCTION("GOOGLETRANSLATE(B957)"),"出軌")</f>
        <v>出軌</v>
      </c>
    </row>
    <row r="958" ht="15.75" customHeight="1">
      <c r="A958" s="4">
        <v>3532.0</v>
      </c>
      <c r="B958" s="4" t="s">
        <v>1538</v>
      </c>
      <c r="C958" s="4" t="s">
        <v>323</v>
      </c>
      <c r="D958" s="4" t="s">
        <v>1565</v>
      </c>
      <c r="E958" s="4">
        <v>1.0</v>
      </c>
      <c r="F958" s="4" t="str">
        <f>IFERROR(__xludf.DUMMYFUNCTION("GOOGLETRANSLATE(D958)"),"孟買 24x7 伸出援手：在孟買，2 名 TTE 負責幫助熱線，以安撫焦慮的親屬 - The Ind... http://t.co/tUARYIJpqU #Mumbai")</f>
        <v>孟買 24x7 伸出援手：在孟買，2 名 TTE 負責幫助熱線，以安撫焦慮的親屬 - The Ind... http://t.co/tUARYIJpqU #Mumbai</v>
      </c>
      <c r="G958" s="4" t="str">
        <f>IFERROR(__xludf.DUMMYFUNCTION("GOOGLETRANSLATE(B958)"),"出軌")</f>
        <v>出軌</v>
      </c>
    </row>
    <row r="959" ht="15.75" customHeight="1">
      <c r="A959" s="4">
        <v>3533.0</v>
      </c>
      <c r="B959" s="4" t="s">
        <v>1538</v>
      </c>
      <c r="C959" s="4" t="s">
        <v>34</v>
      </c>
      <c r="D959" s="4" t="s">
        <v>1566</v>
      </c>
      <c r="E959" s="4">
        <v>1.0</v>
      </c>
      <c r="F959" s="4" t="str">
        <f>IFERROR(__xludf.DUMMYFUNCTION("GOOGLETRANSLATE(D959)"),"火車出軌：「這是最奇怪的事故」 - 印度快報 http://t.co/cEdCUgEuWs #News #topstories")</f>
        <v>火車出軌：「這是最奇怪的事故」 - 印度快報 http://t.co/cEdCUgEuWs #News #topstories</v>
      </c>
      <c r="G959" s="4" t="str">
        <f>IFERROR(__xludf.DUMMYFUNCTION("GOOGLETRANSLATE(B959)"),"出軌")</f>
        <v>出軌</v>
      </c>
    </row>
    <row r="960" ht="15.75" customHeight="1">
      <c r="A960" s="4">
        <v>3534.0</v>
      </c>
      <c r="B960" s="4" t="s">
        <v>1538</v>
      </c>
      <c r="C960" s="4" t="s">
        <v>323</v>
      </c>
      <c r="D960" s="4" t="s">
        <v>1567</v>
      </c>
      <c r="E960" s="4">
        <v>1.0</v>
      </c>
      <c r="F960" s="4" t="str">
        <f>IFERROR(__xludf.DUMMYFUNCTION("GOOGLETRANSLATE(D960)"),"最新：火車出軌：“這是最奇怪的事故” - 印度快報：印度...... http://t.co/sjXLlzOSW7 #IndianNews")</f>
        <v>最新：火車出軌：“這是最奇怪的事故” - 印度快報：印度...... http://t.co/sjXLlzOSW7 #IndianNews</v>
      </c>
      <c r="G960" s="4" t="str">
        <f>IFERROR(__xludf.DUMMYFUNCTION("GOOGLETRANSLATE(B960)"),"出軌")</f>
        <v>出軌</v>
      </c>
    </row>
    <row r="961" ht="15.75" customHeight="1">
      <c r="A961" s="4">
        <v>3535.0</v>
      </c>
      <c r="B961" s="4" t="s">
        <v>1538</v>
      </c>
      <c r="D961" s="4" t="s">
        <v>1568</v>
      </c>
      <c r="E961" s="4">
        <v>1.0</v>
      </c>
      <c r="F961" s="4" t="str">
        <f>IFERROR(__xludf.DUMMYFUNCTION("GOOGLETRANSLATE(D961)"),"http://t.co/BAGEF9lFGT 中央邦雙列車脫軌事故造成25人死亡、50人受傷 http://t.co/bVxqA3Kfrx")</f>
        <v>http://t.co/BAGEF9lFGT 中央邦雙列車脫軌事故造成25人死亡、50人受傷 http://t.co/bVxqA3Kfrx</v>
      </c>
      <c r="G961" s="4" t="str">
        <f>IFERROR(__xludf.DUMMYFUNCTION("GOOGLETRANSLATE(B961)"),"出軌")</f>
        <v>出軌</v>
      </c>
    </row>
    <row r="962" ht="15.75" customHeight="1">
      <c r="A962" s="4">
        <v>3536.0</v>
      </c>
      <c r="B962" s="4" t="s">
        <v>1538</v>
      </c>
      <c r="C962" s="4" t="s">
        <v>34</v>
      </c>
      <c r="D962" s="4" t="s">
        <v>1569</v>
      </c>
      <c r="E962" s="4">
        <v>1.0</v>
      </c>
      <c r="F962" s="4" t="str">
        <f>IFERROR(__xludf.DUMMYFUNCTION("GOOGLETRANSLATE(D962)"),"火車出軌：「這是最奇怪的事故」 - 印度快報 http://t.co/CUVKf5YKAX")</f>
        <v>火車出軌：「這是最奇怪的事故」 - 印度快報 http://t.co/CUVKf5YKAX</v>
      </c>
      <c r="G962" s="4" t="str">
        <f>IFERROR(__xludf.DUMMYFUNCTION("GOOGLETRANSLATE(B962)"),"出軌")</f>
        <v>出軌</v>
      </c>
    </row>
    <row r="963" ht="15.75" customHeight="1">
      <c r="A963" s="4">
        <v>3537.0</v>
      </c>
      <c r="B963" s="4" t="s">
        <v>1538</v>
      </c>
      <c r="C963" s="4" t="s">
        <v>1205</v>
      </c>
      <c r="D963" s="4" t="s">
        <v>1570</v>
      </c>
      <c r="E963" s="4">
        <v>1.0</v>
      </c>
      <c r="F963" s="4" t="str">
        <f>IFERROR(__xludf.DUMMYFUNCTION("GOOGLETRANSLATE(D963)"),"照片：Cottage Grove 和 Garfield 附近的綠線出軌：http://t.co/4d9Cd4mnVh http://t.co/UNhqCQ6Bex")</f>
        <v>照片：Cottage Grove 和 Garfield 附近的綠線出軌：http://t.co/4d9Cd4mnVh http://t.co/UNhqCQ6Bex</v>
      </c>
      <c r="G963" s="4" t="str">
        <f>IFERROR(__xludf.DUMMYFUNCTION("GOOGLETRANSLATE(B963)"),"出軌")</f>
        <v>出軌</v>
      </c>
    </row>
    <row r="964" ht="15.75" customHeight="1">
      <c r="A964" s="4">
        <v>3540.0</v>
      </c>
      <c r="B964" s="4" t="s">
        <v>1538</v>
      </c>
      <c r="D964" s="4" t="s">
        <v>1571</v>
      </c>
      <c r="E964" s="4">
        <v>1.0</v>
      </c>
      <c r="F964" s="4" t="str">
        <f>IFERROR(__xludf.DUMMYFUNCTION("GOOGLETRANSLATE(D964)"),"#ModiMinistry 鐵路部長普拉布稱國會議員出軌是一場自然災害 http://t.co/tL41olpAkZ")</f>
        <v>#ModiMinistry 鐵路部長普拉布稱國會議員出軌是一場自然災害 http://t.co/tL41olpAkZ</v>
      </c>
      <c r="G964" s="4" t="str">
        <f>IFERROR(__xludf.DUMMYFUNCTION("GOOGLETRANSLATE(B964)"),"出軌")</f>
        <v>出軌</v>
      </c>
    </row>
    <row r="965" ht="15.75" customHeight="1">
      <c r="A965" s="4">
        <v>3542.0</v>
      </c>
      <c r="B965" s="4" t="s">
        <v>1538</v>
      </c>
      <c r="C965" s="4" t="s">
        <v>1572</v>
      </c>
      <c r="D965" s="4" t="s">
        <v>1573</v>
      </c>
      <c r="E965" s="4">
        <v>1.0</v>
      </c>
      <c r="F965" s="4" t="str">
        <f>IFERROR(__xludf.DUMMYFUNCTION("GOOGLETRANSLATE(D965)"),"火車出軌：巴特那目前尚無人員傷亡的消息 - 印度快報 http://t.co/YH5VETm0YZ http://t.co/17Wgug8z0M")</f>
        <v>火車出軌：巴特那目前尚無人員傷亡的消息 - 印度快報 http://t.co/YH5VETm0YZ http://t.co/17Wgug8z0M</v>
      </c>
      <c r="G965" s="4" t="str">
        <f>IFERROR(__xludf.DUMMYFUNCTION("GOOGLETRANSLATE(B965)"),"出軌")</f>
        <v>出軌</v>
      </c>
    </row>
    <row r="966" ht="15.75" customHeight="1">
      <c r="A966" s="4">
        <v>3543.0</v>
      </c>
      <c r="B966" s="4" t="s">
        <v>1538</v>
      </c>
      <c r="C966" s="4" t="s">
        <v>1452</v>
      </c>
      <c r="D966" s="4" t="s">
        <v>1574</v>
      </c>
      <c r="E966" s="4">
        <v>1.0</v>
      </c>
      <c r="F966" s="4" t="str">
        <f>IFERROR(__xludf.DUMMYFUNCTION("GOOGLETRANSLATE(D966)"),"綠線出軌後，我對看起來像這樣的軌道的擔憂有所上升... @cta @CTAFails http://t.co/1uDz0NVOEH")</f>
        <v>綠線出軌後，我對看起來像這樣的軌道的擔憂有所上升... @cta @CTAFails http://t.co/1uDz0NVOEH</v>
      </c>
      <c r="G966" s="4" t="str">
        <f>IFERROR(__xludf.DUMMYFUNCTION("GOOGLETRANSLATE(B966)"),"出軌")</f>
        <v>出軌</v>
      </c>
    </row>
    <row r="967" ht="15.75" customHeight="1">
      <c r="A967" s="4">
        <v>3544.0</v>
      </c>
      <c r="B967" s="4" t="s">
        <v>1538</v>
      </c>
      <c r="D967" s="4" t="s">
        <v>1575</v>
      </c>
      <c r="E967" s="4">
        <v>1.0</v>
      </c>
      <c r="F967" s="4" t="str">
        <f>IFERROR(__xludf.DUMMYFUNCTION("GOOGLETRANSLATE(D967)"),"得知 Mp 兩列火車出軌的消息，我感到非常難過。我向在這次事故中失去親人的家庭致以最深切的哀悼@OfficeOfRG")</f>
        <v>得知 Mp 兩列火車出軌的消息，我感到非常難過。我向在這次事故中失去親人的家庭致以最深切的哀悼@OfficeOfRG</v>
      </c>
      <c r="G967" s="4" t="str">
        <f>IFERROR(__xludf.DUMMYFUNCTION("GOOGLETRANSLATE(B967)"),"出軌")</f>
        <v>出軌</v>
      </c>
    </row>
    <row r="968" ht="15.75" customHeight="1">
      <c r="A968" s="4">
        <v>3548.0</v>
      </c>
      <c r="B968" s="4" t="s">
        <v>1538</v>
      </c>
      <c r="C968" s="4" t="s">
        <v>1576</v>
      </c>
      <c r="D968" s="4" t="s">
        <v>1577</v>
      </c>
      <c r="E968" s="4">
        <v>1.0</v>
      </c>
      <c r="F968" s="4" t="str">
        <f>IFERROR(__xludf.DUMMYFUNCTION("GOOGLETRANSLATE(D968)"),"出軌現場.. CTA 綠線 63rd/Prairie http://t.co/zz5UDiLrea")</f>
        <v>出軌現場.. CTA 綠線 63rd/Prairie http://t.co/zz5UDiLrea</v>
      </c>
      <c r="G968" s="4" t="str">
        <f>IFERROR(__xludf.DUMMYFUNCTION("GOOGLETRANSLATE(B968)"),"出軌")</f>
        <v>出軌</v>
      </c>
    </row>
    <row r="969" ht="15.75" customHeight="1">
      <c r="A969" s="4">
        <v>3549.0</v>
      </c>
      <c r="B969" s="4" t="s">
        <v>1538</v>
      </c>
      <c r="C969" s="4" t="s">
        <v>1550</v>
      </c>
      <c r="D969" s="4" t="s">
        <v>1578</v>
      </c>
      <c r="E969" s="4">
        <v>1.0</v>
      </c>
      <c r="F969" s="4" t="str">
        <f>IFERROR(__xludf.DUMMYFUNCTION("GOOGLETRANSLATE(D969)"),"關於 CSX 脫軌現場正在進行清理的同意令 - 諾克斯維爾新聞哨兵 http://t.co/xsZx9MWXYp http://t.co/NMFsgKf1Za")</f>
        <v>關於 CSX 脫軌現場正在進行清理的同意令 - 諾克斯維爾新聞哨兵 http://t.co/xsZx9MWXYp http://t.co/NMFsgKf1Za</v>
      </c>
      <c r="G969" s="4" t="str">
        <f>IFERROR(__xludf.DUMMYFUNCTION("GOOGLETRANSLATE(B969)"),"出軌")</f>
        <v>出軌</v>
      </c>
    </row>
    <row r="970" ht="15.75" customHeight="1">
      <c r="A970" s="4">
        <v>3550.0</v>
      </c>
      <c r="B970" s="4" t="s">
        <v>1538</v>
      </c>
      <c r="C970" s="4" t="s">
        <v>34</v>
      </c>
      <c r="D970" s="4" t="s">
        <v>1579</v>
      </c>
      <c r="E970" s="4">
        <v>1.0</v>
      </c>
      <c r="F970" s="4" t="str">
        <f>IFERROR(__xludf.DUMMYFUNCTION("GOOGLETRANSLATE(D970)"),"伸出援手：在孟買，2 名 TTE 負責幫助熱線，以安撫焦慮的親屬 - 印度 Exp... http://t.co/B9KUylcxg4 MumbaiTimes")</f>
        <v>伸出援手：在孟買，2 名 TTE 負責幫助熱線，以安撫焦慮的親屬 - 印度 Exp... http://t.co/B9KUylcxg4 MumbaiTimes</v>
      </c>
      <c r="G970" s="4" t="str">
        <f>IFERROR(__xludf.DUMMYFUNCTION("GOOGLETRANSLATE(B970)"),"出軌")</f>
        <v>出軌</v>
      </c>
    </row>
    <row r="971" ht="15.75" customHeight="1">
      <c r="A971" s="4">
        <v>3552.0</v>
      </c>
      <c r="B971" s="4" t="s">
        <v>1538</v>
      </c>
      <c r="D971" s="4" t="s">
        <v>1540</v>
      </c>
      <c r="E971" s="4">
        <v>1.0</v>
      </c>
      <c r="F971" s="4" t="str">
        <f>IFERROR(__xludf.DUMMYFUNCTION("GOOGLETRANSLATE(D971)"),"中央邦火車出軌：鄉村青年拯救了許多生命")</f>
        <v>中央邦火車出軌：鄉村青年拯救了許多生命</v>
      </c>
      <c r="G971" s="4" t="str">
        <f>IFERROR(__xludf.DUMMYFUNCTION("GOOGLETRANSLATE(B971)"),"出軌")</f>
        <v>出軌</v>
      </c>
    </row>
    <row r="972" ht="15.75" customHeight="1">
      <c r="A972" s="4">
        <v>3554.0</v>
      </c>
      <c r="B972" s="4" t="s">
        <v>1580</v>
      </c>
      <c r="D972" s="4" t="s">
        <v>1581</v>
      </c>
      <c r="E972" s="4">
        <v>1.0</v>
      </c>
      <c r="F972" s="4" t="str">
        <f>IFERROR(__xludf.DUMMYFUNCTION("GOOGLETRANSLATE(D972)"),"非常感謝道路施工人員，因為地鐵罷工並沒有造成足夠的破壞，所以不得不步行從托特納姆到...的荒涼路線。")</f>
        <v>非常感謝道路施工人員，因為地鐵罷工並沒有造成足夠的破壞，所以不得不步行從托特納姆到...的荒涼路線。</v>
      </c>
      <c r="G972" s="4" t="str">
        <f>IFERROR(__xludf.DUMMYFUNCTION("GOOGLETRANSLATE(B972)"),"荒涼")</f>
        <v>荒涼</v>
      </c>
    </row>
    <row r="973" ht="15.75" customHeight="1">
      <c r="A973" s="4">
        <v>3560.0</v>
      </c>
      <c r="B973" s="4" t="s">
        <v>1580</v>
      </c>
      <c r="D973" s="4" t="s">
        <v>1582</v>
      </c>
      <c r="E973" s="4">
        <v>1.0</v>
      </c>
      <c r="F973" s="4" t="str">
        <f>IFERROR(__xludf.DUMMYFUNCTION("GOOGLETRANSLATE(D973)"),"我在看法律與法律訂單（IB：@sauldale305）（Vine by @NaturalExample）https://t.co/tl29LnU44O")</f>
        <v>我在看法律與法律訂單（IB：@sauldale305）（Vine by @NaturalExample）https://t.co/tl29LnU44O</v>
      </c>
      <c r="G973" s="4" t="str">
        <f>IFERROR(__xludf.DUMMYFUNCTION("GOOGLETRANSLATE(B973)"),"荒涼")</f>
        <v>荒涼</v>
      </c>
    </row>
    <row r="974" ht="15.75" customHeight="1">
      <c r="A974" s="4">
        <v>3572.0</v>
      </c>
      <c r="B974" s="4" t="s">
        <v>1580</v>
      </c>
      <c r="C974" s="4" t="s">
        <v>1583</v>
      </c>
      <c r="D974" s="4" t="s">
        <v>1584</v>
      </c>
      <c r="E974" s="4">
        <v>1.0</v>
      </c>
      <c r="F974" s="4" t="str">
        <f>IFERROR(__xludf.DUMMYFUNCTION("GOOGLETRANSLATE(D974)"),"我完全同意。他們強姦、殺害、破壞，使土地荒涼。需要在群體膨脹之前採取行動。 https://t.co/Twcds433YI")</f>
        <v>我完全同意。他們強姦、殺害、破壞，使土地荒涼。需要在群體膨脹之前採取行動。 https://t.co/Twcds433YI</v>
      </c>
      <c r="G974" s="4" t="str">
        <f>IFERROR(__xludf.DUMMYFUNCTION("GOOGLETRANSLATE(B974)"),"荒涼")</f>
        <v>荒涼</v>
      </c>
    </row>
    <row r="975" ht="15.75" customHeight="1">
      <c r="A975" s="4">
        <v>3578.0</v>
      </c>
      <c r="B975" s="4" t="s">
        <v>1580</v>
      </c>
      <c r="D975" s="4" t="s">
        <v>1585</v>
      </c>
      <c r="E975" s="4">
        <v>1.0</v>
      </c>
      <c r="F975" s="4" t="str">
        <f>IFERROR(__xludf.DUMMYFUNCTION("GOOGLETRANSLATE(D975)"),"未使用的本田破舊社區荒涼：PSqD")</f>
        <v>未使用的本田破舊社區荒涼：PSqD</v>
      </c>
      <c r="G975" s="4" t="str">
        <f>IFERROR(__xludf.DUMMYFUNCTION("GOOGLETRANSLATE(B975)"),"荒涼")</f>
        <v>荒涼</v>
      </c>
    </row>
    <row r="976" ht="15.75" customHeight="1">
      <c r="A976" s="4">
        <v>3582.0</v>
      </c>
      <c r="B976" s="4" t="s">
        <v>1580</v>
      </c>
      <c r="C976" s="4" t="s">
        <v>1586</v>
      </c>
      <c r="D976" s="4" t="s">
        <v>1587</v>
      </c>
      <c r="E976" s="4">
        <v>1.0</v>
      </c>
      <c r="F976" s="4" t="str">
        <f>IFERROR(__xludf.DUMMYFUNCTION("GOOGLETRANSLATE(D976)"),"@binellithresa TY 關注 http://t.co/UAN05TNkSW 殘酷虐待+荒涼&amp;amp;迷失+她可愛的媽媽去世了..是謀殺嗎？")</f>
        <v>@binellithresa TY 關注 http://t.co/UAN05TNkSW 殘酷虐待+荒涼&amp;amp;迷失+她可愛的媽媽去世了..是謀殺嗎？</v>
      </c>
      <c r="G976" s="4" t="str">
        <f>IFERROR(__xludf.DUMMYFUNCTION("GOOGLETRANSLATE(B976)"),"荒涼")</f>
        <v>荒涼</v>
      </c>
    </row>
    <row r="977" ht="15.75" customHeight="1">
      <c r="A977" s="4">
        <v>3591.0</v>
      </c>
      <c r="B977" s="4" t="s">
        <v>1580</v>
      </c>
      <c r="C977" s="4" t="s">
        <v>1588</v>
      </c>
      <c r="D977" s="4" t="s">
        <v>1589</v>
      </c>
      <c r="E977" s="4">
        <v>1.0</v>
      </c>
      <c r="F977" s="4" t="str">
        <f>IFERROR(__xludf.DUMMYFUNCTION("GOOGLETRANSLATE(D977)"),"@Bill_Roose 看起來如此荒涼而且…令人沮喪")</f>
        <v>@Bill_Roose 看起來如此荒涼而且…令人沮喪</v>
      </c>
      <c r="G977" s="4" t="str">
        <f>IFERROR(__xludf.DUMMYFUNCTION("GOOGLETRANSLATE(B977)"),"荒涼")</f>
        <v>荒涼</v>
      </c>
    </row>
    <row r="978" ht="15.75" customHeight="1">
      <c r="A978" s="4">
        <v>3595.0</v>
      </c>
      <c r="B978" s="4" t="s">
        <v>1580</v>
      </c>
      <c r="C978" s="4" t="s">
        <v>1590</v>
      </c>
      <c r="D978" s="4" t="s">
        <v>1591</v>
      </c>
      <c r="E978" s="4">
        <v>1.0</v>
      </c>
      <c r="F978" s="4" t="str">
        <f>IFERROR(__xludf.DUMMYFUNCTION("GOOGLETRANSLATE(D978)"),"@CorleoneDaBoss bc 它有風險且成本高昂，當那裡沒有任何東西時，我認為沒有必要這樣做。完全是荒涼的。")</f>
        <v>@CorleoneDaBoss bc 它有風險且成本高昂，當那裡沒有任何東西時，我認為沒有必要這樣做。完全是荒涼的。</v>
      </c>
      <c r="G978" s="4" t="str">
        <f>IFERROR(__xludf.DUMMYFUNCTION("GOOGLETRANSLATE(B978)"),"荒涼")</f>
        <v>荒涼</v>
      </c>
    </row>
    <row r="979" ht="15.75" customHeight="1">
      <c r="A979" s="4">
        <v>3598.0</v>
      </c>
      <c r="B979" s="4" t="s">
        <v>1592</v>
      </c>
      <c r="C979" s="4" t="s">
        <v>1593</v>
      </c>
      <c r="D979" s="4" t="s">
        <v>1594</v>
      </c>
      <c r="E979" s="4">
        <v>1.0</v>
      </c>
      <c r="F979" s="4" t="str">
        <f>IFERROR(__xludf.DUMMYFUNCTION("GOOGLETRANSLATE(D979)"),"？本週末：瑞典斯德哥爾摩 - 8 月 8 日在 Copperfields http://t.co/6un7xC9Sve")</f>
        <v>？本週末：瑞典斯德哥爾摩 - 8 月 8 日在 Copperfields http://t.co/6un7xC9Sve</v>
      </c>
      <c r="G979" s="4" t="str">
        <f>IFERROR(__xludf.DUMMYFUNCTION("GOOGLETRANSLATE(B979)"),"荒涼")</f>
        <v>荒涼</v>
      </c>
    </row>
    <row r="980" ht="15.75" customHeight="1">
      <c r="A980" s="4">
        <v>3602.0</v>
      </c>
      <c r="B980" s="4" t="s">
        <v>1592</v>
      </c>
      <c r="C980" s="4" t="s">
        <v>1595</v>
      </c>
      <c r="D980" s="4" t="s">
        <v>1596</v>
      </c>
      <c r="E980" s="4">
        <v>1.0</v>
      </c>
      <c r="F980" s="4" t="str">
        <f>IFERROR(__xludf.DUMMYFUNCTION("GOOGLETRANSLATE(D980)"),"EP03 DESOLATION 的發行日期已經確定。在我們最終確定時間表時，請繼續關注更多資訊。 #alt #elek #rock #comingsoon")</f>
        <v>EP03 DESOLATION 的發行日期已經確定。在我們最終確定時間表時，請繼續關注更多資訊。 #alt #elek #rock #comingsoon</v>
      </c>
      <c r="G980" s="4" t="str">
        <f>IFERROR(__xludf.DUMMYFUNCTION("GOOGLETRANSLATE(B980)"),"荒涼")</f>
        <v>荒涼</v>
      </c>
    </row>
    <row r="981" ht="15.75" customHeight="1">
      <c r="A981" s="4">
        <v>3607.0</v>
      </c>
      <c r="B981" s="4" t="s">
        <v>1592</v>
      </c>
      <c r="C981" s="4" t="s">
        <v>1597</v>
      </c>
      <c r="D981" s="4" t="s">
        <v>1598</v>
      </c>
      <c r="E981" s="4">
        <v>1.0</v>
      </c>
      <c r="F981" s="4" t="str">
        <f>IFERROR(__xludf.DUMMYFUNCTION("GOOGLETRANSLATE(D981)"),"剛從露營回來，帶著一首新歌回來，明天錄製。等不及了！ #荒涼#TheConspiracyTheory #NewEP")</f>
        <v>剛從露營回來，帶著一首新歌回來，明天錄製。等不及了！ #荒涼#TheConspiracyTheory #NewEP</v>
      </c>
      <c r="G981" s="4" t="str">
        <f>IFERROR(__xludf.DUMMYFUNCTION("GOOGLETRANSLATE(B981)"),"荒涼")</f>
        <v>荒涼</v>
      </c>
    </row>
    <row r="982" ht="15.75" customHeight="1">
      <c r="A982" s="4">
        <v>3613.0</v>
      </c>
      <c r="B982" s="4" t="s">
        <v>1592</v>
      </c>
      <c r="D982" s="4" t="s">
        <v>1599</v>
      </c>
      <c r="E982" s="4">
        <v>1.0</v>
      </c>
      <c r="F982" s="4" t="str">
        <f>IFERROR(__xludf.DUMMYFUNCTION("GOOGLETRANSLATE(D982)"),"RT kurtkamka：美麗的荒涼。只有我、幾隻郊狼、一些蜥蜴和早晨的陽光。 #Phoenix #ArizÛ_ http://t.co/0z1PvJVdpf")</f>
        <v>RT kurtkamka：美麗的荒涼。只有我、幾隻郊狼、一些蜥蜴和早晨的陽光。 #Phoenix #ArizÛ_ http://t.co/0z1PvJVdpf</v>
      </c>
      <c r="G982" s="4" t="str">
        <f>IFERROR(__xludf.DUMMYFUNCTION("GOOGLETRANSLATE(B982)"),"荒涼")</f>
        <v>荒涼</v>
      </c>
    </row>
    <row r="983" ht="15.75" customHeight="1">
      <c r="A983" s="4">
        <v>3625.0</v>
      </c>
      <c r="B983" s="4" t="s">
        <v>1592</v>
      </c>
      <c r="C983" s="4" t="s">
        <v>1600</v>
      </c>
      <c r="D983" s="4" t="s">
        <v>1601</v>
      </c>
      <c r="E983" s="4">
        <v>1.0</v>
      </c>
      <c r="F983" s="4" t="str">
        <f>IFERROR(__xludf.DUMMYFUNCTION("GOOGLETRANSLATE(D983)"),"要去重做我的指甲並觀看《smaug ayyy》荒涼的幕後花絮")</f>
        <v>要去重做我的指甲並觀看《smaug ayyy》荒涼的幕後花絮</v>
      </c>
      <c r="G983" s="4" t="str">
        <f>IFERROR(__xludf.DUMMYFUNCTION("GOOGLETRANSLATE(B983)"),"荒涼")</f>
        <v>荒涼</v>
      </c>
    </row>
    <row r="984" ht="15.75" customHeight="1">
      <c r="A984" s="4">
        <v>3635.0</v>
      </c>
      <c r="B984" s="4" t="s">
        <v>1592</v>
      </c>
      <c r="C984" s="4" t="s">
        <v>1602</v>
      </c>
      <c r="D984" s="4" t="s">
        <v>1603</v>
      </c>
      <c r="E984" s="4">
        <v>1.0</v>
      </c>
      <c r="F984" s="4" t="str">
        <f>IFERROR(__xludf.DUMMYFUNCTION("GOOGLETRANSLATE(D984)"),"Fotoset：elanorofrohan：2013 年 12 月 10 日蘇黎世綠地毯，為《荒涼》瑞士首映... http://t.co/BQ3P7n7w06")</f>
        <v>Fotoset：elanorofrohan：2013 年 12 月 10 日蘇黎世綠地毯，為《荒涼》瑞士首映... http://t.co/BQ3P7n7w06</v>
      </c>
      <c r="G984" s="4" t="str">
        <f>IFERROR(__xludf.DUMMYFUNCTION("GOOGLETRANSLATE(B984)"),"荒涼")</f>
        <v>荒涼</v>
      </c>
    </row>
    <row r="985" ht="15.75" customHeight="1">
      <c r="A985" s="4">
        <v>3640.0</v>
      </c>
      <c r="B985" s="4" t="s">
        <v>1592</v>
      </c>
      <c r="C985" s="4" t="s">
        <v>1604</v>
      </c>
      <c r="D985" s="4" t="s">
        <v>1605</v>
      </c>
      <c r="E985" s="4">
        <v>1.0</v>
      </c>
      <c r="F985" s="4" t="str">
        <f>IFERROR(__xludf.DUMMYFUNCTION("GOOGLETRANSLATE(D985)"),"這絕望的錯位
分離譴責
試探中的啟示
隔離荒涼
隨它去吧，然後去找遠方")</f>
        <v>這絕望的錯位
分離譴責
試探中的啟示
隔離荒涼
隨它去吧，然後去找遠方</v>
      </c>
      <c r="G985" s="4" t="str">
        <f>IFERROR(__xludf.DUMMYFUNCTION("GOOGLETRANSLATE(B985)"),"荒涼")</f>
        <v>荒涼</v>
      </c>
    </row>
    <row r="986" ht="15.75" customHeight="1">
      <c r="A986" s="4">
        <v>3650.0</v>
      </c>
      <c r="B986" s="4" t="s">
        <v>1606</v>
      </c>
      <c r="C986" s="4" t="s">
        <v>1607</v>
      </c>
      <c r="D986" s="4" t="s">
        <v>1608</v>
      </c>
      <c r="E986" s="4">
        <v>1.0</v>
      </c>
      <c r="F986" s="4" t="str">
        <f>IFERROR(__xludf.DUMMYFUNCTION("GOOGLETRANSLATE(D986)"),"誠實地摧毀自由粉絲群")</f>
        <v>誠實地摧毀自由粉絲群</v>
      </c>
      <c r="G986" s="4" t="str">
        <f>IFERROR(__xludf.DUMMYFUNCTION("GOOGLETRANSLATE(B986)"),"破壞")</f>
        <v>破壞</v>
      </c>
    </row>
    <row r="987" ht="15.75" customHeight="1">
      <c r="A987" s="4">
        <v>3660.0</v>
      </c>
      <c r="B987" s="4" t="s">
        <v>1606</v>
      </c>
      <c r="C987" s="4" t="s">
        <v>1609</v>
      </c>
      <c r="D987" s="4" t="s">
        <v>1610</v>
      </c>
      <c r="E987" s="4">
        <v>1.0</v>
      </c>
      <c r="F987" s="4" t="str">
        <f>IFERROR(__xludf.DUMMYFUNCTION("GOOGLETRANSLATE(D987)"),"剛剛整理了安東尼的床，考慮到我每次入睡都會毀掉它。嗯？？？？")</f>
        <v>剛剛整理了安東尼的床，考慮到我每次入睡都會毀掉它。嗯？？？？</v>
      </c>
      <c r="G987" s="4" t="str">
        <f>IFERROR(__xludf.DUMMYFUNCTION("GOOGLETRANSLATE(B987)"),"破壞")</f>
        <v>破壞</v>
      </c>
    </row>
    <row r="988" ht="15.75" customHeight="1">
      <c r="A988" s="4">
        <v>3662.0</v>
      </c>
      <c r="B988" s="4" t="s">
        <v>1606</v>
      </c>
      <c r="C988" s="4" t="s">
        <v>1611</v>
      </c>
      <c r="D988" s="4" t="s">
        <v>1612</v>
      </c>
      <c r="E988" s="4">
        <v>1.0</v>
      </c>
      <c r="F988" s="4" t="str">
        <f>IFERROR(__xludf.DUMMYFUNCTION("GOOGLETRANSLATE(D988)"),"那些破壞創造力、平衡、壽命和活力的平面者。在路西法的毀滅之火中，真理與路西法站在一起 https://t.co/WcFpZNsN9u")</f>
        <v>那些破壞創造力、平衡、壽命和活力的平面者。在路西法的毀滅之火中，真理與路西法站在一起 https://t.co/WcFpZNsN9u</v>
      </c>
      <c r="G988" s="4" t="str">
        <f>IFERROR(__xludf.DUMMYFUNCTION("GOOGLETRANSLATE(B988)"),"破壞")</f>
        <v>破壞</v>
      </c>
    </row>
    <row r="989" ht="15.75" customHeight="1">
      <c r="A989" s="4">
        <v>3663.0</v>
      </c>
      <c r="B989" s="4" t="s">
        <v>1606</v>
      </c>
      <c r="C989" s="4" t="s">
        <v>434</v>
      </c>
      <c r="D989" s="4" t="s">
        <v>1613</v>
      </c>
      <c r="E989" s="4">
        <v>1.0</v>
      </c>
      <c r="F989" s="4" t="str">
        <f>IFERROR(__xludf.DUMMYFUNCTION("GOOGLETRANSLATE(D989)"),"觀看這些超強磁鐵摧毀日常物體：http://t.co/bTUs5jejuy http://t.co/zrTfxLuk6R")</f>
        <v>觀看這些超強磁鐵摧毀日常物體：http://t.co/bTUs5jejuy http://t.co/zrTfxLuk6R</v>
      </c>
      <c r="G989" s="4" t="str">
        <f>IFERROR(__xludf.DUMMYFUNCTION("GOOGLETRANSLATE(B989)"),"破壞")</f>
        <v>破壞</v>
      </c>
    </row>
    <row r="990" ht="15.75" customHeight="1">
      <c r="A990" s="4">
        <v>3664.0</v>
      </c>
      <c r="B990" s="4" t="s">
        <v>1606</v>
      </c>
      <c r="D990" s="4" t="s">
        <v>1614</v>
      </c>
      <c r="E990" s="4">
        <v>1.0</v>
      </c>
      <c r="F990" s="4" t="str">
        <f>IFERROR(__xludf.DUMMYFUNCTION("GOOGLETRANSLATE(D990)"),"@Beyonce @NicoleKidman @Oprah 這些貪圖錢財的人需要得到線索我沒有錢，但我仍然可以用心靈遙感摧毀。手錶。")</f>
        <v>@Beyonce @NicoleKidman @Oprah 這些貪圖錢財的人需要得到線索我沒有錢，但我仍然可以用心靈遙感摧毀。手錶。</v>
      </c>
      <c r="G990" s="4" t="str">
        <f>IFERROR(__xludf.DUMMYFUNCTION("GOOGLETRANSLATE(B990)"),"破壞")</f>
        <v>破壞</v>
      </c>
    </row>
    <row r="991" ht="15.75" customHeight="1">
      <c r="A991" s="4">
        <v>3676.0</v>
      </c>
      <c r="B991" s="4" t="s">
        <v>1606</v>
      </c>
      <c r="D991" s="4" t="s">
        <v>1615</v>
      </c>
      <c r="E991" s="4">
        <v>1.0</v>
      </c>
      <c r="F991" s="4" t="str">
        <f>IFERROR(__xludf.DUMMYFUNCTION("GOOGLETRANSLATE(D991)"),"@SarniamakChris @Hromadske @kasiadear33 僅有的兩個能夠摧毀世界的國家之一對世界安全有發言權，這真是太愚蠢了")</f>
        <v>@SarniamakChris @Hromadske @kasiadear33 僅有的兩個能夠摧毀世界的國家之一對世界安全有發言權，這真是太愚蠢了</v>
      </c>
      <c r="G991" s="4" t="str">
        <f>IFERROR(__xludf.DUMMYFUNCTION("GOOGLETRANSLATE(B991)"),"破壞")</f>
        <v>破壞</v>
      </c>
    </row>
    <row r="992" ht="15.75" customHeight="1">
      <c r="A992" s="4">
        <v>3679.0</v>
      </c>
      <c r="B992" s="4" t="s">
        <v>1606</v>
      </c>
      <c r="C992" s="4" t="s">
        <v>1616</v>
      </c>
      <c r="D992" s="4" t="s">
        <v>1617</v>
      </c>
      <c r="E992" s="4">
        <v>1.0</v>
      </c>
      <c r="F992" s="4" t="str">
        <f>IFERROR(__xludf.DUMMYFUNCTION("GOOGLETRANSLATE(D992)"),"5/6 將破壞 Reg C 競爭力。整個區域將 B 過度飽和。是的，Brockton 獲得 1200 萬美元和 RegC Commonwealth PPC 以及")</f>
        <v>5/6 將破壞 Reg C 競爭力。整個區域將 B 過度飽和。是的，Brockton 獲得 1200 萬美元和 RegC Commonwealth PPC 以及</v>
      </c>
      <c r="G992" s="4" t="str">
        <f>IFERROR(__xludf.DUMMYFUNCTION("GOOGLETRANSLATE(B992)"),"破壞")</f>
        <v>破壞</v>
      </c>
    </row>
    <row r="993" ht="15.75" customHeight="1">
      <c r="A993" s="4">
        <v>3684.0</v>
      </c>
      <c r="B993" s="4" t="s">
        <v>1606</v>
      </c>
      <c r="D993" s="4" t="s">
        <v>1618</v>
      </c>
      <c r="E993" s="4">
        <v>1.0</v>
      </c>
      <c r="F993" s="4" t="str">
        <f>IFERROR(__xludf.DUMMYFUNCTION("GOOGLETRANSLATE(D993)"),"(SJ GIST)：148 所房屋農產品被摧毀... http://t.co/dkrGS2AWEX #StreetjamzDotNet | https://t.co/mR9KcGpIwM")</f>
        <v>(SJ GIST)：148 所房屋農產品被摧毀... http://t.co/dkrGS2AWEX #StreetjamzDotNet | https://t.co/mR9KcGpIwM</v>
      </c>
      <c r="G993" s="4" t="str">
        <f>IFERROR(__xludf.DUMMYFUNCTION("GOOGLETRANSLATE(B993)"),"破壞")</f>
        <v>破壞</v>
      </c>
    </row>
    <row r="994" ht="15.75" customHeight="1">
      <c r="A994" s="4">
        <v>3690.0</v>
      </c>
      <c r="B994" s="4" t="s">
        <v>1606</v>
      </c>
      <c r="C994" s="4" t="s">
        <v>1619</v>
      </c>
      <c r="D994" s="4" t="s">
        <v>1620</v>
      </c>
      <c r="E994" s="4">
        <v>1.0</v>
      </c>
      <c r="F994" s="4" t="str">
        <f>IFERROR(__xludf.DUMMYFUNCTION("GOOGLETRANSLATE(D994)"),"政治=學前態度：俄羅斯下令銷毀所有來自它不喜歡的國家的食物。 - 世界上沒有飢餓嗎？")</f>
        <v>政治=學前態度：俄羅斯下令銷毀所有來自它不喜歡的國家的食物。 - 世界上沒有飢餓嗎？</v>
      </c>
      <c r="G994" s="4" t="str">
        <f>IFERROR(__xludf.DUMMYFUNCTION("GOOGLETRANSLATE(B994)"),"破壞")</f>
        <v>破壞</v>
      </c>
    </row>
    <row r="995" ht="15.75" customHeight="1">
      <c r="A995" s="4">
        <v>3715.0</v>
      </c>
      <c r="B995" s="4" t="s">
        <v>1621</v>
      </c>
      <c r="C995" s="4" t="s">
        <v>1622</v>
      </c>
      <c r="D995" s="4" t="s">
        <v>1623</v>
      </c>
      <c r="E995" s="4">
        <v>1.0</v>
      </c>
      <c r="F995" s="4" t="str">
        <f>IFERROR(__xludf.DUMMYFUNCTION("GOOGLETRANSLATE(D995)"),"#EverydayNaija |洪水：卡杜納 2 人死亡、60 棟房屋被毀 http://t.co/nOnm8C6L8P")</f>
        <v>#EverydayNaija |洪水：卡杜納 2 人死亡、60 棟房屋被毀 http://t.co/nOnm8C6L8P</v>
      </c>
      <c r="G995" s="4" t="str">
        <f>IFERROR(__xludf.DUMMYFUNCTION("GOOGLETRANSLATE(B995)"),"被摧毀")</f>
        <v>被摧毀</v>
      </c>
    </row>
    <row r="996" ht="15.75" customHeight="1">
      <c r="A996" s="4">
        <v>3717.0</v>
      </c>
      <c r="B996" s="4" t="s">
        <v>1621</v>
      </c>
      <c r="C996" s="4" t="s">
        <v>1624</v>
      </c>
      <c r="D996" s="4" t="s">
        <v>1625</v>
      </c>
      <c r="E996" s="4">
        <v>1.0</v>
      </c>
      <c r="F996" s="4" t="str">
        <f>IFERROR(__xludf.DUMMYFUNCTION("GOOGLETRANSLATE(D996)"),"洪水：兩人死亡，卡杜納 60 棟房屋被毀：據報道，兩人死亡，60 棟房屋被毀... http://t.co/BDsgF1CfaX")</f>
        <v>洪水：兩人死亡，卡杜納 60 棟房屋被毀：據報道，兩人死亡，60 棟房屋被毀... http://t.co/BDsgF1CfaX</v>
      </c>
      <c r="G996" s="4" t="str">
        <f>IFERROR(__xludf.DUMMYFUNCTION("GOOGLETRANSLATE(B996)"),"被摧毀")</f>
        <v>被摧毀</v>
      </c>
    </row>
    <row r="997" ht="15.75" customHeight="1">
      <c r="A997" s="4">
        <v>3724.0</v>
      </c>
      <c r="B997" s="4" t="s">
        <v>1621</v>
      </c>
      <c r="C997" s="4" t="s">
        <v>1626</v>
      </c>
      <c r="D997" s="4" t="s">
        <v>1627</v>
      </c>
      <c r="E997" s="4">
        <v>1.0</v>
      </c>
      <c r="F997" s="4" t="str">
        <f>IFERROR(__xludf.DUMMYFUNCTION("GOOGLETRANSLATE(D997)"),"@freeMurphy 迫切需要您對加拿大搭便車垃圾機器人（在費城被摧毀）的熱烈討論。")</f>
        <v>@freeMurphy 迫切需要您對加拿大搭便車垃圾機器人（在費城被摧毀）的熱烈討論。</v>
      </c>
      <c r="G997" s="4" t="str">
        <f>IFERROR(__xludf.DUMMYFUNCTION("GOOGLETRANSLATE(B997)"),"被摧毀")</f>
        <v>被摧毀</v>
      </c>
    </row>
    <row r="998" ht="15.75" customHeight="1">
      <c r="A998" s="4">
        <v>3725.0</v>
      </c>
      <c r="B998" s="4" t="s">
        <v>1621</v>
      </c>
      <c r="C998" s="4" t="s">
        <v>1628</v>
      </c>
      <c r="D998" s="4" t="s">
        <v>1629</v>
      </c>
      <c r="E998" s="4">
        <v>1.0</v>
      </c>
      <c r="F998" s="4" t="str">
        <f>IFERROR(__xludf.DUMMYFUNCTION("GOOGLETRANSLATE(D998)"),"洪水：兩人死亡，卡杜納 60 間房屋被毀：據報道，兩人死亡… http://t.co/kEE1tyTZ15 #SemasirTalks")</f>
        <v>洪水：兩人死亡，卡杜納 60 間房屋被毀：據報道，兩人死亡… http://t.co/kEE1tyTZ15 #SemasirTalks</v>
      </c>
      <c r="G998" s="4" t="str">
        <f>IFERROR(__xludf.DUMMYFUNCTION("GOOGLETRANSLATE(B998)"),"被摧毀")</f>
        <v>被摧毀</v>
      </c>
    </row>
    <row r="999" ht="15.75" customHeight="1">
      <c r="A999" s="4">
        <v>3735.0</v>
      </c>
      <c r="B999" s="4" t="s">
        <v>1621</v>
      </c>
      <c r="C999" s="4" t="s">
        <v>1630</v>
      </c>
      <c r="D999" s="4" t="s">
        <v>1631</v>
      </c>
      <c r="E999" s="4">
        <v>1.0</v>
      </c>
      <c r="F999" s="4" t="str">
        <f>IFERROR(__xludf.DUMMYFUNCTION("GOOGLETRANSLATE(D999)"),"#ABomb 被摧毀 70 年後 #HiroshimaÛÓ#BBC 看看 #survived http://t.co/dLgNUuuUYn #CNV Watch Peace Vigils：http://t.co/jvkYzNDtja")</f>
        <v>#ABomb 被摧毀 70 年後 #HiroshimaÛÓ#BBC 看看 #survived http://t.co/dLgNUuuUYn #CNV Watch Peace Vigils：http://t.co/jvkYzNDtja</v>
      </c>
      <c r="G999" s="4" t="str">
        <f>IFERROR(__xludf.DUMMYFUNCTION("GOOGLETRANSLATE(B999)"),"被摧毀")</f>
        <v>被摧毀</v>
      </c>
    </row>
    <row r="1000" ht="15.75" customHeight="1">
      <c r="A1000" s="4">
        <v>3736.0</v>
      </c>
      <c r="B1000" s="4" t="s">
        <v>1621</v>
      </c>
      <c r="C1000" s="4" t="s">
        <v>1632</v>
      </c>
      <c r="D1000" s="4" t="s">
        <v>1633</v>
      </c>
      <c r="E1000" s="4">
        <v>1.0</v>
      </c>
      <c r="F1000" s="4" t="str">
        <f>IFERROR(__xludf.DUMMYFUNCTION("GOOGLETRANSLATE(D1000)"),"洪水：兩人死亡，卡杜納 60 棟房屋被毀：據報道，兩人死亡，60 所房屋被毀... http://t.co/JixScpMdUD")</f>
        <v>洪水：兩人死亡，卡杜納 60 棟房屋被毀：據報道，兩人死亡，60 所房屋被毀... http://t.co/JixScpMdUD</v>
      </c>
      <c r="G1000" s="4" t="str">
        <f>IFERROR(__xludf.DUMMYFUNCTION("GOOGLETRANSLATE(B1000)"),"被摧毀")</f>
        <v>被摧毀</v>
      </c>
    </row>
    <row r="1001" ht="15.75" customHeight="1">
      <c r="A1001" s="4">
        <v>3737.0</v>
      </c>
      <c r="B1001" s="4" t="s">
        <v>1621</v>
      </c>
      <c r="D1001" s="4" t="s">
        <v>1634</v>
      </c>
      <c r="E1001" s="4">
        <v>1.0</v>
      </c>
      <c r="F1001" s="4" t="str">
        <f>IFERROR(__xludf.DUMMYFUNCTION("GOOGLETRANSLATE(D1001)"),"@DavidVitter嗨大衛，2003年我看到美國陷入了一場摧毀了數百萬人生命的戰爭。您可以防止重複。 #伊朗交易")</f>
        <v>@DavidVitter嗨大衛，2003年我看到美國陷入了一場摧毀了數百萬人生命的戰爭。您可以防止重複。 #伊朗交易</v>
      </c>
      <c r="G1001" s="4" t="str">
        <f>IFERROR(__xludf.DUMMYFUNCTION("GOOGLETRANSLATE(B1001)"),"被摧毀")</f>
        <v>被摧毀</v>
      </c>
    </row>
    <row r="1002" ht="15.75" customHeight="1">
      <c r="A1002" s="4">
        <v>3745.0</v>
      </c>
      <c r="B1002" s="4" t="s">
        <v>1621</v>
      </c>
      <c r="D1002" s="4" t="s">
        <v>1635</v>
      </c>
      <c r="E1002" s="4">
        <v>1.0</v>
      </c>
      <c r="F1002" s="4" t="str">
        <f>IFERROR(__xludf.DUMMYFUNCTION("GOOGLETRANSLATE(D1002)"),"福特卡車被龍捲風摧毀後啟動並行駛！ http://t.co/IxJjlp1LVo")</f>
        <v>福特卡車被龍捲風摧毀後啟動並行駛！ http://t.co/IxJjlp1LVo</v>
      </c>
      <c r="G1002" s="4" t="str">
        <f>IFERROR(__xludf.DUMMYFUNCTION("GOOGLETRANSLATE(B1002)"),"被摧毀")</f>
        <v>被摧毀</v>
      </c>
    </row>
    <row r="1003" ht="15.75" customHeight="1">
      <c r="A1003" s="4">
        <v>3748.0</v>
      </c>
      <c r="B1003" s="4" t="s">
        <v>1636</v>
      </c>
      <c r="C1003" s="4" t="s">
        <v>1637</v>
      </c>
      <c r="D1003" s="4" t="s">
        <v>1638</v>
      </c>
      <c r="E1003" s="4">
        <v>1.0</v>
      </c>
      <c r="F1003" s="4" t="str">
        <f>IFERROR(__xludf.DUMMYFUNCTION("GOOGLETRANSLATE(D1003)"),"來自時尚界侵犯人權和森林破壞前線的新 RAN 報告：http://t.co/tYDXauuEnQ")</f>
        <v>來自時尚界侵犯人權和森林破壞前線的新 RAN 報告：http://t.co/tYDXauuEnQ</v>
      </c>
      <c r="G1003" s="4" t="str">
        <f>IFERROR(__xludf.DUMMYFUNCTION("GOOGLETRANSLATE(B1003)"),"破壞")</f>
        <v>破壞</v>
      </c>
    </row>
    <row r="1004" ht="15.75" customHeight="1">
      <c r="A1004" s="4">
        <v>3765.0</v>
      </c>
      <c r="B1004" s="4" t="s">
        <v>1636</v>
      </c>
      <c r="D1004" s="4" t="s">
        <v>1639</v>
      </c>
      <c r="E1004" s="4">
        <v>1.0</v>
      </c>
      <c r="F1004" s="4" t="str">
        <f>IFERROR(__xludf.DUMMYFUNCTION("GOOGLETRANSLATE(D1004)"),"#普丁法令導致俄羅斯和烏克蘭邊境附近 10 噸進口起司被銷毀。 RT @獨立http://t.co/K3pnNktlXh")</f>
        <v>#普丁法令導致俄羅斯和烏克蘭邊境附近 10 噸進口起司被銷毀。 RT @獨立http://t.co/K3pnNktlXh</v>
      </c>
      <c r="G1004" s="4" t="str">
        <f>IFERROR(__xludf.DUMMYFUNCTION("GOOGLETRANSLATE(B1004)"),"破壞")</f>
        <v>破壞</v>
      </c>
    </row>
    <row r="1005" ht="15.75" customHeight="1">
      <c r="A1005" s="4">
        <v>3770.0</v>
      </c>
      <c r="B1005" s="4" t="s">
        <v>1636</v>
      </c>
      <c r="C1005" s="4" t="s">
        <v>1640</v>
      </c>
      <c r="D1005" s="4" t="s">
        <v>1641</v>
      </c>
      <c r="E1005" s="4">
        <v>1.0</v>
      </c>
      <c r="F1005" s="4" t="str">
        <f>IFERROR(__xludf.DUMMYFUNCTION("GOOGLETRANSLATE(D1005)"),"美國戰爭策劃者如何選擇摧毀廣島 http://t.co/B5OKgpSpbH")</f>
        <v>美國戰爭策劃者如何選擇摧毀廣島 http://t.co/B5OKgpSpbH</v>
      </c>
      <c r="G1005" s="4" t="str">
        <f>IFERROR(__xludf.DUMMYFUNCTION("GOOGLETRANSLATE(B1005)"),"破壞")</f>
        <v>破壞</v>
      </c>
    </row>
    <row r="1006" ht="15.75" customHeight="1">
      <c r="A1006" s="4">
        <v>3772.0</v>
      </c>
      <c r="B1006" s="4" t="s">
        <v>1636</v>
      </c>
      <c r="C1006" s="4" t="s">
        <v>1642</v>
      </c>
      <c r="D1006" s="4" t="s">
        <v>1643</v>
      </c>
      <c r="E1006" s="4">
        <v>1.0</v>
      </c>
      <c r="F1006" s="4" t="str">
        <f>IFERROR(__xludf.DUMMYFUNCTION("GOOGLETRANSLATE(D1006)"),"@HassanRouhani 戰爭注定會造成破壞，損失的錢必須投資於伊朗內部，不應該流向外部")</f>
        <v>@HassanRouhani 戰爭注定會造成破壞，損失的錢必須投資於伊朗內部，不應該流向外部</v>
      </c>
      <c r="G1006" s="4" t="str">
        <f>IFERROR(__xludf.DUMMYFUNCTION("GOOGLETRANSLATE(B1006)"),"破壞")</f>
        <v>破壞</v>
      </c>
    </row>
    <row r="1007" ht="15.75" customHeight="1">
      <c r="A1007" s="4">
        <v>3795.0</v>
      </c>
      <c r="B1007" s="4" t="s">
        <v>1636</v>
      </c>
      <c r="D1007" s="4" t="s">
        <v>1644</v>
      </c>
      <c r="E1007" s="4">
        <v>1.0</v>
      </c>
      <c r="F1007" s="4" t="str">
        <f>IFERROR(__xludf.DUMMYFUNCTION("GOOGLETRANSLATE(D1007)"),"RSS：俄羅斯開始大規模銷毀非法進口食品 http://t.co/r6JDj9kIGm")</f>
        <v>RSS：俄羅斯開始大規模銷毀非法進口食品 http://t.co/r6JDj9kIGm</v>
      </c>
      <c r="G1007" s="4" t="str">
        <f>IFERROR(__xludf.DUMMYFUNCTION("GOOGLETRANSLATE(B1007)"),"破壞")</f>
        <v>破壞</v>
      </c>
    </row>
    <row r="1008" ht="15.75" customHeight="1">
      <c r="A1008" s="4">
        <v>3796.0</v>
      </c>
      <c r="B1008" s="4" t="s">
        <v>1636</v>
      </c>
      <c r="D1008" s="4" t="s">
        <v>1645</v>
      </c>
      <c r="E1008" s="4">
        <v>1.0</v>
      </c>
      <c r="F1008" s="4" t="str">
        <f>IFERROR(__xludf.DUMMYFUNCTION("GOOGLETRANSLATE(D1008)"),"所以你擁有了一種可以造成難以想像的破壞的新武器。")</f>
        <v>所以你擁有了一種可以造成難以想像的破壞的新武器。</v>
      </c>
      <c r="G1008" s="4" t="str">
        <f>IFERROR(__xludf.DUMMYFUNCTION("GOOGLETRANSLATE(B1008)"),"破壞")</f>
        <v>破壞</v>
      </c>
    </row>
    <row r="1009" ht="15.75" customHeight="1">
      <c r="A1009" s="4">
        <v>3800.0</v>
      </c>
      <c r="B1009" s="4" t="s">
        <v>1646</v>
      </c>
      <c r="D1009" s="4" t="s">
        <v>1647</v>
      </c>
      <c r="E1009" s="4">
        <v>1.0</v>
      </c>
      <c r="F1009" s="4" t="str">
        <f>IFERROR(__xludf.DUMMYFUNCTION("GOOGLETRANSLATE(D1009)"),"拆彈小組準備引爆田納西州安提阿劇院槍手身上的背包，官員稱 - @Tennessean http://t.co/eb74iieIWn")</f>
        <v>拆彈小組準備引爆田納西州安提阿劇院槍手身上的背包，官員稱 - @Tennessean http://t.co/eb74iieIWn</v>
      </c>
      <c r="G1009" s="4" t="str">
        <f>IFERROR(__xludf.DUMMYFUNCTION("GOOGLETRANSLATE(B1009)"),"起爆")</f>
        <v>起爆</v>
      </c>
    </row>
    <row r="1010" ht="15.75" customHeight="1">
      <c r="A1010" s="4">
        <v>3802.0</v>
      </c>
      <c r="B1010" s="4" t="s">
        <v>1646</v>
      </c>
      <c r="C1010" s="4" t="s">
        <v>1648</v>
      </c>
      <c r="D1010" s="4" t="s">
        <v>1649</v>
      </c>
      <c r="E1010" s="4">
        <v>1.0</v>
      </c>
      <c r="F1010" s="4" t="str">
        <f>IFERROR(__xludf.DUMMYFUNCTION("GOOGLETRANSLATE(D1010)"),"阿波羅布朗 ft. M.O.P- Detonate - http://t.co/OMfGv9ma1W")</f>
        <v>阿波羅布朗 ft. M.O.P- Detonate - http://t.co/OMfGv9ma1W</v>
      </c>
      <c r="G1010" s="4" t="str">
        <f>IFERROR(__xludf.DUMMYFUNCTION("GOOGLETRANSLATE(B1010)"),"起爆")</f>
        <v>起爆</v>
      </c>
    </row>
    <row r="1011" ht="15.75" customHeight="1">
      <c r="A1011" s="4">
        <v>3810.0</v>
      </c>
      <c r="B1011" s="4" t="s">
        <v>1646</v>
      </c>
      <c r="C1011" s="4" t="s">
        <v>1650</v>
      </c>
      <c r="D1011" s="4" t="s">
        <v>1651</v>
      </c>
      <c r="E1011" s="4">
        <v>1.0</v>
      </c>
      <c r="F1011" s="4" t="str">
        <f>IFERROR(__xludf.DUMMYFUNCTION("GOOGLETRANSLATE(D1011)"),"阿波羅布朗 (Apollo Brown) 的《爆炸》(feat. M.O.P.) http://t.co/fllaBzGCRc")</f>
        <v>阿波羅布朗 (Apollo Brown) 的《爆炸》(feat. M.O.P.) http://t.co/fllaBzGCRc</v>
      </c>
      <c r="G1011" s="4" t="str">
        <f>IFERROR(__xludf.DUMMYFUNCTION("GOOGLETRANSLATE(B1011)"),"起爆")</f>
        <v>起爆</v>
      </c>
    </row>
    <row r="1012" ht="15.75" customHeight="1">
      <c r="A1012" s="4">
        <v>3812.0</v>
      </c>
      <c r="B1012" s="4" t="s">
        <v>1646</v>
      </c>
      <c r="C1012" s="4" t="s">
        <v>1652</v>
      </c>
      <c r="D1012" s="4" t="s">
        <v>1653</v>
      </c>
      <c r="E1012" s="4">
        <v>1.0</v>
      </c>
      <c r="F1012" s="4" t="str">
        <f>IFERROR(__xludf.DUMMYFUNCTION("GOOGLETRANSLATE(D1012)"),"#博爾德警員正在等待拆彈小組引爆今天在斯特恩斯湖發現的手榴彈 http://t.co/7cADM3lNkO")</f>
        <v>#博爾德警員正在等待拆彈小組引爆今天在斯特恩斯湖發現的手榴彈 http://t.co/7cADM3lNkO</v>
      </c>
      <c r="G1012" s="4" t="str">
        <f>IFERROR(__xludf.DUMMYFUNCTION("GOOGLETRANSLATE(B1012)"),"起爆")</f>
        <v>起爆</v>
      </c>
    </row>
    <row r="1013" ht="15.75" customHeight="1">
      <c r="A1013" s="4">
        <v>3819.0</v>
      </c>
      <c r="B1013" s="4" t="s">
        <v>1646</v>
      </c>
      <c r="C1013" s="4" t="s">
        <v>1125</v>
      </c>
      <c r="D1013" s="4" t="s">
        <v>1654</v>
      </c>
      <c r="E1013" s="4">
        <v>1.0</v>
      </c>
      <c r="F1013" s="4" t="str">
        <f>IFERROR(__xludf.DUMMYFUNCTION("GOOGLETRANSLATE(D1013)"),"@BldrCOSheriff 說發現的第二枚手榴彈比之前發現的二戰時期手榴彈「更年輕」。他們將在今晚 8:00 引爆它。 @CBS丹佛")</f>
        <v>@BldrCOSheriff 說發現的第二枚手榴彈比之前發現的二戰時期手榴彈「更年輕」。他們將在今晚 8:00 引爆它。 @CBS丹佛</v>
      </c>
      <c r="G1013" s="4" t="str">
        <f>IFERROR(__xludf.DUMMYFUNCTION("GOOGLETRANSLATE(B1013)"),"起爆")</f>
        <v>起爆</v>
      </c>
    </row>
    <row r="1014" ht="15.75" customHeight="1">
      <c r="A1014" s="4">
        <v>3824.0</v>
      </c>
      <c r="B1014" s="4" t="s">
        <v>1646</v>
      </c>
      <c r="C1014" s="4" t="s">
        <v>283</v>
      </c>
      <c r="D1014" s="4" t="s">
        <v>1655</v>
      </c>
      <c r="E1014" s="4">
        <v>1.0</v>
      </c>
      <c r="F1014" s="4" t="str">
        <f>IFERROR(__xludf.DUMMYFUNCTION("GOOGLETRANSLATE(D1014)"),"52.214904 5.139055 請用核武。目標希爾弗瑟姆請在地表下 800 公尺處引爆。")</f>
        <v>52.214904 5.139055 請用核武。目標希爾弗瑟姆請在地表下 800 公尺處引爆。</v>
      </c>
      <c r="G1014" s="4" t="str">
        <f>IFERROR(__xludf.DUMMYFUNCTION("GOOGLETRANSLATE(B1014)"),"起爆")</f>
        <v>起爆</v>
      </c>
    </row>
    <row r="1015" ht="15.75" customHeight="1">
      <c r="A1015" s="4">
        <v>3826.0</v>
      </c>
      <c r="B1015" s="4" t="s">
        <v>1646</v>
      </c>
      <c r="D1015" s="4" t="s">
        <v>1656</v>
      </c>
      <c r="E1015" s="4">
        <v>1.0</v>
      </c>
      <c r="F1015" s="4" t="str">
        <f>IFERROR(__xludf.DUMMYFUNCTION("GOOGLETRANSLATE(D1015)"),"@channelstv：這就是為什麼恐怖主義不是軍隊的戰爭，而是情報特工的戰爭，他們可以在引爆炸彈之前反擊他們的行動。")</f>
        <v>@channelstv：這就是為什麼恐怖主義不是軍隊的戰爭，而是情報特工的戰爭，他們可以在引爆炸彈之前反擊他們的行動。</v>
      </c>
      <c r="G1015" s="4" t="str">
        <f>IFERROR(__xludf.DUMMYFUNCTION("GOOGLETRANSLATE(B1015)"),"起爆")</f>
        <v>起爆</v>
      </c>
    </row>
    <row r="1016" ht="15.75" customHeight="1">
      <c r="A1016" s="4">
        <v>3837.0</v>
      </c>
      <c r="B1016" s="4" t="s">
        <v>1646</v>
      </c>
      <c r="C1016" s="4" t="s">
        <v>283</v>
      </c>
      <c r="D1016" s="4" t="s">
        <v>1657</v>
      </c>
      <c r="E1016" s="4">
        <v>1.0</v>
      </c>
      <c r="F1016" s="4" t="str">
        <f>IFERROR(__xludf.DUMMYFUNCTION("GOOGLETRANSLATE(D1016)"),"阿波羅布朗 - 引爆（Ft. M.O.P.）https://t.co/NlJVP3Vfyz #FIYA！")</f>
        <v>阿波羅布朗 - 引爆（Ft. M.O.P.）https://t.co/NlJVP3Vfyz #FIYA！</v>
      </c>
      <c r="G1016" s="4" t="str">
        <f>IFERROR(__xludf.DUMMYFUNCTION("GOOGLETRANSLATE(B1016)"),"起爆")</f>
        <v>起爆</v>
      </c>
    </row>
    <row r="1017" ht="15.75" customHeight="1">
      <c r="A1017" s="4">
        <v>3838.0</v>
      </c>
      <c r="B1017" s="4" t="s">
        <v>1646</v>
      </c>
      <c r="C1017" s="4" t="s">
        <v>1658</v>
      </c>
      <c r="D1017" s="4" t="s">
        <v>1659</v>
      </c>
      <c r="E1017" s="4">
        <v>1.0</v>
      </c>
      <c r="F1017" s="4" t="str">
        <f>IFERROR(__xludf.DUMMYFUNCTION("GOOGLETRANSLATE(D1017)"),"@SourMashNumber7 @tomfromireland @rfcgeom66 @BBCTalkback 他們另外兩次也沒有成功。炸彈沒有爆炸並且射擊未命中。")</f>
        <v>@SourMashNumber7 @tomfromireland @rfcgeom66 @BBCTalkback 他們另外兩次也沒有成功。炸彈沒有爆炸並且射擊未命中。</v>
      </c>
      <c r="G1017" s="4" t="str">
        <f>IFERROR(__xludf.DUMMYFUNCTION("GOOGLETRANSLATE(B1017)"),"起爆")</f>
        <v>起爆</v>
      </c>
    </row>
    <row r="1018" ht="15.75" customHeight="1">
      <c r="A1018" s="4">
        <v>3842.0</v>
      </c>
      <c r="B1018" s="4" t="s">
        <v>1646</v>
      </c>
      <c r="C1018" s="4" t="s">
        <v>1660</v>
      </c>
      <c r="D1018" s="4" t="s">
        <v>1661</v>
      </c>
      <c r="E1018" s="4">
        <v>1.0</v>
      </c>
      <c r="F1018" s="4" t="str">
        <f>IFERROR(__xludf.DUMMYFUNCTION("GOOGLETRANSLATE(D1018)"),"#hiphop #news #indie Apollo Brown ÛÒ ÛÏ引爆Û英尺。拖把。 - &amp;lt;a href='http://t.co/WnowfVCbMs... http://t.co/JxWOjxqndC")</f>
        <v>#hiphop #news #indie Apollo Brown ÛÒ ÛÏ引爆Û英尺。拖把。 - &amp;lt;a href='http://t.co/WnowfVCbMs... http://t.co/JxWOjxqndC</v>
      </c>
      <c r="G1018" s="4" t="str">
        <f>IFERROR(__xludf.DUMMYFUNCTION("GOOGLETRANSLATE(B1018)"),"起爆")</f>
        <v>起爆</v>
      </c>
    </row>
    <row r="1019" ht="15.75" customHeight="1">
      <c r="A1019" s="4">
        <v>3853.0</v>
      </c>
      <c r="B1019" s="4" t="s">
        <v>1662</v>
      </c>
      <c r="D1019" s="4" t="s">
        <v>1663</v>
      </c>
      <c r="E1019" s="4">
        <v>1.0</v>
      </c>
      <c r="F1019" s="4" t="str">
        <f>IFERROR(__xludf.DUMMYFUNCTION("GOOGLETRANSLATE(D1019)"),"點火爆震（爆震）感測器-Senso 標準 KS94 http://t.co/IhphZCkm41 http://t.co/wuICdTTUhf")</f>
        <v>點火爆震（爆震）感測器-Senso 標準 KS94 http://t.co/IhphZCkm41 http://t.co/wuICdTTUhf</v>
      </c>
      <c r="G1019" s="4" t="str">
        <f>IFERROR(__xludf.DUMMYFUNCTION("GOOGLETRANSLATE(B1019)"),"霹靂")</f>
        <v>霹靂</v>
      </c>
    </row>
    <row r="1020" ht="15.75" customHeight="1">
      <c r="A1020" s="4">
        <v>3855.0</v>
      </c>
      <c r="B1020" s="4" t="s">
        <v>1662</v>
      </c>
      <c r="D1020" s="4" t="s">
        <v>1664</v>
      </c>
      <c r="E1020" s="4">
        <v>1.0</v>
      </c>
      <c r="F1020" s="4" t="str">
        <f>IFERROR(__xludf.DUMMYFUNCTION("GOOGLETRANSLATE(D1020)"),"Dorman 917-033 點火爆震（爆炸）感知器連接器 http://t.co/WxCes39ZTe http://t.co/PyGKSSSCFR")</f>
        <v>Dorman 917-033 點火爆震（爆炸）感知器連接器 http://t.co/WxCes39ZTe http://t.co/PyGKSSSCFR</v>
      </c>
      <c r="G1020" s="4" t="str">
        <f>IFERROR(__xludf.DUMMYFUNCTION("GOOGLETRANSLATE(B1020)"),"霹靂")</f>
        <v>霹靂</v>
      </c>
    </row>
    <row r="1021" ht="15.75" customHeight="1">
      <c r="A1021" s="4">
        <v>3860.0</v>
      </c>
      <c r="B1021" s="4" t="s">
        <v>1662</v>
      </c>
      <c r="D1021" s="4" t="s">
        <v>1665</v>
      </c>
      <c r="E1021" s="4">
        <v>1.0</v>
      </c>
      <c r="F1021" s="4" t="str">
        <f>IFERROR(__xludf.DUMMYFUNCTION("GOOGLETRANSLATE(D1021)"),"點火爆震（爆炸）感測器-Senso 適用於 01-06 BMW 325Ci 2.5L-L6 http://t.co/gBVDNczjoU http://t.co/c211HISe0R")</f>
        <v>點火爆震（爆炸）感測器-Senso 適用於 01-06 BMW 325Ci 2.5L-L6 http://t.co/gBVDNczjoU http://t.co/c211HISe0R</v>
      </c>
      <c r="G1021" s="4" t="str">
        <f>IFERROR(__xludf.DUMMYFUNCTION("GOOGLETRANSLATE(B1021)"),"霹靂")</f>
        <v>霹靂</v>
      </c>
    </row>
    <row r="1022" ht="15.75" customHeight="1">
      <c r="A1022" s="4">
        <v>3861.0</v>
      </c>
      <c r="B1022" s="4" t="s">
        <v>1662</v>
      </c>
      <c r="D1022" s="4" t="s">
        <v>1666</v>
      </c>
      <c r="E1022" s="4">
        <v>1.0</v>
      </c>
      <c r="F1022" s="4" t="str">
        <f>IFERROR(__xludf.DUMMYFUNCTION("GOOGLETRANSLATE(D1022)"),"點火爆震（爆震）感測器-Senso 標準 KS94 http://t.co/dY1erSDcRh http://t.co/m4cPmxmuRK")</f>
        <v>點火爆震（爆震）感測器-Senso 標準 KS94 http://t.co/dY1erSDcRh http://t.co/m4cPmxmuRK</v>
      </c>
      <c r="G1022" s="4" t="str">
        <f>IFERROR(__xludf.DUMMYFUNCTION("GOOGLETRANSLATE(B1022)"),"霹靂")</f>
        <v>霹靂</v>
      </c>
    </row>
    <row r="1023" ht="15.75" customHeight="1">
      <c r="A1023" s="4">
        <v>3866.0</v>
      </c>
      <c r="B1023" s="4" t="s">
        <v>1662</v>
      </c>
      <c r="D1023" s="4" t="s">
        <v>1667</v>
      </c>
      <c r="E1023" s="4">
        <v>1.0</v>
      </c>
      <c r="F1023" s="4" t="str">
        <f>IFERROR(__xludf.DUMMYFUNCTION("GOOGLETRANSLATE(D1023)"),"點火爆震（爆震）感知器-Senso BECK/ARNLEY 158-0853 http://t.co/OdMx36WDhM http://t.co/gAHeUjRUJu")</f>
        <v>點火爆震（爆震）感知器-Senso BECK/ARNLEY 158-0853 http://t.co/OdMx36WDhM http://t.co/gAHeUjRUJu</v>
      </c>
      <c r="G1023" s="4" t="str">
        <f>IFERROR(__xludf.DUMMYFUNCTION("GOOGLETRANSLATE(B1023)"),"霹靂")</f>
        <v>霹靂</v>
      </c>
    </row>
    <row r="1024" ht="15.75" customHeight="1">
      <c r="A1024" s="4">
        <v>3877.0</v>
      </c>
      <c r="B1024" s="4" t="s">
        <v>1662</v>
      </c>
      <c r="D1024" s="4" t="s">
        <v>1668</v>
      </c>
      <c r="E1024" s="4">
        <v>1.0</v>
      </c>
      <c r="F1024" s="4" t="str">
        <f>IFERROR(__xludf.DUMMYFUNCTION("GOOGLETRANSLATE(D1024)"),"不要錯過克里斯#Appy本月對掩蓋我們70年前在#廣島犯罪的神話的引爆。 @沙龍http://t.co/DlP8kPkt2k")</f>
        <v>不要錯過克里斯#Appy本月對掩蓋我們70年前在#廣島犯罪的神話的引爆。 @沙龍http://t.co/DlP8kPkt2k</v>
      </c>
      <c r="G1024" s="4" t="str">
        <f>IFERROR(__xludf.DUMMYFUNCTION("GOOGLETRANSLATE(B1024)"),"霹靂")</f>
        <v>霹靂</v>
      </c>
    </row>
    <row r="1025" ht="15.75" customHeight="1">
      <c r="A1025" s="4">
        <v>3879.0</v>
      </c>
      <c r="B1025" s="4" t="s">
        <v>1662</v>
      </c>
      <c r="C1025" s="4" t="s">
        <v>291</v>
      </c>
      <c r="D1025" s="4" t="s">
        <v>1669</v>
      </c>
      <c r="E1025" s="4">
        <v>1.0</v>
      </c>
      <c r="F1025" s="4" t="str">
        <f>IFERROR(__xludf.DUMMYFUNCTION("GOOGLETRANSLATE(D1025)"),"引爆時尚登山電子表防水情侶休閒錶Û_ http://t.co/7dYOgLhMRe http://t.co/HKm3rtD4ZF")</f>
        <v>引爆時尚登山電子表防水情侶休閒錶Û_ http://t.co/7dYOgLhMRe http://t.co/HKm3rtD4ZF</v>
      </c>
      <c r="G1025" s="4" t="str">
        <f>IFERROR(__xludf.DUMMYFUNCTION("GOOGLETRANSLATE(B1025)"),"霹靂")</f>
        <v>霹靂</v>
      </c>
    </row>
    <row r="1026" ht="15.75" customHeight="1">
      <c r="A1026" s="4">
        <v>3893.0</v>
      </c>
      <c r="B1026" s="4" t="s">
        <v>1662</v>
      </c>
      <c r="C1026" s="4" t="s">
        <v>1670</v>
      </c>
      <c r="D1026" s="4" t="s">
        <v>1671</v>
      </c>
      <c r="E1026" s="4">
        <v>1.0</v>
      </c>
      <c r="F1026" s="4" t="str">
        <f>IFERROR(__xludf.DUMMYFUNCTION("GOOGLETRANSLATE(D1026)"),"我們正在前往廣島的路上。
今天是原子彈爆炸70週年紀念日。")</f>
        <v>我們正在前往廣島的路上。
今天是原子彈爆炸70週年紀念日。</v>
      </c>
      <c r="G1026" s="4" t="str">
        <f>IFERROR(__xludf.DUMMYFUNCTION("GOOGLETRANSLATE(B1026)"),"霹靂")</f>
        <v>霹靂</v>
      </c>
    </row>
    <row r="1027" ht="15.75" customHeight="1">
      <c r="A1027" s="4">
        <v>3895.0</v>
      </c>
      <c r="B1027" s="4" t="s">
        <v>1662</v>
      </c>
      <c r="C1027" s="4" t="s">
        <v>1229</v>
      </c>
      <c r="D1027" s="4" t="s">
        <v>1672</v>
      </c>
      <c r="E1027" s="4">
        <v>1.0</v>
      </c>
      <c r="F1027" s="4" t="str">
        <f>IFERROR(__xludf.DUMMYFUNCTION("GOOGLETRANSLATE(D1027)"),"70 年後：廣島與長崎－核爆的後果 @ICRC http://t.co/BKh7Z6CWWl")</f>
        <v>70 年後：廣島與長崎－核爆的後果 @ICRC http://t.co/BKh7Z6CWWl</v>
      </c>
      <c r="G1027" s="4" t="str">
        <f>IFERROR(__xludf.DUMMYFUNCTION("GOOGLETRANSLATE(B1027)"),"霹靂")</f>
        <v>霹靂</v>
      </c>
    </row>
    <row r="1028" ht="15.75" customHeight="1">
      <c r="A1028" s="4">
        <v>3900.0</v>
      </c>
      <c r="B1028" s="4" t="s">
        <v>1673</v>
      </c>
      <c r="C1028" s="4" t="s">
        <v>1674</v>
      </c>
      <c r="D1028" s="4" t="s">
        <v>1675</v>
      </c>
      <c r="E1028" s="4">
        <v>1.0</v>
      </c>
      <c r="F1028" s="4" t="str">
        <f>IFERROR(__xludf.DUMMYFUNCTION("GOOGLETRANSLATE(D1028)"),"曼·庫倫西（Man Currensy）真的在那個演講中說話……如果他比其他人有代筆人，我會更難過……")</f>
        <v>曼·庫倫西（Man Currensy）真的在那個演講中說話……如果他比其他人有代筆人，我會更難過……</v>
      </c>
      <c r="G1028" s="4" t="str">
        <f>IFERROR(__xludf.DUMMYFUNCTION("GOOGLETRANSLATE(B1028)"),"被摧毀的")</f>
        <v>被摧毀的</v>
      </c>
    </row>
    <row r="1029" ht="15.75" customHeight="1">
      <c r="A1029" s="4">
        <v>3901.0</v>
      </c>
      <c r="B1029" s="4" t="s">
        <v>1673</v>
      </c>
      <c r="C1029" s="4" t="s">
        <v>1676</v>
      </c>
      <c r="D1029" s="4" t="s">
        <v>1677</v>
      </c>
      <c r="E1029" s="4">
        <v>1.0</v>
      </c>
      <c r="F1029" s="4" t="str">
        <f>IFERROR(__xludf.DUMMYFUNCTION("GOOGLETRANSLATE(D1029)"),"ÛÏ里士滿教練隊聽到坐在座位上的第二位車手錢斯先生去世的消息感到震驚¤Û_：果醬... http://t.co/y5Yhbb0hkf")</f>
        <v>ÛÏ里士滿教練隊聽到坐在座位上的第二位車手錢斯先生去世的消息感到震驚¤Û_：果醬... http://t.co/y5Yhbb0hkf</v>
      </c>
      <c r="G1029" s="4" t="str">
        <f>IFERROR(__xludf.DUMMYFUNCTION("GOOGLETRANSLATE(B1029)"),"被摧毀的")</f>
        <v>被摧毀的</v>
      </c>
    </row>
    <row r="1030" ht="15.75" customHeight="1">
      <c r="A1030" s="4">
        <v>3903.0</v>
      </c>
      <c r="B1030" s="4" t="s">
        <v>1673</v>
      </c>
      <c r="D1030" s="4" t="s">
        <v>1678</v>
      </c>
      <c r="E1030" s="4">
        <v>1.0</v>
      </c>
      <c r="F1030" s="4" t="str">
        <f>IFERROR(__xludf.DUMMYFUNCTION("GOOGLETRANSLATE(D1030)"),"澤恩·馬利克 &amp;amp;佩里愛德華茲 (Perrie Edwards) 結束訂婚：她徹底崩潰了 http://t.co/GedOxSPpL9 http://t.co/ACZRUOrYtD")</f>
        <v>澤恩·馬利克 &amp;amp;佩里愛德華茲 (Perrie Edwards) 結束訂婚：她徹底崩潰了 http://t.co/GedOxSPpL9 http://t.co/ACZRUOrYtD</v>
      </c>
      <c r="G1030" s="4" t="str">
        <f>IFERROR(__xludf.DUMMYFUNCTION("GOOGLETRANSLATE(B1030)"),"被摧毀的")</f>
        <v>被摧毀的</v>
      </c>
    </row>
    <row r="1031" ht="15.75" customHeight="1">
      <c r="A1031" s="4">
        <v>3904.0</v>
      </c>
      <c r="B1031" s="4" t="s">
        <v>1673</v>
      </c>
      <c r="D1031" s="4" t="s">
        <v>1679</v>
      </c>
      <c r="E1031" s="4">
        <v>1.0</v>
      </c>
      <c r="F1031" s="4" t="str">
        <f>IFERROR(__xludf.DUMMYFUNCTION("GOOGLETRANSLATE(D1031)"),"@UN 不再#GujaratRiot &amp;amp; #MumbaiRiot92-93，#Modi 和#MumbaiRiot93 摧毀了 1000 和 1000 名印度人。 #ChawalChorbjp @UN_Women @UNNewsTeam")</f>
        <v>@UN 不再#GujaratRiot &amp;amp; #MumbaiRiot92-93，#Modi 和#MumbaiRiot93 摧毀了 1000 和 1000 名印度人。 #ChawalChorbjp @UN_Women @UNNewsTeam</v>
      </c>
      <c r="G1031" s="4" t="str">
        <f>IFERROR(__xludf.DUMMYFUNCTION("GOOGLETRANSLATE(B1031)"),"被摧毀的")</f>
        <v>被摧毀的</v>
      </c>
    </row>
    <row r="1032" ht="15.75" customHeight="1">
      <c r="A1032" s="4">
        <v>3905.0</v>
      </c>
      <c r="B1032" s="4" t="s">
        <v>1673</v>
      </c>
      <c r="C1032" s="4" t="s">
        <v>1680</v>
      </c>
      <c r="D1032" s="4" t="s">
        <v>1681</v>
      </c>
      <c r="E1032" s="4">
        <v>1.0</v>
      </c>
      <c r="F1032" s="4" t="str">
        <f>IFERROR(__xludf.DUMMYFUNCTION("GOOGLETRANSLATE(D1032)"),"(#LosDelSonido) 歐巴馬宣布颱風摧毀的塞班島為災難：歐巴馬簽署馬薩諸塞州北部災難聲明... (#IvanBerroa)")</f>
        <v>(#LosDelSonido) 歐巴馬宣布颱風摧毀的塞班島為災難：歐巴馬簽署馬薩諸塞州北部災難聲明... (#IvanBerroa)</v>
      </c>
      <c r="G1032" s="4" t="str">
        <f>IFERROR(__xludf.DUMMYFUNCTION("GOOGLETRANSLATE(B1032)"),"被摧毀的")</f>
        <v>被摧毀的</v>
      </c>
    </row>
    <row r="1033" ht="15.75" customHeight="1">
      <c r="A1033" s="4">
        <v>3906.0</v>
      </c>
      <c r="B1033" s="4" t="s">
        <v>1673</v>
      </c>
      <c r="D1033" s="4" t="s">
        <v>1682</v>
      </c>
      <c r="E1033" s="4">
        <v>1.0</v>
      </c>
      <c r="F1033" s="4" t="str">
        <f>IFERROR(__xludf.DUMMYFUNCTION("GOOGLETRANSLATE(D1033)"),"歐巴馬宣布遭受颱風破壞的塞班島為災難：巴拉克·歐巴馬總統已宣布英聯邦...... http://t.co/4k8OLZv9bV")</f>
        <v>歐巴馬宣布遭受颱風破壞的塞班島為災難：巴拉克·歐巴馬總統已宣布英聯邦...... http://t.co/4k8OLZv9bV</v>
      </c>
      <c r="G1033" s="4" t="str">
        <f>IFERROR(__xludf.DUMMYFUNCTION("GOOGLETRANSLATE(B1033)"),"被摧毀的")</f>
        <v>被摧毀的</v>
      </c>
    </row>
    <row r="1034" ht="15.75" customHeight="1">
      <c r="A1034" s="4">
        <v>3907.0</v>
      </c>
      <c r="B1034" s="4" t="s">
        <v>1673</v>
      </c>
      <c r="D1034" s="4" t="s">
        <v>1683</v>
      </c>
      <c r="E1034" s="4">
        <v>1.0</v>
      </c>
      <c r="F1034" s="4" t="str">
        <f>IFERROR(__xludf.DUMMYFUNCTION("GOOGLETRANSLATE(D1034)"),"歐巴馬宣布遭受颱風破壞的塞班島為災難 #Worldnews http://t.co/9NYXjndoRA")</f>
        <v>歐巴馬宣布遭受颱風破壞的塞班島為災難 #Worldnews http://t.co/9NYXjndoRA</v>
      </c>
      <c r="G1034" s="4" t="str">
        <f>IFERROR(__xludf.DUMMYFUNCTION("GOOGLETRANSLATE(B1034)"),"被摧毀的")</f>
        <v>被摧毀的</v>
      </c>
    </row>
    <row r="1035" ht="15.75" customHeight="1">
      <c r="A1035" s="4">
        <v>3908.0</v>
      </c>
      <c r="B1035" s="4" t="s">
        <v>1673</v>
      </c>
      <c r="C1035" s="4" t="s">
        <v>1684</v>
      </c>
      <c r="D1035" s="4" t="s">
        <v>1685</v>
      </c>
      <c r="E1035" s="4">
        <v>1.0</v>
      </c>
      <c r="F1035" s="4" t="str">
        <f>IFERROR(__xludf.DUMMYFUNCTION("GOOGLETRANSLATE(D1035)"),"歐巴馬宣布遭受颱風摧殘的塞班島為災難：歐巴馬簽署了北瑪莉亞人災難聲明... http://t.co/JCszCJiHlH")</f>
        <v>歐巴馬宣布遭受颱風摧殘的塞班島為災難：歐巴馬簽署了北瑪莉亞人災難聲明... http://t.co/JCszCJiHlH</v>
      </c>
      <c r="G1035" s="4" t="str">
        <f>IFERROR(__xludf.DUMMYFUNCTION("GOOGLETRANSLATE(B1035)"),"被摧毀的")</f>
        <v>被摧毀的</v>
      </c>
    </row>
    <row r="1036" ht="15.75" customHeight="1">
      <c r="A1036" s="4">
        <v>3911.0</v>
      </c>
      <c r="B1036" s="4" t="s">
        <v>1673</v>
      </c>
      <c r="C1036" s="4" t="s">
        <v>23</v>
      </c>
      <c r="D1036" s="4" t="s">
        <v>1686</v>
      </c>
      <c r="E1036" s="4">
        <v>1.0</v>
      </c>
      <c r="F1036" s="4" t="str">
        <f>IFERROR(__xludf.DUMMYFUNCTION("GOOGLETRANSLATE(D1036)"),"ÛÏ里士滿教練隊聽到坐在座位上的第二位車手錢斯先生去世的消息感到非常震驚¤Û_：果醬... http://t.co/sHKiMonMlw")</f>
        <v>ÛÏ里士滿教練隊聽到坐在座位上的第二位車手錢斯先生去世的消息感到非常震驚¤Û_：果醬... http://t.co/sHKiMonMlw</v>
      </c>
      <c r="G1036" s="4" t="str">
        <f>IFERROR(__xludf.DUMMYFUNCTION("GOOGLETRANSLATE(B1036)"),"被摧毀的")</f>
        <v>被摧毀的</v>
      </c>
    </row>
    <row r="1037" ht="15.75" customHeight="1">
      <c r="A1037" s="4">
        <v>3913.0</v>
      </c>
      <c r="B1037" s="4" t="s">
        <v>1673</v>
      </c>
      <c r="C1037" s="4" t="s">
        <v>1687</v>
      </c>
      <c r="D1037" s="4" t="s">
        <v>1688</v>
      </c>
      <c r="E1037" s="4">
        <v>1.0</v>
      </c>
      <c r="F1037" s="4" t="str">
        <f>IFERROR(__xludf.DUMMYFUNCTION("GOOGLETRANSLATE(D1037)"),"歐巴馬宣布颱風摧毀的塞班島為災難：歐巴馬簽署北瑪莉亞災難聲明... http://t.co/1i19CuOv7L")</f>
        <v>歐巴馬宣布颱風摧毀的塞班島為災難：歐巴馬簽署北瑪莉亞災難聲明... http://t.co/1i19CuOv7L</v>
      </c>
      <c r="G1037" s="4" t="str">
        <f>IFERROR(__xludf.DUMMYFUNCTION("GOOGLETRANSLATE(B1037)"),"被摧毀的")</f>
        <v>被摧毀的</v>
      </c>
    </row>
    <row r="1038" ht="15.75" customHeight="1">
      <c r="A1038" s="4">
        <v>3914.0</v>
      </c>
      <c r="B1038" s="4" t="s">
        <v>1673</v>
      </c>
      <c r="C1038" s="4" t="s">
        <v>183</v>
      </c>
      <c r="D1038" s="4" t="s">
        <v>1689</v>
      </c>
      <c r="E1038" s="4">
        <v>1.0</v>
      </c>
      <c r="F1038" s="4" t="str">
        <f>IFERROR(__xludf.DUMMYFUNCTION("GOOGLETRANSLATE(D1038)"),"ÛÏ里士滿教練隊聽到坐在座位上的第二位車手錢斯先生去世的消息感到震驚¤Û_：果醬... http://t.co/dIalTa6t69")</f>
        <v>ÛÏ里士滿教練隊聽到坐在座位上的第二位車手錢斯先生去世的消息感到震驚¤Û_：果醬... http://t.co/dIalTa6t69</v>
      </c>
      <c r="G1038" s="4" t="str">
        <f>IFERROR(__xludf.DUMMYFUNCTION("GOOGLETRANSLATE(B1038)"),"被摧毀的")</f>
        <v>被摧毀的</v>
      </c>
    </row>
    <row r="1039" ht="15.75" customHeight="1">
      <c r="A1039" s="4">
        <v>3916.0</v>
      </c>
      <c r="B1039" s="4" t="s">
        <v>1673</v>
      </c>
      <c r="D1039" s="4" t="s">
        <v>1690</v>
      </c>
      <c r="E1039" s="4">
        <v>1.0</v>
      </c>
      <c r="F1039" s="4" t="str">
        <f>IFERROR(__xludf.DUMMYFUNCTION("GOOGLETRANSLATE(D1039)"),"歐巴馬宣布遭受颱風襲擊的塞班島為災難：歐巴馬簽署了北瑪麗亞人災難聲明... http://t.co/U8Ykr63B1G")</f>
        <v>歐巴馬宣布遭受颱風襲擊的塞班島為災難：歐巴馬簽署了北瑪麗亞人災難聲明... http://t.co/U8Ykr63B1G</v>
      </c>
      <c r="G1039" s="4" t="str">
        <f>IFERROR(__xludf.DUMMYFUNCTION("GOOGLETRANSLATE(B1039)"),"被摧毀的")</f>
        <v>被摧毀的</v>
      </c>
    </row>
    <row r="1040" ht="15.75" customHeight="1">
      <c r="A1040" s="4">
        <v>3919.0</v>
      </c>
      <c r="B1040" s="4" t="s">
        <v>1673</v>
      </c>
      <c r="C1040" s="4" t="s">
        <v>1691</v>
      </c>
      <c r="D1040" s="4" t="s">
        <v>1692</v>
      </c>
      <c r="E1040" s="4">
        <v>1.0</v>
      </c>
      <c r="F1040" s="4" t="str">
        <f>IFERROR(__xludf.DUMMYFUNCTION("GOOGLETRANSLATE(D1040)"),"歐巴馬宣布遭受颱風襲擊的塞班島為災難：歐巴馬簽署了北瑪麗亞人災難聲明... http://t.co/a1MoeJxqyA")</f>
        <v>歐巴馬宣布遭受颱風襲擊的塞班島為災難：歐巴馬簽署了北瑪麗亞人災難聲明... http://t.co/a1MoeJxqyA</v>
      </c>
      <c r="G1040" s="4" t="str">
        <f>IFERROR(__xludf.DUMMYFUNCTION("GOOGLETRANSLATE(B1040)"),"被摧毀的")</f>
        <v>被摧毀的</v>
      </c>
    </row>
    <row r="1041" ht="15.75" customHeight="1">
      <c r="A1041" s="4">
        <v>3933.0</v>
      </c>
      <c r="B1041" s="4" t="s">
        <v>1673</v>
      </c>
      <c r="D1041" s="4" t="s">
        <v>1693</v>
      </c>
      <c r="E1041" s="4">
        <v>1.0</v>
      </c>
      <c r="F1041" s="4" t="str">
        <f>IFERROR(__xludf.DUMMYFUNCTION("GOOGLETRANSLATE(D1041)"),"abcnews - 歐巴馬宣布遭受颱風襲擊的塞班島為災難：歐巴馬簽署北部災難聲明... http://t.co/mg5eAJElul")</f>
        <v>abcnews - 歐巴馬宣布遭受颱風襲擊的塞班島為災難：歐巴馬簽署北部災難聲明... http://t.co/mg5eAJElul</v>
      </c>
      <c r="G1041" s="4" t="str">
        <f>IFERROR(__xludf.DUMMYFUNCTION("GOOGLETRANSLATE(B1041)"),"被摧毀的")</f>
        <v>被摧毀的</v>
      </c>
    </row>
    <row r="1042" ht="15.75" customHeight="1">
      <c r="A1042" s="4">
        <v>3935.0</v>
      </c>
      <c r="B1042" s="4" t="s">
        <v>1673</v>
      </c>
      <c r="C1042" s="4" t="s">
        <v>1694</v>
      </c>
      <c r="D1042" s="4" t="s">
        <v>1695</v>
      </c>
      <c r="E1042" s="4">
        <v>1.0</v>
      </c>
      <c r="F1042" s="4" t="str">
        <f>IFERROR(__xludf.DUMMYFUNCTION("GOOGLETRANSLATE(D1042)"),"'呃室內將會被摧毀。安息吧阿爾富爾。 #喬治科爾")</f>
        <v>'呃室內將會被摧毀。安息吧阿爾富爾。 #喬治科爾</v>
      </c>
      <c r="G1042" s="4" t="str">
        <f>IFERROR(__xludf.DUMMYFUNCTION("GOOGLETRANSLATE(B1042)"),"被摧毀的")</f>
        <v>被摧毀的</v>
      </c>
    </row>
    <row r="1043" ht="15.75" customHeight="1">
      <c r="A1043" s="4">
        <v>3936.0</v>
      </c>
      <c r="B1043" s="4" t="s">
        <v>1673</v>
      </c>
      <c r="C1043" s="4" t="s">
        <v>1696</v>
      </c>
      <c r="D1043" s="4" t="s">
        <v>1697</v>
      </c>
      <c r="E1043" s="4">
        <v>1.0</v>
      </c>
      <c r="F1043" s="4" t="str">
        <f>IFERROR(__xludf.DUMMYFUNCTION("GOOGLETRANSLATE(D1043)"),"@argentings 我們本可以擁有它 AAAAAAALLLL 我甚至不在那個季節，我很沮喪")</f>
        <v>@argentings 我們本可以擁有它 AAAAAAALLLL 我甚至不在那個季節，我很沮喪</v>
      </c>
      <c r="G1043" s="4" t="str">
        <f>IFERROR(__xludf.DUMMYFUNCTION("GOOGLETRANSLATE(B1043)"),"被摧毀的")</f>
        <v>被摧毀的</v>
      </c>
    </row>
    <row r="1044" ht="15.75" customHeight="1">
      <c r="A1044" s="4">
        <v>3937.0</v>
      </c>
      <c r="B1044" s="4" t="s">
        <v>1673</v>
      </c>
      <c r="D1044" s="4" t="s">
        <v>1698</v>
      </c>
      <c r="E1044" s="4">
        <v>1.0</v>
      </c>
      <c r="F1044" s="4" t="str">
        <f>IFERROR(__xludf.DUMMYFUNCTION("GOOGLETRANSLATE(D1044)"),"歐巴馬宣布颱風肆虐的塞班島陷入災難：http://t.co/M6LvKXl9ii")</f>
        <v>歐巴馬宣布颱風肆虐的塞班島陷入災難：http://t.co/M6LvKXl9ii</v>
      </c>
      <c r="G1044" s="4" t="str">
        <f>IFERROR(__xludf.DUMMYFUNCTION("GOOGLETRANSLATE(B1044)"),"被摧毀的")</f>
        <v>被摧毀的</v>
      </c>
    </row>
    <row r="1045" ht="15.75" customHeight="1">
      <c r="A1045" s="4">
        <v>3947.0</v>
      </c>
      <c r="B1045" s="4" t="s">
        <v>1673</v>
      </c>
      <c r="C1045" s="4" t="s">
        <v>1699</v>
      </c>
      <c r="D1045" s="4" t="s">
        <v>1700</v>
      </c>
      <c r="E1045" s="4">
        <v>1.0</v>
      </c>
      <c r="F1045" s="4" t="str">
        <f>IFERROR(__xludf.DUMMYFUNCTION("GOOGLETRANSLATE(D1045)"),"歐巴馬宣布遭受颱風襲擊的塞班島為災難：歐巴馬簽署了北瑪麗亞人災難聲明... http://t.co/XDt4VHFn7B")</f>
        <v>歐巴馬宣布遭受颱風襲擊的塞班島為災難：歐巴馬簽署了北瑪麗亞人災難聲明... http://t.co/XDt4VHFn7B</v>
      </c>
      <c r="G1045" s="4" t="str">
        <f>IFERROR(__xludf.DUMMYFUNCTION("GOOGLETRANSLATE(B1045)"),"被摧毀的")</f>
        <v>被摧毀的</v>
      </c>
    </row>
    <row r="1046" ht="15.75" customHeight="1">
      <c r="A1046" s="4">
        <v>3948.0</v>
      </c>
      <c r="B1046" s="4" t="s">
        <v>1701</v>
      </c>
      <c r="C1046" s="4" t="s">
        <v>1702</v>
      </c>
      <c r="D1046" s="4" t="s">
        <v>1703</v>
      </c>
      <c r="E1046" s="4">
        <v>1.0</v>
      </c>
      <c r="F1046" s="4" t="str">
        <f>IFERROR(__xludf.DUMMYFUNCTION("GOOGLETRANSLATE(D1046)"),"@WesleyLowery ??????你將如何在這場災難中倖存下來？")</f>
        <v>@WesleyLowery ??????你將如何在這場災難中倖存下來？</v>
      </c>
      <c r="G1046" s="4" t="str">
        <f>IFERROR(__xludf.DUMMYFUNCTION("GOOGLETRANSLATE(B1046)"),"破壞")</f>
        <v>破壞</v>
      </c>
    </row>
    <row r="1047" ht="15.75" customHeight="1">
      <c r="A1047" s="4">
        <v>3949.0</v>
      </c>
      <c r="B1047" s="4" t="s">
        <v>1701</v>
      </c>
      <c r="D1047" s="4" t="s">
        <v>1704</v>
      </c>
      <c r="E1047" s="4">
        <v>1.0</v>
      </c>
      <c r="F1047" s="4" t="str">
        <f>IFERROR(__xludf.DUMMYFUNCTION("GOOGLETRANSLATE(D1047)"),"我感到非常震驚和震驚，你不去上班就是為了感受我現在的感受。人生真的太短了？？")</f>
        <v>我感到非常震驚和震驚，你不去上班就是為了感受我現在的感受。人生真的太短了？？</v>
      </c>
      <c r="G1047" s="4" t="str">
        <f>IFERROR(__xludf.DUMMYFUNCTION("GOOGLETRANSLATE(B1047)"),"破壞")</f>
        <v>破壞</v>
      </c>
    </row>
    <row r="1048" ht="15.75" customHeight="1">
      <c r="A1048" s="4">
        <v>3950.0</v>
      </c>
      <c r="B1048" s="4" t="s">
        <v>1701</v>
      </c>
      <c r="C1048" s="4" t="s">
        <v>1705</v>
      </c>
      <c r="D1048" s="4" t="s">
        <v>1706</v>
      </c>
      <c r="E1048" s="4">
        <v>1.0</v>
      </c>
      <c r="F1048" s="4" t="str">
        <f>IFERROR(__xludf.DUMMYFUNCTION("GOOGLETRANSLATE(D1048)"),"在這個脆弱的全球經濟中，考慮到替代方案會造成的破壞…這是最好的理由…https://t.co/zwVyisyP2B")</f>
        <v>在這個脆弱的全球經濟中，考慮到替代方案會造成的破壞…這是最好的理由…https://t.co/zwVyisyP2B</v>
      </c>
      <c r="G1048" s="4" t="str">
        <f>IFERROR(__xludf.DUMMYFUNCTION("GOOGLETRANSLATE(B1048)"),"破壞")</f>
        <v>破壞</v>
      </c>
    </row>
    <row r="1049" ht="15.75" customHeight="1">
      <c r="A1049" s="4">
        <v>3951.0</v>
      </c>
      <c r="B1049" s="4" t="s">
        <v>1701</v>
      </c>
      <c r="D1049" s="4" t="s">
        <v>1707</v>
      </c>
      <c r="E1049" s="4">
        <v>1.0</v>
      </c>
      <c r="F1049" s="4" t="str">
        <f>IFERROR(__xludf.DUMMYFUNCTION("GOOGLETRANSLATE(D1049)"),"在卡爾米基亞、阿斯特拉罕、伏爾加格勒和達吉斯坦，蝗蟲已經沒有食物了
  http://t.co/79Fw9zWxtP 來自 @TIMEWorld")</f>
        <v>在卡爾米基亞、阿斯特拉罕、伏爾加格勒和達吉斯坦，蝗蟲已經沒有食物了
  http://t.co/79Fw9zWxtP 來自 @TIMEWorld</v>
      </c>
      <c r="G1049" s="4" t="str">
        <f>IFERROR(__xludf.DUMMYFUNCTION("GOOGLETRANSLATE(B1049)"),"破壞")</f>
        <v>破壞</v>
      </c>
    </row>
    <row r="1050" ht="15.75" customHeight="1">
      <c r="A1050" s="4">
        <v>3952.0</v>
      </c>
      <c r="B1050" s="4" t="s">
        <v>1701</v>
      </c>
      <c r="C1050" s="4" t="s">
        <v>1708</v>
      </c>
      <c r="D1050" s="4" t="s">
        <v>1709</v>
      </c>
      <c r="E1050" s="4">
        <v>1.0</v>
      </c>
      <c r="F1050" s="4" t="str">
        <f>IFERROR(__xludf.DUMMYFUNCTION("GOOGLETRANSLATE(D1050)"),"原子彈爆炸 70 年後，日本仍在與戰爭奮戰")</f>
        <v>原子彈爆炸 70 年後，日本仍在與戰爭奮戰</v>
      </c>
      <c r="G1050" s="4" t="str">
        <f>IFERROR(__xludf.DUMMYFUNCTION("GOOGLETRANSLATE(B1050)"),"破壞")</f>
        <v>破壞</v>
      </c>
    </row>
    <row r="1051" ht="15.75" customHeight="1">
      <c r="A1051" s="4">
        <v>3954.0</v>
      </c>
      <c r="B1051" s="4" t="s">
        <v>1701</v>
      </c>
      <c r="C1051" s="4" t="s">
        <v>915</v>
      </c>
      <c r="D1051" s="4" t="s">
        <v>1710</v>
      </c>
      <c r="E1051" s="4">
        <v>1.0</v>
      </c>
      <c r="F1051" s="4" t="str">
        <f>IFERROR(__xludf.DUMMYFUNCTION("GOOGLETRANSLATE(D1051)"),"http://t.co/IQoWZgvZNl #LatestNews #CNBC #CNN
首次軍事使用原子武器造成的破壞週年紀念日")</f>
        <v>http://t.co/IQoWZgvZNl #LatestNews #CNBC #CNN
首次軍事使用原子武器造成的破壞週年紀念日</v>
      </c>
      <c r="G1051" s="4" t="str">
        <f>IFERROR(__xludf.DUMMYFUNCTION("GOOGLETRANSLATE(B1051)"),"破壞")</f>
        <v>破壞</v>
      </c>
    </row>
    <row r="1052" ht="15.75" customHeight="1">
      <c r="A1052" s="4">
        <v>3955.0</v>
      </c>
      <c r="B1052" s="4" t="s">
        <v>1701</v>
      </c>
      <c r="C1052" s="4" t="s">
        <v>1711</v>
      </c>
      <c r="D1052" s="4" t="s">
        <v>1712</v>
      </c>
      <c r="E1052" s="4">
        <v>1.0</v>
      </c>
      <c r="F1052" s="4" t="str">
        <f>IFERROR(__xludf.DUMMYFUNCTION("GOOGLETRANSLATE(D1052)"),"原子彈爆炸 70 年後，日本仍在與戰爭奮戰")</f>
        <v>原子彈爆炸 70 年後，日本仍在與戰爭奮戰</v>
      </c>
      <c r="G1052" s="4" t="str">
        <f>IFERROR(__xludf.DUMMYFUNCTION("GOOGLETRANSLATE(B1052)"),"破壞")</f>
        <v>破壞</v>
      </c>
    </row>
    <row r="1053" ht="15.75" customHeight="1">
      <c r="A1053" s="4">
        <v>3956.0</v>
      </c>
      <c r="B1053" s="4" t="s">
        <v>1701</v>
      </c>
      <c r="D1053" s="4" t="s">
        <v>1713</v>
      </c>
      <c r="E1053" s="4">
        <v>1.0</v>
      </c>
      <c r="F1053" s="4" t="str">
        <f>IFERROR(__xludf.DUMMYFUNCTION("GOOGLETRANSLATE(D1053)"),"原子彈爆炸 70 年後，日本仍在與戰爭奮戰")</f>
        <v>原子彈爆炸 70 年後，日本仍在與戰爭奮戰</v>
      </c>
      <c r="G1053" s="4" t="str">
        <f>IFERROR(__xludf.DUMMYFUNCTION("GOOGLETRANSLATE(B1053)"),"破壞")</f>
        <v>破壞</v>
      </c>
    </row>
    <row r="1054" ht="15.75" customHeight="1">
      <c r="A1054" s="4">
        <v>3957.0</v>
      </c>
      <c r="B1054" s="4" t="s">
        <v>1701</v>
      </c>
      <c r="C1054" s="4" t="s">
        <v>1714</v>
      </c>
      <c r="D1054" s="4" t="s">
        <v>1715</v>
      </c>
      <c r="E1054" s="4">
        <v>1.0</v>
      </c>
      <c r="F1054" s="4" t="str">
        <f>IFERROR(__xludf.DUMMYFUNCTION("GOOGLETRANSLATE(D1054)"),"@cllrraymogford 事實上，雷的破壞會更加全面#Hiroshima")</f>
        <v>@cllrraymogford 事實上，雷的破壞會更加全面#Hiroshima</v>
      </c>
      <c r="G1054" s="4" t="str">
        <f>IFERROR(__xludf.DUMMYFUNCTION("GOOGLETRANSLATE(B1054)"),"破壞")</f>
        <v>破壞</v>
      </c>
    </row>
    <row r="1055" ht="15.75" customHeight="1">
      <c r="A1055" s="4">
        <v>3958.0</v>
      </c>
      <c r="B1055" s="4" t="s">
        <v>1701</v>
      </c>
      <c r="D1055" s="4" t="s">
        <v>1716</v>
      </c>
      <c r="E1055" s="4">
        <v>1.0</v>
      </c>
      <c r="F1055" s="4" t="str">
        <f>IFERROR(__xludf.DUMMYFUNCTION("GOOGLETRANSLATE(D1055)"),"原子彈爆炸 70 年後，日本仍在與戰時過去奮戰：災難週年紀念... http://t.co/EfsA6pbeMC")</f>
        <v>原子彈爆炸 70 年後，日本仍在與戰時過去奮戰：災難週年紀念... http://t.co/EfsA6pbeMC</v>
      </c>
      <c r="G1055" s="4" t="str">
        <f>IFERROR(__xludf.DUMMYFUNCTION("GOOGLETRANSLATE(B1055)"),"破壞")</f>
        <v>破壞</v>
      </c>
    </row>
    <row r="1056" ht="15.75" customHeight="1">
      <c r="A1056" s="4">
        <v>3960.0</v>
      </c>
      <c r="B1056" s="4" t="s">
        <v>1701</v>
      </c>
      <c r="C1056" s="4" t="s">
        <v>627</v>
      </c>
      <c r="D1056" s="4" t="s">
        <v>1717</v>
      </c>
      <c r="E1056" s="4">
        <v>1.0</v>
      </c>
      <c r="F1056" s="4" t="str">
        <f>IFERROR(__xludf.DUMMYFUNCTION("GOOGLETRANSLATE(D1056)"),"原子彈爆炸 70 年後，日本仍在與戰爭奮戰")</f>
        <v>原子彈爆炸 70 年後，日本仍在與戰爭奮戰</v>
      </c>
      <c r="G1056" s="4" t="str">
        <f>IFERROR(__xludf.DUMMYFUNCTION("GOOGLETRANSLATE(B1056)"),"破壞")</f>
        <v>破壞</v>
      </c>
    </row>
    <row r="1057" ht="15.75" customHeight="1">
      <c r="A1057" s="4">
        <v>3961.0</v>
      </c>
      <c r="B1057" s="4" t="s">
        <v>1701</v>
      </c>
      <c r="C1057" s="4" t="s">
        <v>1718</v>
      </c>
      <c r="D1057" s="4" t="s">
        <v>1719</v>
      </c>
      <c r="E1057" s="4">
        <v>1.0</v>
      </c>
      <c r="F1057" s="4" t="str">
        <f>IFERROR(__xludf.DUMMYFUNCTION("GOOGLETRANSLATE(D1057)"),"經典 WWW ÛÓ 廣島/長崎：隱藏數十年的原子毀滅：廣島和長崎的人民...... http://t.co/pLo2QkrWHu")</f>
        <v>經典 WWW ÛÓ 廣島/長崎：隱藏數十年的原子毀滅：廣島和長崎的人民...... http://t.co/pLo2QkrWHu</v>
      </c>
      <c r="G1057" s="4" t="str">
        <f>IFERROR(__xludf.DUMMYFUNCTION("GOOGLETRANSLATE(B1057)"),"破壞")</f>
        <v>破壞</v>
      </c>
    </row>
    <row r="1058" ht="15.75" customHeight="1">
      <c r="A1058" s="4">
        <v>3962.0</v>
      </c>
      <c r="B1058" s="4" t="s">
        <v>1701</v>
      </c>
      <c r="C1058" s="4" t="s">
        <v>1720</v>
      </c>
      <c r="D1058" s="4" t="s">
        <v>1721</v>
      </c>
      <c r="E1058" s="4">
        <v>1.0</v>
      </c>
      <c r="F1058" s="4" t="str">
        <f>IFERROR(__xludf.DUMMYFUNCTION("GOOGLETRANSLATE(D1058)"),"原子彈爆炸 70 年後，日本仍在與戰爭奮戰")</f>
        <v>原子彈爆炸 70 年後，日本仍在與戰爭奮戰</v>
      </c>
      <c r="G1058" s="4" t="str">
        <f>IFERROR(__xludf.DUMMYFUNCTION("GOOGLETRANSLATE(B1058)"),"破壞")</f>
        <v>破壞</v>
      </c>
    </row>
    <row r="1059" ht="15.75" customHeight="1">
      <c r="A1059" s="4">
        <v>3964.0</v>
      </c>
      <c r="B1059" s="4" t="s">
        <v>1701</v>
      </c>
      <c r="D1059" s="4" t="s">
        <v>1722</v>
      </c>
      <c r="E1059" s="4">
        <v>1.0</v>
      </c>
      <c r="F1059" s="4" t="str">
        <f>IFERROR(__xludf.DUMMYFUNCTION("GOOGLETRANSLATE(D1059)"),"#HungerArticles：尼泊爾：地震破壞後重建生活與生計 http://t.co/LROuWjMbIx")</f>
        <v>#HungerArticles：尼泊爾：地震破壞後重建生活與生計 http://t.co/LROuWjMbIx</v>
      </c>
      <c r="G1059" s="4" t="str">
        <f>IFERROR(__xludf.DUMMYFUNCTION("GOOGLETRANSLATE(B1059)"),"破壞")</f>
        <v>破壞</v>
      </c>
    </row>
    <row r="1060" ht="15.75" customHeight="1">
      <c r="A1060" s="4">
        <v>3967.0</v>
      </c>
      <c r="B1060" s="4" t="s">
        <v>1701</v>
      </c>
      <c r="C1060" s="4" t="s">
        <v>620</v>
      </c>
      <c r="D1060" s="4" t="s">
        <v>1723</v>
      </c>
      <c r="E1060" s="4">
        <v>1.0</v>
      </c>
      <c r="F1060" s="4" t="str">
        <f>IFERROR(__xludf.DUMMYFUNCTION("GOOGLETRANSLATE(D1060)"),"原子彈爆炸 70 年後，日本仍在與過去的戰爭作鬥爭 http://t.co/5wfXbAQMBK 日本原子彈爆炸造成的破壞週年紀念日")</f>
        <v>原子彈爆炸 70 年後，日本仍在與過去的戰爭作鬥爭 http://t.co/5wfXbAQMBK 日本原子彈爆炸造成的破壞週年紀念日</v>
      </c>
      <c r="G1060" s="4" t="str">
        <f>IFERROR(__xludf.DUMMYFUNCTION("GOOGLETRANSLATE(B1060)"),"破壞")</f>
        <v>破壞</v>
      </c>
    </row>
    <row r="1061" ht="15.75" customHeight="1">
      <c r="A1061" s="4">
        <v>3968.0</v>
      </c>
      <c r="B1061" s="4" t="s">
        <v>1701</v>
      </c>
      <c r="C1061" s="4" t="s">
        <v>1724</v>
      </c>
      <c r="D1061" s="4" t="s">
        <v>1725</v>
      </c>
      <c r="E1061" s="4">
        <v>1.0</v>
      </c>
      <c r="F1061" s="4" t="str">
        <f>IFERROR(__xludf.DUMMYFUNCTION("GOOGLETRANSLATE(D1061)"),"原子彈爆炸 70 年後，日本仍在與戰爭奮戰")</f>
        <v>原子彈爆炸 70 年後，日本仍在與戰爭奮戰</v>
      </c>
      <c r="G1061" s="4" t="str">
        <f>IFERROR(__xludf.DUMMYFUNCTION("GOOGLETRANSLATE(B1061)"),"破壞")</f>
        <v>破壞</v>
      </c>
    </row>
    <row r="1062" ht="15.75" customHeight="1">
      <c r="A1062" s="4">
        <v>3970.0</v>
      </c>
      <c r="B1062" s="4" t="s">
        <v>1701</v>
      </c>
      <c r="C1062" s="4" t="s">
        <v>803</v>
      </c>
      <c r="D1062" s="4" t="s">
        <v>1726</v>
      </c>
      <c r="E1062" s="4">
        <v>1.0</v>
      </c>
      <c r="F1062" s="4" t="str">
        <f>IFERROR(__xludf.DUMMYFUNCTION("GOOGLETRANSLATE(D1062)"),"@Pam_Palmater 我同意@perrybellegarde 出去&amp;amp;投票。看看@pmharper 造成的破壞#FirstNations #IdleNoMore #cndpoli #yyj")</f>
        <v>@Pam_Palmater 我同意@perrybellegarde 出去&amp;amp;投票。看看@pmharper 造成的破壞#FirstNations #IdleNoMore #cndpoli #yyj</v>
      </c>
      <c r="G1062" s="4" t="str">
        <f>IFERROR(__xludf.DUMMYFUNCTION("GOOGLETRANSLATE(B1062)"),"破壞")</f>
        <v>破壞</v>
      </c>
    </row>
    <row r="1063" ht="15.75" customHeight="1">
      <c r="A1063" s="4">
        <v>3977.0</v>
      </c>
      <c r="B1063" s="4" t="s">
        <v>1701</v>
      </c>
      <c r="C1063" s="4" t="s">
        <v>1727</v>
      </c>
      <c r="D1063" s="4" t="s">
        <v>1728</v>
      </c>
      <c r="E1063" s="4">
        <v>1.0</v>
      </c>
      <c r="F1063" s="4" t="str">
        <f>IFERROR(__xludf.DUMMYFUNCTION("GOOGLETRANSLATE(D1063)"),"原子彈爆炸 70 年後，日本仍在與戰爭奮戰")</f>
        <v>原子彈爆炸 70 年後，日本仍在與戰爭奮戰</v>
      </c>
      <c r="G1063" s="4" t="str">
        <f>IFERROR(__xludf.DUMMYFUNCTION("GOOGLETRANSLATE(B1063)"),"破壞")</f>
        <v>破壞</v>
      </c>
    </row>
    <row r="1064" ht="15.75" customHeight="1">
      <c r="A1064" s="4">
        <v>3979.0</v>
      </c>
      <c r="B1064" s="4" t="s">
        <v>1701</v>
      </c>
      <c r="C1064" s="4" t="s">
        <v>1729</v>
      </c>
      <c r="D1064" s="4" t="s">
        <v>1730</v>
      </c>
      <c r="E1064" s="4">
        <v>1.0</v>
      </c>
      <c r="F1064" s="4" t="str">
        <f>IFERROR(__xludf.DUMMYFUNCTION("GOOGLETRANSLATE(D1064)"),"#釷放射性武器。醜聞、謀殺與環境破壞：- 影片 http://t.co/mly7sDN6eV")</f>
        <v>#釷放射性武器。醜聞、謀殺與環境破壞：- 影片 http://t.co/mly7sDN6eV</v>
      </c>
      <c r="G1064" s="4" t="str">
        <f>IFERROR(__xludf.DUMMYFUNCTION("GOOGLETRANSLATE(B1064)"),"破壞")</f>
        <v>破壞</v>
      </c>
    </row>
    <row r="1065" ht="15.75" customHeight="1">
      <c r="A1065" s="4">
        <v>3982.0</v>
      </c>
      <c r="B1065" s="4" t="s">
        <v>1701</v>
      </c>
      <c r="D1065" s="4" t="s">
        <v>1731</v>
      </c>
      <c r="E1065" s="4">
        <v>1.0</v>
      </c>
      <c r="F1065" s="4" t="str">
        <f>IFERROR(__xludf.DUMMYFUNCTION("GOOGLETRANSLATE(D1065)"),"原子彈爆炸 70 年後，日本仍在與戰爭奮戰")</f>
        <v>原子彈爆炸 70 年後，日本仍在與戰爭奮戰</v>
      </c>
      <c r="G1065" s="4" t="str">
        <f>IFERROR(__xludf.DUMMYFUNCTION("GOOGLETRANSLATE(B1065)"),"破壞")</f>
        <v>破壞</v>
      </c>
    </row>
    <row r="1066" ht="15.75" customHeight="1">
      <c r="A1066" s="4">
        <v>3983.0</v>
      </c>
      <c r="B1066" s="4" t="s">
        <v>1701</v>
      </c>
      <c r="D1066" s="4" t="s">
        <v>1732</v>
      </c>
      <c r="E1066" s="4">
        <v>1.0</v>
      </c>
      <c r="F1066" s="4" t="str">
        <f>IFERROR(__xludf.DUMMYFUNCTION("GOOGLETRANSLATE(D1066)"),"原子彈爆炸 70 年後，日本仍在與戰爭奮戰")</f>
        <v>原子彈爆炸 70 年後，日本仍在與戰爭奮戰</v>
      </c>
      <c r="G1066" s="4" t="str">
        <f>IFERROR(__xludf.DUMMYFUNCTION("GOOGLETRANSLATE(B1066)"),"破壞")</f>
        <v>破壞</v>
      </c>
    </row>
    <row r="1067" ht="15.75" customHeight="1">
      <c r="A1067" s="4">
        <v>3984.0</v>
      </c>
      <c r="B1067" s="4" t="s">
        <v>1701</v>
      </c>
      <c r="C1067" s="4" t="s">
        <v>1733</v>
      </c>
      <c r="D1067" s="4" t="s">
        <v>1734</v>
      </c>
      <c r="E1067" s="4">
        <v>1.0</v>
      </c>
      <c r="F1067" s="4" t="str">
        <f>IFERROR(__xludf.DUMMYFUNCTION("GOOGLETRANSLATE(D1067)"),"如果您所在的城市是#廣島原子彈爆炸的對象，它會是什麼樣子？提示——毀滅。 #BeyondtheBomb http://t.co/3nKcUlGVMW")</f>
        <v>如果您所在的城市是#廣島原子彈爆炸的對象，它會是什麼樣子？提示——毀滅。 #BeyondtheBomb http://t.co/3nKcUlGVMW</v>
      </c>
      <c r="G1067" s="4" t="str">
        <f>IFERROR(__xludf.DUMMYFUNCTION("GOOGLETRANSLATE(B1067)"),"破壞")</f>
        <v>破壞</v>
      </c>
    </row>
    <row r="1068" ht="15.75" customHeight="1">
      <c r="A1068" s="4">
        <v>3990.0</v>
      </c>
      <c r="B1068" s="4" t="s">
        <v>1701</v>
      </c>
      <c r="C1068" s="4" t="s">
        <v>374</v>
      </c>
      <c r="D1068" s="4" t="s">
        <v>1735</v>
      </c>
      <c r="E1068" s="4">
        <v>1.0</v>
      </c>
      <c r="F1068" s="4" t="str">
        <f>IFERROR(__xludf.DUMMYFUNCTION("GOOGLETRANSLATE(D1068)"),"使用我們的插圖幫助陪審員了解內傷的真正破壞性，獲得 1000 萬美元的和解：http://t.co/2BaXg1WdPP")</f>
        <v>使用我們的插圖幫助陪審員了解內傷的真正破壞性，獲得 1000 萬美元的和解：http://t.co/2BaXg1WdPP</v>
      </c>
      <c r="G1068" s="4" t="str">
        <f>IFERROR(__xludf.DUMMYFUNCTION("GOOGLETRANSLATE(B1068)"),"破壞")</f>
        <v>破壞</v>
      </c>
    </row>
    <row r="1069" ht="15.75" customHeight="1">
      <c r="A1069" s="4">
        <v>3992.0</v>
      </c>
      <c r="B1069" s="4" t="s">
        <v>1701</v>
      </c>
      <c r="D1069" s="4" t="s">
        <v>1736</v>
      </c>
      <c r="E1069" s="4">
        <v>1.0</v>
      </c>
      <c r="F1069" s="4" t="str">
        <f>IFERROR(__xludf.DUMMYFUNCTION("GOOGLETRANSLATE(D1069)"),"原子彈爆炸 70 年後，日本仍在與戰爭奮戰")</f>
        <v>原子彈爆炸 70 年後，日本仍在與戰爭奮戰</v>
      </c>
      <c r="G1069" s="4" t="str">
        <f>IFERROR(__xludf.DUMMYFUNCTION("GOOGLETRANSLATE(B1069)"),"破壞")</f>
        <v>破壞</v>
      </c>
    </row>
    <row r="1070" ht="15.75" customHeight="1">
      <c r="A1070" s="4">
        <v>3993.0</v>
      </c>
      <c r="B1070" s="4" t="s">
        <v>1701</v>
      </c>
      <c r="D1070" s="4" t="s">
        <v>1737</v>
      </c>
      <c r="E1070" s="4">
        <v>1.0</v>
      </c>
      <c r="F1070" s="4" t="str">
        <f>IFERROR(__xludf.DUMMYFUNCTION("GOOGLETRANSLATE(D1070)"),"#health #Newyear 首次軍事使用原子武器造成的破壞週年紀念日來臨... http://t.co/yuo7jDnijx")</f>
        <v>#health #Newyear 首次軍事使用原子武器造成的破壞週年紀念日來臨... http://t.co/yuo7jDnijx</v>
      </c>
      <c r="G1070" s="4" t="str">
        <f>IFERROR(__xludf.DUMMYFUNCTION("GOOGLETRANSLATE(B1070)"),"破壞")</f>
        <v>破壞</v>
      </c>
    </row>
    <row r="1071" ht="15.75" customHeight="1">
      <c r="A1071" s="4">
        <v>3994.0</v>
      </c>
      <c r="B1071" s="4" t="s">
        <v>1701</v>
      </c>
      <c r="C1071" s="4" t="s">
        <v>1738</v>
      </c>
      <c r="D1071" s="4" t="s">
        <v>1739</v>
      </c>
      <c r="E1071" s="4">
        <v>1.0</v>
      </c>
      <c r="F1071" s="4" t="str">
        <f>IFERROR(__xludf.DUMMYFUNCTION("GOOGLETRANSLATE(D1071)"),"2006 年我造訪了廣島。那是一個令人難以置信的地方。模型展示了炸彈的破壞情況。 http://t.co/Gid6jqN8UG")</f>
        <v>2006 年我造訪了廣島。那是一個令人難以置信的地方。模型展示了炸彈的破壞情況。 http://t.co/Gid6jqN8UG</v>
      </c>
      <c r="G1071" s="4" t="str">
        <f>IFERROR(__xludf.DUMMYFUNCTION("GOOGLETRANSLATE(B1071)"),"破壞")</f>
        <v>破壞</v>
      </c>
    </row>
    <row r="1072" ht="15.75" customHeight="1">
      <c r="A1072" s="4">
        <v>3996.0</v>
      </c>
      <c r="B1072" s="4" t="s">
        <v>1701</v>
      </c>
      <c r="D1072" s="4" t="s">
        <v>1740</v>
      </c>
      <c r="E1072" s="4">
        <v>1.0</v>
      </c>
      <c r="F1072" s="4" t="str">
        <f>IFERROR(__xludf.DUMMYFUNCTION("GOOGLETRANSLATE(D1072)"),"在核戰或全球大流行之前，水現在在破壞性方面位居全球最高風險榜首 http://t.co/nbcvbSO9nm")</f>
        <v>在核戰或全球大流行之前，水現在在破壞性方面位居全球最高風險榜首 http://t.co/nbcvbSO9nm</v>
      </c>
      <c r="G1072" s="4" t="str">
        <f>IFERROR(__xludf.DUMMYFUNCTION("GOOGLETRANSLATE(B1072)"),"破壞")</f>
        <v>破壞</v>
      </c>
    </row>
    <row r="1073" ht="15.75" customHeight="1">
      <c r="A1073" s="4">
        <v>4000.0</v>
      </c>
      <c r="B1073" s="4" t="s">
        <v>1741</v>
      </c>
      <c r="C1073" s="4" t="s">
        <v>1742</v>
      </c>
      <c r="D1073" s="4" t="s">
        <v>1743</v>
      </c>
      <c r="E1073" s="4">
        <v>1.0</v>
      </c>
      <c r="F1073" s="4" t="str">
        <f>IFERROR(__xludf.DUMMYFUNCTION("GOOGLETRANSLATE(D1073)"),"更多自然災害研究緊迫 http://t.co/5Cm0LfZhxn 來自 #JakartaPost")</f>
        <v>更多自然災害研究緊迫 http://t.co/5Cm0LfZhxn 來自 #JakartaPost</v>
      </c>
      <c r="G1073" s="4" t="str">
        <f>IFERROR(__xludf.DUMMYFUNCTION("GOOGLETRANSLATE(B1073)"),"災難")</f>
        <v>災難</v>
      </c>
    </row>
    <row r="1074" ht="15.75" customHeight="1">
      <c r="A1074" s="4">
        <v>4006.0</v>
      </c>
      <c r="B1074" s="4" t="s">
        <v>1741</v>
      </c>
      <c r="D1074" s="4" t="s">
        <v>1744</v>
      </c>
      <c r="E1074" s="4">
        <v>1.0</v>
      </c>
      <c r="F1074" s="4" t="str">
        <f>IFERROR(__xludf.DUMMYFUNCTION("GOOGLETRANSLATE(D1074)"),"「只有大海知道有多少人死亡」@MSF_Sea 在 #Mediterranean 的最後一場災難變成了萬人坑之後 http://t.co/m0utLDif77")</f>
        <v>「只有大海知道有多少人死亡」@MSF_Sea 在 #Mediterranean 的最後一場災難變成了萬人坑之後 http://t.co/m0utLDif77</v>
      </c>
      <c r="G1074" s="4" t="str">
        <f>IFERROR(__xludf.DUMMYFUNCTION("GOOGLETRANSLATE(B1074)"),"災難")</f>
        <v>災難</v>
      </c>
    </row>
    <row r="1075" ht="15.75" customHeight="1">
      <c r="A1075" s="4">
        <v>4010.0</v>
      </c>
      <c r="B1075" s="4" t="s">
        <v>1741</v>
      </c>
      <c r="D1075" s="4" t="s">
        <v>1745</v>
      </c>
      <c r="E1075" s="4">
        <v>1.0</v>
      </c>
      <c r="F1075" s="4" t="str">
        <f>IFERROR(__xludf.DUMMYFUNCTION("GOOGLETRANSLATE(D1075)"),"@Tim_A_Roberts 沒有放棄太多的 Nana France 讓我想起了伊拉克戰爭前的美國。不安導致災難")</f>
        <v>@Tim_A_Roberts 沒有放棄太多的 Nana France 讓我想起了伊拉克戰爭前的美國。不安導致災難</v>
      </c>
      <c r="G1075" s="4" t="str">
        <f>IFERROR(__xludf.DUMMYFUNCTION("GOOGLETRANSLATE(B1075)"),"災難")</f>
        <v>災難</v>
      </c>
    </row>
    <row r="1076" ht="15.75" customHeight="1">
      <c r="A1076" s="4">
        <v>4011.0</v>
      </c>
      <c r="B1076" s="4" t="s">
        <v>1741</v>
      </c>
      <c r="C1076" s="4" t="s">
        <v>1746</v>
      </c>
      <c r="D1076" s="4" t="s">
        <v>1747</v>
      </c>
      <c r="E1076" s="4">
        <v>1.0</v>
      </c>
      <c r="F1076" s="4" t="str">
        <f>IFERROR(__xludf.DUMMYFUNCTION("GOOGLETRANSLATE(D1076)"),"加強夥伴關係#AfterHaiyan http://t.co/Ga14egplw9 #Haiyan #YolandaPh #Philippines #livelihood #disasterrecovery #disaster")</f>
        <v>加強夥伴關係#AfterHaiyan http://t.co/Ga14egplw9 #Haiyan #YolandaPh #Philippines #livelihood #disasterrecovery #disaster</v>
      </c>
      <c r="G1076" s="4" t="str">
        <f>IFERROR(__xludf.DUMMYFUNCTION("GOOGLETRANSLATE(B1076)"),"災難")</f>
        <v>災難</v>
      </c>
    </row>
    <row r="1077" ht="15.75" customHeight="1">
      <c r="A1077" s="4">
        <v>4017.0</v>
      </c>
      <c r="B1077" s="4" t="s">
        <v>1741</v>
      </c>
      <c r="C1077" s="4" t="s">
        <v>656</v>
      </c>
      <c r="D1077" s="4" t="s">
        <v>1748</v>
      </c>
      <c r="E1077" s="4">
        <v>1.0</v>
      </c>
      <c r="F1077" s="4" t="str">
        <f>IFERROR(__xludf.DUMMYFUNCTION("GOOGLETRANSLATE(D1077)"),"CW500：應對災難 - http://t.co/jq9nJ6Gko3")</f>
        <v>CW500：應對災難 - http://t.co/jq9nJ6Gko3</v>
      </c>
      <c r="G1077" s="4" t="str">
        <f>IFERROR(__xludf.DUMMYFUNCTION("GOOGLETRANSLATE(B1077)"),"災難")</f>
        <v>災難</v>
      </c>
    </row>
    <row r="1078" ht="15.75" customHeight="1">
      <c r="A1078" s="4">
        <v>4019.0</v>
      </c>
      <c r="B1078" s="4" t="s">
        <v>1741</v>
      </c>
      <c r="C1078" s="4" t="s">
        <v>1749</v>
      </c>
      <c r="D1078" s="4" t="s">
        <v>1750</v>
      </c>
      <c r="E1078" s="4">
        <v>1.0</v>
      </c>
      <c r="F1078" s="4" t="str">
        <f>IFERROR(__xludf.DUMMYFUNCTION("GOOGLETRANSLATE(D1078)"),"Blue Bell 可能即將從李斯特菌災難中恢復……#theneeds #Recipes 上很熱門 http://t.co/F56v61AmPt")</f>
        <v>Blue Bell 可能即將從李斯特菌災難中恢復……#theneeds #Recipes 上很熱門 http://t.co/F56v61AmPt</v>
      </c>
      <c r="G1078" s="4" t="str">
        <f>IFERROR(__xludf.DUMMYFUNCTION("GOOGLETRANSLATE(B1078)"),"災難")</f>
        <v>災難</v>
      </c>
    </row>
    <row r="1079" ht="15.75" customHeight="1">
      <c r="A1079" s="4">
        <v>4020.0</v>
      </c>
      <c r="B1079" s="4" t="s">
        <v>1741</v>
      </c>
      <c r="C1079" s="4" t="s">
        <v>1751</v>
      </c>
      <c r="D1079" s="4" t="s">
        <v>1752</v>
      </c>
      <c r="E1079" s="4">
        <v>1.0</v>
      </c>
      <c r="F1079" s="4" t="str">
        <f>IFERROR(__xludf.DUMMYFUNCTION("GOOGLETRANSLATE(D1079)"),"傑夫洛克。火車失事。 F'在災難中。幸運的是，海盜隊在 J.A 獲得了一名頂級首發球員……哦等等。 #布洛坦")</f>
        <v>傑夫洛克。火車失事。 F'在災難中。幸運的是，海盜隊在 J.A 獲得了一名頂級首發球員……哦等等。 #布洛坦</v>
      </c>
      <c r="G1079" s="4" t="str">
        <f>IFERROR(__xludf.DUMMYFUNCTION("GOOGLETRANSLATE(B1079)"),"災難")</f>
        <v>災難</v>
      </c>
    </row>
    <row r="1080" ht="15.75" customHeight="1">
      <c r="A1080" s="4">
        <v>4021.0</v>
      </c>
      <c r="B1080" s="4" t="s">
        <v>1741</v>
      </c>
      <c r="D1080" s="4" t="s">
        <v>1753</v>
      </c>
      <c r="E1080" s="4">
        <v>1.0</v>
      </c>
      <c r="F1080" s="4" t="str">
        <f>IFERROR(__xludf.DUMMYFUNCTION("GOOGLETRANSLATE(D1080)"),"#Metepec #Mexico - ？夜間災難？...E（官方）@ #NitClub #mÌÜsica #mÌÜsica http://t.co/WTfJF9jjzs")</f>
        <v>#Metepec #Mexico - ？夜間災難？...E（官方）@ #NitClub #mÌÜsica #mÌÜsica http://t.co/WTfJF9jjzs</v>
      </c>
      <c r="G1080" s="4" t="str">
        <f>IFERROR(__xludf.DUMMYFUNCTION("GOOGLETRANSLATE(B1080)"),"災難")</f>
        <v>災難</v>
      </c>
    </row>
    <row r="1081" ht="15.75" customHeight="1">
      <c r="A1081" s="4">
        <v>4022.0</v>
      </c>
      <c r="B1081" s="4" t="s">
        <v>1741</v>
      </c>
      <c r="C1081" s="4" t="s">
        <v>1754</v>
      </c>
      <c r="D1081" s="4" t="s">
        <v>1755</v>
      </c>
      <c r="E1081" s="4">
        <v>1.0</v>
      </c>
      <c r="F1081" s="4" t="str">
        <f>IFERROR(__xludf.DUMMYFUNCTION("GOOGLETRANSLATE(D1081)"),"避免災難：警方在電影院用「惡作劇裝置」殺死槍手 http://t.co/tdHn9zy0ER via #Foxnews")</f>
        <v>避免災難：警方在電影院用「惡作劇裝置」殺死槍手 http://t.co/tdHn9zy0ER via #Foxnews</v>
      </c>
      <c r="G1081" s="4" t="str">
        <f>IFERROR(__xludf.DUMMYFUNCTION("GOOGLETRANSLATE(B1081)"),"災難")</f>
        <v>災難</v>
      </c>
    </row>
    <row r="1082" ht="15.75" customHeight="1">
      <c r="A1082" s="4">
        <v>4024.0</v>
      </c>
      <c r="B1082" s="4" t="s">
        <v>1741</v>
      </c>
      <c r="D1082" s="4" t="s">
        <v>1756</v>
      </c>
      <c r="E1082" s="4">
        <v>1.0</v>
      </c>
      <c r="F1082" s="4" t="str">
        <f>IFERROR(__xludf.DUMMYFUNCTION("GOOGLETRANSLATE(D1082)"),"電視：維塔利·丘爾金 (Vitaly Churkin) 精彩揭露烏克蘭 FM Klimkin 關於 MH17 災難的虛偽 http://t.co/tt4kVmvuJq")</f>
        <v>電視：維塔利·丘爾金 (Vitaly Churkin) 精彩揭露烏克蘭 FM Klimkin 關於 MH17 災難的虛偽 http://t.co/tt4kVmvuJq</v>
      </c>
      <c r="G1082" s="4" t="str">
        <f>IFERROR(__xludf.DUMMYFUNCTION("GOOGLETRANSLATE(B1082)"),"災難")</f>
        <v>災難</v>
      </c>
    </row>
    <row r="1083" ht="15.75" customHeight="1">
      <c r="A1083" s="4">
        <v>4025.0</v>
      </c>
      <c r="B1083" s="4" t="s">
        <v>1741</v>
      </c>
      <c r="C1083" s="4" t="s">
        <v>1757</v>
      </c>
      <c r="D1083" s="4" t="s">
        <v>1758</v>
      </c>
      <c r="E1083" s="4">
        <v>1.0</v>
      </c>
      <c r="F1083" s="4" t="str">
        <f>IFERROR(__xludf.DUMMYFUNCTION("GOOGLETRANSLATE(D1083)"),"緊急官員表示伊利諾州龍捲風已被雷達淹沒 http://t.co/zhGu8yE1bj")</f>
        <v>緊急官員表示伊利諾州龍捲風已被雷達淹沒 http://t.co/zhGu8yE1bj</v>
      </c>
      <c r="G1083" s="4" t="str">
        <f>IFERROR(__xludf.DUMMYFUNCTION("GOOGLETRANSLATE(B1083)"),"災難")</f>
        <v>災難</v>
      </c>
    </row>
    <row r="1084" ht="15.75" customHeight="1">
      <c r="A1084" s="4">
        <v>4026.0</v>
      </c>
      <c r="B1084" s="4" t="s">
        <v>1741</v>
      </c>
      <c r="D1084" s="4" t="s">
        <v>1759</v>
      </c>
      <c r="E1084" s="4">
        <v>1.0</v>
      </c>
      <c r="F1084" s="4" t="str">
        <f>IFERROR(__xludf.DUMMYFUNCTION("GOOGLETRANSLATE(D1084)"),"頂級保險公司譴責澳洲政府在減災方面缺乏行動 http://t.co/sDgOUTWNtb via @smh")</f>
        <v>頂級保險公司譴責澳洲政府在減災方面缺乏行動 http://t.co/sDgOUTWNtb via @smh</v>
      </c>
      <c r="G1084" s="4" t="str">
        <f>IFERROR(__xludf.DUMMYFUNCTION("GOOGLETRANSLATE(B1084)"),"災難")</f>
        <v>災難</v>
      </c>
    </row>
    <row r="1085" ht="15.75" customHeight="1">
      <c r="A1085" s="4">
        <v>4032.0</v>
      </c>
      <c r="B1085" s="4" t="s">
        <v>1741</v>
      </c>
      <c r="C1085" s="4" t="s">
        <v>1760</v>
      </c>
      <c r="D1085" s="4" t="s">
        <v>1761</v>
      </c>
      <c r="E1085" s="4">
        <v>1.0</v>
      </c>
      <c r="F1085" s="4" t="str">
        <f>IFERROR(__xludf.DUMMYFUNCTION("GOOGLETRANSLATE(D1085)"),"@Gurmeetramrahim #MSGDoing111WelfareWorks Green S 福利力量的約 65000 名成員每次都準備好幫助災難受害者...")</f>
        <v>@Gurmeetramrahim #MSGDoing111WelfareWorks Green S 福利力量的約 65000 名成員每次都準備好幫助災難受害者...</v>
      </c>
      <c r="G1085" s="4" t="str">
        <f>IFERROR(__xludf.DUMMYFUNCTION("GOOGLETRANSLATE(B1085)"),"災難")</f>
        <v>災難</v>
      </c>
    </row>
    <row r="1086" ht="15.75" customHeight="1">
      <c r="A1086" s="4">
        <v>4038.0</v>
      </c>
      <c r="B1086" s="4" t="s">
        <v>1741</v>
      </c>
      <c r="C1086" s="4" t="s">
        <v>1762</v>
      </c>
      <c r="D1086" s="4" t="s">
        <v>1763</v>
      </c>
      <c r="E1086" s="4">
        <v>1.0</v>
      </c>
      <c r="F1086" s="4" t="str">
        <f>IFERROR(__xludf.DUMMYFUNCTION("GOOGLETRANSLATE(D1086)"),"一直問我這代表什麼
不像我得到了答案
另外如果我說錯話了
這可能會變成一場災難")</f>
        <v>一直問我這代表什麼
不像我得到了答案
另外如果我說錯話了
這可能會變成一場災難</v>
      </c>
      <c r="G1086" s="4" t="str">
        <f>IFERROR(__xludf.DUMMYFUNCTION("GOOGLETRANSLATE(B1086)"),"災難")</f>
        <v>災難</v>
      </c>
    </row>
    <row r="1087" ht="15.75" customHeight="1">
      <c r="A1087" s="4">
        <v>4044.0</v>
      </c>
      <c r="B1087" s="4" t="s">
        <v>1741</v>
      </c>
      <c r="C1087" s="4" t="s">
        <v>1764</v>
      </c>
      <c r="D1087" s="4" t="s">
        <v>1765</v>
      </c>
      <c r="E1087" s="4">
        <v>1.0</v>
      </c>
      <c r="F1087" s="4" t="str">
        <f>IFERROR(__xludf.DUMMYFUNCTION("GOOGLETRANSLATE(D1087)"),"避免災難：警方在電影院用「惡作劇裝置」殺死槍手 http://t.co/94SXKI7KVX")</f>
        <v>避免災難：警方在電影院用「惡作劇裝置」殺死槍手 http://t.co/94SXKI7KVX</v>
      </c>
      <c r="G1087" s="4" t="str">
        <f>IFERROR(__xludf.DUMMYFUNCTION("GOOGLETRANSLATE(B1087)"),"災難")</f>
        <v>災難</v>
      </c>
    </row>
    <row r="1088" ht="15.75" customHeight="1">
      <c r="A1088" s="4">
        <v>4049.0</v>
      </c>
      <c r="B1088" s="4" t="s">
        <v>1766</v>
      </c>
      <c r="C1088" s="4" t="s">
        <v>1767</v>
      </c>
      <c r="D1088" s="4" t="s">
        <v>1768</v>
      </c>
      <c r="E1088" s="4">
        <v>1.0</v>
      </c>
      <c r="F1088" s="4" t="str">
        <f>IFERROR(__xludf.DUMMYFUNCTION("GOOGLETRANSLATE(D1088)"),"#緬甸流離失所的#Rohingya，在#Sittwe 的不歸路 http://t.co/cgf61fPmR0 #類似監獄的條件#genocide IHHen MSF Refugees")</f>
        <v>#緬甸流離失所的#Rohingya，在#Sittwe 的不歸路 http://t.co/cgf61fPmR0 #類似監獄的條件#genocide IHHen MSF Refugees</v>
      </c>
      <c r="G1088" s="4" t="str">
        <f>IFERROR(__xludf.DUMMYFUNCTION("GOOGLETRANSLATE(B1088)"),"流離失所")</f>
        <v>流離失所</v>
      </c>
    </row>
    <row r="1089" ht="15.75" customHeight="1">
      <c r="A1089" s="4">
        <v>4050.0</v>
      </c>
      <c r="B1089" s="4" t="s">
        <v>1766</v>
      </c>
      <c r="D1089" s="4" t="s">
        <v>1769</v>
      </c>
      <c r="E1089" s="4">
        <v>1.0</v>
      </c>
      <c r="F1089" s="4" t="str">
        <f>IFERROR(__xludf.DUMMYFUNCTION("GOOGLETRANSLATE(D1089)"),"工作人員整天都在外面，用木板封住了 Galleria 公寓公園的窗戶。今天上午，火災造成 55 人流離失所。 http://t.co/NMPN2mqZgE")</f>
        <v>工作人員整天都在外面，用木板封住了 Galleria 公寓公園的窗戶。今天上午，火災造成 55 人流離失所。 http://t.co/NMPN2mqZgE</v>
      </c>
      <c r="G1089" s="4" t="str">
        <f>IFERROR(__xludf.DUMMYFUNCTION("GOOGLETRANSLATE(B1089)"),"流離失所")</f>
        <v>流離失所</v>
      </c>
    </row>
    <row r="1090" ht="15.75" customHeight="1">
      <c r="A1090" s="4">
        <v>4051.0</v>
      </c>
      <c r="B1090" s="4" t="s">
        <v>1766</v>
      </c>
      <c r="C1090" s="4" t="s">
        <v>1770</v>
      </c>
      <c r="D1090" s="4" t="s">
        <v>1771</v>
      </c>
      <c r="E1090" s="4">
        <v>1.0</v>
      </c>
      <c r="F1090" s="4" t="str">
        <f>IFERROR(__xludf.DUMMYFUNCTION("GOOGLETRANSLATE(D1090)"),".POTUS #StrategicPatience 是 #Genocide 的策略；難民； IDP 國內流離失所者；恐怖;等 https://t.co/8owC41FMBR")</f>
        <v>.POTUS #StrategicPatience 是 #Genocide 的策略；難民； IDP 國內流離失所者；恐怖;等 https://t.co/8owC41FMBR</v>
      </c>
      <c r="G1090" s="4" t="str">
        <f>IFERROR(__xludf.DUMMYFUNCTION("GOOGLETRANSLATE(B1090)"),"流離失所")</f>
        <v>流離失所</v>
      </c>
    </row>
    <row r="1091" ht="15.75" customHeight="1">
      <c r="A1091" s="4">
        <v>4052.0</v>
      </c>
      <c r="B1091" s="4" t="s">
        <v>1766</v>
      </c>
      <c r="C1091" s="4" t="s">
        <v>1772</v>
      </c>
      <c r="D1091" s="4" t="s">
        <v>1773</v>
      </c>
      <c r="E1091" s="4">
        <v>1.0</v>
      </c>
      <c r="F1091" s="4" t="str">
        <f>IFERROR(__xludf.DUMMYFUNCTION("GOOGLETRANSLATE(D1091)"),"300000 人死亡 1200000 人受傷 11000000 人流離失所 這是 #Syria 2015 請訪問 http://t.co/prCI76hOwu #US #Canada http://t.co/rTCuFaG0au")</f>
        <v>300000 人死亡 1200000 人受傷 11000000 人流離失所 這是 #Syria 2015 請訪問 http://t.co/prCI76hOwu #US #Canada http://t.co/rTCuFaG0au</v>
      </c>
      <c r="G1091" s="4" t="str">
        <f>IFERROR(__xludf.DUMMYFUNCTION("GOOGLETRANSLATE(B1091)"),"流離失所")</f>
        <v>流離失所</v>
      </c>
    </row>
    <row r="1092" ht="15.75" customHeight="1">
      <c r="A1092" s="4">
        <v>4054.0</v>
      </c>
      <c r="B1092" s="4" t="s">
        <v>1766</v>
      </c>
      <c r="C1092" s="4" t="s">
        <v>1774</v>
      </c>
      <c r="D1092" s="4" t="s">
        <v>1775</v>
      </c>
      <c r="E1092" s="4">
        <v>1.0</v>
      </c>
      <c r="F1092" s="4" t="str">
        <f>IFERROR(__xludf.DUMMYFUNCTION("GOOGLETRANSLATE(D1092)"),"#緬甸流離失所的#Rohingya，在#Sittwe 的不歸路 http://t.co/gsa4o1mjNm 類似監獄的條件剝奪 http://t.co/i5ma6eWuwc")</f>
        <v>#緬甸流離失所的#Rohingya，在#Sittwe 的不歸路 http://t.co/gsa4o1mjNm 類似監獄的條件剝奪 http://t.co/i5ma6eWuwc</v>
      </c>
      <c r="G1092" s="4" t="str">
        <f>IFERROR(__xludf.DUMMYFUNCTION("GOOGLETRANSLATE(B1092)"),"流離失所")</f>
        <v>流離失所</v>
      </c>
    </row>
    <row r="1093" ht="15.75" customHeight="1">
      <c r="A1093" s="4">
        <v>4057.0</v>
      </c>
      <c r="B1093" s="4" t="s">
        <v>1766</v>
      </c>
      <c r="D1093" s="4" t="s">
        <v>1776</v>
      </c>
      <c r="E1093" s="4">
        <v>1.0</v>
      </c>
      <c r="F1093" s="4" t="str">
        <f>IFERROR(__xludf.DUMMYFUNCTION("GOOGLETRANSLATE(D1093)"),"#KCA #VoteJKT48ID 12News：更新：第 90 街和奧斯本附近的房屋因火災受損，一家三口流離失所。火被撲滅了沒有iÛ_")</f>
        <v>#KCA #VoteJKT48ID 12News：更新：第 90 街和奧斯本附近的房屋因火災受損，一家三口流離失所。火被撲滅了沒有iÛ_</v>
      </c>
      <c r="G1093" s="4" t="str">
        <f>IFERROR(__xludf.DUMMYFUNCTION("GOOGLETRANSLATE(B1093)"),"流離失所")</f>
        <v>流離失所</v>
      </c>
    </row>
    <row r="1094" ht="15.75" customHeight="1">
      <c r="A1094" s="4">
        <v>4060.0</v>
      </c>
      <c r="B1094" s="4" t="s">
        <v>1766</v>
      </c>
      <c r="C1094" s="4" t="s">
        <v>434</v>
      </c>
      <c r="D1094" s="4" t="s">
        <v>1777</v>
      </c>
      <c r="E1094" s="4">
        <v>1.0</v>
      </c>
      <c r="F1094" s="4" t="str">
        <f>IFERROR(__xludf.DUMMYFUNCTION("GOOGLETRANSLATE(D1094)"),"@I_AmTalia @SGC72 “數千人流離失所/受傷/死亡，但現在不同的餐廳有更多機會了！”")</f>
        <v>@I_AmTalia @SGC72 “數千人流離失所/受傷/死亡，但現在不同的餐廳有更多機會了！”</v>
      </c>
      <c r="G1094" s="4" t="str">
        <f>IFERROR(__xludf.DUMMYFUNCTION("GOOGLETRANSLATE(B1094)"),"流離失所")</f>
        <v>流離失所</v>
      </c>
    </row>
    <row r="1095" ht="15.75" customHeight="1">
      <c r="A1095" s="4">
        <v>4062.0</v>
      </c>
      <c r="B1095" s="4" t="s">
        <v>1766</v>
      </c>
      <c r="D1095" s="4" t="s">
        <v>1778</v>
      </c>
      <c r="E1095" s="4">
        <v>1.0</v>
      </c>
      <c r="F1095" s="4" t="str">
        <f>IFERROR(__xludf.DUMMYFUNCTION("GOOGLETRANSLATE(D1095)"),"聯合國專家警告菲律賓必須保護國內流離失所者 http://t.co/xLZWTzgQTC")</f>
        <v>聯合國專家警告菲律賓必須保護國內流離失所者 http://t.co/xLZWTzgQTC</v>
      </c>
      <c r="G1095" s="4" t="str">
        <f>IFERROR(__xludf.DUMMYFUNCTION("GOOGLETRANSLATE(B1095)"),"流離失所")</f>
        <v>流離失所</v>
      </c>
    </row>
    <row r="1096" ht="15.75" customHeight="1">
      <c r="A1096" s="4">
        <v>4063.0</v>
      </c>
      <c r="B1096" s="4" t="s">
        <v>1766</v>
      </c>
      <c r="C1096" s="4" t="s">
        <v>1779</v>
      </c>
      <c r="D1096" s="4" t="s">
        <v>1780</v>
      </c>
      <c r="E1096" s="4">
        <v>1.0</v>
      </c>
      <c r="F1096" s="4" t="str">
        <f>IFERROR(__xludf.DUMMYFUNCTION("GOOGLETRANSLATE(D1096)"),"印度洪水造成至少180人死亡、百萬人流離失所救濟網 http://t.co/0abgFgLH7X")</f>
        <v>印度洪水造成至少180人死亡、百萬人流離失所救濟網 http://t.co/0abgFgLH7X</v>
      </c>
      <c r="G1096" s="4" t="str">
        <f>IFERROR(__xludf.DUMMYFUNCTION("GOOGLETRANSLATE(B1096)"),"流離失所")</f>
        <v>流離失所</v>
      </c>
    </row>
    <row r="1097" ht="15.75" customHeight="1">
      <c r="A1097" s="4">
        <v>4064.0</v>
      </c>
      <c r="B1097" s="4" t="s">
        <v>1766</v>
      </c>
      <c r="D1097" s="4" t="s">
        <v>1776</v>
      </c>
      <c r="E1097" s="4">
        <v>1.0</v>
      </c>
      <c r="F1097" s="4" t="str">
        <f>IFERROR(__xludf.DUMMYFUNCTION("GOOGLETRANSLATE(D1097)"),"#KCA #VoteJKT48ID 12News：更新：第 90 街和奧斯本附近的房屋因火災受損，一家三口流離失所。火被撲滅了沒有iÛ_")</f>
        <v>#KCA #VoteJKT48ID 12News：更新：第 90 街和奧斯本附近的房屋因火災受損，一家三口流離失所。火被撲滅了沒有iÛ_</v>
      </c>
      <c r="G1097" s="4" t="str">
        <f>IFERROR(__xludf.DUMMYFUNCTION("GOOGLETRANSLATE(B1097)"),"流離失所")</f>
        <v>流離失所</v>
      </c>
    </row>
    <row r="1098" ht="15.75" customHeight="1">
      <c r="A1098" s="4">
        <v>4065.0</v>
      </c>
      <c r="B1098" s="4" t="s">
        <v>1766</v>
      </c>
      <c r="C1098" s="4" t="s">
        <v>1781</v>
      </c>
      <c r="D1098" s="4" t="s">
        <v>1782</v>
      </c>
      <c r="E1098" s="4">
        <v>1.0</v>
      </c>
      <c r="F1098" s="4" t="str">
        <f>IFERROR(__xludf.DUMMYFUNCTION("GOOGLETRANSLATE(D1098)"),"1800 年英國託管巴勒斯坦的 9000 張照片 - 沒有“巴勒斯坦人”的踪跡 http://t.co/X8i0mHYRmN")</f>
        <v>1800 年英國託管巴勒斯坦的 9000 張照片 - 沒有“巴勒斯坦人”的踪跡 http://t.co/X8i0mHYRmN</v>
      </c>
      <c r="G1098" s="4" t="str">
        <f>IFERROR(__xludf.DUMMYFUNCTION("GOOGLETRANSLATE(B1098)"),"流離失所")</f>
        <v>流離失所</v>
      </c>
    </row>
    <row r="1099" ht="15.75" customHeight="1">
      <c r="A1099" s="4">
        <v>4068.0</v>
      </c>
      <c r="B1099" s="4" t="s">
        <v>1766</v>
      </c>
      <c r="C1099" s="4" t="s">
        <v>1767</v>
      </c>
      <c r="D1099" s="4" t="s">
        <v>1783</v>
      </c>
      <c r="E1099" s="4">
        <v>1.0</v>
      </c>
      <c r="F1099" s="4" t="str">
        <f>IFERROR(__xludf.DUMMYFUNCTION("GOOGLETRANSLATE(D1099)"),".POTUS #StrategicPatience 是 #Genocide 的策略；難民； IDP 國內流離失所者；恐怖;等 https://t.co/rqWuoy1fm4")</f>
        <v>.POTUS #StrategicPatience 是 #Genocide 的策略；難民； IDP 國內流離失所者；恐怖;等 https://t.co/rqWuoy1fm4</v>
      </c>
      <c r="G1099" s="4" t="str">
        <f>IFERROR(__xludf.DUMMYFUNCTION("GOOGLETRANSLATE(B1099)"),"流離失所")</f>
        <v>流離失所</v>
      </c>
    </row>
    <row r="1100" ht="15.75" customHeight="1">
      <c r="A1100" s="4">
        <v>4072.0</v>
      </c>
      <c r="B1100" s="4" t="s">
        <v>1766</v>
      </c>
      <c r="C1100" s="4" t="s">
        <v>1767</v>
      </c>
      <c r="D1100" s="4" t="s">
        <v>1783</v>
      </c>
      <c r="E1100" s="4">
        <v>1.0</v>
      </c>
      <c r="F1100" s="4" t="str">
        <f>IFERROR(__xludf.DUMMYFUNCTION("GOOGLETRANSLATE(D1100)"),".POTUS #StrategicPatience 是 #Genocide 的策略；難民； IDP 國內流離失所者；恐怖;等 https://t.co/rqWuoy1fm4")</f>
        <v>.POTUS #StrategicPatience 是 #Genocide 的策略；難民； IDP 國內流離失所者；恐怖;等 https://t.co/rqWuoy1fm4</v>
      </c>
      <c r="G1100" s="4" t="str">
        <f>IFERROR(__xludf.DUMMYFUNCTION("GOOGLETRANSLATE(B1100)"),"流離失所")</f>
        <v>流離失所</v>
      </c>
    </row>
    <row r="1101" ht="15.75" customHeight="1">
      <c r="A1101" s="4">
        <v>4077.0</v>
      </c>
      <c r="B1101" s="4" t="s">
        <v>1766</v>
      </c>
      <c r="C1101" s="4" t="s">
        <v>1767</v>
      </c>
      <c r="D1101" s="4" t="s">
        <v>1783</v>
      </c>
      <c r="E1101" s="4">
        <v>1.0</v>
      </c>
      <c r="F1101" s="4" t="str">
        <f>IFERROR(__xludf.DUMMYFUNCTION("GOOGLETRANSLATE(D1101)"),".POTUS #StrategicPatience 是 #Genocide 的策略；難民； IDP 國內流離失所者；恐怖;等 https://t.co/rqWuoy1fm4")</f>
        <v>.POTUS #StrategicPatience 是 #Genocide 的策略；難民； IDP 國內流離失所者；恐怖;等 https://t.co/rqWuoy1fm4</v>
      </c>
      <c r="G1101" s="4" t="str">
        <f>IFERROR(__xludf.DUMMYFUNCTION("GOOGLETRANSLATE(B1101)"),"流離失所")</f>
        <v>流離失所</v>
      </c>
    </row>
    <row r="1102" ht="15.75" customHeight="1">
      <c r="A1102" s="4">
        <v>4079.0</v>
      </c>
      <c r="B1102" s="4" t="s">
        <v>1766</v>
      </c>
      <c r="C1102" s="4" t="s">
        <v>764</v>
      </c>
      <c r="D1102" s="4" t="s">
        <v>1784</v>
      </c>
      <c r="E1102" s="4">
        <v>1.0</v>
      </c>
      <c r="F1102" s="4" t="str">
        <f>IFERROR(__xludf.DUMMYFUNCTION("GOOGLETRANSLATE(D1102)"),"亞洲歷史性洪水造成數百萬人死亡、數百萬人流離失所：http://t.co/4roisyXJlw http://t.co/3R8QoZJt7T")</f>
        <v>亞洲歷史性洪水造成數百萬人死亡、數百萬人流離失所：http://t.co/4roisyXJlw http://t.co/3R8QoZJt7T</v>
      </c>
      <c r="G1102" s="4" t="str">
        <f>IFERROR(__xludf.DUMMYFUNCTION("GOOGLETRANSLATE(B1102)"),"流離失所")</f>
        <v>流離失所</v>
      </c>
    </row>
    <row r="1103" ht="15.75" customHeight="1">
      <c r="A1103" s="4">
        <v>4080.0</v>
      </c>
      <c r="B1103" s="4" t="s">
        <v>1766</v>
      </c>
      <c r="C1103" s="4" t="s">
        <v>656</v>
      </c>
      <c r="D1103" s="4" t="s">
        <v>1785</v>
      </c>
      <c r="E1103" s="4">
        <v>1.0</v>
      </c>
      <c r="F1103" s="4" t="str">
        <f>IFERROR(__xludf.DUMMYFUNCTION("GOOGLETRANSLATE(D1103)"),"憤怒的婦女公開指責 NEMA 竊取為國內流離失所者準備的救濟物資：一位憤怒的國內流離失所者... http://t.co/TEq7SrI57P")</f>
        <v>憤怒的婦女公開指責 NEMA 竊取為國內流離失所者準備的救濟物資：一位憤怒的國內流離失所者... http://t.co/TEq7SrI57P</v>
      </c>
      <c r="G1103" s="4" t="str">
        <f>IFERROR(__xludf.DUMMYFUNCTION("GOOGLETRANSLATE(B1103)"),"流離失所")</f>
        <v>流離失所</v>
      </c>
    </row>
    <row r="1104" ht="15.75" customHeight="1">
      <c r="A1104" s="4">
        <v>4081.0</v>
      </c>
      <c r="B1104" s="4" t="s">
        <v>1766</v>
      </c>
      <c r="C1104" s="4" t="s">
        <v>1786</v>
      </c>
      <c r="D1104" s="4" t="s">
        <v>1787</v>
      </c>
      <c r="E1104" s="4">
        <v>1.0</v>
      </c>
      <c r="F1104" s="4" t="str">
        <f>IFERROR(__xludf.DUMMYFUNCTION("GOOGLETRANSLATE(D1104)"),"#緬甸流離失所#羅興亞人在#Sittwe 的不歸路 http://t.co/qegMRhSms2 #類似監獄的條件#genocide @IHHen @MSF @Refugees")</f>
        <v>#緬甸流離失所#羅興亞人在#Sittwe 的不歸路 http://t.co/qegMRhSms2 #類似監獄的條件#genocide @IHHen @MSF @Refugees</v>
      </c>
      <c r="G1104" s="4" t="str">
        <f>IFERROR(__xludf.DUMMYFUNCTION("GOOGLETRANSLATE(B1104)"),"流離失所")</f>
        <v>流離失所</v>
      </c>
    </row>
    <row r="1105" ht="15.75" customHeight="1">
      <c r="A1105" s="4">
        <v>4084.0</v>
      </c>
      <c r="B1105" s="4" t="s">
        <v>1766</v>
      </c>
      <c r="C1105" s="4" t="s">
        <v>1788</v>
      </c>
      <c r="D1105" s="4" t="s">
        <v>1789</v>
      </c>
      <c r="E1105" s="4">
        <v>1.0</v>
      </c>
      <c r="F1105" s="4" t="str">
        <f>IFERROR(__xludf.DUMMYFUNCTION("GOOGLETRANSLATE(D1105)"),"聯合國專家警告菲律賓必須保護境內流離失所者 - 外交官 http://t.co/V0yRfH9DKc")</f>
        <v>聯合國專家警告菲律賓必須保護境內流離失所者 - 外交官 http://t.co/V0yRfH9DKc</v>
      </c>
      <c r="G1105" s="4" t="str">
        <f>IFERROR(__xludf.DUMMYFUNCTION("GOOGLETRANSLATE(B1105)"),"流離失所")</f>
        <v>流離失所</v>
      </c>
    </row>
    <row r="1106" ht="15.75" customHeight="1">
      <c r="A1106" s="4">
        <v>4086.0</v>
      </c>
      <c r="B1106" s="4" t="s">
        <v>1766</v>
      </c>
      <c r="C1106" s="4" t="s">
        <v>1767</v>
      </c>
      <c r="D1106" s="4" t="s">
        <v>1768</v>
      </c>
      <c r="E1106" s="4">
        <v>1.0</v>
      </c>
      <c r="F1106" s="4" t="str">
        <f>IFERROR(__xludf.DUMMYFUNCTION("GOOGLETRANSLATE(D1106)"),"#緬甸流離失所的#Rohingya，在#Sittwe 的不歸路 http://t.co/cgf61fPmR0 #類似監獄的條件#genocide IHHen MSF Refugees")</f>
        <v>#緬甸流離失所的#Rohingya，在#Sittwe 的不歸路 http://t.co/cgf61fPmR0 #類似監獄的條件#genocide IHHen MSF Refugees</v>
      </c>
      <c r="G1106" s="4" t="str">
        <f>IFERROR(__xludf.DUMMYFUNCTION("GOOGLETRANSLATE(B1106)"),"流離失所")</f>
        <v>流離失所</v>
      </c>
    </row>
    <row r="1107" ht="15.75" customHeight="1">
      <c r="A1107" s="4">
        <v>4087.0</v>
      </c>
      <c r="B1107" s="4" t="s">
        <v>1766</v>
      </c>
      <c r="C1107" s="4" t="s">
        <v>291</v>
      </c>
      <c r="D1107" s="4" t="s">
        <v>1790</v>
      </c>
      <c r="E1107" s="4">
        <v>1.0</v>
      </c>
      <c r="F1107" s="4" t="str">
        <f>IFERROR(__xludf.DUMMYFUNCTION("GOOGLETRANSLATE(D1107)"),"40 人因海洋鎮公寓火災而流離失所 #NewYork - http://t.co/uelZ59wVOm")</f>
        <v>40 人因海洋鎮公寓火災而流離失所 #NewYork - http://t.co/uelZ59wVOm</v>
      </c>
      <c r="G1107" s="4" t="str">
        <f>IFERROR(__xludf.DUMMYFUNCTION("GOOGLETRANSLATE(B1107)"),"流離失所")</f>
        <v>流離失所</v>
      </c>
    </row>
    <row r="1108" ht="15.75" customHeight="1">
      <c r="A1108" s="4">
        <v>4088.0</v>
      </c>
      <c r="B1108" s="4" t="s">
        <v>1766</v>
      </c>
      <c r="D1108" s="4" t="s">
        <v>1791</v>
      </c>
      <c r="E1108" s="4">
        <v>1.0</v>
      </c>
      <c r="F1108" s="4" t="str">
        <f>IFERROR(__xludf.DUMMYFUNCTION("GOOGLETRANSLATE(D1108)"),"PennLive - 兩個家庭因梅卡尼克斯堡大火而流離失所 - 火災中沒有人受傷。 http://t.co/OHYD7Hhcpe")</f>
        <v>PennLive - 兩個家庭因梅卡尼克斯堡大火而流離失所 - 火災中沒有人受傷。 http://t.co/OHYD7Hhcpe</v>
      </c>
      <c r="G1108" s="4" t="str">
        <f>IFERROR(__xludf.DUMMYFUNCTION("GOOGLETRANSLATE(B1108)"),"流離失所")</f>
        <v>流離失所</v>
      </c>
    </row>
    <row r="1109" ht="15.75" customHeight="1">
      <c r="A1109" s="4">
        <v>4089.0</v>
      </c>
      <c r="B1109" s="4" t="s">
        <v>1766</v>
      </c>
      <c r="D1109" s="4" t="s">
        <v>1792</v>
      </c>
      <c r="E1109" s="4">
        <v>1.0</v>
      </c>
      <c r="F1109" s="4" t="str">
        <f>IFERROR(__xludf.DUMMYFUNCTION("GOOGLETRANSLATE(D1109)"),"@peterjukes 一場導致數百萬人死亡/流離失所的犯罪行為。其中進行了系統性的酷刑。但看。格雷厄姆WP開槍了！逮捕他！")</f>
        <v>@peterjukes 一場導致數百萬人死亡/流離失所的犯罪行為。其中進行了系統性的酷刑。但看。格雷厄姆WP開槍了！逮捕他！</v>
      </c>
      <c r="G1109" s="4" t="str">
        <f>IFERROR(__xludf.DUMMYFUNCTION("GOOGLETRANSLATE(B1109)"),"流離失所")</f>
        <v>流離失所</v>
      </c>
    </row>
    <row r="1110" ht="15.75" customHeight="1">
      <c r="A1110" s="4">
        <v>4091.0</v>
      </c>
      <c r="B1110" s="4" t="s">
        <v>1766</v>
      </c>
      <c r="C1110" s="4" t="s">
        <v>1793</v>
      </c>
      <c r="D1110" s="4" t="s">
        <v>1794</v>
      </c>
      <c r="E1110" s="4">
        <v>1.0</v>
      </c>
      <c r="F1110" s="4" t="str">
        <f>IFERROR(__xludf.DUMMYFUNCTION("GOOGLETRANSLATE(D1110)"),"'@PhelimKine：#Myanmar 流離失所的 #Rohingya 在 #Sittwe 的不歸路 http://t.co/8gO68KjE4b http://t.co/0KrW1zYaHM'")</f>
        <v>'@PhelimKine：#Myanmar 流離失所的 #Rohingya 在 #Sittwe 的不歸路 http://t.co/8gO68KjE4b http://t.co/0KrW1zYaHM'</v>
      </c>
      <c r="G1110" s="4" t="str">
        <f>IFERROR(__xludf.DUMMYFUNCTION("GOOGLETRANSLATE(B1110)"),"流離失所")</f>
        <v>流離失所</v>
      </c>
    </row>
    <row r="1111" ht="15.75" customHeight="1">
      <c r="A1111" s="4">
        <v>4093.0</v>
      </c>
      <c r="B1111" s="4" t="s">
        <v>1766</v>
      </c>
      <c r="C1111" s="4" t="s">
        <v>1795</v>
      </c>
      <c r="D1111" s="4" t="s">
        <v>1796</v>
      </c>
      <c r="E1111" s="4">
        <v>1.0</v>
      </c>
      <c r="F1111" s="4" t="str">
        <f>IFERROR(__xludf.DUMMYFUNCTION("GOOGLETRANSLATE(D1111)"),"Billboard 的 Hot 100 排行榜是否會被這些社群媒體驅動的音樂排行榜所取代？ http://t.co/WVlaH8jRXe")</f>
        <v>Billboard 的 Hot 100 排行榜是否會被這些社群媒體驅動的音樂排行榜所取代？ http://t.co/WVlaH8jRXe</v>
      </c>
      <c r="G1111" s="4" t="str">
        <f>IFERROR(__xludf.DUMMYFUNCTION("GOOGLETRANSLATE(B1111)"),"流離失所")</f>
        <v>流離失所</v>
      </c>
    </row>
    <row r="1112" ht="15.75" customHeight="1">
      <c r="A1112" s="4">
        <v>4094.0</v>
      </c>
      <c r="B1112" s="4" t="s">
        <v>1766</v>
      </c>
      <c r="C1112" s="4" t="s">
        <v>126</v>
      </c>
      <c r="D1112" s="4" t="s">
        <v>1797</v>
      </c>
      <c r="E1112" s="4">
        <v>1.0</v>
      </c>
      <c r="F1112" s="4" t="str">
        <f>IFERROR(__xludf.DUMMYFUNCTION("GOOGLETRANSLATE(D1112)"),"真實的人。真實的故事。真正的痛苦&amp;amp;痛苦。 #流離失所#RefugeesMatter #敘利亞 https://t.co/OEZ7O9AB2C")</f>
        <v>真實的人。真實的故事。真正的痛苦&amp;amp;痛苦。 #流離失所#RefugeesMatter #敘利亞 https://t.co/OEZ7O9AB2C</v>
      </c>
      <c r="G1112" s="4" t="str">
        <f>IFERROR(__xludf.DUMMYFUNCTION("GOOGLETRANSLATE(B1112)"),"流離失所")</f>
        <v>流離失所</v>
      </c>
    </row>
    <row r="1113" ht="15.75" customHeight="1">
      <c r="A1113" s="4">
        <v>4096.0</v>
      </c>
      <c r="B1113" s="4" t="s">
        <v>1766</v>
      </c>
      <c r="C1113" s="4" t="s">
        <v>1798</v>
      </c>
      <c r="D1113" s="4" t="s">
        <v>1799</v>
      </c>
      <c r="E1113" s="4">
        <v>1.0</v>
      </c>
      <c r="F1113" s="4" t="str">
        <f>IFERROR(__xludf.DUMMYFUNCTION("GOOGLETRANSLATE(D1113)"),"Elem Pomo 幫助洛基大火中的流離失所者。請考慮！
Elem 疏散中心 http://t.co/dYDFvz7amj 來自 @gofundme")</f>
        <v>Elem Pomo 幫助洛基大火中的流離失所者。請考慮！
Elem 疏散中心 http://t.co/dYDFvz7amj 來自 @gofundme</v>
      </c>
      <c r="G1113" s="4" t="str">
        <f>IFERROR(__xludf.DUMMYFUNCTION("GOOGLETRANSLATE(B1113)"),"流離失所")</f>
        <v>流離失所</v>
      </c>
    </row>
    <row r="1114" ht="15.75" customHeight="1">
      <c r="A1114" s="4">
        <v>4098.0</v>
      </c>
      <c r="B1114" s="4" t="s">
        <v>1800</v>
      </c>
      <c r="C1114" s="4" t="s">
        <v>1801</v>
      </c>
      <c r="D1114" s="4" t="s">
        <v>1802</v>
      </c>
      <c r="E1114" s="4">
        <v>1.0</v>
      </c>
      <c r="F1114" s="4" t="str">
        <f>IFERROR(__xludf.DUMMYFUNCTION("GOOGLETRANSLATE(D1114)"),"#內華達州的異常乾旱#乾旱穩定在~11%；約 95% 的 #NV 處於乾旱狀態：http://t.co/Nyo1xueBFA @DroughtGov http://t.co/w0a1MJOrHY")</f>
        <v>#內華達州的異常乾旱#乾旱穩定在~11%；約 95% 的 #NV 處於乾旱狀態：http://t.co/Nyo1xueBFA @DroughtGov http://t.co/w0a1MJOrHY</v>
      </c>
      <c r="G1114" s="4" t="str">
        <f>IFERROR(__xludf.DUMMYFUNCTION("GOOGLETRANSLATE(B1114)"),"乾旱")</f>
        <v>乾旱</v>
      </c>
    </row>
    <row r="1115" ht="15.75" customHeight="1">
      <c r="A1115" s="4">
        <v>4100.0</v>
      </c>
      <c r="B1115" s="4" t="s">
        <v>1800</v>
      </c>
      <c r="D1115" s="4" t="s">
        <v>1803</v>
      </c>
      <c r="E1115" s="4">
        <v>1.0</v>
      </c>
      <c r="F1115" s="4" t="str">
        <f>IFERROR(__xludf.DUMMYFUNCTION("GOOGLETRANSLATE(D1115)"),"美國遭遇創紀錄的颶風乾旱 http://t.co/8JvQI9UspL")</f>
        <v>美國遭遇創紀錄的颶風乾旱 http://t.co/8JvQI9UspL</v>
      </c>
      <c r="G1115" s="4" t="str">
        <f>IFERROR(__xludf.DUMMYFUNCTION("GOOGLETRANSLATE(B1115)"),"乾旱")</f>
        <v>乾旱</v>
      </c>
    </row>
    <row r="1116" ht="15.75" customHeight="1">
      <c r="A1116" s="4">
        <v>4101.0</v>
      </c>
      <c r="B1116" s="4" t="s">
        <v>1800</v>
      </c>
      <c r="C1116" s="4" t="s">
        <v>1804</v>
      </c>
      <c r="D1116" s="4" t="s">
        <v>1805</v>
      </c>
      <c r="E1116" s="4">
        <v>1.0</v>
      </c>
      <c r="F1116" s="4" t="str">
        <f>IFERROR(__xludf.DUMMYFUNCTION("GOOGLETRANSLATE(D1116)"),"美國創紀錄的颶風乾旱。 http://t.co/fE9hIVfMxq")</f>
        <v>美國創紀錄的颶風乾旱。 http://t.co/fE9hIVfMxq</v>
      </c>
      <c r="G1116" s="4" t="str">
        <f>IFERROR(__xludf.DUMMYFUNCTION("GOOGLETRANSLATE(B1116)"),"乾旱")</f>
        <v>乾旱</v>
      </c>
    </row>
    <row r="1117" ht="15.75" customHeight="1">
      <c r="A1117" s="4">
        <v>4103.0</v>
      </c>
      <c r="B1117" s="4" t="s">
        <v>1800</v>
      </c>
      <c r="C1117" s="4" t="s">
        <v>1806</v>
      </c>
      <c r="D1117" s="4" t="s">
        <v>1807</v>
      </c>
      <c r="E1117" s="4">
        <v>1.0</v>
      </c>
      <c r="F1117" s="4" t="str">
        <f>IFERROR(__xludf.DUMMYFUNCTION("GOOGLETRANSLATE(D1117)"),"擔心加州乾旱會對您產生什麼影響？極端天氣：它會削弱我們的經濟嗎？ http://t.co/fDzzuMyW8i")</f>
        <v>擔心加州乾旱會對您產生什麼影響？極端天氣：它會削弱我們的經濟嗎？ http://t.co/fDzzuMyW8i</v>
      </c>
      <c r="G1117" s="4" t="str">
        <f>IFERROR(__xludf.DUMMYFUNCTION("GOOGLETRANSLATE(B1117)"),"乾旱")</f>
        <v>乾旱</v>
      </c>
    </row>
    <row r="1118" ht="15.75" customHeight="1">
      <c r="A1118" s="4">
        <v>4104.0</v>
      </c>
      <c r="B1118" s="4" t="s">
        <v>1800</v>
      </c>
      <c r="C1118" s="4" t="s">
        <v>1808</v>
      </c>
      <c r="D1118" s="4" t="s">
        <v>1809</v>
      </c>
      <c r="E1118" s="4">
        <v>1.0</v>
      </c>
      <c r="F1118" s="4" t="str">
        <f>IFERROR(__xludf.DUMMYFUNCTION("GOOGLETRANSLATE(D1118)"),"LLF TALK 世界新聞 美國遭遇創紀錄的颶風乾旱 - 美國尚未遭受重大颶風襲擊... http://t.co/oqeq4ueGF8")</f>
        <v>LLF TALK 世界新聞 美國遭遇創紀錄的颶風乾旱 - 美國尚未遭受重大颶風襲擊... http://t.co/oqeq4ueGF8</v>
      </c>
      <c r="G1118" s="4" t="str">
        <f>IFERROR(__xludf.DUMMYFUNCTION("GOOGLETRANSLATE(B1118)"),"乾旱")</f>
        <v>乾旱</v>
      </c>
    </row>
    <row r="1119" ht="15.75" customHeight="1">
      <c r="A1119" s="4">
        <v>4105.0</v>
      </c>
      <c r="B1119" s="4" t="s">
        <v>1800</v>
      </c>
      <c r="D1119" s="4" t="s">
        <v>1810</v>
      </c>
      <c r="E1119" s="4">
        <v>1.0</v>
      </c>
      <c r="F1119" s="4" t="str">
        <f>IFERROR(__xludf.DUMMYFUNCTION("GOOGLETRANSLATE(D1119)"),"http://t.co/vYmnRnSThG：美國遭遇創紀錄的颶風乾旱 http://t.co/1mvSQG0XKE")</f>
        <v>http://t.co/vYmnRnSThG：美國遭遇創紀錄的颶風乾旱 http://t.co/1mvSQG0XKE</v>
      </c>
      <c r="G1119" s="4" t="str">
        <f>IFERROR(__xludf.DUMMYFUNCTION("GOOGLETRANSLATE(B1119)"),"乾旱")</f>
        <v>乾旱</v>
      </c>
    </row>
    <row r="1120" ht="15.75" customHeight="1">
      <c r="A1120" s="4">
        <v>4107.0</v>
      </c>
      <c r="B1120" s="4" t="s">
        <v>1800</v>
      </c>
      <c r="C1120" s="4" t="s">
        <v>656</v>
      </c>
      <c r="D1120" s="4" t="s">
        <v>1811</v>
      </c>
      <c r="E1120" s="4">
        <v>1.0</v>
      </c>
      <c r="F1120" s="4" t="str">
        <f>IFERROR(__xludf.DUMMYFUNCTION("GOOGLETRANSLATE(D1120)"),"w--=-=-=-[ NEMA 警告尼日利亞人為乾旱做好準備 http://t.co/5uoOPhSqU3")</f>
        <v>w--=-=-=-[ NEMA 警告尼日利亞人為乾旱做好準備 http://t.co/5uoOPhSqU3</v>
      </c>
      <c r="G1120" s="4" t="str">
        <f>IFERROR(__xludf.DUMMYFUNCTION("GOOGLETRANSLATE(B1120)"),"乾旱")</f>
        <v>乾旱</v>
      </c>
    </row>
    <row r="1121" ht="15.75" customHeight="1">
      <c r="A1121" s="4">
        <v>4108.0</v>
      </c>
      <c r="B1121" s="4" t="s">
        <v>1800</v>
      </c>
      <c r="C1121" s="4" t="s">
        <v>1812</v>
      </c>
      <c r="D1121" s="4" t="s">
        <v>1813</v>
      </c>
      <c r="E1121" s="4">
        <v>1.0</v>
      </c>
      <c r="F1121" s="4" t="str">
        <f>IFERROR(__xludf.DUMMYFUNCTION("GOOGLETRANSLATE(D1121)"),"#MakeWaterWork 奧肯那根！乾旱等級達到最高 - 奧肯那根山谷 http://t.co/tXrBdaUBNN http://t.co/Ue78c7EgOX #WesternCanadaDrought")</f>
        <v>#MakeWaterWork 奧肯那根！乾旱等級達到最高 - 奧肯那根山谷 http://t.co/tXrBdaUBNN http://t.co/Ue78c7EgOX #WesternCanadaDrought</v>
      </c>
      <c r="G1121" s="4" t="str">
        <f>IFERROR(__xludf.DUMMYFUNCTION("GOOGLETRANSLATE(B1121)"),"乾旱")</f>
        <v>乾旱</v>
      </c>
    </row>
    <row r="1122" ht="15.75" customHeight="1">
      <c r="A1122" s="4">
        <v>4111.0</v>
      </c>
      <c r="B1122" s="4" t="s">
        <v>1800</v>
      </c>
      <c r="C1122" s="4" t="s">
        <v>351</v>
      </c>
      <c r="D1122" s="4" t="s">
        <v>1814</v>
      </c>
      <c r="E1122" s="4">
        <v>1.0</v>
      </c>
      <c r="F1122" s="4" t="str">
        <f>IFERROR(__xludf.DUMMYFUNCTION("GOOGLETRANSLATE(D1122)"),"布朗州長將加州野火與乾旱聯繫起來 http://t.co/jEvrCWUdpm")</f>
        <v>布朗州長將加州野火與乾旱聯繫起來 http://t.co/jEvrCWUdpm</v>
      </c>
      <c r="G1122" s="4" t="str">
        <f>IFERROR(__xludf.DUMMYFUNCTION("GOOGLETRANSLATE(B1122)"),"乾旱")</f>
        <v>乾旱</v>
      </c>
    </row>
    <row r="1123" ht="15.75" customHeight="1">
      <c r="A1123" s="4">
        <v>4112.0</v>
      </c>
      <c r="B1123" s="4" t="s">
        <v>1800</v>
      </c>
      <c r="C1123" s="4" t="s">
        <v>1815</v>
      </c>
      <c r="D1123" s="4" t="s">
        <v>1816</v>
      </c>
      <c r="E1123" s="4">
        <v>1.0</v>
      </c>
      <c r="F1123" s="4" t="str">
        <f>IFERROR(__xludf.DUMMYFUNCTION("GOOGLETRANSLATE(D1123)"),"熱浪無情：91°F 感覺像 100 濕度 55% +
還有無情的乾旱：現在是多明尼加。我知道其他地方情況更糟。")</f>
        <v>熱浪無情：91°F 感覺像 100 濕度 55% +
還有無情的乾旱：現在是多明尼加。我知道其他地方情況更糟。</v>
      </c>
      <c r="G1123" s="4" t="str">
        <f>IFERROR(__xludf.DUMMYFUNCTION("GOOGLETRANSLATE(B1123)"),"乾旱")</f>
        <v>乾旱</v>
      </c>
    </row>
    <row r="1124" ht="15.75" customHeight="1">
      <c r="A1124" s="4">
        <v>4113.0</v>
      </c>
      <c r="B1124" s="4" t="s">
        <v>1800</v>
      </c>
      <c r="D1124" s="4" t="s">
        <v>1817</v>
      </c>
      <c r="E1124" s="4">
        <v>1.0</v>
      </c>
      <c r="F1124" s="4" t="str">
        <f>IFERROR(__xludf.DUMMYFUNCTION("GOOGLETRANSLATE(D1124)"),"加州乾旱導致湖泊流失，寶藏顯露出來 http://t.co/kAH1KmTrj7")</f>
        <v>加州乾旱導致湖泊流失，寶藏顯露出來 http://t.co/kAH1KmTrj7</v>
      </c>
      <c r="G1124" s="4" t="str">
        <f>IFERROR(__xludf.DUMMYFUNCTION("GOOGLETRANSLATE(B1124)"),"乾旱")</f>
        <v>乾旱</v>
      </c>
    </row>
    <row r="1125" ht="15.75" customHeight="1">
      <c r="A1125" s="4">
        <v>4114.0</v>
      </c>
      <c r="B1125" s="4" t="s">
        <v>1800</v>
      </c>
      <c r="C1125" s="4" t="s">
        <v>126</v>
      </c>
      <c r="D1125" s="4" t="s">
        <v>1818</v>
      </c>
      <c r="E1125" s="4">
        <v>1.0</v>
      </c>
      <c r="F1125" s="4" t="str">
        <f>IFERROR(__xludf.DUMMYFUNCTION("GOOGLETRANSLATE(D1125)"),"加拿大不列顛哥倫比亞省乾旱：奧肯納根地區發布 4 級評級 - 奧肯納根河（哥倫比亞部落）捕魚暫停至 9 月 30 日 http://t.co/r4yZHxk7lw")</f>
        <v>加拿大不列顛哥倫比亞省乾旱：奧肯納根地區發布 4 級評級 - 奧肯納根河（哥倫比亞部落）捕魚暫停至 9 月 30 日 http://t.co/r4yZHxk7lw</v>
      </c>
      <c r="G1125" s="4" t="str">
        <f>IFERROR(__xludf.DUMMYFUNCTION("GOOGLETRANSLATE(B1125)"),"乾旱")</f>
        <v>乾旱</v>
      </c>
    </row>
    <row r="1126" ht="15.75" customHeight="1">
      <c r="A1126" s="4">
        <v>4116.0</v>
      </c>
      <c r="B1126" s="4" t="s">
        <v>1800</v>
      </c>
      <c r="C1126" s="4" t="s">
        <v>1819</v>
      </c>
      <c r="D1126" s="4" t="s">
        <v>1820</v>
      </c>
      <c r="E1126" s="4">
        <v>1.0</v>
      </c>
      <c r="F1126" s="4" t="str">
        <f>IFERROR(__xludf.DUMMYFUNCTION("GOOGLETRANSLATE(D1126)"),"是時候消除乾旱了。看看 #cloud #IOT 如何幫助節約用水 http://t.co/nnv3zwVANt")</f>
        <v>是時候消除乾旱了。看看 #cloud #IOT 如何幫助節約用水 http://t.co/nnv3zwVANt</v>
      </c>
      <c r="G1126" s="4" t="str">
        <f>IFERROR(__xludf.DUMMYFUNCTION("GOOGLETRANSLATE(B1126)"),"乾旱")</f>
        <v>乾旱</v>
      </c>
    </row>
    <row r="1127" ht="15.75" customHeight="1">
      <c r="A1127" s="4">
        <v>4121.0</v>
      </c>
      <c r="B1127" s="4" t="s">
        <v>1800</v>
      </c>
      <c r="C1127" s="4" t="s">
        <v>1821</v>
      </c>
      <c r="D1127" s="4" t="s">
        <v>1822</v>
      </c>
      <c r="E1127" s="4">
        <v>1.0</v>
      </c>
      <c r="F1127" s="4" t="str">
        <f>IFERROR(__xludf.DUMMYFUNCTION("GOOGLETRANSLATE(D1127)"),"部落格：隨著乾旱情況惡化，急需降雨：目前夏洛特和周邊大部分地區已經有雨了 http://t.co/OLzaVTJFKH")</f>
        <v>部落格：隨著乾旱情況惡化，急需降雨：目前夏洛特和周邊大部分地區已經有雨了 http://t.co/OLzaVTJFKH</v>
      </c>
      <c r="G1127" s="4" t="str">
        <f>IFERROR(__xludf.DUMMYFUNCTION("GOOGLETRANSLATE(B1127)"),"乾旱")</f>
        <v>乾旱</v>
      </c>
    </row>
    <row r="1128" ht="15.75" customHeight="1">
      <c r="A1128" s="4">
        <v>4122.0</v>
      </c>
      <c r="B1128" s="4" t="s">
        <v>1800</v>
      </c>
      <c r="C1128" s="4" t="s">
        <v>1660</v>
      </c>
      <c r="D1128" s="4" t="s">
        <v>1823</v>
      </c>
      <c r="E1128" s="4">
        <v>1.0</v>
      </c>
      <c r="F1128" s="4" t="str">
        <f>IFERROR(__xludf.DUMMYFUNCTION("GOOGLETRANSLATE(D1128)"),"#weed 新聞 大麻如何使加州乾旱更加嚴重 - 基督教科學箴言報 http://t.co/2SZ7oKjRXi")</f>
        <v>#weed 新聞 大麻如何使加州乾旱更加嚴重 - 基督教科學箴言報 http://t.co/2SZ7oKjRXi</v>
      </c>
      <c r="G1128" s="4" t="str">
        <f>IFERROR(__xludf.DUMMYFUNCTION("GOOGLETRANSLATE(B1128)"),"乾旱")</f>
        <v>乾旱</v>
      </c>
    </row>
    <row r="1129" ht="15.75" customHeight="1">
      <c r="A1129" s="4">
        <v>4123.0</v>
      </c>
      <c r="B1129" s="4" t="s">
        <v>1800</v>
      </c>
      <c r="C1129" s="4" t="s">
        <v>1801</v>
      </c>
      <c r="D1129" s="4" t="s">
        <v>1824</v>
      </c>
      <c r="E1129" s="4">
        <v>1.0</v>
      </c>
      <c r="F1129" s="4" t="str">
        <f>IFERROR(__xludf.DUMMYFUNCTION("GOOGLETRANSLATE(D1129)"),"#DroughtMonitor：中等或更嚴重#drought？約占美國重疊群的 27%；影響約 8000 萬人。 http://t.co/YBE9JQoznR http://t.co/328SzflEtZ")</f>
        <v>#DroughtMonitor：中等或更嚴重#drought？約占美國重疊群的 27%；影響約 8000 萬人。 http://t.co/YBE9JQoznR http://t.co/328SzflEtZ</v>
      </c>
      <c r="G1129" s="4" t="str">
        <f>IFERROR(__xludf.DUMMYFUNCTION("GOOGLETRANSLATE(B1129)"),"乾旱")</f>
        <v>乾旱</v>
      </c>
    </row>
    <row r="1130" ht="15.75" customHeight="1">
      <c r="A1130" s="4">
        <v>4124.0</v>
      </c>
      <c r="B1130" s="4" t="s">
        <v>1800</v>
      </c>
      <c r="C1130" s="4" t="s">
        <v>1825</v>
      </c>
      <c r="D1130" s="4" t="s">
        <v>1826</v>
      </c>
      <c r="E1130" s="4">
        <v>1.0</v>
      </c>
      <c r="F1130" s="4" t="str">
        <f>IFERROR(__xludf.DUMMYFUNCTION("GOOGLETRANSLATE(D1130)"),"非常簡潔的網站，可以取得您所在地區最新的乾旱狀況 https://t.co/uaoDOquDa1")</f>
        <v>非常簡潔的網站，可以取得您所在地區最新的乾旱狀況 https://t.co/uaoDOquDa1</v>
      </c>
      <c r="G1130" s="4" t="str">
        <f>IFERROR(__xludf.DUMMYFUNCTION("GOOGLETRANSLATE(B1130)"),"乾旱")</f>
        <v>乾旱</v>
      </c>
    </row>
    <row r="1131" ht="15.75" customHeight="1">
      <c r="A1131" s="4">
        <v>4128.0</v>
      </c>
      <c r="B1131" s="4" t="s">
        <v>1800</v>
      </c>
      <c r="C1131" s="4" t="s">
        <v>1827</v>
      </c>
      <c r="D1131" s="4" t="s">
        <v>1828</v>
      </c>
      <c r="E1131" s="4">
        <v>1.0</v>
      </c>
      <c r="F1131" s="4" t="str">
        <f>IFERROR(__xludf.DUMMYFUNCTION("GOOGLETRANSLATE(D1131)"),"乾旱是真的嗎？？？？")</f>
        <v>乾旱是真的嗎？？？？</v>
      </c>
      <c r="G1131" s="4" t="str">
        <f>IFERROR(__xludf.DUMMYFUNCTION("GOOGLETRANSLATE(B1131)"),"乾旱")</f>
        <v>乾旱</v>
      </c>
    </row>
    <row r="1132" ht="15.75" customHeight="1">
      <c r="A1132" s="4">
        <v>4129.0</v>
      </c>
      <c r="B1132" s="4" t="s">
        <v>1800</v>
      </c>
      <c r="C1132" s="4" t="s">
        <v>1829</v>
      </c>
      <c r="D1132" s="4" t="s">
        <v>1830</v>
      </c>
      <c r="E1132" s="4">
        <v>1.0</v>
      </c>
      <c r="F1132" s="4" t="str">
        <f>IFERROR(__xludf.DUMMYFUNCTION("GOOGLETRANSLATE(D1132)"),"@Michael5SOS 加州正處於乾旱之中。對於這個問題你打算怎麼辦？如果你想當總統，這種態度對我來說是行不通的")</f>
        <v>@Michael5SOS 加州正處於乾旱之中。對於這個問題你打算怎麼辦？如果你想當總統，這種態度對我來說是行不通的</v>
      </c>
      <c r="G1132" s="4" t="str">
        <f>IFERROR(__xludf.DUMMYFUNCTION("GOOGLETRANSLATE(B1132)"),"乾旱")</f>
        <v>乾旱</v>
      </c>
    </row>
    <row r="1133" ht="15.75" customHeight="1">
      <c r="A1133" s="4">
        <v>4132.0</v>
      </c>
      <c r="B1133" s="4" t="s">
        <v>1800</v>
      </c>
      <c r="C1133" s="4" t="s">
        <v>1831</v>
      </c>
      <c r="D1133" s="4" t="s">
        <v>1832</v>
      </c>
      <c r="E1133" s="4">
        <v>1.0</v>
      </c>
      <c r="F1133" s="4" t="str">
        <f>IFERROR(__xludf.DUMMYFUNCTION("GOOGLETRANSLATE(D1133)"),"對這些加州人來說，這就像住在非洲的薩赫勒沙漠一樣——找水只是日常瑣事。 http://t.co/ySG9vsrT4g")</f>
        <v>對這些加州人來說，這就像住在非洲的薩赫勒沙漠一樣——找水只是日常瑣事。 http://t.co/ySG9vsrT4g</v>
      </c>
      <c r="G1133" s="4" t="str">
        <f>IFERROR(__xludf.DUMMYFUNCTION("GOOGLETRANSLATE(B1133)"),"乾旱")</f>
        <v>乾旱</v>
      </c>
    </row>
    <row r="1134" ht="15.75" customHeight="1">
      <c r="A1134" s="4">
        <v>4133.0</v>
      </c>
      <c r="B1134" s="4" t="s">
        <v>1800</v>
      </c>
      <c r="D1134" s="4" t="s">
        <v>1833</v>
      </c>
      <c r="E1134" s="4">
        <v>1.0</v>
      </c>
      <c r="F1134" s="4" t="str">
        <f>IFERROR(__xludf.DUMMYFUNCTION("GOOGLETRANSLATE(D1134)"),"美國遭遇創紀錄的颶風乾旱：美國在過去九年裡沒有遭受重大颶風襲擊，看起來是這樣的Û_")</f>
        <v>美國遭遇創紀錄的颶風乾旱：美國在過去九年裡沒有遭受重大颶風襲擊，看起來是這樣的Û_</v>
      </c>
      <c r="G1134" s="4" t="str">
        <f>IFERROR(__xludf.DUMMYFUNCTION("GOOGLETRANSLATE(B1134)"),"乾旱")</f>
        <v>乾旱</v>
      </c>
    </row>
    <row r="1135" ht="15.75" customHeight="1">
      <c r="A1135" s="4">
        <v>4138.0</v>
      </c>
      <c r="B1135" s="4" t="s">
        <v>1800</v>
      </c>
      <c r="C1135" s="4" t="s">
        <v>1834</v>
      </c>
      <c r="D1135" s="4" t="s">
        <v>1835</v>
      </c>
      <c r="E1135" s="4">
        <v>1.0</v>
      </c>
      <c r="F1135" s="4" t="str">
        <f>IFERROR(__xludf.DUMMYFUNCTION("GOOGLETRANSLATE(D1135)"),"加州需要額外的人員來迎接乾旱引發的火災季節。相關文章：http://t.co/rKDzB0TGC3")</f>
        <v>加州需要額外的人員來迎接乾旱引發的火災季節。相關文章：http://t.co/rKDzB0TGC3</v>
      </c>
      <c r="G1135" s="4" t="str">
        <f>IFERROR(__xludf.DUMMYFUNCTION("GOOGLETRANSLATE(B1135)"),"乾旱")</f>
        <v>乾旱</v>
      </c>
    </row>
    <row r="1136" ht="15.75" customHeight="1">
      <c r="A1136" s="4">
        <v>4139.0</v>
      </c>
      <c r="B1136" s="4" t="s">
        <v>1800</v>
      </c>
      <c r="C1136" s="4" t="s">
        <v>1836</v>
      </c>
      <c r="D1136" s="4" t="s">
        <v>1837</v>
      </c>
      <c r="E1136" s="4">
        <v>1.0</v>
      </c>
      <c r="F1136" s="4" t="str">
        <f>IFERROR(__xludf.DUMMYFUNCTION("GOOGLETRANSLATE(D1136)"),"中度#乾旱正在喬治亞州中部迅速蔓延。#Macon #WarnerRobins #Dublin #Milledgeville #gawx http://t.co/PHNEZ60cwe")</f>
        <v>中度#乾旱正在喬治亞州中部迅速蔓延。#Macon #WarnerRobins #Dublin #Milledgeville #gawx http://t.co/PHNEZ60cwe</v>
      </c>
      <c r="G1136" s="4" t="str">
        <f>IFERROR(__xludf.DUMMYFUNCTION("GOOGLETRANSLATE(B1136)"),"乾旱")</f>
        <v>乾旱</v>
      </c>
    </row>
    <row r="1137" ht="15.75" customHeight="1">
      <c r="A1137" s="4">
        <v>4140.0</v>
      </c>
      <c r="B1137" s="4" t="s">
        <v>1800</v>
      </c>
      <c r="C1137" s="4" t="s">
        <v>1838</v>
      </c>
      <c r="D1137" s="4" t="s">
        <v>1839</v>
      </c>
      <c r="E1137" s="4">
        <v>1.0</v>
      </c>
      <c r="F1137" s="4" t="str">
        <f>IFERROR(__xludf.DUMMYFUNCTION("GOOGLETRANSLATE(D1137)"),"以為這是一場乾旱@_ASHJ？ http://t.co/V4Br5gjMIY")</f>
        <v>以為這是一場乾旱@_ASHJ？ http://t.co/V4Br5gjMIY</v>
      </c>
      <c r="G1137" s="4" t="str">
        <f>IFERROR(__xludf.DUMMYFUNCTION("GOOGLETRANSLATE(B1137)"),"乾旱")</f>
        <v>乾旱</v>
      </c>
    </row>
    <row r="1138" ht="15.75" customHeight="1">
      <c r="A1138" s="4">
        <v>4141.0</v>
      </c>
      <c r="B1138" s="4" t="s">
        <v>1800</v>
      </c>
      <c r="C1138" s="4" t="s">
        <v>1840</v>
      </c>
      <c r="D1138" s="4" t="s">
        <v>1841</v>
      </c>
      <c r="E1138" s="4">
        <v>1.0</v>
      </c>
      <c r="F1138" s="4" t="str">
        <f>IFERROR(__xludf.DUMMYFUNCTION("GOOGLETRANSLATE(D1138)"),"@_gaabyx 我們有紫色活動人士 我以為是乾旱")</f>
        <v>@_gaabyx 我們有紫色活動人士 我以為是乾旱</v>
      </c>
      <c r="G1138" s="4" t="str">
        <f>IFERROR(__xludf.DUMMYFUNCTION("GOOGLETRANSLATE(B1138)"),"乾旱")</f>
        <v>乾旱</v>
      </c>
    </row>
    <row r="1139" ht="15.75" customHeight="1">
      <c r="A1139" s="4">
        <v>4142.0</v>
      </c>
      <c r="B1139" s="4" t="s">
        <v>1800</v>
      </c>
      <c r="C1139" s="4" t="s">
        <v>512</v>
      </c>
      <c r="D1139" s="4" t="s">
        <v>1842</v>
      </c>
      <c r="E1139" s="4">
        <v>1.0</v>
      </c>
      <c r="F1139" s="4" t="str">
        <f>IFERROR(__xludf.DUMMYFUNCTION("GOOGLETRANSLATE(D1139)"),"我們很高興支持 mydrought 項目，提高人們對洛杉磯乾旱的認識。追蹤您的用水情況Û_ https://t.co/2ZvhX41I9v")</f>
        <v>我們很高興支持 mydrought 項目，提高人們對洛杉磯乾旱的認識。追蹤您的用水情況Û_ https://t.co/2ZvhX41I9v</v>
      </c>
      <c r="G1139" s="4" t="str">
        <f>IFERROR(__xludf.DUMMYFUNCTION("GOOGLETRANSLATE(B1139)"),"乾旱")</f>
        <v>乾旱</v>
      </c>
    </row>
    <row r="1140" ht="15.75" customHeight="1">
      <c r="A1140" s="4">
        <v>4143.0</v>
      </c>
      <c r="B1140" s="4" t="s">
        <v>1800</v>
      </c>
      <c r="C1140" s="4" t="s">
        <v>1843</v>
      </c>
      <c r="D1140" s="4" t="s">
        <v>1844</v>
      </c>
      <c r="E1140" s="4">
        <v>1.0</v>
      </c>
      <c r="F1140" s="4" t="str">
        <f>IFERROR(__xludf.DUMMYFUNCTION("GOOGLETRANSLATE(D1140)"),"「加州正在燃燒：」州長關於乾旱野火的資訊 http://t.co/mkqSVp8E0G")</f>
        <v>「加州正在燃燒：」州長關於乾旱野火的資訊 http://t.co/mkqSVp8E0G</v>
      </c>
      <c r="G1140" s="4" t="str">
        <f>IFERROR(__xludf.DUMMYFUNCTION("GOOGLETRANSLATE(B1140)"),"乾旱")</f>
        <v>乾旱</v>
      </c>
    </row>
    <row r="1141" ht="15.75" customHeight="1">
      <c r="A1141" s="4">
        <v>4145.0</v>
      </c>
      <c r="B1141" s="4" t="s">
        <v>1800</v>
      </c>
      <c r="D1141" s="4" t="s">
        <v>1845</v>
      </c>
      <c r="E1141" s="4">
        <v>1.0</v>
      </c>
      <c r="F1141" s="4" t="str">
        <f>IFERROR(__xludf.DUMMYFUNCTION("GOOGLETRANSLATE(D1141)"),"LLF TALK 世界新聞 美國遭遇創紀錄的颶風乾旱 - 美國尚未遭受重大颶風襲擊...... http://t.co/ML8IrhWg7O")</f>
        <v>LLF TALK 世界新聞 美國遭遇創紀錄的颶風乾旱 - 美國尚未遭受重大颶風襲擊...... http://t.co/ML8IrhWg7O</v>
      </c>
      <c r="G1141" s="4" t="str">
        <f>IFERROR(__xludf.DUMMYFUNCTION("GOOGLETRANSLATE(B1141)"),"乾旱")</f>
        <v>乾旱</v>
      </c>
    </row>
    <row r="1142" ht="15.75" customHeight="1">
      <c r="A1142" s="4">
        <v>4150.0</v>
      </c>
      <c r="B1142" s="4" t="s">
        <v>1846</v>
      </c>
      <c r="D1142" s="4" t="s">
        <v>1847</v>
      </c>
      <c r="E1142" s="4">
        <v>1.0</v>
      </c>
      <c r="F1142" s="4" t="str">
        <f>IFERROR(__xludf.DUMMYFUNCTION("GOOGLETRANSLATE(D1142)"),".@karijobe 和她的樂隊今晚大放異彩。它的聲音幾乎足以淹沒我身後的手鼓......@codycarnes @AG_USA")</f>
        <v>.@karijobe 和她的樂隊今晚大放異彩。它的聲音幾乎足以淹沒我身後的手鼓......@codycarnes @AG_USA</v>
      </c>
      <c r="G1142" s="4" t="str">
        <f>IFERROR(__xludf.DUMMYFUNCTION("GOOGLETRANSLATE(B1142)"),"淹")</f>
        <v>淹</v>
      </c>
    </row>
    <row r="1143" ht="15.75" customHeight="1">
      <c r="A1143" s="4">
        <v>4172.0</v>
      </c>
      <c r="B1143" s="4" t="s">
        <v>1846</v>
      </c>
      <c r="C1143" s="4" t="s">
        <v>1848</v>
      </c>
      <c r="D1143" s="4" t="s">
        <v>1849</v>
      </c>
      <c r="E1143" s="4">
        <v>1.0</v>
      </c>
      <c r="F1143" s="4" t="str">
        <f>IFERROR(__xludf.DUMMYFUNCTION("GOOGLETRANSLATE(D1143)"),"我無法淹沒我的惡魔，他們知道如何游泳")</f>
        <v>我無法淹沒我的惡魔，他們知道如何游泳</v>
      </c>
      <c r="G1143" s="4" t="str">
        <f>IFERROR(__xludf.DUMMYFUNCTION("GOOGLETRANSLATE(B1143)"),"淹")</f>
        <v>淹</v>
      </c>
    </row>
    <row r="1144" ht="15.75" customHeight="1">
      <c r="A1144" s="4">
        <v>4184.0</v>
      </c>
      <c r="B1144" s="4" t="s">
        <v>1846</v>
      </c>
      <c r="C1144" s="4" t="s">
        <v>1850</v>
      </c>
      <c r="D1144" s="4" t="s">
        <v>1851</v>
      </c>
      <c r="E1144" s="4">
        <v>1.0</v>
      </c>
      <c r="F1144" s="4" t="str">
        <f>IFERROR(__xludf.DUMMYFUNCTION("GOOGLETRANSLATE(D1144)"),"我們收到一些關於瓊斯伯勒高中附近發生洪水的報告。在該地區駕駛時請小心謹慎。轉身別被淹死！")</f>
        <v>我們收到一些關於瓊斯伯勒高中附近發生洪水的報告。在該地區駕駛時請小心謹慎。轉身別被淹死！</v>
      </c>
      <c r="G1144" s="4" t="str">
        <f>IFERROR(__xludf.DUMMYFUNCTION("GOOGLETRANSLATE(B1144)"),"淹")</f>
        <v>淹</v>
      </c>
    </row>
    <row r="1145" ht="15.75" customHeight="1">
      <c r="A1145" s="4">
        <v>4200.0</v>
      </c>
      <c r="B1145" s="4" t="s">
        <v>1852</v>
      </c>
      <c r="D1145" s="4" t="s">
        <v>1853</v>
      </c>
      <c r="E1145" s="4">
        <v>1.0</v>
      </c>
      <c r="F1145" s="4" t="str">
        <f>IFERROR(__xludf.DUMMYFUNCTION("GOOGLETRANSLATE(D1145)"),"這位媽媽剛剛淹死了她的孩子，這是怎麼回事？")</f>
        <v>這位媽媽剛剛淹死了她的孩子，這是怎麼回事？</v>
      </c>
      <c r="G1145" s="4" t="str">
        <f>IFERROR(__xludf.DUMMYFUNCTION("GOOGLETRANSLATE(B1145)"),"淹死的")</f>
        <v>淹死的</v>
      </c>
    </row>
    <row r="1146" ht="15.75" customHeight="1">
      <c r="A1146" s="4">
        <v>4201.0</v>
      </c>
      <c r="B1146" s="4" t="s">
        <v>1852</v>
      </c>
      <c r="C1146" s="4" t="s">
        <v>109</v>
      </c>
      <c r="D1146" s="4" t="s">
        <v>1854</v>
      </c>
      <c r="E1146" s="4">
        <v>1.0</v>
      </c>
      <c r="F1146" s="4" t="str">
        <f>IFERROR(__xludf.DUMMYFUNCTION("GOOGLETRANSLATE(D1146)"),"移民船在利比亞傾覆，數百人擔心溺斃 http://t.co/7S1GfNEBgt")</f>
        <v>移民船在利比亞傾覆，數百人擔心溺斃 http://t.co/7S1GfNEBgt</v>
      </c>
      <c r="G1146" s="4" t="str">
        <f>IFERROR(__xludf.DUMMYFUNCTION("GOOGLETRANSLATE(B1146)"),"淹死的")</f>
        <v>淹死的</v>
      </c>
    </row>
    <row r="1147" ht="15.75" customHeight="1">
      <c r="A1147" s="4">
        <v>4202.0</v>
      </c>
      <c r="B1147" s="4" t="s">
        <v>1852</v>
      </c>
      <c r="C1147" s="4" t="s">
        <v>1855</v>
      </c>
      <c r="D1147" s="4" t="s">
        <v>1856</v>
      </c>
      <c r="E1147" s="4">
        <v>1.0</v>
      </c>
      <c r="F1147" s="4" t="str">
        <f>IFERROR(__xludf.DUMMYFUNCTION("GOOGLETRANSLATE(D1147)"),"可悲的是，在她拯救人類之前，烏蘇拉淹死在原修格斯的口水裡，但至少她是在做她喜歡的事情時死去的。")</f>
        <v>可悲的是，在她拯救人類之前，烏蘇拉淹死在原修格斯的口水裡，但至少她是在做她喜歡的事情時死去的。</v>
      </c>
      <c r="G1147" s="4" t="str">
        <f>IFERROR(__xludf.DUMMYFUNCTION("GOOGLETRANSLATE(B1147)"),"淹死的")</f>
        <v>淹死的</v>
      </c>
    </row>
    <row r="1148" ht="15.75" customHeight="1">
      <c r="A1148" s="4">
        <v>4211.0</v>
      </c>
      <c r="B1148" s="4" t="s">
        <v>1852</v>
      </c>
      <c r="C1148" s="4" t="s">
        <v>1857</v>
      </c>
      <c r="D1148" s="4" t="s">
        <v>1858</v>
      </c>
      <c r="E1148" s="4">
        <v>1.0</v>
      </c>
      <c r="F1148" s="4" t="str">
        <f>IFERROR(__xludf.DUMMYFUNCTION("GOOGLETRANSLATE(D1148)"),"#DW 移民船在利比亞傾覆，數百人擔心被淹死：數百名移民被淹死 http://t.co/VOX99FWKcX")</f>
        <v>#DW 移民船在利比亞傾覆，數百人擔心被淹死：數百名移民被淹死 http://t.co/VOX99FWKcX</v>
      </c>
      <c r="G1148" s="4" t="str">
        <f>IFERROR(__xludf.DUMMYFUNCTION("GOOGLETRANSLATE(B1148)"),"淹死的")</f>
        <v>淹死的</v>
      </c>
    </row>
    <row r="1149" ht="15.75" customHeight="1">
      <c r="A1149" s="4">
        <v>4212.0</v>
      </c>
      <c r="B1149" s="4" t="s">
        <v>1852</v>
      </c>
      <c r="C1149" s="4" t="s">
        <v>1859</v>
      </c>
      <c r="D1149" s="4" t="s">
        <v>1860</v>
      </c>
      <c r="E1149" s="4">
        <v>1.0</v>
      </c>
      <c r="F1149" s="4" t="str">
        <f>IFERROR(__xludf.DUMMYFUNCTION("GOOGLETRANSLATE(D1149)"),"來自@dw_english 數百人擔心移民船在利比亞傾覆http://t.co/Cubc0nq6Fd #UFO4UBlogEurope")</f>
        <v>來自@dw_english 數百人擔心移民船在利比亞傾覆http://t.co/Cubc0nq6Fd #UFO4UBlogEurope</v>
      </c>
      <c r="G1149" s="4" t="str">
        <f>IFERROR(__xludf.DUMMYFUNCTION("GOOGLETRANSLATE(B1149)"),"淹死的")</f>
        <v>淹死的</v>
      </c>
    </row>
    <row r="1150" ht="15.75" customHeight="1">
      <c r="A1150" s="4">
        <v>4218.0</v>
      </c>
      <c r="B1150" s="4" t="s">
        <v>1852</v>
      </c>
      <c r="C1150" s="4" t="s">
        <v>305</v>
      </c>
      <c r="D1150" s="4" t="s">
        <v>1861</v>
      </c>
      <c r="E1150" s="4">
        <v>1.0</v>
      </c>
      <c r="F1150" s="4" t="str">
        <f>IFERROR(__xludf.DUMMYFUNCTION("GOOGLETRANSLATE(D1150)"),"船隻傾覆後移民在海上淹死#Libya http://t.co/t4pv0nrOoV http://t.co/PSeYLYzck4")</f>
        <v>船隻傾覆後移民在海上淹死#Libya http://t.co/t4pv0nrOoV http://t.co/PSeYLYzck4</v>
      </c>
      <c r="G1150" s="4" t="str">
        <f>IFERROR(__xludf.DUMMYFUNCTION("GOOGLETRANSLATE(B1150)"),"淹死的")</f>
        <v>淹死的</v>
      </c>
    </row>
    <row r="1151" ht="15.75" customHeight="1">
      <c r="A1151" s="4">
        <v>4220.0</v>
      </c>
      <c r="B1151" s="4" t="s">
        <v>1852</v>
      </c>
      <c r="D1151" s="4" t="s">
        <v>1862</v>
      </c>
      <c r="E1151" s="4">
        <v>1.0</v>
      </c>
      <c r="F1151" s="4" t="str">
        <f>IFERROR(__xludf.DUMMYFUNCTION("GOOGLETRANSLATE(D1151)"),"在淹死的老鼠咖啡館拜訪喬治娜…景色太糟糕了！ http://t.co/pYLFb3tI9U")</f>
        <v>在淹死的老鼠咖啡館拜訪喬治娜…景色太糟糕了！ http://t.co/pYLFb3tI9U</v>
      </c>
      <c r="G1151" s="4" t="str">
        <f>IFERROR(__xludf.DUMMYFUNCTION("GOOGLETRANSLATE(B1151)"),"淹死的")</f>
        <v>淹死的</v>
      </c>
    </row>
    <row r="1152" ht="15.75" customHeight="1">
      <c r="A1152" s="4">
        <v>4225.0</v>
      </c>
      <c r="B1152" s="4" t="s">
        <v>1852</v>
      </c>
      <c r="D1152" s="4" t="s">
        <v>1863</v>
      </c>
      <c r="E1152" s="4">
        <v>1.0</v>
      </c>
      <c r="F1152" s="4" t="str">
        <f>IFERROR(__xludf.DUMMYFUNCTION("GOOGLETRANSLATE(D1152)"),"媽媽離開房間去拿睡衣後，幼兒在浴缸裡溺水身亡 http://t.co/k9aSKtwXfL")</f>
        <v>媽媽離開房間去拿睡衣後，幼兒在浴缸裡溺水身亡 http://t.co/k9aSKtwXfL</v>
      </c>
      <c r="G1152" s="4" t="str">
        <f>IFERROR(__xludf.DUMMYFUNCTION("GOOGLETRANSLATE(B1152)"),"淹死的")</f>
        <v>淹死的</v>
      </c>
    </row>
    <row r="1153" ht="15.75" customHeight="1">
      <c r="A1153" s="4">
        <v>4227.0</v>
      </c>
      <c r="B1153" s="4" t="s">
        <v>1852</v>
      </c>
      <c r="C1153" s="4" t="s">
        <v>1864</v>
      </c>
      <c r="D1153" s="4" t="s">
        <v>1865</v>
      </c>
      <c r="E1153" s="4">
        <v>1.0</v>
      </c>
      <c r="F1153" s="4" t="str">
        <f>IFERROR(__xludf.DUMMYFUNCTION("GOOGLETRANSLATE(D1153)"),"於是我從地上爬了起來，在被淹死之前遊了過去。觸底如此猛烈，我反彈了兩次就足夠了，這次不一樣。")</f>
        <v>於是我從地上爬了起來，在被淹死之前遊了過去。觸底如此猛烈，我反彈了兩次就足夠了，這次不一樣。</v>
      </c>
      <c r="G1153" s="4" t="str">
        <f>IFERROR(__xludf.DUMMYFUNCTION("GOOGLETRANSLATE(B1153)"),"淹死的")</f>
        <v>淹死的</v>
      </c>
    </row>
    <row r="1154" ht="15.75" customHeight="1">
      <c r="A1154" s="4">
        <v>4233.0</v>
      </c>
      <c r="B1154" s="4" t="s">
        <v>1852</v>
      </c>
      <c r="C1154" s="4" t="s">
        <v>1866</v>
      </c>
      <c r="D1154" s="4" t="s">
        <v>1867</v>
      </c>
      <c r="E1154" s="4">
        <v>1.0</v>
      </c>
      <c r="F1154" s="4" t="str">
        <f>IFERROR(__xludf.DUMMYFUNCTION("GOOGLETRANSLATE(D1154)"),"傑克遜維爾家庭聯合起來，計劃舉行紀念活動...http://t.co/tilgurKv7Z")</f>
        <v>傑克遜維爾家庭聯合起來，計劃舉行紀念活動...http://t.co/tilgurKv7Z</v>
      </c>
      <c r="G1154" s="4" t="str">
        <f>IFERROR(__xludf.DUMMYFUNCTION("GOOGLETRANSLATE(B1154)"),"淹死的")</f>
        <v>淹死的</v>
      </c>
    </row>
    <row r="1155" ht="15.75" customHeight="1">
      <c r="A1155" s="4">
        <v>4235.0</v>
      </c>
      <c r="B1155" s="4" t="s">
        <v>1852</v>
      </c>
      <c r="C1155" s="4" t="s">
        <v>1868</v>
      </c>
      <c r="D1155" s="4" t="s">
        <v>1869</v>
      </c>
      <c r="E1155" s="4">
        <v>1.0</v>
      </c>
      <c r="F1155" s="4" t="str">
        <f>IFERROR(__xludf.DUMMYFUNCTION("GOOGLETRANSLATE(D1155)"),"另一艘地中海尋求庇護者船沉沒後，數百人擔心被淹死 http://t.co/zsYkzj2bzG")</f>
        <v>另一艘地中海尋求庇護者船沉沒後，數百人擔心被淹死 http://t.co/zsYkzj2bzG</v>
      </c>
      <c r="G1155" s="4" t="str">
        <f>IFERROR(__xludf.DUMMYFUNCTION("GOOGLETRANSLATE(B1155)"),"淹死的")</f>
        <v>淹死的</v>
      </c>
    </row>
    <row r="1156" ht="15.75" customHeight="1">
      <c r="A1156" s="4">
        <v>4237.0</v>
      </c>
      <c r="B1156" s="4" t="s">
        <v>1852</v>
      </c>
      <c r="D1156" s="4" t="s">
        <v>1870</v>
      </c>
      <c r="E1156" s="4">
        <v>1.0</v>
      </c>
      <c r="F1156" s="4" t="str">
        <f>IFERROR(__xludf.DUMMYFUNCTION("GOOGLETRANSLATE(D1156)"),"我今天在這該死的遊戲裡被淹死了 5 次？？？？？？？？？？？")</f>
        <v>我今天在這該死的遊戲裡被淹死了 5 次？？？？？？？？？？？</v>
      </c>
      <c r="G1156" s="4" t="str">
        <f>IFERROR(__xludf.DUMMYFUNCTION("GOOGLETRANSLATE(B1156)"),"淹死的")</f>
        <v>淹死的</v>
      </c>
    </row>
    <row r="1157" ht="15.75" customHeight="1">
      <c r="A1157" s="4">
        <v>4238.0</v>
      </c>
      <c r="B1157" s="4" t="s">
        <v>1852</v>
      </c>
      <c r="C1157" s="4" t="s">
        <v>351</v>
      </c>
      <c r="D1157" s="4" t="s">
        <v>1871</v>
      </c>
      <c r="E1157" s="4">
        <v>1.0</v>
      </c>
      <c r="F1157" s="4" t="str">
        <f>IFERROR(__xludf.DUMMYFUNCTION("GOOGLETRANSLATE(D1157)"),"80 噸價值 1.25 億美元的可卡因淹沒在 #Alameda .....現在這是美國的乾旱#coke")</f>
        <v>80 噸價值 1.25 億美元的可卡因淹沒在 #Alameda .....現在這是美國的乾旱#coke</v>
      </c>
      <c r="G1157" s="4" t="str">
        <f>IFERROR(__xludf.DUMMYFUNCTION("GOOGLETRANSLATE(B1157)"),"淹死的")</f>
        <v>淹死的</v>
      </c>
    </row>
    <row r="1158" ht="15.75" customHeight="1">
      <c r="A1158" s="4">
        <v>4241.0</v>
      </c>
      <c r="B1158" s="4" t="s">
        <v>1852</v>
      </c>
      <c r="C1158" s="4" t="s">
        <v>1872</v>
      </c>
      <c r="D1158" s="4" t="s">
        <v>1873</v>
      </c>
      <c r="E1158" s="4">
        <v>1.0</v>
      </c>
      <c r="F1158" s="4" t="str">
        <f>IFERROR(__xludf.DUMMYFUNCTION("GOOGLETRANSLATE(D1158)"),"移民船在利比亞傾覆，數百人擔心溺斃 http://t.co/pPJi1tCNML")</f>
        <v>移民船在利比亞傾覆，數百人擔心溺斃 http://t.co/pPJi1tCNML</v>
      </c>
      <c r="G1158" s="4" t="str">
        <f>IFERROR(__xludf.DUMMYFUNCTION("GOOGLETRANSLATE(B1158)"),"淹死的")</f>
        <v>淹死的</v>
      </c>
    </row>
    <row r="1159" ht="15.75" customHeight="1">
      <c r="A1159" s="4">
        <v>4243.0</v>
      </c>
      <c r="B1159" s="4" t="s">
        <v>1852</v>
      </c>
      <c r="C1159" s="4" t="s">
        <v>34</v>
      </c>
      <c r="D1159" s="4" t="s">
        <v>1874</v>
      </c>
      <c r="E1159" s="4">
        <v>1.0</v>
      </c>
      <c r="F1159" s="4" t="str">
        <f>IFERROR(__xludf.DUMMYFUNCTION("GOOGLETRANSLATE(D1159)"),"數百名移民擔心在利比亞被淹死：在加萊附近的一個營地，移民站在帳篷旁 http://t.co/PY4mtW5xpM")</f>
        <v>數百名移民擔心在利比亞被淹死：在加萊附近的一個營地，移民站在帳篷旁 http://t.co/PY4mtW5xpM</v>
      </c>
      <c r="G1159" s="4" t="str">
        <f>IFERROR(__xludf.DUMMYFUNCTION("GOOGLETRANSLATE(B1159)"),"淹死的")</f>
        <v>淹死的</v>
      </c>
    </row>
    <row r="1160" ht="15.75" customHeight="1">
      <c r="A1160" s="4">
        <v>4252.0</v>
      </c>
      <c r="B1160" s="4" t="s">
        <v>1875</v>
      </c>
      <c r="C1160" s="4" t="s">
        <v>38</v>
      </c>
      <c r="D1160" s="4" t="s">
        <v>1876</v>
      </c>
      <c r="E1160" s="4">
        <v>1.0</v>
      </c>
      <c r="F1160" s="4" t="str">
        <f>IFERROR(__xludf.DUMMYFUNCTION("GOOGLETRANSLATE(D1160)"),"格蕾絲：這不是你第一次遇到“風暴”，你知道自行車、柵欄、樹木會飛走，白癡也會在漲水的河流中溺水…")</f>
        <v>格蕾絲：這不是你第一次遇到“風暴”，你知道自行車、柵欄、樹木會飛走，白癡也會在漲水的河流中溺水…</v>
      </c>
      <c r="G1160" s="4" t="str">
        <f>IFERROR(__xludf.DUMMYFUNCTION("GOOGLETRANSLATE(B1160)"),"溺")</f>
        <v>溺</v>
      </c>
    </row>
    <row r="1161" ht="15.75" customHeight="1">
      <c r="A1161" s="4">
        <v>4253.0</v>
      </c>
      <c r="B1161" s="4" t="s">
        <v>1875</v>
      </c>
      <c r="C1161" s="4" t="s">
        <v>1877</v>
      </c>
      <c r="D1161" s="4" t="s">
        <v>1878</v>
      </c>
      <c r="E1161" s="4">
        <v>1.0</v>
      </c>
      <c r="F1161" s="4" t="str">
        <f>IFERROR(__xludf.DUMMYFUNCTION("GOOGLETRANSLATE(D1161)"),"倫敦正在淹沒，我靠著 RIVEEEEEER 生活")</f>
        <v>倫敦正在淹沒，我靠著 RIVEEEEEER 生活</v>
      </c>
      <c r="G1161" s="4" t="str">
        <f>IFERROR(__xludf.DUMMYFUNCTION("GOOGLETRANSLATE(B1161)"),"溺")</f>
        <v>溺</v>
      </c>
    </row>
    <row r="1162" ht="15.75" customHeight="1">
      <c r="A1162" s="4">
        <v>4260.0</v>
      </c>
      <c r="B1162" s="4" t="s">
        <v>1875</v>
      </c>
      <c r="D1162" s="4" t="s">
        <v>1879</v>
      </c>
      <c r="E1162" s="4">
        <v>1.0</v>
      </c>
      <c r="F1162" s="4" t="str">
        <f>IFERROR(__xludf.DUMMYFUNCTION("GOOGLETRANSLATE(D1162)"),"「溺水」-壓克力 08.05.15 https://t.co/X17fUBQBGG")</f>
        <v>「溺水」-壓克力 08.05.15 https://t.co/X17fUBQBGG</v>
      </c>
      <c r="G1162" s="4" t="str">
        <f>IFERROR(__xludf.DUMMYFUNCTION("GOOGLETRANSLATE(B1162)"),"溺")</f>
        <v>溺</v>
      </c>
    </row>
    <row r="1163" ht="15.75" customHeight="1">
      <c r="A1163" s="4">
        <v>4264.0</v>
      </c>
      <c r="B1163" s="4" t="s">
        <v>1875</v>
      </c>
      <c r="C1163" s="4" t="s">
        <v>1880</v>
      </c>
      <c r="D1163" s="4" t="s">
        <v>1881</v>
      </c>
      <c r="E1163" s="4">
        <v>1.0</v>
      </c>
      <c r="F1163" s="4" t="str">
        <f>IFERROR(__xludf.DUMMYFUNCTION("GOOGLETRANSLATE(D1163)"),"@_jeesss_ @Ethereal_7 你好，911 是的，我們有人在這裡溺水，請派一名醫療人員 http://t.co/7GiglwdMhy")</f>
        <v>@_jeesss_ @Ethereal_7 你好，911 是的，我們有人在這裡溺水，請派一名醫療人員 http://t.co/7GiglwdMhy</v>
      </c>
      <c r="G1163" s="4" t="str">
        <f>IFERROR(__xludf.DUMMYFUNCTION("GOOGLETRANSLATE(B1163)"),"溺")</f>
        <v>溺</v>
      </c>
    </row>
    <row r="1164" ht="15.75" customHeight="1">
      <c r="A1164" s="4">
        <v>4266.0</v>
      </c>
      <c r="B1164" s="4" t="s">
        <v>1875</v>
      </c>
      <c r="D1164" s="4" t="s">
        <v>1882</v>
      </c>
      <c r="E1164" s="4">
        <v>1.0</v>
      </c>
      <c r="F1164" s="4" t="str">
        <f>IFERROR(__xludf.DUMMYFUNCTION("GOOGLETRANSLATE(D1164)"),"@HeyImBeeYT 就像我的皮膚裡有火一樣，我從裡面淹死了？？？")</f>
        <v>@HeyImBeeYT 就像我的皮膚裡有火一樣，我從裡面淹死了？？？</v>
      </c>
      <c r="G1164" s="4" t="str">
        <f>IFERROR(__xludf.DUMMYFUNCTION("GOOGLETRANSLATE(B1164)"),"溺")</f>
        <v>溺</v>
      </c>
    </row>
    <row r="1165" ht="15.75" customHeight="1">
      <c r="A1165" s="4">
        <v>4271.0</v>
      </c>
      <c r="B1165" s="4" t="s">
        <v>1875</v>
      </c>
      <c r="C1165" s="4" t="s">
        <v>1883</v>
      </c>
      <c r="D1165" s="4" t="s">
        <v>1884</v>
      </c>
      <c r="E1165" s="4">
        <v>1.0</v>
      </c>
      <c r="F1165" s="4" t="str">
        <f>IFERROR(__xludf.DUMMYFUNCTION("GOOGLETRANSLATE(D1165)"),"沒有報告有人被汗水淹死的案例......僅供參考")</f>
        <v>沒有報告有人被汗水淹死的案例......僅供參考</v>
      </c>
      <c r="G1165" s="4" t="str">
        <f>IFERROR(__xludf.DUMMYFUNCTION("GOOGLETRANSLATE(B1165)"),"溺")</f>
        <v>溺</v>
      </c>
    </row>
    <row r="1166" ht="15.75" customHeight="1">
      <c r="A1166" s="4">
        <v>4272.0</v>
      </c>
      <c r="B1166" s="4" t="s">
        <v>1875</v>
      </c>
      <c r="C1166" s="4" t="s">
        <v>1885</v>
      </c>
      <c r="D1166" s="4" t="s">
        <v>1886</v>
      </c>
      <c r="E1166" s="4">
        <v>1.0</v>
      </c>
      <c r="F1166" s="4" t="str">
        <f>IFERROR(__xludf.DUMMYFUNCTION("GOOGLETRANSLATE(D1166)"),"http://t.co/9y0pAJ8sxd 家人哀悼患有罕見癲癇症的「超級英雄」幼兒溺水 - 芝加哥論壇報 http://t.co/oLdjsowKY5")</f>
        <v>http://t.co/9y0pAJ8sxd 家人哀悼患有罕見癲癇症的「超級英雄」幼兒溺水 - 芝加哥論壇報 http://t.co/oLdjsowKY5</v>
      </c>
      <c r="G1166" s="4" t="str">
        <f>IFERROR(__xludf.DUMMYFUNCTION("GOOGLETRANSLATE(B1166)"),"溺")</f>
        <v>溺</v>
      </c>
    </row>
    <row r="1167" ht="15.75" customHeight="1">
      <c r="A1167" s="4">
        <v>4273.0</v>
      </c>
      <c r="B1167" s="4" t="s">
        <v>1875</v>
      </c>
      <c r="C1167" s="4" t="s">
        <v>1887</v>
      </c>
      <c r="D1167" s="4" t="s">
        <v>1888</v>
      </c>
      <c r="E1167" s="4">
        <v>1.0</v>
      </c>
      <c r="F1167" s="4" t="str">
        <f>IFERROR(__xludf.DUMMYFUNCTION("GOOGLETRANSLATE(D1167)"),"@NigelTanner1 不管你信不信，我們這裡下了太多雨了。我們新種的楓樹居然快要淹死了。")</f>
        <v>@NigelTanner1 不管你信不信，我們這裡下了太多雨了。我們新種的楓樹居然快要淹死了。</v>
      </c>
      <c r="G1167" s="4" t="str">
        <f>IFERROR(__xludf.DUMMYFUNCTION("GOOGLETRANSLATE(B1167)"),"溺")</f>
        <v>溺</v>
      </c>
    </row>
    <row r="1168" ht="15.75" customHeight="1">
      <c r="A1168" s="4">
        <v>4274.0</v>
      </c>
      <c r="B1168" s="4" t="s">
        <v>1875</v>
      </c>
      <c r="D1168" s="4" t="s">
        <v>1889</v>
      </c>
      <c r="E1168" s="4">
        <v>1.0</v>
      </c>
      <c r="F1168" s="4" t="str">
        <f>IFERROR(__xludf.DUMMYFUNCTION("GOOGLETRANSLATE(D1168)"),"男孩救溺水的自閉症兄弟：緬因州一名九歲男孩跳入泳池救溺水的自閉症兄弟")</f>
        <v>男孩救溺水的自閉症兄弟：緬因州一名九歲男孩跳入泳池救溺水的自閉症兄弟</v>
      </c>
      <c r="G1168" s="4" t="str">
        <f>IFERROR(__xludf.DUMMYFUNCTION("GOOGLETRANSLATE(B1168)"),"溺")</f>
        <v>溺</v>
      </c>
    </row>
    <row r="1169" ht="15.75" customHeight="1">
      <c r="A1169" s="4">
        <v>4299.0</v>
      </c>
      <c r="B1169" s="4" t="s">
        <v>1890</v>
      </c>
      <c r="C1169" s="4" t="s">
        <v>1891</v>
      </c>
      <c r="D1169" s="4" t="s">
        <v>1892</v>
      </c>
      <c r="E1169" s="4">
        <v>1.0</v>
      </c>
      <c r="F1169" s="4" t="str">
        <f>IFERROR(__xludf.DUMMYFUNCTION("GOOGLETRANSLATE(D1169)"),"在昨天的沙塵暴期間抵達安曼的一些可憐的草皮被轉移到本古里安機場：http://t.co/jkpjpcH9i6")</f>
        <v>在昨天的沙塵暴期間抵達安曼的一些可憐的草皮被轉移到本古里安機場：http://t.co/jkpjpcH9i6</v>
      </c>
      <c r="G1169" s="4" t="str">
        <f>IFERROR(__xludf.DUMMYFUNCTION("GOOGLETRANSLATE(B1169)"),"灰塵%20風暴")</f>
        <v>灰塵%20風暴</v>
      </c>
    </row>
    <row r="1170" ht="15.75" customHeight="1">
      <c r="A1170" s="4">
        <v>4300.0</v>
      </c>
      <c r="B1170" s="4" t="s">
        <v>1890</v>
      </c>
      <c r="D1170" s="4" t="s">
        <v>1893</v>
      </c>
      <c r="E1170" s="4">
        <v>1.0</v>
      </c>
      <c r="F1170" s="4" t="str">
        <f>IFERROR(__xludf.DUMMYFUNCTION("GOOGLETRANSLATE(D1170)"),"澳洲大氣驚悚片中的孩子在沙塵暴中失蹤 http://t.co/0MNPCER9nO RT @Newz_Sacramento")</f>
        <v>澳洲大氣驚悚片中的孩子在沙塵暴中失蹤 http://t.co/0MNPCER9nO RT @Newz_Sacramento</v>
      </c>
      <c r="G1170" s="4" t="str">
        <f>IFERROR(__xludf.DUMMYFUNCTION("GOOGLETRANSLATE(B1170)"),"灰塵%20風暴")</f>
        <v>灰塵%20風暴</v>
      </c>
    </row>
    <row r="1171" ht="15.75" customHeight="1">
      <c r="A1171" s="4">
        <v>4301.0</v>
      </c>
      <c r="B1171" s="4" t="s">
        <v>1890</v>
      </c>
      <c r="C1171" s="4" t="s">
        <v>1894</v>
      </c>
      <c r="D1171" s="4" t="s">
        <v>1895</v>
      </c>
      <c r="E1171" s="4">
        <v>1.0</v>
      </c>
      <c r="F1171" s="4" t="str">
        <f>IFERROR(__xludf.DUMMYFUNCTION("GOOGLETRANSLATE(D1171)"),"NASA MODIS 影像：摩洛哥和直布羅陀海峽上空的沙塵暴 http://t.co/QWQnni7VMZ #duststorm")</f>
        <v>NASA MODIS 影像：摩洛哥和直布羅陀海峽上空的沙塵暴 http://t.co/QWQnni7VMZ #duststorm</v>
      </c>
      <c r="G1171" s="4" t="str">
        <f>IFERROR(__xludf.DUMMYFUNCTION("GOOGLETRANSLATE(B1171)"),"灰塵%20風暴")</f>
        <v>灰塵%20風暴</v>
      </c>
    </row>
    <row r="1172" ht="15.75" customHeight="1">
      <c r="A1172" s="4">
        <v>4303.0</v>
      </c>
      <c r="B1172" s="4" t="s">
        <v>1890</v>
      </c>
      <c r="C1172" s="4" t="s">
        <v>1896</v>
      </c>
      <c r="D1172" s="4" t="s">
        <v>1897</v>
      </c>
      <c r="E1172" s="4">
        <v>1.0</v>
      </c>
      <c r="F1172" s="4" t="str">
        <f>IFERROR(__xludf.DUMMYFUNCTION("GOOGLETRANSLATE(D1172)"),"太嗚嗚！太嗚嗚嗚！
'@Historicalmages：1935 年 4 月 18 日沙塵暴逼近德克薩斯州斯特拉特福。http://t.co/4awC16uUWB'")</f>
        <v>太嗚嗚！太嗚嗚嗚！
'@Historicalmages：1935 年 4 月 18 日沙塵暴逼近德克薩斯州斯特拉特福。http://t.co/4awC16uUWB'</v>
      </c>
      <c r="G1172" s="4" t="str">
        <f>IFERROR(__xludf.DUMMYFUNCTION("GOOGLETRANSLATE(B1172)"),"灰塵%20風暴")</f>
        <v>灰塵%20風暴</v>
      </c>
    </row>
    <row r="1173" ht="15.75" customHeight="1">
      <c r="A1173" s="4">
        <v>4304.0</v>
      </c>
      <c r="B1173" s="4" t="s">
        <v>1890</v>
      </c>
      <c r="C1173" s="4" t="s">
        <v>1898</v>
      </c>
      <c r="D1173" s="4" t="s">
        <v>1899</v>
      </c>
      <c r="E1173" s="4">
        <v>1.0</v>
      </c>
      <c r="F1173" s="4" t="str">
        <f>IFERROR(__xludf.DUMMYFUNCTION("GOOGLETRANSLATE(D1173)"),"當風暴向東南移動至拉伯克地區時，風暴強度減弱。流出邊界可能會產生灰塵和 50 英里/小時的陣風 http://t.co/pw3tZU0tay")</f>
        <v>當風暴向東南移動至拉伯克地區時，風暴強度減弱。流出邊界可能會產生灰塵和 50 英里/小時的陣風 http://t.co/pw3tZU0tay</v>
      </c>
      <c r="G1173" s="4" t="str">
        <f>IFERROR(__xludf.DUMMYFUNCTION("GOOGLETRANSLATE(B1173)"),"灰塵%20風暴")</f>
        <v>灰塵%20風暴</v>
      </c>
    </row>
    <row r="1174" ht="15.75" customHeight="1">
      <c r="A1174" s="4">
        <v>4305.0</v>
      </c>
      <c r="B1174" s="4" t="s">
        <v>1890</v>
      </c>
      <c r="C1174" s="4" t="s">
        <v>1900</v>
      </c>
      <c r="D1174" s="4" t="s">
        <v>1901</v>
      </c>
      <c r="E1174" s="4">
        <v>1.0</v>
      </c>
      <c r="F1174" s="4" t="str">
        <f>IFERROR(__xludf.DUMMYFUNCTION("GOOGLETRANSLATE(D1174)"),"當我朋友的答案不是隨風飄揚時——它在大喊大叫！ -如何在沙塵暴中生存 http://t.co/9NwAJLi9cr http://t.co/tKMOtaeaCo")</f>
        <v>當我朋友的答案不是隨風飄揚時——它在大喊大叫！ -如何在沙塵暴中生存 http://t.co/9NwAJLi9cr http://t.co/tKMOtaeaCo</v>
      </c>
      <c r="G1174" s="4" t="str">
        <f>IFERROR(__xludf.DUMMYFUNCTION("GOOGLETRANSLATE(B1174)"),"灰塵%20風暴")</f>
        <v>灰塵%20風暴</v>
      </c>
    </row>
    <row r="1175" ht="15.75" customHeight="1">
      <c r="A1175" s="4">
        <v>4306.0</v>
      </c>
      <c r="B1175" s="4" t="s">
        <v>1890</v>
      </c>
      <c r="D1175" s="4" t="s">
        <v>1902</v>
      </c>
      <c r="E1175" s="4">
        <v>1.0</v>
      </c>
      <c r="F1175" s="4" t="str">
        <f>IFERROR(__xludf.DUMMYFUNCTION("GOOGLETRANSLATE(D1175)"),"澳洲驚悚片中的孩子在沙塵暴中失蹤 http://t.co/TPOaprJudp RT @Newz_Sacramento")</f>
        <v>澳洲驚悚片中的孩子在沙塵暴中失蹤 http://t.co/TPOaprJudp RT @Newz_Sacramento</v>
      </c>
      <c r="G1175" s="4" t="str">
        <f>IFERROR(__xludf.DUMMYFUNCTION("GOOGLETRANSLATE(B1175)"),"灰塵%20風暴")</f>
        <v>灰塵%20風暴</v>
      </c>
    </row>
    <row r="1176" ht="15.75" customHeight="1">
      <c r="A1176" s="4">
        <v>4307.0</v>
      </c>
      <c r="B1176" s="4" t="s">
        <v>1890</v>
      </c>
      <c r="D1176" s="4" t="s">
        <v>1903</v>
      </c>
      <c r="E1176" s="4">
        <v>1.0</v>
      </c>
      <c r="F1176" s="4" t="str">
        <f>IFERROR(__xludf.DUMMYFUNCTION("GOOGLETRANSLATE(D1176)"),"如何在沙塵暴中生存 http://t.co/0yL3yT4YLH")</f>
        <v>如何在沙塵暴中生存 http://t.co/0yL3yT4YLH</v>
      </c>
      <c r="G1176" s="4" t="str">
        <f>IFERROR(__xludf.DUMMYFUNCTION("GOOGLETRANSLATE(B1176)"),"灰塵%20風暴")</f>
        <v>灰塵%20風暴</v>
      </c>
    </row>
    <row r="1177" ht="15.75" customHeight="1">
      <c r="A1177" s="4">
        <v>4309.0</v>
      </c>
      <c r="B1177" s="4" t="s">
        <v>1890</v>
      </c>
      <c r="D1177" s="4" t="s">
        <v>1904</v>
      </c>
      <c r="E1177" s="4">
        <v>1.0</v>
      </c>
      <c r="F1177" s="4" t="str">
        <f>IFERROR(__xludf.DUMMYFUNCTION("GOOGLETRANSLATE(D1177)"),"從愛麗斯泉到烏魯魯的沙塵暴「途中」 http://t.co/4ilt6FXU45")</f>
        <v>從愛麗斯泉到烏魯魯的沙塵暴「途中」 http://t.co/4ilt6FXU45</v>
      </c>
      <c r="G1177" s="4" t="str">
        <f>IFERROR(__xludf.DUMMYFUNCTION("GOOGLETRANSLATE(B1177)"),"灰塵%20風暴")</f>
        <v>灰塵%20風暴</v>
      </c>
    </row>
    <row r="1178" ht="15.75" customHeight="1">
      <c r="A1178" s="4">
        <v>4317.0</v>
      </c>
      <c r="B1178" s="4" t="s">
        <v>1890</v>
      </c>
      <c r="C1178" s="4" t="s">
        <v>1905</v>
      </c>
      <c r="D1178" s="4" t="s">
        <v>1906</v>
      </c>
      <c r="E1178" s="4">
        <v>1.0</v>
      </c>
      <c r="F1178" s="4" t="str">
        <f>IFERROR(__xludf.DUMMYFUNCTION("GOOGLETRANSLATE(D1178)"),"@RetiredFilth 雪梨的人們在沙塵暴過後醒來時發現整個天空都變成了紅色……就像不真實一樣。")</f>
        <v>@RetiredFilth 雪梨的人們在沙塵暴過後醒來時發現整個天空都變成了紅色……就像不真實一樣。</v>
      </c>
      <c r="G1178" s="4" t="str">
        <f>IFERROR(__xludf.DUMMYFUNCTION("GOOGLETRANSLATE(B1178)"),"灰塵%20風暴")</f>
        <v>灰塵%20風暴</v>
      </c>
    </row>
    <row r="1179" ht="15.75" customHeight="1">
      <c r="A1179" s="4">
        <v>4318.0</v>
      </c>
      <c r="B1179" s="4" t="s">
        <v>1890</v>
      </c>
      <c r="C1179" s="4" t="s">
        <v>1907</v>
      </c>
      <c r="D1179" s="4" t="s">
        <v>1908</v>
      </c>
      <c r="E1179" s="4">
        <v>1.0</v>
      </c>
      <c r="F1179" s="4" t="str">
        <f>IFERROR(__xludf.DUMMYFUNCTION("GOOGLETRANSLATE(D1179)"),"一場大風暴正在醞釀著烏雲雷鳴、大雨夾雜著厚厚的灰塵。這可能很有趣。")</f>
        <v>一場大風暴正在醞釀著烏雲雷鳴、大雨夾雜著厚厚的灰塵。這可能很有趣。</v>
      </c>
      <c r="G1179" s="4" t="str">
        <f>IFERROR(__xludf.DUMMYFUNCTION("GOOGLETRANSLATE(B1179)"),"灰塵%20風暴")</f>
        <v>灰塵%20風暴</v>
      </c>
    </row>
    <row r="1180" ht="15.75" customHeight="1">
      <c r="A1180" s="4">
        <v>4320.0</v>
      </c>
      <c r="B1180" s="4" t="s">
        <v>1890</v>
      </c>
      <c r="C1180" s="4" t="s">
        <v>1909</v>
      </c>
      <c r="D1180" s="4" t="s">
        <v>1910</v>
      </c>
      <c r="E1180" s="4">
        <v>1.0</v>
      </c>
      <c r="F1180" s="4" t="str">
        <f>IFERROR(__xludf.DUMMYFUNCTION("GOOGLETRANSLATE(D1180)"),"I-90 Vantage：由於橋以東約 4 英里處發生沙塵暴，能見度較低，向東倒車。")</f>
        <v>I-90 Vantage：由於橋以東約 4 英里處發生沙塵暴，能見度較低，向東倒車。</v>
      </c>
      <c r="G1180" s="4" t="str">
        <f>IFERROR(__xludf.DUMMYFUNCTION("GOOGLETRANSLATE(B1180)"),"灰塵%20風暴")</f>
        <v>灰塵%20風暴</v>
      </c>
    </row>
    <row r="1181" ht="15.75" customHeight="1">
      <c r="A1181" s="4">
        <v>4321.0</v>
      </c>
      <c r="B1181" s="4" t="s">
        <v>1890</v>
      </c>
      <c r="D1181" s="4" t="s">
        <v>1911</v>
      </c>
      <c r="E1181" s="4">
        <v>1.0</v>
      </c>
      <c r="F1181" s="4" t="str">
        <f>IFERROR(__xludf.DUMMYFUNCTION("GOOGLETRANSLATE(D1181)"),"結束這一天的好方法！間歇泉加沙塵暴！ http://t.co/l5VakLR59M")</f>
        <v>結束這一天的好方法！間歇泉加沙塵暴！ http://t.co/l5VakLR59M</v>
      </c>
      <c r="G1181" s="4" t="str">
        <f>IFERROR(__xludf.DUMMYFUNCTION("GOOGLETRANSLATE(B1181)"),"灰塵%20風暴")</f>
        <v>灰塵%20風暴</v>
      </c>
    </row>
    <row r="1182" ht="15.75" customHeight="1">
      <c r="A1182" s="4">
        <v>4322.0</v>
      </c>
      <c r="B1182" s="4" t="s">
        <v>1890</v>
      </c>
      <c r="C1182" s="4" t="s">
        <v>1912</v>
      </c>
      <c r="D1182" s="4" t="s">
        <v>1913</v>
      </c>
      <c r="E1182" s="4">
        <v>1.0</v>
      </c>
      <c r="F1182" s="4" t="str">
        <f>IFERROR(__xludf.DUMMYFUNCTION("GOOGLETRANSLATE(D1182)"),"利雅德沙塵暴？？？")</f>
        <v>利雅德沙塵暴？？？</v>
      </c>
      <c r="G1182" s="4" t="str">
        <f>IFERROR(__xludf.DUMMYFUNCTION("GOOGLETRANSLATE(B1182)"),"灰塵%20風暴")</f>
        <v>灰塵%20風暴</v>
      </c>
    </row>
    <row r="1183" ht="15.75" customHeight="1">
      <c r="A1183" s="4">
        <v>4324.0</v>
      </c>
      <c r="B1183" s="4" t="s">
        <v>1890</v>
      </c>
      <c r="D1183" s="4" t="s">
        <v>1914</v>
      </c>
      <c r="E1183" s="4">
        <v>1.0</v>
      </c>
      <c r="F1183" s="4" t="str">
        <f>IFERROR(__xludf.DUMMYFUNCTION("GOOGLETRANSLATE(D1183)"),"讓它像風中的塵埃一樣消失......像龍捲風一樣的大風，伴隨著暴風雪雷霆和風暴，這就是我一直想要的")</f>
        <v>讓它像風中的塵埃一樣消失......像龍捲風一樣的大風，伴隨著暴風雪雷霆和風暴，這就是我一直想要的</v>
      </c>
      <c r="G1183" s="4" t="str">
        <f>IFERROR(__xludf.DUMMYFUNCTION("GOOGLETRANSLATE(B1183)"),"灰塵%20風暴")</f>
        <v>灰塵%20風暴</v>
      </c>
    </row>
    <row r="1184" ht="15.75" customHeight="1">
      <c r="A1184" s="4">
        <v>4328.0</v>
      </c>
      <c r="B1184" s="4" t="s">
        <v>1890</v>
      </c>
      <c r="C1184" s="4" t="s">
        <v>1915</v>
      </c>
      <c r="D1184" s="4" t="s">
        <v>1916</v>
      </c>
      <c r="E1184" s="4">
        <v>1.0</v>
      </c>
      <c r="F1184" s="4" t="str">
        <f>IFERROR(__xludf.DUMMYFUNCTION("GOOGLETRANSLATE(D1184)"),"風暴帶著揚塵和風向愛達荷瀑布襲來。風速達到 60 英里/小時。美國 20 號高速公路和I15 小心。 #idwx http://t.co/0cR74m1Uxm")</f>
        <v>風暴帶著揚塵和風向愛達荷瀑布襲來。風速達到 60 英里/小時。美國 20 號高速公路和I15 小心。 #idwx http://t.co/0cR74m1Uxm</v>
      </c>
      <c r="G1184" s="4" t="str">
        <f>IFERROR(__xludf.DUMMYFUNCTION("GOOGLETRANSLATE(B1184)"),"灰塵%20風暴")</f>
        <v>灰塵%20風暴</v>
      </c>
    </row>
    <row r="1185" ht="15.75" customHeight="1">
      <c r="A1185" s="4">
        <v>4329.0</v>
      </c>
      <c r="B1185" s="4" t="s">
        <v>1890</v>
      </c>
      <c r="C1185" s="4" t="s">
        <v>1917</v>
      </c>
      <c r="D1185" s="4" t="s">
        <v>1918</v>
      </c>
      <c r="E1185" s="4">
        <v>1.0</v>
      </c>
      <c r="F1185" s="4" t="str">
        <f>IFERROR(__xludf.DUMMYFUNCTION("GOOGLETRANSLATE(D1185)"),"目前正行駛在沙塵暴中。 http://t.co/srUj5ZljGL")</f>
        <v>目前正行駛在沙塵暴中。 http://t.co/srUj5ZljGL</v>
      </c>
      <c r="G1185" s="4" t="str">
        <f>IFERROR(__xludf.DUMMYFUNCTION("GOOGLETRANSLATE(B1185)"),"灰塵%20風暴")</f>
        <v>灰塵%20風暴</v>
      </c>
    </row>
    <row r="1186" ht="15.75" customHeight="1">
      <c r="A1186" s="4">
        <v>4330.0</v>
      </c>
      <c r="B1186" s="4" t="s">
        <v>1890</v>
      </c>
      <c r="D1186" s="4" t="s">
        <v>1919</v>
      </c>
      <c r="E1186" s="4">
        <v>1.0</v>
      </c>
      <c r="F1186" s="4" t="str">
        <f>IFERROR(__xludf.DUMMYFUNCTION("GOOGLETRANSLATE(D1186)"),"我從南達科他州的一場沙塵暴中學到的經濟學知識比我在大學學到的還要多。 ——休伯特‧漢弗萊")</f>
        <v>我從南達科他州的一場沙塵暴中學到的經濟學知識比我在大學學到的還要多。 ——休伯特‧漢弗萊</v>
      </c>
      <c r="G1186" s="4" t="str">
        <f>IFERROR(__xludf.DUMMYFUNCTION("GOOGLETRANSLATE(B1186)"),"灰塵%20風暴")</f>
        <v>灰塵%20風暴</v>
      </c>
    </row>
    <row r="1187" ht="15.75" customHeight="1">
      <c r="A1187" s="4">
        <v>4333.0</v>
      </c>
      <c r="B1187" s="4" t="s">
        <v>1890</v>
      </c>
      <c r="D1187" s="4" t="s">
        <v>1920</v>
      </c>
      <c r="E1187" s="4">
        <v>1.0</v>
      </c>
      <c r="F1187" s="4" t="str">
        <f>IFERROR(__xludf.DUMMYFUNCTION("GOOGLETRANSLATE(D1187)"),"原文影片：沙塵暴席捲德州 http://t.co/QllkOfdyzX http://t.co/rGjJuMnNah")</f>
        <v>原文影片：沙塵暴席捲德州 http://t.co/QllkOfdyzX http://t.co/rGjJuMnNah</v>
      </c>
      <c r="G1187" s="4" t="str">
        <f>IFERROR(__xludf.DUMMYFUNCTION("GOOGLETRANSLATE(B1187)"),"灰塵%20風暴")</f>
        <v>灰塵%20風暴</v>
      </c>
    </row>
    <row r="1188" ht="15.75" customHeight="1">
      <c r="A1188" s="4">
        <v>4335.0</v>
      </c>
      <c r="B1188" s="4" t="s">
        <v>1890</v>
      </c>
      <c r="C1188" s="4" t="s">
        <v>407</v>
      </c>
      <c r="D1188" s="4" t="s">
        <v>1921</v>
      </c>
      <c r="E1188" s="4">
        <v>1.0</v>
      </c>
      <c r="F1188" s="4" t="str">
        <f>IFERROR(__xludf.DUMMYFUNCTION("GOOGLETRANSLATE(D1188)"),"風中的塵埃：@82ndABNDIV 傘兵在沙塵暴期間移動到裝載區，以支持憤怒行動：http://t.co/uGesKLCn8M")</f>
        <v>風中的塵埃：@82ndABNDIV 傘兵在沙塵暴期間移動到裝載區，以支持憤怒行動：http://t.co/uGesKLCn8M</v>
      </c>
      <c r="G1188" s="4" t="str">
        <f>IFERROR(__xludf.DUMMYFUNCTION("GOOGLETRANSLATE(B1188)"),"灰塵%20風暴")</f>
        <v>灰塵%20風暴</v>
      </c>
    </row>
    <row r="1189" ht="15.75" customHeight="1">
      <c r="A1189" s="4">
        <v>4336.0</v>
      </c>
      <c r="B1189" s="4" t="s">
        <v>1890</v>
      </c>
      <c r="C1189" s="4" t="s">
        <v>1900</v>
      </c>
      <c r="D1189" s="4" t="s">
        <v>1922</v>
      </c>
      <c r="E1189" s="4">
        <v>1.0</v>
      </c>
      <c r="F1189" s="4" t="str">
        <f>IFERROR(__xludf.DUMMYFUNCTION("GOOGLETRANSLATE(D1189)"),"噪音之牆是一回事，但是灰塵之牆呢？以 60 英里/小時的速度行駛？ http://t.co/9NwAJLi9cr 如何不被震撼！ http://t.co/j4NI4N0yFZ")</f>
        <v>噪音之牆是一回事，但是灰塵之牆呢？以 60 英里/小時的速度行駛？ http://t.co/9NwAJLi9cr 如何不被震撼！ http://t.co/j4NI4N0yFZ</v>
      </c>
      <c r="G1189" s="4" t="str">
        <f>IFERROR(__xludf.DUMMYFUNCTION("GOOGLETRANSLATE(B1189)"),"灰塵%20風暴")</f>
        <v>灰塵%20風暴</v>
      </c>
    </row>
    <row r="1190" ht="15.75" customHeight="1">
      <c r="A1190" s="4">
        <v>4341.0</v>
      </c>
      <c r="B1190" s="4" t="s">
        <v>1890</v>
      </c>
      <c r="C1190" s="4" t="s">
        <v>407</v>
      </c>
      <c r="D1190" s="4" t="s">
        <v>1923</v>
      </c>
      <c r="E1190" s="4">
        <v>1.0</v>
      </c>
      <c r="F1190" s="4" t="str">
        <f>IFERROR(__xludf.DUMMYFUNCTION("GOOGLETRANSLATE(D1190)"),"@deadlydemi 甚至整夜在障礙物前熬夜，然後不得不穿過沙塵暴，幾乎昏倒？")</f>
        <v>@deadlydemi 甚至整夜在障礙物前熬夜，然後不得不穿過沙塵暴，幾乎昏倒？</v>
      </c>
      <c r="G1190" s="4" t="str">
        <f>IFERROR(__xludf.DUMMYFUNCTION("GOOGLETRANSLATE(B1190)"),"灰塵%20風暴")</f>
        <v>灰塵%20風暴</v>
      </c>
    </row>
    <row r="1191" ht="15.75" customHeight="1">
      <c r="A1191" s="4">
        <v>4342.0</v>
      </c>
      <c r="B1191" s="4" t="s">
        <v>1890</v>
      </c>
      <c r="C1191" s="4" t="s">
        <v>1924</v>
      </c>
      <c r="D1191" s="4" t="s">
        <v>1925</v>
      </c>
      <c r="E1191" s="4">
        <v>1.0</v>
      </c>
      <c r="F1191" s="4" t="str">
        <f>IFERROR(__xludf.DUMMYFUNCTION("GOOGLETRANSLATE(D1191)"),"去參加狂歡節嗎？帶上泳鏡，以防圈坑沙塵暴")</f>
        <v>去參加狂歡節嗎？帶上泳鏡，以防圈坑沙塵暴</v>
      </c>
      <c r="G1191" s="4" t="str">
        <f>IFERROR(__xludf.DUMMYFUNCTION("GOOGLETRANSLATE(B1191)"),"灰塵%20風暴")</f>
        <v>灰塵%20風暴</v>
      </c>
    </row>
    <row r="1192" ht="15.75" customHeight="1">
      <c r="A1192" s="4">
        <v>4343.0</v>
      </c>
      <c r="B1192" s="4" t="s">
        <v>1890</v>
      </c>
      <c r="D1192" s="4" t="s">
        <v>1926</v>
      </c>
      <c r="E1192" s="4">
        <v>1.0</v>
      </c>
      <c r="F1192" s="4" t="str">
        <f>IFERROR(__xludf.DUMMYFUNCTION("GOOGLETRANSLATE(D1192)"),"當風暴向東南移動至拉伯克地區時，風暴強度減弱。流出邊界可能會產生灰塵和 50 英里/小時的陣風 http://t.co/kA1HBjlqVw")</f>
        <v>當風暴向東南移動至拉伯克地區時，風暴強度減弱。流出邊界可能會產生灰塵和 50 英里/小時的陣風 http://t.co/kA1HBjlqVw</v>
      </c>
      <c r="G1192" s="4" t="str">
        <f>IFERROR(__xludf.DUMMYFUNCTION("GOOGLETRANSLATE(B1192)"),"灰塵%20風暴")</f>
        <v>灰塵%20風暴</v>
      </c>
    </row>
    <row r="1193" ht="15.75" customHeight="1">
      <c r="A1193" s="4">
        <v>4348.0</v>
      </c>
      <c r="B1193" s="4" t="s">
        <v>1927</v>
      </c>
      <c r="C1193" s="4" t="s">
        <v>1928</v>
      </c>
      <c r="D1193" s="4" t="s">
        <v>1929</v>
      </c>
      <c r="E1193" s="4">
        <v>1.0</v>
      </c>
      <c r="F1193" s="4" t="str">
        <f>IFERROR(__xludf.DUMMYFUNCTION("GOOGLETRANSLATE(D1193)"),"#Earthquake #Sismo M 1.4 - 加州因特拉肯東部4公里：時間2015-08-06 00:52:25 UTC2015-08-05 17:52:25 -07... http://t.co /wA5C77F8vQ")</f>
        <v>#Earthquake #Sismo M 1.4 - 加州因特拉肯東部4公里：時間2015-08-06 00:52:25 UTC2015-08-05 17:52:25 -07... http://t.co /wA5C77F8vQ</v>
      </c>
      <c r="G1193" s="4" t="str">
        <f>IFERROR(__xludf.DUMMYFUNCTION("GOOGLETRANSLATE(B1193)"),"地震")</f>
        <v>地震</v>
      </c>
    </row>
    <row r="1194" ht="15.75" customHeight="1">
      <c r="A1194" s="4">
        <v>4349.0</v>
      </c>
      <c r="B1194" s="4" t="s">
        <v>1927</v>
      </c>
      <c r="C1194" s="4" t="s">
        <v>281</v>
      </c>
      <c r="D1194" s="4" t="s">
        <v>1930</v>
      </c>
      <c r="E1194" s="4">
        <v>1.0</v>
      </c>
      <c r="F1194" s="4" t="str">
        <f>IFERROR(__xludf.DUMMYFUNCTION("GOOGLETRANSLATE(D1194)"),"世界標準時間 09:36 華盛頓州聖海倫火山附近發生 1.43 級地震！ #earthquake http://t.co/2xMdiDGpnr")</f>
        <v>世界標準時間 09:36 華盛頓州聖海倫火山附近發生 1.43 級地震！ #earthquake http://t.co/2xMdiDGpnr</v>
      </c>
      <c r="G1194" s="4" t="str">
        <f>IFERROR(__xludf.DUMMYFUNCTION("GOOGLETRANSLATE(B1194)"),"地震")</f>
        <v>地震</v>
      </c>
    </row>
    <row r="1195" ht="15.75" customHeight="1">
      <c r="A1195" s="4">
        <v>4350.0</v>
      </c>
      <c r="B1195" s="4" t="s">
        <v>1927</v>
      </c>
      <c r="D1195" s="4" t="s">
        <v>1931</v>
      </c>
      <c r="E1195" s="4">
        <v>1.0</v>
      </c>
      <c r="F1195" s="4" t="str">
        <f>IFERROR(__xludf.DUMMYFUNCTION("GOOGLETRANSLATE(D1195)"),"Vashon Mukilteo 的渡輪建設升級至地震標準 - Q13 FOX http://t.co/E981DgSkab #EarthquakeNews")</f>
        <v>Vashon Mukilteo 的渡輪建設升級至地震標準 - Q13 FOX http://t.co/E981DgSkab #EarthquakeNews</v>
      </c>
      <c r="G1195" s="4" t="str">
        <f>IFERROR(__xludf.DUMMYFUNCTION("GOOGLETRANSLATE(B1195)"),"地震")</f>
        <v>地震</v>
      </c>
    </row>
    <row r="1196" ht="15.75" customHeight="1">
      <c r="A1196" s="4">
        <v>4351.0</v>
      </c>
      <c r="B1196" s="4" t="s">
        <v>1927</v>
      </c>
      <c r="C1196" s="4" t="s">
        <v>482</v>
      </c>
      <c r="D1196" s="4" t="s">
        <v>1932</v>
      </c>
      <c r="E1196" s="4">
        <v>1.0</v>
      </c>
      <c r="F1196" s="4" t="str">
        <f>IFERROR(__xludf.DUMMYFUNCTION("GOOGLETRANSLATE(D1196)"),"#3新手：Renison 礦場發生地震 http://t.co/2i4EOGGO5j 塔斯馬尼亞 Renison 錫礦計畫發生的小地震引發了地震")</f>
        <v>#3新手：Renison 礦場發生地震 http://t.co/2i4EOGGO5j 塔斯馬尼亞 Renison 錫礦計畫發生的小地震引發了地震</v>
      </c>
      <c r="G1196" s="4" t="str">
        <f>IFERROR(__xludf.DUMMYFUNCTION("GOOGLETRANSLATE(B1196)"),"地震")</f>
        <v>地震</v>
      </c>
    </row>
    <row r="1197" ht="15.75" customHeight="1">
      <c r="A1197" s="4">
        <v>4353.0</v>
      </c>
      <c r="B1197" s="4" t="s">
        <v>1927</v>
      </c>
      <c r="D1197" s="4" t="s">
        <v>1933</v>
      </c>
      <c r="E1197" s="4">
        <v>1.0</v>
      </c>
      <c r="F1197" s="4" t="str">
        <f>IFERROR(__xludf.DUMMYFUNCTION("GOOGLETRANSLATE(D1197)"),"2.0 #義大利西西里島地震 #iPhone 用戶下載 Earthquake 應用程式以獲取更多資訊 http://t.co/V3aZWOAmzK")</f>
        <v>2.0 #義大利西西里島地震 #iPhone 用戶下載 Earthquake 應用程式以獲取更多資訊 http://t.co/V3aZWOAmzK</v>
      </c>
      <c r="G1197" s="4" t="str">
        <f>IFERROR(__xludf.DUMMYFUNCTION("GOOGLETRANSLATE(B1197)"),"地震")</f>
        <v>地震</v>
      </c>
    </row>
    <row r="1198" ht="15.75" customHeight="1">
      <c r="A1198" s="4">
        <v>4354.0</v>
      </c>
      <c r="B1198" s="4" t="s">
        <v>1927</v>
      </c>
      <c r="C1198" s="4" t="s">
        <v>193</v>
      </c>
      <c r="D1198" s="4" t="s">
        <v>1934</v>
      </c>
      <c r="E1198" s="4">
        <v>1.0</v>
      </c>
      <c r="F1198" s="4" t="str">
        <f>IFERROR(__xludf.DUMMYFUNCTION("GOOGLETRANSLATE(D1198)"),"USGS EQ：M 1.2 - 加州二十九棕櫚村南 23 公里：Time2015-08-05 23:54:09 UTC2015-08-05 16：... http://t.co/T97JmbzOBO #EarthQuake")</f>
        <v>USGS EQ：M 1.2 - 加州二十九棕櫚村南 23 公里：Time2015-08-05 23:54:09 UTC2015-08-05 16：... http://t.co/T97JmbzOBO #EarthQuake</v>
      </c>
      <c r="G1198" s="4" t="str">
        <f>IFERROR(__xludf.DUMMYFUNCTION("GOOGLETRANSLATE(B1198)"),"地震")</f>
        <v>地震</v>
      </c>
    </row>
    <row r="1199" ht="15.75" customHeight="1">
      <c r="A1199" s="4">
        <v>4356.0</v>
      </c>
      <c r="B1199" s="4" t="s">
        <v>1927</v>
      </c>
      <c r="C1199" s="4" t="s">
        <v>1935</v>
      </c>
      <c r="D1199" s="4" t="s">
        <v>1936</v>
      </c>
      <c r="E1199" s="4">
        <v>1.0</v>
      </c>
      <c r="F1199" s="4" t="str">
        <f>IFERROR(__xludf.DUMMYFUNCTION("GOOGLETRANSLATE(D1199)"),"有些餘震可能和最初的地震一樣大。~ http://t.co/HKbPqdncBa")</f>
        <v>有些餘震可能和最初的地震一樣大。~ http://t.co/HKbPqdncBa</v>
      </c>
      <c r="G1199" s="4" t="str">
        <f>IFERROR(__xludf.DUMMYFUNCTION("GOOGLETRANSLATE(B1199)"),"地震")</f>
        <v>地震</v>
      </c>
    </row>
    <row r="1200" ht="15.75" customHeight="1">
      <c r="A1200" s="4">
        <v>4357.0</v>
      </c>
      <c r="B1200" s="4" t="s">
        <v>1927</v>
      </c>
      <c r="C1200" s="4" t="s">
        <v>1937</v>
      </c>
      <c r="D1200" s="4" t="s">
        <v>1938</v>
      </c>
      <c r="E1200" s="4">
        <v>1.0</v>
      </c>
      <c r="F1200" s="4" t="str">
        <f>IFERROR(__xludf.DUMMYFUNCTION("GOOGLETRANSLATE(D1200)"),"#Sismo ML 2.4 土耳其西海岸附近：ML 2.4 土耳其西海岸附近地區的震級... http://t.co/0wdAzLcM90 #CS")</f>
        <v>#Sismo ML 2.4 土耳其西海岸附近：ML 2.4 土耳其西海岸附近地區的震級... http://t.co/0wdAzLcM90 #CS</v>
      </c>
      <c r="G1200" s="4" t="str">
        <f>IFERROR(__xludf.DUMMYFUNCTION("GOOGLETRANSLATE(B1200)"),"地震")</f>
        <v>地震</v>
      </c>
    </row>
    <row r="1201" ht="15.75" customHeight="1">
      <c r="A1201" s="4">
        <v>4358.0</v>
      </c>
      <c r="B1201" s="4" t="s">
        <v>1927</v>
      </c>
      <c r="C1201" s="4" t="s">
        <v>193</v>
      </c>
      <c r="D1201" s="4" t="s">
        <v>1939</v>
      </c>
      <c r="E1201" s="4">
        <v>1.0</v>
      </c>
      <c r="F1201" s="4" t="str">
        <f>IFERROR(__xludf.DUMMYFUNCTION("GOOGLETRANSLATE(D1201)"),"USGS EQ：M 0.6 - 8km SSW of Anza California：時間2015-08-06 01:26:24 UTC2015-08-05 18:26:24 -07:0... http://t.co/3bwWNLsxhB # EarthQuake")</f>
        <v>USGS EQ：M 0.6 - 8km SSW of Anza California：時間2015-08-06 01:26:24 UTC2015-08-05 18:26:24 -07:0... http://t.co/3bwWNLsxhB # EarthQuake</v>
      </c>
      <c r="G1201" s="4" t="str">
        <f>IFERROR(__xludf.DUMMYFUNCTION("GOOGLETRANSLATE(B1201)"),"地震")</f>
        <v>地震</v>
      </c>
    </row>
    <row r="1202" ht="15.75" customHeight="1">
      <c r="A1202" s="4">
        <v>4359.0</v>
      </c>
      <c r="B1202" s="4" t="s">
        <v>1927</v>
      </c>
      <c r="C1202" s="4" t="s">
        <v>281</v>
      </c>
      <c r="D1202" s="4" t="s">
        <v>1940</v>
      </c>
      <c r="E1202" s="4">
        <v>1.0</v>
      </c>
      <c r="F1202" s="4" t="str">
        <f>IFERROR(__xludf.DUMMYFUNCTION("GOOGLETRANSLATE(D1202)"),"UTC時間00:11阿拉斯加州安克雷奇東15公里處發生1.9級地震！ #earthquake #安克拉治 http://t.co/QFyy5aZIFx")</f>
        <v>UTC時間00:11阿拉斯加州安克雷奇東15公里處發生1.9級地震！ #earthquake #安克拉治 http://t.co/QFyy5aZIFx</v>
      </c>
      <c r="G1202" s="4" t="str">
        <f>IFERROR(__xludf.DUMMYFUNCTION("GOOGLETRANSLATE(B1202)"),"地震")</f>
        <v>地震</v>
      </c>
    </row>
    <row r="1203" ht="15.75" customHeight="1">
      <c r="A1203" s="4">
        <v>4361.0</v>
      </c>
      <c r="B1203" s="4" t="s">
        <v>1927</v>
      </c>
      <c r="C1203" s="4" t="s">
        <v>756</v>
      </c>
      <c r="D1203" s="4" t="s">
        <v>1941</v>
      </c>
      <c r="E1203" s="4">
        <v>1.0</v>
      </c>
      <c r="F1203" s="4" t="str">
        <f>IFERROR(__xludf.DUMMYFUNCTION("GOOGLETRANSLATE(D1203)"),"Raffi_RC：RT SustainOurEarth：俄克拉荷馬州採取行動限製石油和天然氣井的地震風險 | scoopit http://t.co/yru4nPHdrf 熱愛這一切_")</f>
        <v>Raffi_RC：RT SustainOurEarth：俄克拉荷馬州採取行動限製石油和天然氣井的地震風險 | scoopit http://t.co/yru4nPHdrf 熱愛這一切_</v>
      </c>
      <c r="G1203" s="4" t="str">
        <f>IFERROR(__xludf.DUMMYFUNCTION("GOOGLETRANSLATE(B1203)"),"地震")</f>
        <v>地震</v>
      </c>
    </row>
    <row r="1204" ht="15.75" customHeight="1">
      <c r="A1204" s="4">
        <v>4362.0</v>
      </c>
      <c r="B1204" s="4" t="s">
        <v>1927</v>
      </c>
      <c r="D1204" s="4" t="s">
        <v>1942</v>
      </c>
      <c r="E1204" s="4">
        <v>1.0</v>
      </c>
      <c r="F1204" s="4" t="str">
        <f>IFERROR(__xludf.DUMMYFUNCTION("GOOGLETRANSLATE(D1204)"),"#USGS M 0.9 - 北加州：時間2015-08-06 01:50:25 UTC2015-08-06 01:50:25 UTC 震央... http://t.co/mBo6OAnIQI #EarthTwerk")</f>
        <v>#USGS M 0.9 - 北加州：時間2015-08-06 01:50:25 UTC2015-08-06 01:50:25 UTC 震央... http://t.co/mBo6OAnIQI #EarthTwerk</v>
      </c>
      <c r="G1204" s="4" t="str">
        <f>IFERROR(__xludf.DUMMYFUNCTION("GOOGLETRANSLATE(B1204)"),"地震")</f>
        <v>地震</v>
      </c>
    </row>
    <row r="1205" ht="15.75" customHeight="1">
      <c r="A1205" s="4">
        <v>4363.0</v>
      </c>
      <c r="B1205" s="4" t="s">
        <v>1927</v>
      </c>
      <c r="C1205" s="4" t="s">
        <v>1943</v>
      </c>
      <c r="D1205" s="4" t="s">
        <v>1944</v>
      </c>
      <c r="E1205" s="4">
        <v>1.0</v>
      </c>
      <c r="F1205" s="4" t="str">
        <f>IFERROR(__xludf.DUMMYFUNCTION("GOOGLETRANSLATE(D1205)"),"#SCSeEstaPreparando 輕雜誌。 4.4 級地震 - - 週三巴基斯坦庫茲達爾西南 73 公里... http://t.co/i6lmcccLv5 來自 @volcanodiscover")</f>
        <v>#SCSeEstaPreparando 輕雜誌。 4.4 級地震 - - 週三巴基斯坦庫茲達爾西南 73 公里... http://t.co/i6lmcccLv5 來自 @volcanodiscover</v>
      </c>
      <c r="G1205" s="4" t="str">
        <f>IFERROR(__xludf.DUMMYFUNCTION("GOOGLETRANSLATE(B1205)"),"地震")</f>
        <v>地震</v>
      </c>
    </row>
    <row r="1206" ht="15.75" customHeight="1">
      <c r="A1206" s="4">
        <v>4365.0</v>
      </c>
      <c r="B1206" s="4" t="s">
        <v>1927</v>
      </c>
      <c r="C1206" s="4" t="s">
        <v>193</v>
      </c>
      <c r="D1206" s="4" t="s">
        <v>1945</v>
      </c>
      <c r="E1206" s="4">
        <v>1.0</v>
      </c>
      <c r="F1206" s="4" t="str">
        <f>IFERROR(__xludf.DUMMYFUNCTION("GOOGLETRANSLATE(D1206)"),"#USGS M 1.2 - 加州二十九棕櫚村南23 公里：時間2015-08-05 23:54:09 UTC2015-08-05 16:54:09 -07:0... http://t. co/kF0QYBKZOL #SM")</f>
        <v>#USGS M 1.2 - 加州二十九棕櫚村南23 公里：時間2015-08-05 23:54:09 UTC2015-08-05 16:54:09 -07:0... http://t. co/kF0QYBKZOL #SM</v>
      </c>
      <c r="G1206" s="4" t="str">
        <f>IFERROR(__xludf.DUMMYFUNCTION("GOOGLETRANSLATE(B1206)"),"地震")</f>
        <v>地震</v>
      </c>
    </row>
    <row r="1207" ht="15.75" customHeight="1">
      <c r="A1207" s="4">
        <v>4368.0</v>
      </c>
      <c r="B1207" s="4" t="s">
        <v>1927</v>
      </c>
      <c r="C1207" s="4" t="s">
        <v>1145</v>
      </c>
      <c r="D1207" s="4" t="s">
        <v>1946</v>
      </c>
      <c r="E1207" s="4">
        <v>1.0</v>
      </c>
      <c r="F1207" s="4" t="str">
        <f>IFERROR(__xludf.DUMMYFUNCTION("GOOGLETRANSLATE(D1207)"),"尼泊爾地震 3 個月後：女性害怕虐待 https://t.co/iCTtZ0Divr 來自 @@loupascale")</f>
        <v>尼泊爾地震 3 個月後：女性害怕虐待 https://t.co/iCTtZ0Divr 來自 @@loupascale</v>
      </c>
      <c r="G1207" s="4" t="str">
        <f>IFERROR(__xludf.DUMMYFUNCTION("GOOGLETRANSLATE(B1207)"),"地震")</f>
        <v>地震</v>
      </c>
    </row>
    <row r="1208" ht="15.75" customHeight="1">
      <c r="A1208" s="4">
        <v>4373.0</v>
      </c>
      <c r="B1208" s="4" t="s">
        <v>1927</v>
      </c>
      <c r="C1208" s="4" t="s">
        <v>1947</v>
      </c>
      <c r="D1208" s="4" t="s">
        <v>1948</v>
      </c>
      <c r="E1208" s="4">
        <v>1.0</v>
      </c>
      <c r="F1208" s="4" t="str">
        <f>IFERROR(__xludf.DUMMYFUNCTION("GOOGLETRANSLATE(D1208)"),"美國地質調查局 (USGS) 於 2015 年 8 月 6 日@ 1:04:01 UTC 報告了夏威夷火山南側 5 公里的 M1.94 #地震 http://t.co/Njd28pg9Xv #quake")</f>
        <v>美國地質調查局 (USGS) 於 2015 年 8 月 6 日@ 1:04:01 UTC 報告了夏威夷火山南側 5 公里的 M1.94 #地震 http://t.co/Njd28pg9Xv #quake</v>
      </c>
      <c r="G1208" s="4" t="str">
        <f>IFERROR(__xludf.DUMMYFUNCTION("GOOGLETRANSLATE(B1208)"),"地震")</f>
        <v>地震</v>
      </c>
    </row>
    <row r="1209" ht="15.75" customHeight="1">
      <c r="A1209" s="4">
        <v>4374.0</v>
      </c>
      <c r="B1209" s="4" t="s">
        <v>1927</v>
      </c>
      <c r="C1209" s="4" t="s">
        <v>1949</v>
      </c>
      <c r="D1209" s="4" t="s">
        <v>1950</v>
      </c>
      <c r="E1209" s="4">
        <v>1.0</v>
      </c>
      <c r="F1209" s="4" t="str">
        <f>IFERROR(__xludf.DUMMYFUNCTION("GOOGLETRANSLATE(D1209)"),"GNS 認為加強地震立法會導致不必要的死亡 http://t.co/4rYZMzSgDW ($)")</f>
        <v>GNS 認為加強地震立法會導致不必要的死亡 http://t.co/4rYZMzSgDW ($)</v>
      </c>
      <c r="G1209" s="4" t="str">
        <f>IFERROR(__xludf.DUMMYFUNCTION("GOOGLETRANSLATE(B1209)"),"地震")</f>
        <v>地震</v>
      </c>
    </row>
    <row r="1210" ht="15.75" customHeight="1">
      <c r="A1210" s="4">
        <v>4375.0</v>
      </c>
      <c r="B1210" s="4" t="s">
        <v>1927</v>
      </c>
      <c r="D1210" s="4" t="s">
        <v>1951</v>
      </c>
      <c r="E1210" s="4">
        <v>1.0</v>
      </c>
      <c r="F1210" s="4" t="str">
        <f>IFERROR(__xludf.DUMMYFUNCTION("GOOGLETRANSLATE(D1210)"),"「洛杉磯發生了一場小地震，但不用擔心，艾米麗·羅森（Emily Rossum）很好」#difficultpeople 很棒")</f>
        <v>「洛杉磯發生了一場小地震，但不用擔心，艾米麗·羅森（Emily Rossum）很好」#difficultpeople 很棒</v>
      </c>
      <c r="G1210" s="4" t="str">
        <f>IFERROR(__xludf.DUMMYFUNCTION("GOOGLETRANSLATE(B1210)"),"地震")</f>
        <v>地震</v>
      </c>
    </row>
    <row r="1211" ht="15.75" customHeight="1">
      <c r="A1211" s="4">
        <v>4376.0</v>
      </c>
      <c r="B1211" s="4" t="s">
        <v>1927</v>
      </c>
      <c r="C1211" s="4" t="s">
        <v>1952</v>
      </c>
      <c r="D1211" s="4" t="s">
        <v>1953</v>
      </c>
      <c r="E1211" s="4">
        <v>1.0</v>
      </c>
      <c r="F1211" s="4" t="str">
        <f>IFERROR(__xludf.DUMMYFUNCTION("GOOGLETRANSLATE(D1211)"),"USGS EQ：阿拉斯加安克雷奇M 1.9 - 15 公里E：Time2015-08-06 00:11:16 UTC2015-08-05 16:11:16 -08:0... http://t.co/ OjQ0KFg5ub #EarthQuake")</f>
        <v>USGS EQ：阿拉斯加安克雷奇M 1.9 - 15 公里E：Time2015-08-06 00:11:16 UTC2015-08-05 16:11:16 -08:0... http://t.co/ OjQ0KFg5ub #EarthQuake</v>
      </c>
      <c r="G1211" s="4" t="str">
        <f>IFERROR(__xludf.DUMMYFUNCTION("GOOGLETRANSLATE(B1211)"),"地震")</f>
        <v>地震</v>
      </c>
    </row>
    <row r="1212" ht="15.75" customHeight="1">
      <c r="A1212" s="4">
        <v>4377.0</v>
      </c>
      <c r="B1212" s="4" t="s">
        <v>1927</v>
      </c>
      <c r="C1212" s="4" t="s">
        <v>1928</v>
      </c>
      <c r="D1212" s="4" t="s">
        <v>1954</v>
      </c>
      <c r="E1212" s="4">
        <v>1.0</v>
      </c>
      <c r="F1212" s="4" t="str">
        <f>IFERROR(__xludf.DUMMYFUNCTION("GOOGLETRANSLATE(D1212)"),"#Earthquake #Sismo M 1.9 - 阿拉斯加安克雷奇東部15 公里：時間2015-08-06 00:11:16 UTC2015-08-05 16:11:16 -08:00 ... http://t. co/Z0VeR1hVM9")</f>
        <v>#Earthquake #Sismo M 1.9 - 阿拉斯加安克雷奇東部15 公里：時間2015-08-06 00:11:16 UTC2015-08-05 16:11:16 -08:00 ... http://t. co/Z0VeR1hVM9</v>
      </c>
      <c r="G1212" s="4" t="str">
        <f>IFERROR(__xludf.DUMMYFUNCTION("GOOGLETRANSLATE(B1212)"),"地震")</f>
        <v>地震</v>
      </c>
    </row>
    <row r="1213" ht="15.75" customHeight="1">
      <c r="A1213" s="4">
        <v>4378.0</v>
      </c>
      <c r="B1213" s="4" t="s">
        <v>1927</v>
      </c>
      <c r="D1213" s="4" t="s">
        <v>1955</v>
      </c>
      <c r="E1213" s="4">
        <v>1.0</v>
      </c>
      <c r="F1213" s="4" t="str">
        <f>IFERROR(__xludf.DUMMYFUNCTION("GOOGLETRANSLATE(D1213)"),"Vashon Mukilteo 的渡輪建設升級至地震標準：升級將帶來脆弱性... http://t.co/Au5jWGT0ar")</f>
        <v>Vashon Mukilteo 的渡輪建設升級至地震標準：升級將帶來脆弱性... http://t.co/Au5jWGT0ar</v>
      </c>
      <c r="G1213" s="4" t="str">
        <f>IFERROR(__xludf.DUMMYFUNCTION("GOOGLETRANSLATE(B1213)"),"地震")</f>
        <v>地震</v>
      </c>
    </row>
    <row r="1214" ht="15.75" customHeight="1">
      <c r="A1214" s="4">
        <v>4381.0</v>
      </c>
      <c r="B1214" s="4" t="s">
        <v>1927</v>
      </c>
      <c r="D1214" s="4" t="s">
        <v>1956</v>
      </c>
      <c r="E1214" s="4">
        <v>1.0</v>
      </c>
      <c r="F1214" s="4" t="str">
        <f>IFERROR(__xludf.DUMMYFUNCTION("GOOGLETRANSLATE(D1214)"),"M1.57 [01:11 UTC]？加州漢肖湖西北偏北 3 公里。 http://t.co/f9KQksoSw3")</f>
        <v>M1.57 [01:11 UTC]？加州漢肖湖西北偏北 3 公里。 http://t.co/f9KQksoSw3</v>
      </c>
      <c r="G1214" s="4" t="str">
        <f>IFERROR(__xludf.DUMMYFUNCTION("GOOGLETRANSLATE(B1214)"),"地震")</f>
        <v>地震</v>
      </c>
    </row>
    <row r="1215" ht="15.75" customHeight="1">
      <c r="A1215" s="4">
        <v>4382.0</v>
      </c>
      <c r="B1215" s="4" t="s">
        <v>1927</v>
      </c>
      <c r="C1215" s="4" t="s">
        <v>1957</v>
      </c>
      <c r="D1215" s="4" t="s">
        <v>1958</v>
      </c>
      <c r="E1215" s="4">
        <v>1.0</v>
      </c>
      <c r="F1215" s="4" t="str">
        <f>IFERROR(__xludf.DUMMYFUNCTION("GOOGLETRANSLATE(D1215)"),"地震演習atm")</f>
        <v>地震演習atm</v>
      </c>
      <c r="G1215" s="4" t="str">
        <f>IFERROR(__xludf.DUMMYFUNCTION("GOOGLETRANSLATE(B1215)"),"地震")</f>
        <v>地震</v>
      </c>
    </row>
    <row r="1216" ht="15.75" customHeight="1">
      <c r="A1216" s="4">
        <v>4388.0</v>
      </c>
      <c r="B1216" s="4" t="s">
        <v>1927</v>
      </c>
      <c r="C1216" s="4" t="s">
        <v>1959</v>
      </c>
      <c r="D1216" s="4" t="s">
        <v>1960</v>
      </c>
      <c r="E1216" s="4">
        <v>1.0</v>
      </c>
      <c r="F1216" s="4" t="str">
        <f>IFERROR(__xludf.DUMMYFUNCTION("GOOGLETRANSLATE(D1216)"),"@DArchambau 謝謝你的巨大鼓勵和新視頻的轉發 http://t.co/cybKsXHF7d 即將到來的世界末日美國地震和地震海嘯")</f>
        <v>@DArchambau 謝謝你的巨大鼓勵和新視頻的轉發 http://t.co/cybKsXHF7d 即將到來的世界末日美國地震和地震海嘯</v>
      </c>
      <c r="G1216" s="4" t="str">
        <f>IFERROR(__xludf.DUMMYFUNCTION("GOOGLETRANSLATE(B1216)"),"地震")</f>
        <v>地震</v>
      </c>
    </row>
    <row r="1217" ht="15.75" customHeight="1">
      <c r="A1217" s="4">
        <v>4391.0</v>
      </c>
      <c r="B1217" s="4" t="s">
        <v>1927</v>
      </c>
      <c r="C1217" s="4" t="s">
        <v>1961</v>
      </c>
      <c r="D1217" s="4" t="s">
        <v>1962</v>
      </c>
      <c r="E1217" s="4">
        <v>1.0</v>
      </c>
      <c r="F1217" s="4" t="str">
        <f>IFERROR(__xludf.DUMMYFUNCTION("GOOGLETRANSLATE(D1217)"),"地震演習？？")</f>
        <v>地震演習？？</v>
      </c>
      <c r="G1217" s="4" t="str">
        <f>IFERROR(__xludf.DUMMYFUNCTION("GOOGLETRANSLATE(B1217)"),"地震")</f>
        <v>地震</v>
      </c>
    </row>
    <row r="1218" ht="15.75" customHeight="1">
      <c r="A1218" s="4">
        <v>4392.0</v>
      </c>
      <c r="B1218" s="4" t="s">
        <v>1927</v>
      </c>
      <c r="C1218" s="4" t="s">
        <v>1963</v>
      </c>
      <c r="D1218" s="4" t="s">
        <v>1964</v>
      </c>
      <c r="E1218" s="4">
        <v>1.0</v>
      </c>
      <c r="F1218" s="4" t="str">
        <f>IFERROR(__xludf.DUMMYFUNCTION("GOOGLETRANSLATE(D1218)"),"#earthquake (EMSC)：MD 2.9 北加州海岸 http://t.co/6AiMd1uway G http://t.co/9cgbJwmhII")</f>
        <v>#earthquake (EMSC)：MD 2.9 北加州海岸 http://t.co/6AiMd1uway G http://t.co/9cgbJwmhII</v>
      </c>
      <c r="G1218" s="4" t="str">
        <f>IFERROR(__xludf.DUMMYFUNCTION("GOOGLETRANSLATE(B1218)"),"地震")</f>
        <v>地震</v>
      </c>
    </row>
    <row r="1219" ht="15.75" customHeight="1">
      <c r="A1219" s="4">
        <v>4393.0</v>
      </c>
      <c r="B1219" s="4" t="s">
        <v>1927</v>
      </c>
      <c r="C1219" s="4" t="s">
        <v>183</v>
      </c>
      <c r="D1219" s="4" t="s">
        <v>1965</v>
      </c>
      <c r="E1219" s="4">
        <v>1.0</v>
      </c>
      <c r="F1219" s="4" t="str">
        <f>IFERROR(__xludf.DUMMYFUNCTION("GOOGLETRANSLATE(D1219)"),"“洛杉磯發生了一場小地震，但不用擔心，艾米·羅森沒事”")</f>
        <v>“洛杉磯發生了一場小地震，但不用擔心，艾米·羅森沒事”</v>
      </c>
      <c r="G1219" s="4" t="str">
        <f>IFERROR(__xludf.DUMMYFUNCTION("GOOGLETRANSLATE(B1219)"),"地震")</f>
        <v>地震</v>
      </c>
    </row>
    <row r="1220" ht="15.75" customHeight="1">
      <c r="A1220" s="4">
        <v>4395.0</v>
      </c>
      <c r="B1220" s="4" t="s">
        <v>1927</v>
      </c>
      <c r="C1220" s="4" t="s">
        <v>800</v>
      </c>
      <c r="D1220" s="4" t="s">
        <v>1966</v>
      </c>
      <c r="E1220" s="4">
        <v>1.0</v>
      </c>
      <c r="F1220" s="4" t="str">
        <f>IFERROR(__xludf.DUMMYFUNCTION("GOOGLETRANSLATE(D1220)"),"當然，#Megaquake 的故事帶來了恐慌感，但問題是：真的會有什麼改變嗎？ http://t.co/9f3rDN9N3D")</f>
        <v>當然，#Megaquake 的故事帶來了恐慌感，但問題是：真的會有什麼改變嗎？ http://t.co/9f3rDN9N3D</v>
      </c>
      <c r="G1220" s="4" t="str">
        <f>IFERROR(__xludf.DUMMYFUNCTION("GOOGLETRANSLATE(B1220)"),"地震")</f>
        <v>地震</v>
      </c>
    </row>
    <row r="1221" ht="15.75" customHeight="1">
      <c r="A1221" s="4">
        <v>4396.0</v>
      </c>
      <c r="B1221" s="4" t="s">
        <v>1927</v>
      </c>
      <c r="C1221" s="4" t="s">
        <v>1967</v>
      </c>
      <c r="D1221" s="4" t="s">
        <v>1968</v>
      </c>
      <c r="E1221" s="4">
        <v>1.0</v>
      </c>
      <c r="F1221" s="4" t="str">
        <f>IFERROR(__xludf.DUMMYFUNCTION("GOOGLETRANSLATE(D1221)"),"地震：M 3.4 - 96km 波多黎各 Brenas 北緯：時間2015-08-05 10:34:24 UTC2015-08-05 06:34:24 -04:00 atÛ_ http://t.co/sDZrrfZhMy")</f>
        <v>地震：M 3.4 - 96km 波多黎各 Brenas 北緯：時間2015-08-05 10:34:24 UTC2015-08-05 06:34:24 -04:00 atÛ_ http://t.co/sDZrrfZhMy</v>
      </c>
      <c r="G1221" s="4" t="str">
        <f>IFERROR(__xludf.DUMMYFUNCTION("GOOGLETRANSLATE(B1221)"),"地震")</f>
        <v>地震</v>
      </c>
    </row>
    <row r="1222" ht="15.75" customHeight="1">
      <c r="A1222" s="4">
        <v>4397.0</v>
      </c>
      <c r="B1222" s="4" t="s">
        <v>1927</v>
      </c>
      <c r="C1222" s="4" t="s">
        <v>1969</v>
      </c>
      <c r="D1222" s="4" t="s">
        <v>1970</v>
      </c>
      <c r="E1222" s="4">
        <v>1.0</v>
      </c>
      <c r="F1222" s="4" t="str">
        <f>IFERROR(__xludf.DUMMYFUNCTION("GOOGLETRANSLATE(D1222)"),"當這場預測的地震將要摧毀時，我害怕住在西雅圖嗎？？？")</f>
        <v>當這場預測的地震將要摧毀時，我害怕住在西雅圖嗎？？？</v>
      </c>
      <c r="G1222" s="4" t="str">
        <f>IFERROR(__xludf.DUMMYFUNCTION("GOOGLETRANSLATE(B1222)"),"地震")</f>
        <v>地震</v>
      </c>
    </row>
    <row r="1223" ht="15.75" customHeight="1">
      <c r="A1223" s="4">
        <v>4441.0</v>
      </c>
      <c r="B1223" s="4" t="s">
        <v>1971</v>
      </c>
      <c r="C1223" s="4" t="s">
        <v>1972</v>
      </c>
      <c r="D1223" s="4" t="s">
        <v>1973</v>
      </c>
      <c r="E1223" s="4">
        <v>1.0</v>
      </c>
      <c r="F1223" s="4" t="str">
        <f>IFERROR(__xludf.DUMMYFUNCTION("GOOGLETRANSLATE(D1223)"),"@FoxNews 他仍然留著鬍子——在監獄裡有人探望過他嗎？如果他留著那張醜陋的鬍子，就會觸電！
#醜陋的人")</f>
        <v>@FoxNews 他仍然留著鬍子——在監獄裡有人探望過他嗎？如果他留著那張醜陋的鬍子，就會觸電！
#醜陋的人</v>
      </c>
      <c r="G1223" s="4" t="str">
        <f>IFERROR(__xludf.DUMMYFUNCTION("GOOGLETRANSLATE(B1223)"),"觸電")</f>
        <v>觸電</v>
      </c>
    </row>
    <row r="1224" ht="15.75" customHeight="1">
      <c r="A1224" s="4">
        <v>4449.0</v>
      </c>
      <c r="B1224" s="4" t="s">
        <v>1974</v>
      </c>
      <c r="C1224" s="4" t="s">
        <v>1975</v>
      </c>
      <c r="D1224" s="4" t="s">
        <v>1976</v>
      </c>
      <c r="E1224" s="4">
        <v>1.0</v>
      </c>
      <c r="F1224" s="4" t="str">
        <f>IFERROR(__xludf.DUMMYFUNCTION("GOOGLETRANSLATE(D1224)"),"#pakistan#news# PAKPATTAN 城市新聞：一名男子觸電身亡 我們的通訊員 PAKPATTAN：一名男子觸電身亡... http://t.co/frpbNhVPyI")</f>
        <v>#pakistan#news# PAKPATTAN 城市新聞：一名男子觸電身亡 我們的通訊員 PAKPATTAN：一名男子觸電身亡... http://t.co/frpbNhVPyI</v>
      </c>
      <c r="G1224" s="4" t="str">
        <f>IFERROR(__xludf.DUMMYFUNCTION("GOOGLETRANSLATE(B1224)"),"觸電")</f>
        <v>觸電</v>
      </c>
    </row>
    <row r="1225" ht="15.75" customHeight="1">
      <c r="A1225" s="4">
        <v>4459.0</v>
      </c>
      <c r="B1225" s="4" t="s">
        <v>1974</v>
      </c>
      <c r="D1225" s="4" t="s">
        <v>1977</v>
      </c>
      <c r="E1225" s="4">
        <v>1.0</v>
      </c>
      <c r="F1225" s="4" t="str">
        <f>IFERROR(__xludf.DUMMYFUNCTION("GOOGLETRANSLATE(D1225)"),"庫爾納青年觸電身亡| http://t.co/3EnyNdXpPm https://t.co/GQpi7jMKan 透過@sharethis")</f>
        <v>庫爾納青年觸電身亡| http://t.co/3EnyNdXpPm https://t.co/GQpi7jMKan 透過@sharethis</v>
      </c>
      <c r="G1225" s="4" t="str">
        <f>IFERROR(__xludf.DUMMYFUNCTION("GOOGLETRANSLATE(B1225)"),"觸電")</f>
        <v>觸電</v>
      </c>
    </row>
    <row r="1226" ht="15.75" customHeight="1">
      <c r="A1226" s="4">
        <v>4463.0</v>
      </c>
      <c r="B1226" s="4" t="s">
        <v>1974</v>
      </c>
      <c r="C1226" s="4" t="s">
        <v>38</v>
      </c>
      <c r="D1226" s="4" t="s">
        <v>1978</v>
      </c>
      <c r="E1226" s="4">
        <v>1.0</v>
      </c>
      <c r="F1226" s="4" t="str">
        <f>IFERROR(__xludf.DUMMYFUNCTION("GOOGLETRANSLATE(D1226)"),"工人觸電的南區工廠支付 17,000 美元罰款#Columbus - http://t.co/N8EzfCTfcE")</f>
        <v>工人觸電的南區工廠支付 17,000 美元罰款#Columbus - http://t.co/N8EzfCTfcE</v>
      </c>
      <c r="G1226" s="4" t="str">
        <f>IFERROR(__xludf.DUMMYFUNCTION("GOOGLETRANSLATE(B1226)"),"觸電")</f>
        <v>觸電</v>
      </c>
    </row>
    <row r="1227" ht="15.75" customHeight="1">
      <c r="A1227" s="4">
        <v>4464.0</v>
      </c>
      <c r="B1227" s="4" t="s">
        <v>1974</v>
      </c>
      <c r="C1227" s="4" t="s">
        <v>1979</v>
      </c>
      <c r="D1227" s="4" t="s">
        <v>1980</v>
      </c>
      <c r="E1227" s="4">
        <v>1.0</v>
      </c>
      <c r="F1227" s="4" t="str">
        <f>IFERROR(__xludf.DUMMYFUNCTION("GOOGLETRANSLATE(D1227)"),"麥可談論他觸電的時候天啊#ROWYSOLouisville http://t.co/HxVfmoUhDM")</f>
        <v>麥可談論他觸電的時候天啊#ROWYSOLouisville http://t.co/HxVfmoUhDM</v>
      </c>
      <c r="G1227" s="4" t="str">
        <f>IFERROR(__xludf.DUMMYFUNCTION("GOOGLETRANSLATE(B1227)"),"觸電")</f>
        <v>觸電</v>
      </c>
    </row>
    <row r="1228" ht="15.75" customHeight="1">
      <c r="A1228" s="4">
        <v>4466.0</v>
      </c>
      <c r="B1228" s="4" t="s">
        <v>1974</v>
      </c>
      <c r="C1228" s="4" t="s">
        <v>56</v>
      </c>
      <c r="D1228" s="4" t="s">
        <v>1981</v>
      </c>
      <c r="E1228" s="4">
        <v>1.0</v>
      </c>
      <c r="F1228" s="4" t="str">
        <f>IFERROR(__xludf.DUMMYFUNCTION("GOOGLETRANSLATE(D1228)"),"我喜歡這張經典的穀倉照片！我們可能會也可能不會觸電，被蜇了幾次然後介入...... http://t.co/X6aSGRjsWC")</f>
        <v>我喜歡這張經典的穀倉照片！我們可能會也可能不會觸電，被蜇了幾次然後介入...... http://t.co/X6aSGRjsWC</v>
      </c>
      <c r="G1228" s="4" t="str">
        <f>IFERROR(__xludf.DUMMYFUNCTION("GOOGLETRANSLATE(B1228)"),"觸電")</f>
        <v>觸電</v>
      </c>
    </row>
    <row r="1229" ht="15.75" customHeight="1">
      <c r="A1229" s="4">
        <v>4472.0</v>
      </c>
      <c r="B1229" s="4" t="s">
        <v>1974</v>
      </c>
      <c r="C1229" s="4" t="s">
        <v>1982</v>
      </c>
      <c r="D1229" s="4" t="s">
        <v>1983</v>
      </c>
      <c r="E1229" s="4">
        <v>1.0</v>
      </c>
      <c r="F1229" s="4" t="str">
        <f>IFERROR(__xludf.DUMMYFUNCTION("GOOGLETRANSLATE(D1229)"),"MT @Earths_Voice #中國#tigers 的待遇令人震驚：在商人和商人面前觸電身亡。吃過 http://t.co/JlWhaOwFQA #SaveTi...")</f>
        <v>MT @Earths_Voice #中國#tigers 的待遇令人震驚：在商人和商人面前觸電身亡。吃過 http://t.co/JlWhaOwFQA #SaveTi...</v>
      </c>
      <c r="G1229" s="4" t="str">
        <f>IFERROR(__xludf.DUMMYFUNCTION("GOOGLETRANSLATE(B1229)"),"觸電")</f>
        <v>觸電</v>
      </c>
    </row>
    <row r="1230" ht="15.75" customHeight="1">
      <c r="A1230" s="4">
        <v>4476.0</v>
      </c>
      <c r="B1230" s="4" t="s">
        <v>1974</v>
      </c>
      <c r="D1230" s="4" t="s">
        <v>1984</v>
      </c>
      <c r="E1230" s="4">
        <v>1.0</v>
      </c>
      <c r="F1230" s="4" t="str">
        <f>IFERROR(__xludf.DUMMYFUNCTION("GOOGLETRANSLATE(D1230)"),"我正在吹乾我的頭髮&amp;amp;電纜著火了。我一意識到就放手了。就在我觸電之前？")</f>
        <v>我正在吹乾我的頭髮&amp;amp;電纜著火了。我一意識到就放手了。就在我觸電之前？</v>
      </c>
      <c r="G1230" s="4" t="str">
        <f>IFERROR(__xludf.DUMMYFUNCTION("GOOGLETRANSLATE(B1230)"),"觸電")</f>
        <v>觸電</v>
      </c>
    </row>
    <row r="1231" ht="15.75" customHeight="1">
      <c r="A1231" s="4">
        <v>4479.0</v>
      </c>
      <c r="B1231" s="4" t="s">
        <v>1974</v>
      </c>
      <c r="C1231" s="4" t="s">
        <v>1985</v>
      </c>
      <c r="D1231" s="4" t="s">
        <v>1986</v>
      </c>
      <c r="E1231" s="4">
        <v>1.0</v>
      </c>
      <c r="F1231" s="4" t="str">
        <f>IFERROR(__xludf.DUMMYFUNCTION("GOOGLETRANSLATE(D1231)"),"嬰兒真的會因為牆壁插座而觸電嗎？我想知道我和我之前的人是如何度過童年的。")</f>
        <v>嬰兒真的會因為牆壁插座而觸電嗎？我想知道我和我之前的人是如何度過童年的。</v>
      </c>
      <c r="G1231" s="4" t="str">
        <f>IFERROR(__xludf.DUMMYFUNCTION("GOOGLETRANSLATE(B1231)"),"觸電")</f>
        <v>觸電</v>
      </c>
    </row>
    <row r="1232" ht="15.75" customHeight="1">
      <c r="A1232" s="4">
        <v>4487.0</v>
      </c>
      <c r="B1232" s="4" t="s">
        <v>1974</v>
      </c>
      <c r="C1232" s="4" t="s">
        <v>1987</v>
      </c>
      <c r="D1232" s="4" t="s">
        <v>1988</v>
      </c>
      <c r="E1232" s="4">
        <v>1.0</v>
      </c>
      <c r="F1232" s="4" t="str">
        <f>IFERROR(__xludf.DUMMYFUNCTION("GOOGLETRANSLATE(D1232)"),"佐塔爾（50級骷髏煉金術士）在傀儡墓園1中被巨型傀儡阿塔瑪松電死。
http://t.co/GpwrC1KZ5i")</f>
        <v>佐塔爾（50級骷髏煉金術士）在傀儡墓園1中被巨型傀儡阿塔瑪松電死。
http://t.co/GpwrC1KZ5i</v>
      </c>
      <c r="G1232" s="4" t="str">
        <f>IFERROR(__xludf.DUMMYFUNCTION("GOOGLETRANSLATE(B1232)"),"觸電")</f>
        <v>觸電</v>
      </c>
    </row>
    <row r="1233" ht="15.75" customHeight="1">
      <c r="A1233" s="4">
        <v>4488.0</v>
      </c>
      <c r="B1233" s="4" t="s">
        <v>1974</v>
      </c>
      <c r="C1233" s="4" t="s">
        <v>1975</v>
      </c>
      <c r="D1233" s="4" t="s">
        <v>1989</v>
      </c>
      <c r="E1233" s="4">
        <v>1.0</v>
      </c>
      <c r="F1233" s="4" t="str">
        <f>IFERROR(__xludf.DUMMYFUNCTION("GOOGLETRANSLATE(D1233)"),"#pakistan#news# NANKANA SAHIB 城市新聞：我們的通訊員 NANKANA SAHIB 觸電身亡：一名青年觸電... http://t.co/WERK9qibVV")</f>
        <v>#pakistan#news# NANKANA SAHIB 城市新聞：我們的通訊員 NANKANA SAHIB 觸電身亡：一名青年觸電... http://t.co/WERK9qibVV</v>
      </c>
      <c r="G1233" s="4" t="str">
        <f>IFERROR(__xludf.DUMMYFUNCTION("GOOGLETRANSLATE(B1233)"),"觸電")</f>
        <v>觸電</v>
      </c>
    </row>
    <row r="1234" ht="15.75" customHeight="1">
      <c r="A1234" s="4">
        <v>4490.0</v>
      </c>
      <c r="B1234" s="4" t="s">
        <v>1974</v>
      </c>
      <c r="C1234" s="4" t="s">
        <v>1990</v>
      </c>
      <c r="D1234" s="4" t="s">
        <v>1991</v>
      </c>
      <c r="E1234" s="4">
        <v>1.0</v>
      </c>
      <c r="F1234" s="4" t="str">
        <f>IFERROR(__xludf.DUMMYFUNCTION("GOOGLETRANSLATE(D1234)"),"觀看一名男子在 #mumbailocals 的屋頂上觸電絕對是一個教訓..人們請學習！ #lessonforlife #marinelines #mumbai")</f>
        <v>觀看一名男子在 #mumbailocals 的屋頂上觸電絕對是一個教訓..人們請學習！ #lessonforlife #marinelines #mumbai</v>
      </c>
      <c r="G1234" s="4" t="str">
        <f>IFERROR(__xludf.DUMMYFUNCTION("GOOGLETRANSLATE(B1234)"),"觸電")</f>
        <v>觸電</v>
      </c>
    </row>
    <row r="1235" ht="15.75" customHeight="1">
      <c r="A1235" s="4">
        <v>4491.0</v>
      </c>
      <c r="B1235" s="4" t="s">
        <v>1974</v>
      </c>
      <c r="C1235" s="4" t="s">
        <v>1764</v>
      </c>
      <c r="D1235" s="4" t="s">
        <v>1992</v>
      </c>
      <c r="E1235" s="4">
        <v>1.0</v>
      </c>
      <c r="F1235" s="4" t="str">
        <f>IFERROR(__xludf.DUMMYFUNCTION("GOOGLETRANSLATE(D1235)"),"在工廠工作，將圖案印在T恤上觸電身亡
d/t 接地故障。當我在急診室時，老闆扣了我的薪水#WorstSummerJob")</f>
        <v>在工廠工作，將圖案印在T恤上觸電身亡
d/t 接地故障。當我在急診室時，老闆扣了我的薪水#WorstSummerJob</v>
      </c>
      <c r="G1235" s="4" t="str">
        <f>IFERROR(__xludf.DUMMYFUNCTION("GOOGLETRANSLATE(B1235)"),"觸電")</f>
        <v>觸電</v>
      </c>
    </row>
    <row r="1236" ht="15.75" customHeight="1">
      <c r="A1236" s="4">
        <v>4496.0</v>
      </c>
      <c r="B1236" s="4" t="s">
        <v>1974</v>
      </c>
      <c r="D1236" s="4" t="s">
        <v>1993</v>
      </c>
      <c r="E1236" s="4">
        <v>1.0</v>
      </c>
      <c r="F1236" s="4" t="str">
        <f>IFERROR(__xludf.DUMMYFUNCTION("GOOGLETRANSLATE(D1236)"),"學生在校園觸電身亡http://t.co/ryah8Fni5Q")</f>
        <v>學生在校園觸電身亡http://t.co/ryah8Fni5Q</v>
      </c>
      <c r="G1236" s="4" t="str">
        <f>IFERROR(__xludf.DUMMYFUNCTION("GOOGLETRANSLATE(B1236)"),"觸電")</f>
        <v>觸電</v>
      </c>
    </row>
    <row r="1237" ht="15.75" customHeight="1">
      <c r="A1237" s="4">
        <v>4499.0</v>
      </c>
      <c r="B1237" s="4" t="s">
        <v>1994</v>
      </c>
      <c r="C1237" s="4" t="s">
        <v>291</v>
      </c>
      <c r="D1237" s="4" t="s">
        <v>1995</v>
      </c>
      <c r="E1237" s="4">
        <v>1.0</v>
      </c>
      <c r="F1237" s="4" t="str">
        <f>IFERROR(__xludf.DUMMYFUNCTION("GOOGLETRANSLATE(D1237)"),"生存套件 哨子 起火器 繩鋸 Cree 火炬 應急毯 S 刀 - 全套 reÛ_ http://t.co/cm7HqwWUlZ http://t.co/KdwAzHQTov")</f>
        <v>生存套件 哨子 起火器 繩鋸 Cree 火炬 應急毯 S 刀 - 全套 reÛ_ http://t.co/cm7HqwWUlZ http://t.co/KdwAzHQTov</v>
      </c>
      <c r="G1237" s="4" t="str">
        <f>IFERROR(__xludf.DUMMYFUNCTION("GOOGLETRANSLATE(B1237)"),"緊急狀況")</f>
        <v>緊急狀況</v>
      </c>
    </row>
    <row r="1238" ht="15.75" customHeight="1">
      <c r="A1238" s="4">
        <v>4503.0</v>
      </c>
      <c r="B1238" s="4" t="s">
        <v>1994</v>
      </c>
      <c r="D1238" s="4" t="s">
        <v>1996</v>
      </c>
      <c r="E1238" s="4">
        <v>1.0</v>
      </c>
      <c r="F1238" s="4" t="str">
        <f>IFERROR(__xludf.DUMMYFUNCTION("GOOGLETRANSLATE(D1238)"),"緊急流程 http://t.co/lH9mrYpDrJ mp3 http://t.co/PqhuthSS3i rar http://t.co/0iW6dRf5X9")</f>
        <v>緊急流程 http://t.co/lH9mrYpDrJ mp3 http://t.co/PqhuthSS3i rar http://t.co/0iW6dRf5X9</v>
      </c>
      <c r="G1238" s="4" t="str">
        <f>IFERROR(__xludf.DUMMYFUNCTION("GOOGLETRANSLATE(B1238)"),"緊急狀況")</f>
        <v>緊急狀況</v>
      </c>
    </row>
    <row r="1239" ht="15.75" customHeight="1">
      <c r="A1239" s="4">
        <v>4514.0</v>
      </c>
      <c r="B1239" s="4" t="s">
        <v>1994</v>
      </c>
      <c r="C1239" s="4" t="s">
        <v>1997</v>
      </c>
      <c r="D1239" s="4" t="s">
        <v>1998</v>
      </c>
      <c r="E1239" s="4">
        <v>1.0</v>
      </c>
      <c r="F1239" s="4" t="str">
        <f>IFERROR(__xludf.DUMMYFUNCTION("GOOGLETRANSLATE(D1239)"),"阿拉斯加的威爾斯親王#ArchipelagoWolves 即將#滅絕。要求緊急保護！ #StandForWolves http://t.co/hBWoivJqkD")</f>
        <v>阿拉斯加的威爾斯親王#ArchipelagoWolves 即將#滅絕。要求緊急保護！ #StandForWolves http://t.co/hBWoivJqkD</v>
      </c>
      <c r="G1239" s="4" t="str">
        <f>IFERROR(__xludf.DUMMYFUNCTION("GOOGLETRANSLATE(B1239)"),"緊急狀況")</f>
        <v>緊急狀況</v>
      </c>
    </row>
    <row r="1240" ht="15.75" customHeight="1">
      <c r="A1240" s="4">
        <v>4517.0</v>
      </c>
      <c r="B1240" s="4" t="s">
        <v>1994</v>
      </c>
      <c r="C1240" s="4" t="s">
        <v>1999</v>
      </c>
      <c r="D1240" s="4" t="s">
        <v>2000</v>
      </c>
      <c r="E1240" s="4">
        <v>1.0</v>
      </c>
      <c r="F1240" s="4" t="str">
        <f>IFERROR(__xludf.DUMMYFUNCTION("GOOGLETRANSLATE(D1240)"),"從紐約飛往科威特的飛機在宣布緊急狀態後轉向英國 http://t.co/5AIeXCBKFq")</f>
        <v>從紐約飛往科威特的飛機在宣布緊急狀態後轉向英國 http://t.co/5AIeXCBKFq</v>
      </c>
      <c r="G1240" s="4" t="str">
        <f>IFERROR(__xludf.DUMMYFUNCTION("GOOGLETRANSLATE(B1240)"),"緊急狀況")</f>
        <v>緊急狀況</v>
      </c>
    </row>
    <row r="1241" ht="15.75" customHeight="1">
      <c r="A1241" s="4">
        <v>4522.0</v>
      </c>
      <c r="B1241" s="4" t="s">
        <v>1994</v>
      </c>
      <c r="C1241" s="4" t="s">
        <v>2001</v>
      </c>
      <c r="D1241" s="4" t="s">
        <v>2002</v>
      </c>
      <c r="E1241" s="4">
        <v>1.0</v>
      </c>
      <c r="F1241" s="4" t="str">
        <f>IFERROR(__xludf.DUMMYFUNCTION("GOOGLETRANSLATE(D1241)"),"更新：印第安納州警方在緊急橋樑維修導致主要高速公路關閉約 28 小時後重新開放拉斐特附近的 65 號州際公路。")</f>
        <v>更新：印第安納州警方在緊急橋樑維修導致主要高速公路關閉約 28 小時後重新開放拉斐特附近的 65 號州際公路。</v>
      </c>
      <c r="G1241" s="4" t="str">
        <f>IFERROR(__xludf.DUMMYFUNCTION("GOOGLETRANSLATE(B1241)"),"緊急狀況")</f>
        <v>緊急狀況</v>
      </c>
    </row>
    <row r="1242" ht="15.75" customHeight="1">
      <c r="A1242" s="4">
        <v>4523.0</v>
      </c>
      <c r="B1242" s="4" t="s">
        <v>1994</v>
      </c>
      <c r="C1242" s="4" t="s">
        <v>2003</v>
      </c>
      <c r="D1242" s="4" t="s">
        <v>2004</v>
      </c>
      <c r="E1242" s="4">
        <v>1.0</v>
      </c>
      <c r="F1242" s="4" t="str">
        <f>IFERROR(__xludf.DUMMYFUNCTION("GOOGLETRANSLATE(D1242)"),"SF 亞洲婦女庇護所危機熱線 (415) 751-0880。緊急避難所/支援服務 4 名非英語亞洲女性和孩子們。")</f>
        <v>SF 亞洲婦女庇護所危機熱線 (415) 751-0880。緊急避難所/支援服務 4 名非英語亞洲女性和孩子們。</v>
      </c>
      <c r="G1242" s="4" t="str">
        <f>IFERROR(__xludf.DUMMYFUNCTION("GOOGLETRANSLATE(B1242)"),"緊急狀況")</f>
        <v>緊急狀況</v>
      </c>
    </row>
    <row r="1243" ht="15.75" customHeight="1">
      <c r="A1243" s="4">
        <v>4526.0</v>
      </c>
      <c r="B1243" s="4" t="s">
        <v>1994</v>
      </c>
      <c r="C1243" s="4" t="s">
        <v>2005</v>
      </c>
      <c r="D1243" s="4" t="s">
        <v>2006</v>
      </c>
      <c r="E1243" s="4">
        <v>1.0</v>
      </c>
      <c r="F1243" s="4" t="str">
        <f>IFERROR(__xludf.DUMMYFUNCTION("GOOGLETRANSLATE(D1243)"),"緬甸洪水：兒童基金 https://t.co/pQHQ4JnZTT
 和國際需求 https://t.co/FX0W2Sq05F 和 CARE Aust @CAREemergcies 呼籲")</f>
        <v>緬甸洪水：兒童基金 https://t.co/pQHQ4JnZTT
 和國際需求 https://t.co/FX0W2Sq05F 和 CARE Aust @CAREemergcies 呼籲</v>
      </c>
      <c r="G1243" s="4" t="str">
        <f>IFERROR(__xludf.DUMMYFUNCTION("GOOGLETRANSLATE(B1243)"),"緊急狀況")</f>
        <v>緊急狀況</v>
      </c>
    </row>
    <row r="1244" ht="15.75" customHeight="1">
      <c r="A1244" s="4">
        <v>4530.0</v>
      </c>
      <c r="B1244" s="4" t="s">
        <v>1994</v>
      </c>
      <c r="C1244" s="4" t="s">
        <v>2007</v>
      </c>
      <c r="D1244" s="4" t="s">
        <v>2008</v>
      </c>
      <c r="E1244" s="4">
        <v>1.0</v>
      </c>
      <c r="F1244" s="4" t="str">
        <f>IFERROR(__xludf.DUMMYFUNCTION("GOOGLETRANSLATE(D1244)"),"明天打電話，藉口是“緊急牙科預約”，就像去年的全牙脫落事件一樣")</f>
        <v>明天打電話，藉口是“緊急牙科預約”，就像去年的全牙脫落事件一樣</v>
      </c>
      <c r="G1244" s="4" t="str">
        <f>IFERROR(__xludf.DUMMYFUNCTION("GOOGLETRANSLATE(B1244)"),"緊急狀況")</f>
        <v>緊急狀況</v>
      </c>
    </row>
    <row r="1245" ht="15.75" customHeight="1">
      <c r="A1245" s="4">
        <v>4533.0</v>
      </c>
      <c r="B1245" s="4" t="s">
        <v>1994</v>
      </c>
      <c r="C1245" s="4" t="s">
        <v>2009</v>
      </c>
      <c r="D1245" s="4" t="s">
        <v>2010</v>
      </c>
      <c r="E1245" s="4">
        <v>1.0</v>
      </c>
      <c r="F1245" s="4" t="str">
        <f>IFERROR(__xludf.DUMMYFUNCTION("GOOGLETRANSLATE(D1245)"),"在「和平時期和國家緊急時期」。")</f>
        <v>在「和平時期和國家緊急時期」。</v>
      </c>
      <c r="G1245" s="4" t="str">
        <f>IFERROR(__xludf.DUMMYFUNCTION("GOOGLETRANSLATE(B1245)"),"緊急狀況")</f>
        <v>緊急狀況</v>
      </c>
    </row>
    <row r="1246" ht="15.75" customHeight="1">
      <c r="A1246" s="4">
        <v>4537.0</v>
      </c>
      <c r="B1246" s="4" t="s">
        <v>1994</v>
      </c>
      <c r="C1246" s="4" t="s">
        <v>2011</v>
      </c>
      <c r="D1246" s="4" t="s">
        <v>2012</v>
      </c>
      <c r="E1246" s="4">
        <v>1.0</v>
      </c>
      <c r="F1246" s="4" t="str">
        <f>IFERROR(__xludf.DUMMYFUNCTION("GOOGLETRANSLATE(D1246)"),"前海洛因成癮者在城市領導人發出警報時分享了故事：城市官員表示應急小組做出了回應... http://t.co/GZxIPMOknB")</f>
        <v>前海洛因成癮者在城市領導人發出警報時分享了故事：城市官員表示應急小組做出了回應... http://t.co/GZxIPMOknB</v>
      </c>
      <c r="G1246" s="4" t="str">
        <f>IFERROR(__xludf.DUMMYFUNCTION("GOOGLETRANSLATE(B1246)"),"緊急狀況")</f>
        <v>緊急狀況</v>
      </c>
    </row>
    <row r="1247" ht="15.75" customHeight="1">
      <c r="A1247" s="4">
        <v>4539.0</v>
      </c>
      <c r="B1247" s="4" t="s">
        <v>1994</v>
      </c>
      <c r="C1247" s="4" t="s">
        <v>2013</v>
      </c>
      <c r="D1247" s="4" t="s">
        <v>2014</v>
      </c>
      <c r="E1247" s="4">
        <v>1.0</v>
      </c>
      <c r="F1247" s="4" t="str">
        <f>IFERROR(__xludf.DUMMYFUNCTION("GOOGLETRANSLATE(D1247)"),"看到這個火災影片不是我的..享受..#fire #firemen #firetruck #emergency #rescue #911 #summertime #sirensÛ_ http://t.co/hcYAJsAcfJ")</f>
        <v>看到這個火災影片不是我的..享受..#fire #firemen #firetruck #emergency #rescue #911 #summertime #sirensÛ_ http://t.co/hcYAJsAcfJ</v>
      </c>
      <c r="G1247" s="4" t="str">
        <f>IFERROR(__xludf.DUMMYFUNCTION("GOOGLETRANSLATE(B1247)"),"緊急狀況")</f>
        <v>緊急狀況</v>
      </c>
    </row>
    <row r="1248" ht="15.75" customHeight="1">
      <c r="A1248" s="4">
        <v>4542.0</v>
      </c>
      <c r="B1248" s="4" t="s">
        <v>1994</v>
      </c>
      <c r="D1248" s="4" t="s">
        <v>2015</v>
      </c>
      <c r="E1248" s="4">
        <v>1.0</v>
      </c>
      <c r="F1248" s="4" t="str">
        <f>IFERROR(__xludf.DUMMYFUNCTION("GOOGLETRANSLATE(D1248)"),"德納裡狼的數量從 2007 年的 143 隻下降到 2015 年的 48 隻。恢復緊急緩衝區 #ProtectDenaliWolves @Alaska @adndotcom")</f>
        <v>德納裡狼的數量從 2007 年的 143 隻下降到 2015 年的 48 隻。恢復緊急緩衝區 #ProtectDenaliWolves @Alaska @adndotcom</v>
      </c>
      <c r="G1248" s="4" t="str">
        <f>IFERROR(__xludf.DUMMYFUNCTION("GOOGLETRANSLATE(B1248)"),"緊急狀況")</f>
        <v>緊急狀況</v>
      </c>
    </row>
    <row r="1249" ht="15.75" customHeight="1">
      <c r="A1249" s="4">
        <v>4543.0</v>
      </c>
      <c r="B1249" s="4" t="s">
        <v>1994</v>
      </c>
      <c r="D1249" s="4" t="s">
        <v>2016</v>
      </c>
      <c r="E1249" s="4">
        <v>1.0</v>
      </c>
      <c r="F1249" s="4" t="str">
        <f>IFERROR(__xludf.DUMMYFUNCTION("GOOGLETRANSLATE(D1249)"),"紐波特的@chowtaxis 非常感謝緊急跑去布里斯托爾寺廟接傑基的消息，非常感謝")</f>
        <v>紐波特的@chowtaxis 非常感謝緊急跑去布里斯托爾寺廟接傑基的消息，非常感謝</v>
      </c>
      <c r="G1249" s="4" t="str">
        <f>IFERROR(__xludf.DUMMYFUNCTION("GOOGLETRANSLATE(B1249)"),"緊急狀況")</f>
        <v>緊急狀況</v>
      </c>
    </row>
    <row r="1250" ht="15.75" customHeight="1">
      <c r="A1250" s="4">
        <v>4547.0</v>
      </c>
      <c r="B1250" s="4" t="s">
        <v>1994</v>
      </c>
      <c r="D1250" s="4" t="s">
        <v>2017</v>
      </c>
      <c r="E1250" s="4">
        <v>1.0</v>
      </c>
      <c r="F1250" s="4" t="str">
        <f>IFERROR(__xludf.DUMMYFUNCTION("GOOGLETRANSLATE(D1250)"),"#EMERGENCY 羅馬尼亞布加勒斯特 Odai 600 隻狗死亡！它們太餓了，互相吃東西！ http://t.co/pjigXPVPl0")</f>
        <v>#EMERGENCY 羅馬尼亞布加勒斯特 Odai 600 隻狗死亡！它們太餓了，互相吃東西！ http://t.co/pjigXPVPl0</v>
      </c>
      <c r="G1250" s="4" t="str">
        <f>IFERROR(__xludf.DUMMYFUNCTION("GOOGLETRANSLATE(B1250)"),"緊急狀況")</f>
        <v>緊急狀況</v>
      </c>
    </row>
    <row r="1251" ht="15.75" customHeight="1">
      <c r="A1251" s="4">
        <v>4549.0</v>
      </c>
      <c r="B1251" s="4" t="s">
        <v>2018</v>
      </c>
      <c r="D1251" s="4" t="s">
        <v>2019</v>
      </c>
      <c r="E1251" s="4">
        <v>1.0</v>
      </c>
      <c r="F1251" s="4" t="str">
        <f>IFERROR(__xludf.DUMMYFUNCTION("GOOGLETRANSLATE(D1251)"),"@POTUS 感謝 12 月緊急情況http://t.co/DyWWNbbYvJ 4 天，沒有計劃為那些沒有交通工具的人提供 H20。可以調兵遣將嗎？")</f>
        <v>@POTUS 感謝 12 月緊急情況http://t.co/DyWWNbbYvJ 4 天，沒有計劃為那些沒有交通工具的人提供 H20。可以調兵遣將嗎？</v>
      </c>
      <c r="G1251" s="4" t="str">
        <f>IFERROR(__xludf.DUMMYFUNCTION("GOOGLETRANSLATE(B1251)"),"緊急%20計劃")</f>
        <v>緊急%20計劃</v>
      </c>
    </row>
    <row r="1252" ht="15.75" customHeight="1">
      <c r="A1252" s="4">
        <v>4550.0</v>
      </c>
      <c r="B1252" s="4" t="s">
        <v>2018</v>
      </c>
      <c r="C1252" s="4" t="s">
        <v>2020</v>
      </c>
      <c r="D1252" s="4" t="s">
        <v>2021</v>
      </c>
      <c r="E1252" s="4">
        <v>1.0</v>
      </c>
      <c r="F1252" s="4" t="str">
        <f>IFERROR(__xludf.DUMMYFUNCTION("GOOGLETRANSLATE(D1252)"),"請參閱 2015 年 8 月 4 日 PoconoRecord @EmergencyMgtMag - 有多少家庭有 #Emergency 計劃？ | http://t.co/7zlsUmIess http://t.co/TdccH01N7q")</f>
        <v>請參閱 2015 年 8 月 4 日 PoconoRecord @EmergencyMgtMag - 有多少家庭有 #Emergency 計劃？ | http://t.co/7zlsUmIess http://t.co/TdccH01N7q</v>
      </c>
      <c r="G1252" s="4" t="str">
        <f>IFERROR(__xludf.DUMMYFUNCTION("GOOGLETRANSLATE(B1252)"),"緊急%20計劃")</f>
        <v>緊急%20計劃</v>
      </c>
    </row>
    <row r="1253" ht="15.75" customHeight="1">
      <c r="A1253" s="4">
        <v>4551.0</v>
      </c>
      <c r="B1253" s="4" t="s">
        <v>2018</v>
      </c>
      <c r="C1253" s="4" t="s">
        <v>542</v>
      </c>
      <c r="D1253" s="4" t="s">
        <v>2022</v>
      </c>
      <c r="E1253" s="4">
        <v>1.0</v>
      </c>
      <c r="F1253" s="4" t="str">
        <f>IFERROR(__xludf.DUMMYFUNCTION("GOOGLETRANSLATE(D1253)"),"我們的建築商正面臨牙科緊急情況。這毀了我今天下午用我的肚子在情感上勒索他的計劃。")</f>
        <v>我們的建築商正面臨牙科緊急情況。這毀了我今天下午用我的肚子在情感上勒索他的計劃。</v>
      </c>
      <c r="G1253" s="4" t="str">
        <f>IFERROR(__xludf.DUMMYFUNCTION("GOOGLETRANSLATE(B1253)"),"緊急%20計劃")</f>
        <v>緊急%20計劃</v>
      </c>
    </row>
    <row r="1254" ht="15.75" customHeight="1">
      <c r="A1254" s="4">
        <v>4553.0</v>
      </c>
      <c r="B1254" s="4" t="s">
        <v>2018</v>
      </c>
      <c r="C1254" s="4" t="s">
        <v>2023</v>
      </c>
      <c r="D1254" s="4" t="s">
        <v>2024</v>
      </c>
      <c r="E1254" s="4">
        <v>1.0</v>
      </c>
      <c r="F1254" s="4" t="str">
        <f>IFERROR(__xludf.DUMMYFUNCTION("GOOGLETRANSLATE(D1254)"),"來自卡加利市 -
卡加利市已啟動市政緊急應變計劃
市政緊急情況... http://t.co/hA5BoppeJy")</f>
        <v>來自卡加利市 -
卡加利市已啟動市政緊急應變計劃
市政緊急情況... http://t.co/hA5BoppeJy</v>
      </c>
      <c r="G1254" s="4" t="str">
        <f>IFERROR(__xludf.DUMMYFUNCTION("GOOGLETRANSLATE(B1254)"),"緊急%20計劃")</f>
        <v>緊急%20計劃</v>
      </c>
    </row>
    <row r="1255" ht="15.75" customHeight="1">
      <c r="A1255" s="4">
        <v>4562.0</v>
      </c>
      <c r="B1255" s="4" t="s">
        <v>2018</v>
      </c>
      <c r="C1255" s="4" t="s">
        <v>2025</v>
      </c>
      <c r="D1255" s="4" t="s">
        <v>2026</v>
      </c>
      <c r="E1255" s="4">
        <v>1.0</v>
      </c>
      <c r="F1255" s="4" t="str">
        <f>IFERROR(__xludf.DUMMYFUNCTION("GOOGLETRANSLATE(D1255)"),".@CityofCalgary 在嚴重雷暴警告中啟動應急計劃 http://t.co/pc7S8NxJ6Q #yyc #abstorm http://t.co/9xoHmMlMDY")</f>
        <v>.@CityofCalgary 在嚴重雷暴警告中啟動應急計劃 http://t.co/pc7S8NxJ6Q #yyc #abstorm http://t.co/9xoHmMlMDY</v>
      </c>
      <c r="G1255" s="4" t="str">
        <f>IFERROR(__xludf.DUMMYFUNCTION("GOOGLETRANSLATE(B1255)"),"緊急%20計劃")</f>
        <v>緊急%20計劃</v>
      </c>
    </row>
    <row r="1256" ht="15.75" customHeight="1">
      <c r="A1256" s="4">
        <v>4563.0</v>
      </c>
      <c r="B1256" s="4" t="s">
        <v>2018</v>
      </c>
      <c r="C1256" s="4" t="s">
        <v>1261</v>
      </c>
      <c r="D1256" s="4" t="s">
        <v>2027</v>
      </c>
      <c r="E1256" s="4">
        <v>1.0</v>
      </c>
      <c r="F1256" s="4" t="str">
        <f>IFERROR(__xludf.DUMMYFUNCTION("GOOGLETRANSLATE(D1256)"),"卡加利市啟動市政緊急應變計畫 - http://t.co/IYs9xWPVMK")</f>
        <v>卡加利市啟動市政緊急應變計畫 - http://t.co/IYs9xWPVMK</v>
      </c>
      <c r="G1256" s="4" t="str">
        <f>IFERROR(__xludf.DUMMYFUNCTION("GOOGLETRANSLATE(B1256)"),"緊急%20計劃")</f>
        <v>緊急%20計劃</v>
      </c>
    </row>
    <row r="1257" ht="15.75" customHeight="1">
      <c r="A1257" s="4">
        <v>4568.0</v>
      </c>
      <c r="B1257" s="4" t="s">
        <v>2018</v>
      </c>
      <c r="C1257" s="4" t="s">
        <v>2028</v>
      </c>
      <c r="D1257" s="4" t="s">
        <v>2029</v>
      </c>
      <c r="E1257" s="4">
        <v>1.0</v>
      </c>
      <c r="F1257" s="4" t="str">
        <f>IFERROR(__xludf.DUMMYFUNCTION("GOOGLETRANSLATE(D1257)"),"該市已啟動市政應急計劃。主要留在室內，避開洪水區域 撥打 311 尋求... http://t.co/Ch6E7vTATR")</f>
        <v>該市已啟動市政應急計劃。主要留在室內，避開洪水區域 撥打 311 尋求... http://t.co/Ch6E7vTATR</v>
      </c>
      <c r="G1257" s="4" t="str">
        <f>IFERROR(__xludf.DUMMYFUNCTION("GOOGLETRANSLATE(B1257)"),"緊急%20計劃")</f>
        <v>緊急%20計劃</v>
      </c>
    </row>
    <row r="1258" ht="15.75" customHeight="1">
      <c r="A1258" s="4">
        <v>4569.0</v>
      </c>
      <c r="B1258" s="4" t="s">
        <v>2018</v>
      </c>
      <c r="D1258" s="4" t="s">
        <v>2030</v>
      </c>
      <c r="E1258" s="4">
        <v>1.0</v>
      </c>
      <c r="F1258" s="4" t="str">
        <f>IFERROR(__xludf.DUMMYFUNCTION("GOOGLETRANSLATE(D1258)"),"卡加利市啟動市政緊急應變計畫 - 660 NEWS http://t.co/KFBjVJiVQB http://t.co/BN7Xpzqdm0")</f>
        <v>卡加利市啟動市政緊急應變計畫 - 660 NEWS http://t.co/KFBjVJiVQB http://t.co/BN7Xpzqdm0</v>
      </c>
      <c r="G1258" s="4" t="str">
        <f>IFERROR(__xludf.DUMMYFUNCTION("GOOGLETRANSLATE(B1258)"),"緊急%20計劃")</f>
        <v>緊急%20計劃</v>
      </c>
    </row>
    <row r="1259" ht="15.75" customHeight="1">
      <c r="A1259" s="4">
        <v>4571.0</v>
      </c>
      <c r="B1259" s="4" t="s">
        <v>2018</v>
      </c>
      <c r="C1259" s="4" t="s">
        <v>2031</v>
      </c>
      <c r="D1259" s="4" t="s">
        <v>2032</v>
      </c>
      <c r="E1259" s="4">
        <v>1.0</v>
      </c>
      <c r="F1259" s="4" t="str">
        <f>IFERROR(__xludf.DUMMYFUNCTION("GOOGLETRANSLATE(D1259)"),"你好卡加利！重要消息！！請各位指教！！！ http://t.co/ARKTJ9Qn4S")</f>
        <v>你好卡加利！重要消息！！請各位指教！！！ http://t.co/ARKTJ9Qn4S</v>
      </c>
      <c r="G1259" s="4" t="str">
        <f>IFERROR(__xludf.DUMMYFUNCTION("GOOGLETRANSLATE(B1259)"),"緊急%20計劃")</f>
        <v>緊急%20計劃</v>
      </c>
    </row>
    <row r="1260" ht="15.75" customHeight="1">
      <c r="A1260" s="4">
        <v>4575.0</v>
      </c>
      <c r="B1260" s="4" t="s">
        <v>2018</v>
      </c>
      <c r="C1260" s="4" t="s">
        <v>407</v>
      </c>
      <c r="D1260" s="4" t="s">
        <v>2033</v>
      </c>
      <c r="E1260" s="4">
        <v>1.0</v>
      </c>
      <c r="F1260" s="4" t="str">
        <f>IFERROR(__xludf.DUMMYFUNCTION("GOOGLETRANSLATE(D1260)"),"b/c 讓病人使用急診室的成本更低？...grrrr.... http://t.co/vFbbcHwrFD")</f>
        <v>b/c 讓病人使用急診室的成本更低？...grrrr.... http://t.co/vFbbcHwrFD</v>
      </c>
      <c r="G1260" s="4" t="str">
        <f>IFERROR(__xludf.DUMMYFUNCTION("GOOGLETRANSLATE(B1260)"),"緊急%20計劃")</f>
        <v>緊急%20計劃</v>
      </c>
    </row>
    <row r="1261" ht="15.75" customHeight="1">
      <c r="A1261" s="4">
        <v>4576.0</v>
      </c>
      <c r="B1261" s="4" t="s">
        <v>2018</v>
      </c>
      <c r="C1261" s="4" t="s">
        <v>2034</v>
      </c>
      <c r="D1261" s="4" t="s">
        <v>2035</v>
      </c>
      <c r="E1261" s="4">
        <v>1.0</v>
      </c>
      <c r="F1261" s="4" t="str">
        <f>IFERROR(__xludf.DUMMYFUNCTION("GOOGLETRANSLATE(D1261)"),"ÛÏ@based_georgie：真的，我們需要製定一個緊急行動計劃，以防唐納德·特朗普成為總統Û
鞭打那個小寶貝")</f>
        <v>ÛÏ@based_georgie：真的，我們需要製定一個緊急行動計劃，以防唐納德·特朗普成為總統Û
鞭打那個小寶貝</v>
      </c>
      <c r="G1261" s="4" t="str">
        <f>IFERROR(__xludf.DUMMYFUNCTION("GOOGLETRANSLATE(B1261)"),"緊急%20計劃")</f>
        <v>緊急%20計劃</v>
      </c>
    </row>
    <row r="1262" ht="15.75" customHeight="1">
      <c r="A1262" s="4">
        <v>4580.0</v>
      </c>
      <c r="B1262" s="4" t="s">
        <v>2018</v>
      </c>
      <c r="C1262" s="4" t="s">
        <v>2036</v>
      </c>
      <c r="D1262" s="4" t="s">
        <v>2037</v>
      </c>
      <c r="E1262" s="4">
        <v>1.0</v>
      </c>
      <c r="F1262" s="4" t="str">
        <f>IFERROR(__xludf.DUMMYFUNCTION("GOOGLETRANSLATE(D1262)"),"#Biztip 我們建議所有企業取得替代電力來源。 #太陽能風和電池。制定應急計劃！現在！")</f>
        <v>#Biztip 我們建議所有企業取得替代電力來源。 #太陽能風和電池。制定應急計劃！現在！</v>
      </c>
      <c r="G1262" s="4" t="str">
        <f>IFERROR(__xludf.DUMMYFUNCTION("GOOGLETRANSLATE(B1262)"),"緊急%20計劃")</f>
        <v>緊急%20計劃</v>
      </c>
    </row>
    <row r="1263" ht="15.75" customHeight="1">
      <c r="A1263" s="4">
        <v>4582.0</v>
      </c>
      <c r="B1263" s="4" t="s">
        <v>2018</v>
      </c>
      <c r="C1263" s="4" t="s">
        <v>2038</v>
      </c>
      <c r="D1263" s="4" t="s">
        <v>2039</v>
      </c>
      <c r="E1263" s="4">
        <v>1.0</v>
      </c>
      <c r="F1263" s="4" t="str">
        <f>IFERROR(__xludf.DUMMYFUNCTION("GOOGLETRANSLATE(D1263)"),"當你的身體就像“去他媽的去睡覺吧薩米”而你的思想就像“為每一次自然災害制定應急計劃去吧”")</f>
        <v>當你的身體就像“去他媽的去睡覺吧薩米”而你的思想就像“為每一次自然災害制定應急計劃去吧”</v>
      </c>
      <c r="G1263" s="4" t="str">
        <f>IFERROR(__xludf.DUMMYFUNCTION("GOOGLETRANSLATE(B1263)"),"緊急%20計劃")</f>
        <v>緊急%20計劃</v>
      </c>
    </row>
    <row r="1264" ht="15.75" customHeight="1">
      <c r="A1264" s="4">
        <v>4585.0</v>
      </c>
      <c r="B1264" s="4" t="s">
        <v>2018</v>
      </c>
      <c r="C1264" s="4" t="s">
        <v>512</v>
      </c>
      <c r="D1264" s="4" t="s">
        <v>2040</v>
      </c>
      <c r="E1264" s="4">
        <v>1.0</v>
      </c>
      <c r="F1264" s="4" t="str">
        <f>IFERROR(__xludf.DUMMYFUNCTION("GOOGLETRANSLATE(D1264)"),"參議員呼籲緊急住房：拳擊手范斯坦支持將#無家可歸的退伍軍人轉移到弗吉尼亞州校園的計劃http://t.co/Gm80X3vutf")</f>
        <v>參議員呼籲緊急住房：拳擊手范斯坦支持將#無家可歸的退伍軍人轉移到弗吉尼亞州校園的計劃http://t.co/Gm80X3vutf</v>
      </c>
      <c r="G1264" s="4" t="str">
        <f>IFERROR(__xludf.DUMMYFUNCTION("GOOGLETRANSLATE(B1264)"),"緊急%20計劃")</f>
        <v>緊急%20計劃</v>
      </c>
    </row>
    <row r="1265" ht="15.75" customHeight="1">
      <c r="A1265" s="4">
        <v>4587.0</v>
      </c>
      <c r="B1265" s="4" t="s">
        <v>2018</v>
      </c>
      <c r="C1265" s="4" t="s">
        <v>2041</v>
      </c>
      <c r="D1265" s="4" t="s">
        <v>2042</v>
      </c>
      <c r="E1265" s="4">
        <v>1.0</v>
      </c>
      <c r="F1265" s="4" t="str">
        <f>IFERROR(__xludf.DUMMYFUNCTION("GOOGLETRANSLATE(D1265)"),"#Cochrane 仍保持嚴重雷暴警告。 @cityofcalgary 在今天的風暴之後製定了市政應急計劃。 #abstorm")</f>
        <v>#Cochrane 仍保持嚴重雷暴警告。 @cityofcalgary 在今天的風暴之後製定了市政應急計劃。 #abstorm</v>
      </c>
      <c r="G1265" s="4" t="str">
        <f>IFERROR(__xludf.DUMMYFUNCTION("GOOGLETRANSLATE(B1265)"),"緊急%20計劃")</f>
        <v>緊急%20計劃</v>
      </c>
    </row>
    <row r="1266" ht="15.75" customHeight="1">
      <c r="A1266" s="4">
        <v>4588.0</v>
      </c>
      <c r="B1266" s="4" t="s">
        <v>2018</v>
      </c>
      <c r="C1266" s="4" t="s">
        <v>2043</v>
      </c>
      <c r="D1266" s="4" t="s">
        <v>2044</v>
      </c>
      <c r="E1266" s="4">
        <v>1.0</v>
      </c>
      <c r="F1266" s="4" t="str">
        <f>IFERROR(__xludf.DUMMYFUNCTION("GOOGLETRANSLATE(D1266)"),"無法解決愚蠢的問題。 MT @CBCCalgary 在製定市政緊急應變計畫時警告市政府不要開車穿過被洪水淹沒的地下通道。 #yyc #abstorm")</f>
        <v>無法解決愚蠢的問題。 MT @CBCCalgary 在製定市政緊急應變計畫時警告市政府不要開車穿過被洪水淹沒的地下通道。 #yyc #abstorm</v>
      </c>
      <c r="G1266" s="4" t="str">
        <f>IFERROR(__xludf.DUMMYFUNCTION("GOOGLETRANSLATE(B1266)"),"緊急%20計劃")</f>
        <v>緊急%20計劃</v>
      </c>
    </row>
    <row r="1267" ht="15.75" customHeight="1">
      <c r="A1267" s="4">
        <v>4590.0</v>
      </c>
      <c r="B1267" s="4" t="s">
        <v>2018</v>
      </c>
      <c r="C1267" s="4" t="s">
        <v>2045</v>
      </c>
      <c r="D1267" s="4" t="s">
        <v>2046</v>
      </c>
      <c r="E1267" s="4">
        <v>1.0</v>
      </c>
      <c r="F1267" s="4" t="str">
        <f>IFERROR(__xludf.DUMMYFUNCTION("GOOGLETRANSLATE(D1267)"),"一個尚未解決的大問題是如果惡劣天氣來襲如何回家。 @GoTriangle 沒有真正的應急計劃 https://t.co/s7xdXuudcy")</f>
        <v>一個尚未解決的大問題是如果惡劣天氣來襲如何回家。 @GoTriangle 沒有真正的應急計劃 https://t.co/s7xdXuudcy</v>
      </c>
      <c r="G1267" s="4" t="str">
        <f>IFERROR(__xludf.DUMMYFUNCTION("GOOGLETRANSLATE(B1267)"),"緊急%20計劃")</f>
        <v>緊急%20計劃</v>
      </c>
    </row>
    <row r="1268" ht="15.75" customHeight="1">
      <c r="A1268" s="4">
        <v>4592.0</v>
      </c>
      <c r="B1268" s="4" t="s">
        <v>2018</v>
      </c>
      <c r="D1268" s="4" t="s">
        <v>2047</v>
      </c>
      <c r="E1268" s="4">
        <v>1.0</v>
      </c>
      <c r="F1268" s="4" t="str">
        <f>IFERROR(__xludf.DUMMYFUNCTION("GOOGLETRANSLATE(D1268)"),"隨著更多雷暴臨近，卡加利市啟動市政應急計畫 http://t.co/8iHucO4GLW")</f>
        <v>隨著更多雷暴臨近，卡加利市啟動市政應急計畫 http://t.co/8iHucO4GLW</v>
      </c>
      <c r="G1268" s="4" t="str">
        <f>IFERROR(__xludf.DUMMYFUNCTION("GOOGLETRANSLATE(B1268)"),"緊急%20計劃")</f>
        <v>緊急%20計劃</v>
      </c>
    </row>
    <row r="1269" ht="15.75" customHeight="1">
      <c r="A1269" s="4">
        <v>4593.0</v>
      </c>
      <c r="B1269" s="4" t="s">
        <v>2018</v>
      </c>
      <c r="C1269" s="4" t="s">
        <v>2048</v>
      </c>
      <c r="D1269" s="4" t="s">
        <v>2049</v>
      </c>
      <c r="E1269" s="4">
        <v>1.0</v>
      </c>
      <c r="F1269" s="4" t="str">
        <f>IFERROR(__xludf.DUMMYFUNCTION("GOOGLETRANSLATE(D1269)"),"市府緊急應變計畫現已生效。大家注意安全！ #abstorm #yyc http://t.co/14CIcptKNa")</f>
        <v>市府緊急應變計畫現已生效。大家注意安全！ #abstorm #yyc http://t.co/14CIcptKNa</v>
      </c>
      <c r="G1269" s="4" t="str">
        <f>IFERROR(__xludf.DUMMYFUNCTION("GOOGLETRANSLATE(B1269)"),"緊急%20計劃")</f>
        <v>緊急%20計劃</v>
      </c>
    </row>
    <row r="1270" ht="15.75" customHeight="1">
      <c r="A1270" s="4">
        <v>4595.0</v>
      </c>
      <c r="B1270" s="4" t="s">
        <v>2018</v>
      </c>
      <c r="C1270" s="4" t="s">
        <v>2031</v>
      </c>
      <c r="D1270" s="4" t="s">
        <v>2050</v>
      </c>
      <c r="E1270" s="4">
        <v>1.0</v>
      </c>
      <c r="F1270" s="4" t="str">
        <f>IFERROR(__xludf.DUMMYFUNCTION("GOOGLETRANSLATE(D1270)"),"Storm 得出結論，卡加利市的市政緊急計畫已停用 http://t.co/93iaEec26T")</f>
        <v>Storm 得出結論，卡加利市的市政緊急計畫已停用 http://t.co/93iaEec26T</v>
      </c>
      <c r="G1270" s="4" t="str">
        <f>IFERROR(__xludf.DUMMYFUNCTION("GOOGLETRANSLATE(B1270)"),"緊急%20計劃")</f>
        <v>緊急%20計劃</v>
      </c>
    </row>
    <row r="1271" ht="15.75" customHeight="1">
      <c r="A1271" s="4">
        <v>4597.0</v>
      </c>
      <c r="B1271" s="4" t="s">
        <v>2018</v>
      </c>
      <c r="C1271" s="4" t="s">
        <v>295</v>
      </c>
      <c r="D1271" s="4" t="s">
        <v>2051</v>
      </c>
      <c r="E1271" s="4">
        <v>1.0</v>
      </c>
      <c r="F1271" s="4" t="str">
        <f>IFERROR(__xludf.DUMMYFUNCTION("GOOGLETRANSLATE(D1271)"),"@chrisroth98 @chaselabsports 今年年底遇到緊急情況。不是營地裡的計劃")</f>
        <v>@chrisroth98 @chaselabsports 今年年底遇到緊急情況。不是營地裡的計劃</v>
      </c>
      <c r="G1271" s="4" t="str">
        <f>IFERROR(__xludf.DUMMYFUNCTION("GOOGLETRANSLATE(B1271)"),"緊急%20計劃")</f>
        <v>緊急%20計劃</v>
      </c>
    </row>
    <row r="1272" ht="15.75" customHeight="1">
      <c r="A1272" s="4">
        <v>4599.0</v>
      </c>
      <c r="B1272" s="4" t="s">
        <v>2052</v>
      </c>
      <c r="C1272" s="4" t="s">
        <v>183</v>
      </c>
      <c r="D1272" s="4" t="s">
        <v>2053</v>
      </c>
      <c r="E1272" s="4">
        <v>1.0</v>
      </c>
      <c r="F1272" s="4" t="str">
        <f>IFERROR(__xludf.DUMMYFUNCTION("GOOGLETRANSLATE(D1272)"),"@TfLBusAlerts @TfLBusAlerts 伊爾福德的車道雙向關閉，緊急服務人員正在處理呼叫。公車現在被堵住了。")</f>
        <v>@TfLBusAlerts @TfLBusAlerts 伊爾福德的車道雙向關閉，緊急服務人員正在處理呼叫。公車現在被堵住了。</v>
      </c>
      <c r="G1272" s="4" t="str">
        <f>IFERROR(__xludf.DUMMYFUNCTION("GOOGLETRANSLATE(B1272)"),"緊急%20服務")</f>
        <v>緊急%20服務</v>
      </c>
    </row>
    <row r="1273" ht="15.75" customHeight="1">
      <c r="A1273" s="4">
        <v>4600.0</v>
      </c>
      <c r="B1273" s="4" t="s">
        <v>2052</v>
      </c>
      <c r="D1273" s="4" t="s">
        <v>2054</v>
      </c>
      <c r="E1273" s="4">
        <v>1.0</v>
      </c>
      <c r="F1273" s="4" t="str">
        <f>IFERROR(__xludf.DUMMYFUNCTION("GOOGLETRANSLATE(D1273)"),"@Glenstannard @EssexWeather 你知道在哪裡嗎，因為我聽到附近有緊急服務")</f>
        <v>@Glenstannard @EssexWeather 你知道在哪裡嗎，因為我聽到附近有緊急服務</v>
      </c>
      <c r="G1273" s="4" t="str">
        <f>IFERROR(__xludf.DUMMYFUNCTION("GOOGLETRANSLATE(B1273)"),"緊急%20服務")</f>
        <v>緊急%20服務</v>
      </c>
    </row>
    <row r="1274" ht="15.75" customHeight="1">
      <c r="A1274" s="4">
        <v>4602.0</v>
      </c>
      <c r="B1274" s="4" t="s">
        <v>2052</v>
      </c>
      <c r="C1274" s="4" t="s">
        <v>2055</v>
      </c>
      <c r="D1274" s="4" t="s">
        <v>2056</v>
      </c>
      <c r="E1274" s="4">
        <v>1.0</v>
      </c>
      <c r="F1274" s="4" t="str">
        <f>IFERROR(__xludf.DUMMYFUNCTION("GOOGLETRANSLATE(D1274)"),"永續發展工作小組徵稅以資助緊急服務 - WDTV http://t.co/2FiBE2HAXC")</f>
        <v>永續發展工作小組徵稅以資助緊急服務 - WDTV http://t.co/2FiBE2HAXC</v>
      </c>
      <c r="G1274" s="4" t="str">
        <f>IFERROR(__xludf.DUMMYFUNCTION("GOOGLETRANSLATE(B1274)"),"緊急%20服務")</f>
        <v>緊急%20服務</v>
      </c>
    </row>
    <row r="1275" ht="15.75" customHeight="1">
      <c r="A1275" s="4">
        <v>4604.0</v>
      </c>
      <c r="B1275" s="4" t="s">
        <v>2052</v>
      </c>
      <c r="C1275" s="4" t="s">
        <v>2057</v>
      </c>
      <c r="D1275" s="4" t="s">
        <v>2058</v>
      </c>
      <c r="E1275" s="4">
        <v>1.0</v>
      </c>
      <c r="F1275" s="4" t="str">
        <f>IFERROR(__xludf.DUMMYFUNCTION("GOOGLETRANSLATE(D1275)"),"#護理警報：急診精神科註冊護理師（.90 FTE Day）|普羅維登斯健康與服務 | #奧林匹亞西澳 http://t.co/Yu6NUe7gFB")</f>
        <v>#護理警報：急診精神科註冊護理師（.90 FTE Day）|普羅維登斯健康與服務 | #奧林匹亞西澳 http://t.co/Yu6NUe7gFB</v>
      </c>
      <c r="G1275" s="4" t="str">
        <f>IFERROR(__xludf.DUMMYFUNCTION("GOOGLETRANSLATE(B1275)"),"緊急%20服務")</f>
        <v>緊急%20服務</v>
      </c>
    </row>
    <row r="1276" ht="15.75" customHeight="1">
      <c r="A1276" s="4">
        <v>4606.0</v>
      </c>
      <c r="B1276" s="4" t="s">
        <v>2052</v>
      </c>
      <c r="C1276" s="4" t="s">
        <v>1445</v>
      </c>
      <c r="D1276" s="4" t="s">
        <v>2059</v>
      </c>
      <c r="E1276" s="4">
        <v>1.0</v>
      </c>
      <c r="F1276" s="4" t="str">
        <f>IFERROR(__xludf.DUMMYFUNCTION("GOOGLETRANSLATE(D1276)"),"我不是美國人，但我的家人曾在緊急服務部門服役並在... http://t.co/Pl2VzLrKVK")</f>
        <v>我不是美國人，但我的家人曾在緊急服務部門服役並在... http://t.co/Pl2VzLrKVK</v>
      </c>
      <c r="G1276" s="4" t="str">
        <f>IFERROR(__xludf.DUMMYFUNCTION("GOOGLETRANSLATE(B1276)"),"緊急%20服務")</f>
        <v>緊急%20服務</v>
      </c>
    </row>
    <row r="1277" ht="15.75" customHeight="1">
      <c r="A1277" s="4">
        <v>4608.0</v>
      </c>
      <c r="B1277" s="4" t="s">
        <v>2052</v>
      </c>
      <c r="D1277" s="4" t="s">
        <v>2060</v>
      </c>
      <c r="E1277" s="4">
        <v>1.0</v>
      </c>
      <c r="F1277" s="4" t="str">
        <f>IFERROR(__xludf.DUMMYFUNCTION("GOOGLETRANSLATE(D1277)"),"我們正在招募！點選申請：RN II/EMERGENCY SERVICES/FT/7P-7A - http://t.co/NV3Uxv9IMX #Nursing #Houston TX http://t.co/ej30IhrEA9")</f>
        <v>我們正在招募！點選申請：RN II/EMERGENCY SERVICES/FT/7P-7A - http://t.co/NV3Uxv9IMX #Nursing #Houston TX http://t.co/ej30IhrEA9</v>
      </c>
      <c r="G1277" s="4" t="str">
        <f>IFERROR(__xludf.DUMMYFUNCTION("GOOGLETRANSLATE(B1277)"),"緊急%20服務")</f>
        <v>緊急%20服務</v>
      </c>
    </row>
    <row r="1278" ht="15.75" customHeight="1">
      <c r="A1278" s="4">
        <v>4620.0</v>
      </c>
      <c r="B1278" s="4" t="s">
        <v>2052</v>
      </c>
      <c r="C1278" s="4" t="s">
        <v>2061</v>
      </c>
      <c r="D1278" s="4" t="s">
        <v>2062</v>
      </c>
      <c r="E1278" s="4">
        <v>1.0</v>
      </c>
      <c r="F1278" s="4" t="str">
        <f>IFERROR(__xludf.DUMMYFUNCTION("GOOGLETRANSLATE(D1278)"),"從西岸清除海嘯殘骸：Karen Robinson 環境與緊急服務經理 http://t.co/1MeEo3WJcO")</f>
        <v>從西岸清除海嘯殘骸：Karen Robinson 環境與緊急服務經理 http://t.co/1MeEo3WJcO</v>
      </c>
      <c r="G1278" s="4" t="str">
        <f>IFERROR(__xludf.DUMMYFUNCTION("GOOGLETRANSLATE(B1278)"),"緊急%20服務")</f>
        <v>緊急%20服務</v>
      </c>
    </row>
    <row r="1279" ht="15.75" customHeight="1">
      <c r="A1279" s="4">
        <v>4624.0</v>
      </c>
      <c r="B1279" s="4" t="s">
        <v>2052</v>
      </c>
      <c r="C1279" s="4" t="s">
        <v>38</v>
      </c>
      <c r="D1279" s="4" t="s">
        <v>2063</v>
      </c>
      <c r="E1279" s="4">
        <v>1.0</v>
      </c>
      <c r="F1279" s="4" t="str">
        <f>IFERROR(__xludf.DUMMYFUNCTION("GOOGLETRANSLATE(D1279)"),"#Breaking #News - 呼籲塔斯馬尼亞的緊急服務部門接受馬術訓練... - http://t.co/urJwsVr311 http://t.co/7JfrETeIi4")</f>
        <v>#Breaking #News - 呼籲塔斯馬尼亞的緊急服務部門接受馬術訓練... - http://t.co/urJwsVr311 http://t.co/7JfrETeIi4</v>
      </c>
      <c r="G1279" s="4" t="str">
        <f>IFERROR(__xludf.DUMMYFUNCTION("GOOGLETRANSLATE(B1279)"),"緊急%20服務")</f>
        <v>緊急%20服務</v>
      </c>
    </row>
    <row r="1280" ht="15.75" customHeight="1">
      <c r="A1280" s="4">
        <v>4627.0</v>
      </c>
      <c r="B1280" s="4" t="s">
        <v>2052</v>
      </c>
      <c r="D1280" s="4" t="s">
        <v>2064</v>
      </c>
      <c r="E1280" s="4">
        <v>1.0</v>
      </c>
      <c r="F1280" s="4" t="str">
        <f>IFERROR(__xludf.DUMMYFUNCTION("GOOGLETRANSLATE(D1280)"),"緊急關閉系統 - 埃德蒙頓 http://t.co/F8GvWkFqox")</f>
        <v>緊急關閉系統 - 埃德蒙頓 http://t.co/F8GvWkFqox</v>
      </c>
      <c r="G1280" s="4" t="str">
        <f>IFERROR(__xludf.DUMMYFUNCTION("GOOGLETRANSLATE(B1280)"),"緊急%20服務")</f>
        <v>緊急%20服務</v>
      </c>
    </row>
    <row r="1281" ht="15.75" customHeight="1">
      <c r="A1281" s="4">
        <v>4632.0</v>
      </c>
      <c r="B1281" s="4" t="s">
        <v>2052</v>
      </c>
      <c r="C1281" s="4" t="s">
        <v>427</v>
      </c>
      <c r="D1281" s="4" t="s">
        <v>2065</v>
      </c>
      <c r="E1281" s="4">
        <v>1.0</v>
      </c>
      <c r="F1281" s="4" t="str">
        <f>IFERROR(__xludf.DUMMYFUNCTION("GOOGLETRANSLATE(D1281)"),"古爾本男子亨利範比爾森失踪：緊急服務部門正在尋找一名從他的家中失踪的古爾本男子 http://t.co/z99pKJzTRp")</f>
        <v>古爾本男子亨利範比爾森失踪：緊急服務部門正在尋找一名從他的家中失踪的古爾本男子 http://t.co/z99pKJzTRp</v>
      </c>
      <c r="G1281" s="4" t="str">
        <f>IFERROR(__xludf.DUMMYFUNCTION("GOOGLETRANSLATE(B1281)"),"緊急%20服務")</f>
        <v>緊急%20服務</v>
      </c>
    </row>
    <row r="1282" ht="15.75" customHeight="1">
      <c r="A1282" s="4">
        <v>4641.0</v>
      </c>
      <c r="B1282" s="4" t="s">
        <v>2052</v>
      </c>
      <c r="C1282" s="4" t="s">
        <v>482</v>
      </c>
      <c r="D1282" s="4" t="s">
        <v>2066</v>
      </c>
      <c r="E1282" s="4">
        <v>1.0</v>
      </c>
      <c r="F1282" s="4" t="str">
        <f>IFERROR(__xludf.DUMMYFUNCTION("GOOGLETRANSLATE(D1282)"),"在耶諾拉發生醫療緊急情況以及卡布拉馬塔早些時候進行緊急軌道設備維修後，#SouthLine 服務正在恢復正常。")</f>
        <v>在耶諾拉發生醫療緊急情況以及卡布拉馬塔早些時候進行緊急軌道設備維修後，#SouthLine 服務正在恢復正常。</v>
      </c>
      <c r="G1282" s="4" t="str">
        <f>IFERROR(__xludf.DUMMYFUNCTION("GOOGLETRANSLATE(B1282)"),"緊急%20服務")</f>
        <v>緊急%20服務</v>
      </c>
    </row>
    <row r="1283" ht="15.75" customHeight="1">
      <c r="A1283" s="4">
        <v>4649.0</v>
      </c>
      <c r="B1283" s="4" t="s">
        <v>2067</v>
      </c>
      <c r="C1283" s="4" t="s">
        <v>2068</v>
      </c>
      <c r="D1283" s="4" t="s">
        <v>2069</v>
      </c>
      <c r="E1283" s="4">
        <v>1.0</v>
      </c>
      <c r="F1283" s="4" t="str">
        <f>IFERROR(__xludf.DUMMYFUNCTION("GOOGLETRANSLATE(D1283)"),"剛剛在 I-77 上看到一輛車完全被火焰吞噬了哈哈")</f>
        <v>剛剛在 I-77 上看到一輛車完全被火焰吞噬了哈哈</v>
      </c>
      <c r="G1283" s="4" t="str">
        <f>IFERROR(__xludf.DUMMYFUNCTION("GOOGLETRANSLATE(B1283)"),"被吞沒")</f>
        <v>被吞沒</v>
      </c>
    </row>
    <row r="1284" ht="15.75" customHeight="1">
      <c r="A1284" s="4">
        <v>4650.0</v>
      </c>
      <c r="B1284" s="4" t="s">
        <v>2067</v>
      </c>
      <c r="D1284" s="4" t="s">
        <v>2070</v>
      </c>
      <c r="E1284" s="4">
        <v>1.0</v>
      </c>
      <c r="F1284" s="4" t="str">
        <f>IFERROR(__xludf.DUMMYFUNCTION("GOOGLETRANSLATE(D1284)"),"帕利峽谷 (Parley's Canyon) 男子逃離被火焰吞沒的汽車，工作人員正在調查原因 - http://t.co/P6cyLz5lpt http://t.co/Jpu9gIps9f")</f>
        <v>帕利峽谷 (Parley's Canyon) 男子逃離被火焰吞沒的汽車，工作人員正在調查原因 - http://t.co/P6cyLz5lpt http://t.co/Jpu9gIps9f</v>
      </c>
      <c r="G1284" s="4" t="str">
        <f>IFERROR(__xludf.DUMMYFUNCTION("GOOGLETRANSLATE(B1284)"),"被吞沒")</f>
        <v>被吞沒</v>
      </c>
    </row>
    <row r="1285" ht="15.75" customHeight="1">
      <c r="A1285" s="4">
        <v>4655.0</v>
      </c>
      <c r="B1285" s="4" t="s">
        <v>2067</v>
      </c>
      <c r="D1285" s="4" t="s">
        <v>2071</v>
      </c>
      <c r="E1285" s="4">
        <v>1.0</v>
      </c>
      <c r="F1285" s="4" t="str">
        <f>IFERROR(__xludf.DUMMYFUNCTION("GOOGLETRANSLATE(D1285)"),"帕利峽谷 (Parley's Canyon) 男子逃離被火焰吞沒的汽車，工作人員正在調查原因 - http://t.co/CYzlshlQhG http://t.co/nDiS8f1vzt")</f>
        <v>帕利峽谷 (Parley's Canyon) 男子逃離被火焰吞沒的汽車，工作人員正在調查原因 - http://t.co/CYzlshlQhG http://t.co/nDiS8f1vzt</v>
      </c>
      <c r="G1285" s="4" t="str">
        <f>IFERROR(__xludf.DUMMYFUNCTION("GOOGLETRANSLATE(B1285)"),"被吞沒")</f>
        <v>被吞沒</v>
      </c>
    </row>
    <row r="1286" ht="15.75" customHeight="1">
      <c r="A1286" s="4">
        <v>4657.0</v>
      </c>
      <c r="B1286" s="4" t="s">
        <v>2067</v>
      </c>
      <c r="C1286" s="4" t="s">
        <v>2072</v>
      </c>
      <c r="D1286" s="4" t="s">
        <v>2073</v>
      </c>
      <c r="E1286" s="4">
        <v>1.0</v>
      </c>
      <c r="F1286" s="4" t="str">
        <f>IFERROR(__xludf.DUMMYFUNCTION("GOOGLETRANSLATE(D1286)"),"#TRAFFICALERT 位於阿蘇薩 Citrus Ave 的東行 210 高速公路。兩輛摩托車發生事故，其中一輛在車道上完全被火焰吞沒")</f>
        <v>#TRAFFICALERT 位於阿蘇薩 Citrus Ave 的東行 210 高速公路。兩輛摩托車發生事故，其中一輛在車道上完全被火焰吞沒</v>
      </c>
      <c r="G1286" s="4" t="str">
        <f>IFERROR(__xludf.DUMMYFUNCTION("GOOGLETRANSLATE(B1286)"),"被吞沒")</f>
        <v>被吞沒</v>
      </c>
    </row>
    <row r="1287" ht="15.75" customHeight="1">
      <c r="A1287" s="4">
        <v>4658.0</v>
      </c>
      <c r="B1287" s="4" t="s">
        <v>2067</v>
      </c>
      <c r="D1287" s="4" t="s">
        <v>2074</v>
      </c>
      <c r="E1287" s="4">
        <v>1.0</v>
      </c>
      <c r="F1287" s="4" t="str">
        <f>IFERROR(__xludf.DUMMYFUNCTION("GOOGLETRANSLATE(D1287)"),"帕利峽谷 (Parley's Canyon) 男子逃離被火焰吞沒的汽車，工作人員正在調查原因 - http://t.co/ldGWsYoWSs http://t.co/cnYVVY4WAT")</f>
        <v>帕利峽谷 (Parley's Canyon) 男子逃離被火焰吞沒的汽車，工作人員正在調查原因 - http://t.co/ldGWsYoWSs http://t.co/cnYVVY4WAT</v>
      </c>
      <c r="G1287" s="4" t="str">
        <f>IFERROR(__xludf.DUMMYFUNCTION("GOOGLETRANSLATE(B1287)"),"被吞沒")</f>
        <v>被吞沒</v>
      </c>
    </row>
    <row r="1288" ht="15.75" customHeight="1">
      <c r="A1288" s="4">
        <v>4659.0</v>
      </c>
      <c r="B1288" s="4" t="s">
        <v>2067</v>
      </c>
      <c r="C1288" s="4" t="s">
        <v>2075</v>
      </c>
      <c r="D1288" s="4" t="s">
        <v>2076</v>
      </c>
      <c r="E1288" s="4">
        <v>1.0</v>
      </c>
      <c r="F1288" s="4" t="str">
        <f>IFERROR(__xludf.DUMMYFUNCTION("GOOGLETRANSLATE(D1288)"),"他來到了一片飽受部落戰爭的土地，並將其變成了和平之地，即麥地那。 #先知穆罕默德#islam")</f>
        <v>他來到了一片飽受部落戰爭的土地，並將其變成了和平之地，即麥地那。 #先知穆罕默德#islam</v>
      </c>
      <c r="G1288" s="4" t="str">
        <f>IFERROR(__xludf.DUMMYFUNCTION("GOOGLETRANSLATE(B1288)"),"被吞沒")</f>
        <v>被吞沒</v>
      </c>
    </row>
    <row r="1289" ht="15.75" customHeight="1">
      <c r="A1289" s="4">
        <v>4661.0</v>
      </c>
      <c r="B1289" s="4" t="s">
        <v>2067</v>
      </c>
      <c r="D1289" s="4" t="s">
        <v>2077</v>
      </c>
      <c r="E1289" s="4">
        <v>1.0</v>
      </c>
      <c r="F1289" s="4" t="str">
        <f>IFERROR(__xludf.DUMMYFUNCTION("GOOGLETRANSLATE(D1289)"),"地鐵罷工直播：倫敦陷入混亂，最新旅行更新：Û_ 跨倫敦旅行將被接受... http://t.co/vg8HRbebdA")</f>
        <v>地鐵罷工直播：倫敦陷入混亂，最新旅行更新：Û_ 跨倫敦旅行將被接受... http://t.co/vg8HRbebdA</v>
      </c>
      <c r="G1289" s="4" t="str">
        <f>IFERROR(__xludf.DUMMYFUNCTION("GOOGLETRANSLATE(B1289)"),"被吞沒")</f>
        <v>被吞沒</v>
      </c>
    </row>
    <row r="1290" ht="15.75" customHeight="1">
      <c r="A1290" s="4">
        <v>4667.0</v>
      </c>
      <c r="B1290" s="4" t="s">
        <v>2067</v>
      </c>
      <c r="C1290" s="4" t="s">
        <v>89</v>
      </c>
      <c r="D1290" s="4" t="s">
        <v>2078</v>
      </c>
      <c r="E1290" s="4">
        <v>1.0</v>
      </c>
      <c r="F1290" s="4" t="str">
        <f>IFERROR(__xludf.DUMMYFUNCTION("GOOGLETRANSLATE(D1290)"),"地鐵罷工直播：倫敦陷入混亂時的最新旅遊更新 http://t.co/xkonKZ0Zl6 http://t.co/dXVtgi1BvO")</f>
        <v>地鐵罷工直播：倫敦陷入混亂時的最新旅遊更新 http://t.co/xkonKZ0Zl6 http://t.co/dXVtgi1BvO</v>
      </c>
      <c r="G1290" s="4" t="str">
        <f>IFERROR(__xludf.DUMMYFUNCTION("GOOGLETRANSLATE(B1290)"),"被吞沒")</f>
        <v>被吞沒</v>
      </c>
    </row>
    <row r="1291" ht="15.75" customHeight="1">
      <c r="A1291" s="4">
        <v>4669.0</v>
      </c>
      <c r="B1291" s="4" t="s">
        <v>2067</v>
      </c>
      <c r="C1291" s="4" t="s">
        <v>2079</v>
      </c>
      <c r="D1291" s="4" t="s">
        <v>2076</v>
      </c>
      <c r="E1291" s="4">
        <v>1.0</v>
      </c>
      <c r="F1291" s="4" t="str">
        <f>IFERROR(__xludf.DUMMYFUNCTION("GOOGLETRANSLATE(D1291)"),"他來到了一片飽受部落戰爭的土地，並將其變成了和平之地，即麥地那。 #先知穆罕默德#islam")</f>
        <v>他來到了一片飽受部落戰爭的土地，並將其變成了和平之地，即麥地那。 #先知穆罕默德#islam</v>
      </c>
      <c r="G1291" s="4" t="str">
        <f>IFERROR(__xludf.DUMMYFUNCTION("GOOGLETRANSLATE(B1291)"),"被吞沒")</f>
        <v>被吞沒</v>
      </c>
    </row>
    <row r="1292" ht="15.75" customHeight="1">
      <c r="A1292" s="4">
        <v>4671.0</v>
      </c>
      <c r="B1292" s="4" t="s">
        <v>2067</v>
      </c>
      <c r="D1292" s="4" t="s">
        <v>2080</v>
      </c>
      <c r="E1292" s="4">
        <v>1.0</v>
      </c>
      <c r="F1292" s="4" t="str">
        <f>IFERROR(__xludf.DUMMYFUNCTION("GOOGLETRANSLATE(D1292)"),"帕利峽谷 (Parley's Canyon) 男子逃離被火焰吞沒的汽車，工作人員正在調查原因 - http://t.co/tFan6qq2Ys http://t.co/rAkwWritPo")</f>
        <v>帕利峽谷 (Parley's Canyon) 男子逃離被火焰吞沒的汽車，工作人員正在調查原因 - http://t.co/tFan6qq2Ys http://t.co/rAkwWritPo</v>
      </c>
      <c r="G1292" s="4" t="str">
        <f>IFERROR(__xludf.DUMMYFUNCTION("GOOGLETRANSLATE(B1292)"),"被吞沒")</f>
        <v>被吞沒</v>
      </c>
    </row>
    <row r="1293" ht="15.75" customHeight="1">
      <c r="A1293" s="4">
        <v>4675.0</v>
      </c>
      <c r="B1293" s="4" t="s">
        <v>2067</v>
      </c>
      <c r="C1293" s="4" t="s">
        <v>2081</v>
      </c>
      <c r="D1293" s="4" t="s">
        <v>2082</v>
      </c>
      <c r="E1293" s="4">
        <v>1.0</v>
      </c>
      <c r="F1293" s="4" t="str">
        <f>IFERROR(__xludf.DUMMYFUNCTION("GOOGLETRANSLATE(D1293)"),"@godsfirstson1，她把他的外套裹在身上。它幾乎吞沒了她。")</f>
        <v>@godsfirstson1，她把他的外套裹在身上。它幾乎吞沒了她。</v>
      </c>
      <c r="G1293" s="4" t="str">
        <f>IFERROR(__xludf.DUMMYFUNCTION("GOOGLETRANSLATE(B1293)"),"被吞沒")</f>
        <v>被吞沒</v>
      </c>
    </row>
    <row r="1294" ht="15.75" customHeight="1">
      <c r="A1294" s="4">
        <v>4678.0</v>
      </c>
      <c r="B1294" s="4" t="s">
        <v>2067</v>
      </c>
      <c r="D1294" s="4" t="s">
        <v>2083</v>
      </c>
      <c r="E1294" s="4">
        <v>1.0</v>
      </c>
      <c r="F1294" s="4" t="str">
        <f>IFERROR(__xludf.DUMMYFUNCTION("GOOGLETRANSLATE(D1294)"),"#RaheelSharif 展示了一個正確的掌舵人如何拯救一艘被黑暗風暴潮汐海吞沒的沉船。做得好。")</f>
        <v>#RaheelSharif 展示了一個正確的掌舵人如何拯救一艘被黑暗風暴潮汐海吞沒的沉船。做得好。</v>
      </c>
      <c r="G1294" s="4" t="str">
        <f>IFERROR(__xludf.DUMMYFUNCTION("GOOGLETRANSLATE(B1294)"),"被吞沒")</f>
        <v>被吞沒</v>
      </c>
    </row>
    <row r="1295" ht="15.75" customHeight="1">
      <c r="A1295" s="4">
        <v>4682.0</v>
      </c>
      <c r="B1295" s="4" t="s">
        <v>2067</v>
      </c>
      <c r="C1295" s="4" t="s">
        <v>2084</v>
      </c>
      <c r="D1295" s="4" t="s">
        <v>2085</v>
      </c>
      <c r="E1295" s="4">
        <v>1.0</v>
      </c>
      <c r="F1295" s="4" t="str">
        <f>IFERROR(__xludf.DUMMYFUNCTION("GOOGLETRANSLATE(D1295)"),"完全吞噬的車庫火災：裡面有丙烷罐。桑尼米德博士")</f>
        <v>完全吞噬的車庫火災：裡面有丙烷罐。桑尼米德博士</v>
      </c>
      <c r="G1295" s="4" t="str">
        <f>IFERROR(__xludf.DUMMYFUNCTION("GOOGLETRANSLATE(B1295)"),"被吞沒")</f>
        <v>被吞沒</v>
      </c>
    </row>
    <row r="1296" ht="15.75" customHeight="1">
      <c r="A1296" s="4">
        <v>4689.0</v>
      </c>
      <c r="B1296" s="4" t="s">
        <v>2067</v>
      </c>
      <c r="C1296" s="4" t="s">
        <v>38</v>
      </c>
      <c r="D1296" s="4" t="s">
        <v>2086</v>
      </c>
      <c r="E1296" s="4">
        <v>1.0</v>
      </c>
      <c r="F1296" s="4" t="str">
        <f>IFERROR(__xludf.DUMMYFUNCTION("GOOGLETRANSLATE(D1296)"),"被火焰吞噬的汽車支撐了 ParleyÛªs 峰會的交通 http://t.co/RmucfjCaZr")</f>
        <v>被火焰吞噬的汽車支撐了 ParleyÛªs 峰會的交通 http://t.co/RmucfjCaZr</v>
      </c>
      <c r="G1296" s="4" t="str">
        <f>IFERROR(__xludf.DUMMYFUNCTION("GOOGLETRANSLATE(B1296)"),"被吞沒")</f>
        <v>被吞沒</v>
      </c>
    </row>
    <row r="1297" ht="15.75" customHeight="1">
      <c r="A1297" s="4">
        <v>4692.0</v>
      </c>
      <c r="B1297" s="4" t="s">
        <v>2067</v>
      </c>
      <c r="D1297" s="4" t="s">
        <v>2087</v>
      </c>
      <c r="E1297" s="4">
        <v>1.0</v>
      </c>
      <c r="F1297" s="4" t="str">
        <f>IFERROR(__xludf.DUMMYFUNCTION("GOOGLETRANSLATE(D1297)"),"帕利峽谷 (Parley's Canyon) 男子逃離被火焰吞沒的汽車，工作人員正在調查原因 - http://t.co/zevAn9kJzL http://t.co/UUZFs1L5Kt")</f>
        <v>帕利峽谷 (Parley's Canyon) 男子逃離被火焰吞沒的汽車，工作人員正在調查原因 - http://t.co/zevAn9kJzL http://t.co/UUZFs1L5Kt</v>
      </c>
      <c r="G1297" s="4" t="str">
        <f>IFERROR(__xludf.DUMMYFUNCTION("GOOGLETRANSLATE(B1297)"),"被吞沒")</f>
        <v>被吞沒</v>
      </c>
    </row>
    <row r="1298" ht="15.75" customHeight="1">
      <c r="A1298" s="4">
        <v>4693.0</v>
      </c>
      <c r="B1298" s="4" t="s">
        <v>2067</v>
      </c>
      <c r="D1298" s="4" t="s">
        <v>2088</v>
      </c>
      <c r="E1298" s="4">
        <v>1.0</v>
      </c>
      <c r="F1298" s="4" t="str">
        <f>IFERROR(__xludf.DUMMYFUNCTION("GOOGLETRANSLATE(D1298)"),"帕利峽谷 (Parley's Canyon) 男子逃離被火焰吞噬的汽車，工作人員正在調查原因 - http://t.co/YfAVSuOgvl http://t.co/ISI1rLLCt0")</f>
        <v>帕利峽谷 (Parley's Canyon) 男子逃離被火焰吞噬的汽車，工作人員正在調查原因 - http://t.co/YfAVSuOgvl http://t.co/ISI1rLLCt0</v>
      </c>
      <c r="G1298" s="4" t="str">
        <f>IFERROR(__xludf.DUMMYFUNCTION("GOOGLETRANSLATE(B1298)"),"被吞沒")</f>
        <v>被吞沒</v>
      </c>
    </row>
    <row r="1299" ht="15.75" customHeight="1">
      <c r="A1299" s="4">
        <v>4694.0</v>
      </c>
      <c r="B1299" s="4" t="s">
        <v>2067</v>
      </c>
      <c r="D1299" s="4" t="s">
        <v>2089</v>
      </c>
      <c r="E1299" s="4">
        <v>1.0</v>
      </c>
      <c r="F1299" s="4" t="str">
        <f>IFERROR(__xludf.DUMMYFUNCTION("GOOGLETRANSLATE(D1299)"),"帕利峽谷 (Parley's Canyon) 男子逃離被火焰吞沒的汽車，工作人員正在調查原因 - http://t.co/fxdH3U8Bq3 http://t.co/YZHVobGOcQ")</f>
        <v>帕利峽谷 (Parley's Canyon) 男子逃離被火焰吞沒的汽車，工作人員正在調查原因 - http://t.co/fxdH3U8Bq3 http://t.co/YZHVobGOcQ</v>
      </c>
      <c r="G1299" s="4" t="str">
        <f>IFERROR(__xludf.DUMMYFUNCTION("GOOGLETRANSLATE(B1299)"),"被吞沒")</f>
        <v>被吞沒</v>
      </c>
    </row>
    <row r="1300" ht="15.75" customHeight="1">
      <c r="A1300" s="4">
        <v>4696.0</v>
      </c>
      <c r="B1300" s="4" t="s">
        <v>2067</v>
      </c>
      <c r="C1300" s="4" t="s">
        <v>183</v>
      </c>
      <c r="D1300" s="4" t="s">
        <v>2090</v>
      </c>
      <c r="E1300" s="4">
        <v>1.0</v>
      </c>
      <c r="F1300" s="4" t="str">
        <f>IFERROR(__xludf.DUMMYFUNCTION("GOOGLETRANSLATE(D1300)"),"「地鐵罷工直播：倫敦陷入混亂時的最新旅行更新」&amp;lt;-真正令人困惑的《每日電訊報》頭條")</f>
        <v>「地鐵罷工直播：倫敦陷入混亂時的最新旅行更新」&amp;lt;-真正令人困惑的《每日電訊報》頭條</v>
      </c>
      <c r="G1300" s="4" t="str">
        <f>IFERROR(__xludf.DUMMYFUNCTION("GOOGLETRANSLATE(B1300)"),"被吞沒")</f>
        <v>被吞沒</v>
      </c>
    </row>
    <row r="1301" ht="15.75" customHeight="1">
      <c r="A1301" s="4">
        <v>4697.0</v>
      </c>
      <c r="B1301" s="4" t="s">
        <v>2067</v>
      </c>
      <c r="D1301" s="4" t="s">
        <v>2091</v>
      </c>
      <c r="E1301" s="4">
        <v>1.0</v>
      </c>
      <c r="F1301" s="4" t="str">
        <f>IFERROR(__xludf.DUMMYFUNCTION("GOOGLETRANSLATE(D1301)"),"盧卡斯·杜達是惡靈騎士。這不是尼克凱奇的版本，而是一個真正的「被火焰吞沒」的壞蛋。 #大都會隊")</f>
        <v>盧卡斯·杜達是惡靈騎士。這不是尼克凱奇的版本，而是一個真正的「被火焰吞沒」的壞蛋。 #大都會隊</v>
      </c>
      <c r="G1301" s="4" t="str">
        <f>IFERROR(__xludf.DUMMYFUNCTION("GOOGLETRANSLATE(B1301)"),"被吞沒")</f>
        <v>被吞沒</v>
      </c>
    </row>
    <row r="1302" ht="15.75" customHeight="1">
      <c r="A1302" s="4">
        <v>4706.0</v>
      </c>
      <c r="B1302" s="4" t="s">
        <v>2092</v>
      </c>
      <c r="C1302" s="4" t="s">
        <v>2093</v>
      </c>
      <c r="D1302" s="4" t="s">
        <v>2094</v>
      </c>
      <c r="E1302" s="4">
        <v>1.0</v>
      </c>
      <c r="F1302" s="4" t="str">
        <f>IFERROR(__xludf.DUMMYFUNCTION("GOOGLETRANSLATE(D1302)"),"RT @calestous：人口普查顯示坦尚尼亞大象數量在五年內下降了 60% http://t.co/8zy9N6fX9T http://t.co/ITZ9masBvZ")</f>
        <v>RT @calestous：人口普查顯示坦尚尼亞大象數量在五年內下降了 60% http://t.co/8zy9N6fX9T http://t.co/ITZ9masBvZ</v>
      </c>
      <c r="G1302" s="4" t="str">
        <f>IFERROR(__xludf.DUMMYFUNCTION("GOOGLETRANSLATE(B1302)"),"震央")</f>
        <v>震央</v>
      </c>
    </row>
    <row r="1303" ht="15.75" customHeight="1">
      <c r="A1303" s="4">
        <v>4711.0</v>
      </c>
      <c r="B1303" s="4" t="s">
        <v>2095</v>
      </c>
      <c r="D1303" s="4" t="s">
        <v>2096</v>
      </c>
      <c r="E1303" s="4">
        <v>1.0</v>
      </c>
      <c r="F1303" s="4" t="str">
        <f>IFERROR(__xludf.DUMMYFUNCTION("GOOGLETRANSLATE(D1303)"),"我覺得如果 MKayla 和 Cee 住在同一個房間，每個人都應該撤離，因為這太小氣和幼稚了，我無法應對")</f>
        <v>我覺得如果 MKayla 和 Cee 住在同一個房間，每個人都應該撤離，因為這太小氣和幼稚了，我無法應對</v>
      </c>
      <c r="G1303" s="4" t="str">
        <f>IFERROR(__xludf.DUMMYFUNCTION("GOOGLETRANSLATE(B1303)"),"撤離")</f>
        <v>撤離</v>
      </c>
    </row>
    <row r="1304" ht="15.75" customHeight="1">
      <c r="A1304" s="4">
        <v>4712.0</v>
      </c>
      <c r="B1304" s="4" t="s">
        <v>2095</v>
      </c>
      <c r="D1304" s="4" t="s">
        <v>2097</v>
      </c>
      <c r="E1304" s="4">
        <v>1.0</v>
      </c>
      <c r="F1304" s="4" t="str">
        <f>IFERROR(__xludf.DUMMYFUNCTION("GOOGLETRANSLATE(D1304)"),"芝加哥（美聯社）洛拉帕盧薩音樂節的組織者表示，在風暴威脅促使他們撤離後，他們將重新開放音樂節")</f>
        <v>芝加哥（美聯社）洛拉帕盧薩音樂節的組織者表示，在風暴威脅促使他們撤離後，他們將重新開放音樂節</v>
      </c>
      <c r="G1304" s="4" t="str">
        <f>IFERROR(__xludf.DUMMYFUNCTION("GOOGLETRANSLATE(B1304)"),"撤離")</f>
        <v>撤離</v>
      </c>
    </row>
    <row r="1305" ht="15.75" customHeight="1">
      <c r="A1305" s="4">
        <v>4713.0</v>
      </c>
      <c r="B1305" s="4" t="s">
        <v>2095</v>
      </c>
      <c r="C1305" s="4" t="s">
        <v>2098</v>
      </c>
      <c r="D1305" s="4" t="s">
        <v>2099</v>
      </c>
      <c r="E1305" s="4">
        <v>1.0</v>
      </c>
      <c r="F1305" s="4" t="str">
        <f>IFERROR(__xludf.DUMMYFUNCTION("GOOGLETRANSLATE(D1305)"),"了解如何在發生 #wildfire 時撤離家中，請觀看影片：http://t.co/bGeRLjamTE #CA #NV #UT #CO #OR http://t.co/sPuHuvgAsy")</f>
        <v>了解如何在發生 #wildfire 時撤離家中，請觀看影片：http://t.co/bGeRLjamTE #CA #NV #UT #CO #OR http://t.co/sPuHuvgAsy</v>
      </c>
      <c r="G1305" s="4" t="str">
        <f>IFERROR(__xludf.DUMMYFUNCTION("GOOGLETRANSLATE(B1305)"),"撤離")</f>
        <v>撤離</v>
      </c>
    </row>
    <row r="1306" ht="15.75" customHeight="1">
      <c r="A1306" s="4">
        <v>4714.0</v>
      </c>
      <c r="B1306" s="4" t="s">
        <v>2095</v>
      </c>
      <c r="D1306" s="4" t="s">
        <v>2100</v>
      </c>
      <c r="E1306" s="4">
        <v>1.0</v>
      </c>
      <c r="F1306" s="4" t="str">
        <f>IFERROR(__xludf.DUMMYFUNCTION("GOOGLETRANSLATE(D1306)"),"災害控制小組正在研究根據潮汐警報疏散港區的方法。[900037]")</f>
        <v>災害控制小組正在研究根據潮汐警報疏散港區的方法。[900037]</v>
      </c>
      <c r="G1306" s="4" t="str">
        <f>IFERROR(__xludf.DUMMYFUNCTION("GOOGLETRANSLATE(B1306)"),"撤離")</f>
        <v>撤離</v>
      </c>
    </row>
    <row r="1307" ht="15.75" customHeight="1">
      <c r="A1307" s="4">
        <v>4716.0</v>
      </c>
      <c r="B1307" s="4" t="s">
        <v>2095</v>
      </c>
      <c r="C1307" s="4" t="s">
        <v>2101</v>
      </c>
      <c r="D1307" s="4" t="s">
        <v>2102</v>
      </c>
      <c r="E1307" s="4">
        <v>1.0</v>
      </c>
      <c r="F1307" s="4" t="str">
        <f>IFERROR(__xludf.DUMMYFUNCTION("GOOGLETRANSLATE(D1307)"),"當澤爾斯響起火警警報時，我們繼續工作 20 分鐘，然後決定疏散所有人。")</f>
        <v>當澤爾斯響起火警警報時，我們繼續工作 20 分鐘，然後決定疏散所有人。</v>
      </c>
      <c r="G1307" s="4" t="str">
        <f>IFERROR(__xludf.DUMMYFUNCTION("GOOGLETRANSLATE(B1307)"),"撤離")</f>
        <v>撤離</v>
      </c>
    </row>
    <row r="1308" ht="15.75" customHeight="1">
      <c r="A1308" s="4">
        <v>4717.0</v>
      </c>
      <c r="B1308" s="4" t="s">
        <v>2095</v>
      </c>
      <c r="D1308" s="4" t="s">
        <v>2103</v>
      </c>
      <c r="E1308" s="4">
        <v>1.0</v>
      </c>
      <c r="F1308" s="4" t="str">
        <f>IFERROR(__xludf.DUMMYFUNCTION("GOOGLETRANSLATE(D1308)"),"加州&amp;amp;#039;怪獸&amp;amp;#039;火勢已控制 20%，13,000 人被告知撤離 http://t.co/aPTAP6Yx1r")</f>
        <v>加州&amp;amp;#039;怪獸&amp;amp;#039;火勢已控制 20%，13,000 人被告知撤離 http://t.co/aPTAP6Yx1r</v>
      </c>
      <c r="G1308" s="4" t="str">
        <f>IFERROR(__xludf.DUMMYFUNCTION("GOOGLETRANSLATE(B1308)"),"撤離")</f>
        <v>撤離</v>
      </c>
    </row>
    <row r="1309" ht="15.75" customHeight="1">
      <c r="A1309" s="4">
        <v>4719.0</v>
      </c>
      <c r="B1309" s="4" t="s">
        <v>2095</v>
      </c>
      <c r="D1309" s="4" t="s">
        <v>2104</v>
      </c>
      <c r="E1309" s="4">
        <v>1.0</v>
      </c>
      <c r="F1309" s="4" t="str">
        <f>IFERROR(__xludf.DUMMYFUNCTION("GOOGLETRANSLATE(D1309)"),"如果你向大海發射砲彈，那麼日本就會撤離。")</f>
        <v>如果你向大海發射砲彈，那麼日本就會撤離。</v>
      </c>
      <c r="G1309" s="4" t="str">
        <f>IFERROR(__xludf.DUMMYFUNCTION("GOOGLETRANSLATE(B1309)"),"撤離")</f>
        <v>撤離</v>
      </c>
    </row>
    <row r="1310" ht="15.75" customHeight="1">
      <c r="A1310" s="4">
        <v>4720.0</v>
      </c>
      <c r="B1310" s="4" t="s">
        <v>2095</v>
      </c>
      <c r="C1310" s="4" t="s">
        <v>283</v>
      </c>
      <c r="D1310" s="4" t="s">
        <v>2105</v>
      </c>
      <c r="E1310" s="4">
        <v>1.0</v>
      </c>
      <c r="F1310" s="4" t="str">
        <f>IFERROR(__xludf.DUMMYFUNCTION("GOOGLETRANSLATE(D1310)"),"消防員從北安普頓鎮房屋火災撤離 http://t.co/hPplD1jHtZ")</f>
        <v>消防員從北安普頓鎮房屋火災撤離 http://t.co/hPplD1jHtZ</v>
      </c>
      <c r="G1310" s="4" t="str">
        <f>IFERROR(__xludf.DUMMYFUNCTION("GOOGLETRANSLATE(B1310)"),"撤離")</f>
        <v>撤離</v>
      </c>
    </row>
    <row r="1311" ht="15.75" customHeight="1">
      <c r="A1311" s="4">
        <v>4723.0</v>
      </c>
      <c r="B1311" s="4" t="s">
        <v>2095</v>
      </c>
      <c r="C1311" s="4" t="s">
        <v>2106</v>
      </c>
      <c r="D1311" s="4" t="s">
        <v>2107</v>
      </c>
      <c r="E1311" s="4">
        <v>1.0</v>
      </c>
      <c r="F1311" s="4" t="str">
        <f>IFERROR(__xludf.DUMMYFUNCTION("GOOGLETRANSLATE(D1311)"),"消防人員從黃金海岸有軌電車中疏散乘客，該電車因電線掉落在車廂上而被困。 #TenNews 下午 5 點 http://t.co/hFyrloQY8q")</f>
        <v>消防人員從黃金海岸有軌電車中疏散乘客，該電車因電線掉落在車廂上而被困。 #TenNews 下午 5 點 http://t.co/hFyrloQY8q</v>
      </c>
      <c r="G1311" s="4" t="str">
        <f>IFERROR(__xludf.DUMMYFUNCTION("GOOGLETRANSLATE(B1311)"),"撤離")</f>
        <v>撤離</v>
      </c>
    </row>
    <row r="1312" ht="15.75" customHeight="1">
      <c r="A1312" s="4">
        <v>4725.0</v>
      </c>
      <c r="B1312" s="4" t="s">
        <v>2095</v>
      </c>
      <c r="D1312" s="4" t="s">
        <v>2108</v>
      </c>
      <c r="E1312" s="4">
        <v>1.0</v>
      </c>
      <c r="F1312" s="4" t="str">
        <f>IFERROR(__xludf.DUMMYFUNCTION("GOOGLETRANSLATE(D1312)"),"別管我的故事，就在我們說話的時候，一場憤怒的白人女孩正在發生暴動。 #撤離")</f>
        <v>別管我的故事，就在我們說話的時候，一場憤怒的白人女孩正在發生暴動。 #撤離</v>
      </c>
      <c r="G1312" s="4" t="str">
        <f>IFERROR(__xludf.DUMMYFUNCTION("GOOGLETRANSLATE(B1312)"),"撤離")</f>
        <v>撤離</v>
      </c>
    </row>
    <row r="1313" ht="15.75" customHeight="1">
      <c r="A1313" s="4">
        <v>4731.0</v>
      </c>
      <c r="B1313" s="4" t="s">
        <v>2095</v>
      </c>
      <c r="D1313" s="4" t="s">
        <v>2109</v>
      </c>
      <c r="E1313" s="4">
        <v>1.0</v>
      </c>
      <c r="F1313" s="4" t="str">
        <f>IFERROR(__xludf.DUMMYFUNCTION("GOOGLETRANSLATE(D1313)"),"譴責顯然取代了最新的回應漫無目的的乾燥機疏散威懾德：HLg")</f>
        <v>譴責顯然取代了最新的回應漫無目的的乾燥機疏散威懾德：HLg</v>
      </c>
      <c r="G1313" s="4" t="str">
        <f>IFERROR(__xludf.DUMMYFUNCTION("GOOGLETRANSLATE(B1313)"),"撤離")</f>
        <v>撤離</v>
      </c>
    </row>
    <row r="1314" ht="15.75" customHeight="1">
      <c r="A1314" s="4">
        <v>4732.0</v>
      </c>
      <c r="B1314" s="4" t="s">
        <v>2095</v>
      </c>
      <c r="C1314" s="4" t="s">
        <v>2110</v>
      </c>
      <c r="D1314" s="4" t="s">
        <v>2111</v>
      </c>
      <c r="E1314" s="4">
        <v>1.0</v>
      </c>
      <c r="F1314" s="4" t="str">
        <f>IFERROR(__xludf.DUMMYFUNCTION("GOOGLETRANSLATE(D1314)"),"EFAK 專為建築物居住者疏散後向疏散集合點報告而設計")</f>
        <v>EFAK 專為建築物居住者疏散後向疏散集合點報告而設計</v>
      </c>
      <c r="G1314" s="4" t="str">
        <f>IFERROR(__xludf.DUMMYFUNCTION("GOOGLETRANSLATE(B1314)"),"撤離")</f>
        <v>撤離</v>
      </c>
    </row>
    <row r="1315" ht="15.75" customHeight="1">
      <c r="A1315" s="4">
        <v>4735.0</v>
      </c>
      <c r="B1315" s="4" t="s">
        <v>2095</v>
      </c>
      <c r="C1315" s="4" t="s">
        <v>2112</v>
      </c>
      <c r="D1315" s="4" t="s">
        <v>2113</v>
      </c>
      <c r="E1315" s="4">
        <v>1.0</v>
      </c>
      <c r="F1315" s="4" t="str">
        <f>IFERROR(__xludf.DUMMYFUNCTION("GOOGLETRANSLATE(D1315)"),"@joonma_ dealbreaker 這就是那個 dealbreaker s.o.s。棄船疏散建築物")</f>
        <v>@joonma_ dealbreaker 這就是那個 dealbreaker s.o.s。棄船疏散建築物</v>
      </c>
      <c r="G1315" s="4" t="str">
        <f>IFERROR(__xludf.DUMMYFUNCTION("GOOGLETRANSLATE(B1315)"),"撤離")</f>
        <v>撤離</v>
      </c>
    </row>
    <row r="1316" ht="15.75" customHeight="1">
      <c r="A1316" s="4">
        <v>4736.0</v>
      </c>
      <c r="B1316" s="4" t="s">
        <v>2095</v>
      </c>
      <c r="C1316" s="4" t="s">
        <v>2114</v>
      </c>
      <c r="D1316" s="4" t="s">
        <v>2115</v>
      </c>
      <c r="E1316" s="4">
        <v>1.0</v>
      </c>
      <c r="F1316" s="4" t="str">
        <f>IFERROR(__xludf.DUMMYFUNCTION("GOOGLETRANSLATE(D1316)"),"今天上班時商店裡所有的火警警報器都響了，我們只好撤離。我當時就想『天啊！！伊斯蘭國。正在發生！！！！'")</f>
        <v>今天上班時商店裡所有的火警警報器都響了，我們只好撤離。我當時就想『天啊！！伊斯蘭國。正在發生！！！！'</v>
      </c>
      <c r="G1316" s="4" t="str">
        <f>IFERROR(__xludf.DUMMYFUNCTION("GOOGLETRANSLATE(B1316)"),"撤離")</f>
        <v>撤離</v>
      </c>
    </row>
    <row r="1317" ht="15.75" customHeight="1">
      <c r="A1317" s="4">
        <v>4739.0</v>
      </c>
      <c r="B1317" s="4" t="s">
        <v>2095</v>
      </c>
      <c r="D1317" s="4" t="s">
        <v>2116</v>
      </c>
      <c r="E1317" s="4">
        <v>1.0</v>
      </c>
      <c r="F1317" s="4" t="str">
        <f>IFERROR(__xludf.DUMMYFUNCTION("GOOGLETRANSLATE(D1317)"),"二戰期間，美國還飛越每個炸彈爆炸地點，發出警告信，要求人們撤離")</f>
        <v>二戰期間，美國還飛越每個炸彈爆炸地點，發出警告信，要求人們撤離</v>
      </c>
      <c r="G1317" s="4" t="str">
        <f>IFERROR(__xludf.DUMMYFUNCTION("GOOGLETRANSLATE(B1317)"),"撤離")</f>
        <v>撤離</v>
      </c>
    </row>
    <row r="1318" ht="15.75" customHeight="1">
      <c r="A1318" s="4">
        <v>4740.0</v>
      </c>
      <c r="B1318" s="4" t="s">
        <v>2095</v>
      </c>
      <c r="C1318" s="4" t="s">
        <v>2117</v>
      </c>
      <c r="D1318" s="4" t="s">
        <v>2118</v>
      </c>
      <c r="E1318" s="4">
        <v>1.0</v>
      </c>
      <c r="F1318" s="4" t="str">
        <f>IFERROR(__xludf.DUMMYFUNCTION("GOOGLETRANSLATE(D1318)"),"myGC：斷線疏散黃金海岸電車暫停服務 http://t.co/6e7hHfeRz4")</f>
        <v>myGC：斷線疏散黃金海岸電車暫停服務 http://t.co/6e7hHfeRz4</v>
      </c>
      <c r="G1318" s="4" t="str">
        <f>IFERROR(__xludf.DUMMYFUNCTION("GOOGLETRANSLATE(B1318)"),"撤離")</f>
        <v>撤離</v>
      </c>
    </row>
    <row r="1319" ht="15.75" customHeight="1">
      <c r="A1319" s="4">
        <v>4742.0</v>
      </c>
      <c r="B1319" s="4" t="s">
        <v>2095</v>
      </c>
      <c r="D1319" s="4" t="s">
        <v>2119</v>
      </c>
      <c r="E1319" s="4">
        <v>1.0</v>
      </c>
      <c r="F1319" s="4" t="str">
        <f>IFERROR(__xludf.DUMMYFUNCTION("GOOGLETRANSLATE(D1319)"),"Sooo 警方調度稱，有人威脅要開槍射殺盧瑟福街的沃爾瑪。他們不得不撤離")</f>
        <v>Sooo 警方調度稱，有人威脅要開槍射殺盧瑟福街的沃爾瑪。他們不得不撤離</v>
      </c>
      <c r="G1319" s="4" t="str">
        <f>IFERROR(__xludf.DUMMYFUNCTION("GOOGLETRANSLATE(B1319)"),"撤離")</f>
        <v>撤離</v>
      </c>
    </row>
    <row r="1320" ht="15.75" customHeight="1">
      <c r="A1320" s="4">
        <v>4745.0</v>
      </c>
      <c r="B1320" s="4" t="s">
        <v>2095</v>
      </c>
      <c r="C1320" s="4" t="s">
        <v>2120</v>
      </c>
      <c r="D1320" s="4" t="s">
        <v>2121</v>
      </c>
      <c r="E1320" s="4">
        <v>1.0</v>
      </c>
      <c r="F1320" s="4" t="str">
        <f>IFERROR(__xludf.DUMMYFUNCTION("GOOGLETRANSLATE(D1320)"),"美國政府拒絕從也門撤離數千名美國人 https://t.co/wQy3JOKuMH #yemen #usa #evacuation #abandoned")</f>
        <v>美國政府拒絕從也門撤離數千名美國人 https://t.co/wQy3JOKuMH #yemen #usa #evacuation #abandoned</v>
      </c>
      <c r="G1320" s="4" t="str">
        <f>IFERROR(__xludf.DUMMYFUNCTION("GOOGLETRANSLATE(B1320)"),"撤離")</f>
        <v>撤離</v>
      </c>
    </row>
    <row r="1321" ht="15.75" customHeight="1">
      <c r="A1321" s="4">
        <v>4747.0</v>
      </c>
      <c r="B1321" s="4" t="s">
        <v>2095</v>
      </c>
      <c r="C1321" s="4" t="s">
        <v>2122</v>
      </c>
      <c r="D1321" s="4" t="s">
        <v>2123</v>
      </c>
      <c r="E1321" s="4">
        <v>1.0</v>
      </c>
      <c r="F1321" s="4" t="str">
        <f>IFERROR(__xludf.DUMMYFUNCTION("GOOGLETRANSLATE(D1321)"),"@ahhtheenikki 據我所知，他們對今天的槍手做出了迅速反應，並疏散了所有人員，因此沒有人被槍殺。")</f>
        <v>@ahhtheenikki 據我所知，他們對今天的槍手做出了迅速反應，並疏散了所有人員，因此沒有人被槍殺。</v>
      </c>
      <c r="G1321" s="4" t="str">
        <f>IFERROR(__xludf.DUMMYFUNCTION("GOOGLETRANSLATE(B1321)"),"撤離")</f>
        <v>撤離</v>
      </c>
    </row>
    <row r="1322" ht="15.75" customHeight="1">
      <c r="A1322" s="4">
        <v>4749.0</v>
      </c>
      <c r="B1322" s="4" t="s">
        <v>2095</v>
      </c>
      <c r="C1322" s="4" t="s">
        <v>2124</v>
      </c>
      <c r="D1322" s="4" t="s">
        <v>2125</v>
      </c>
      <c r="E1322" s="4">
        <v>1.0</v>
      </c>
      <c r="F1322" s="4" t="str">
        <f>IFERROR(__xludf.DUMMYFUNCTION("GOOGLETRANSLATE(D1322)"),"加州野火迫使數千人撤離：http://t.co/GFsl2Kwt5h 來自 @YouTube")</f>
        <v>加州野火迫使數千人撤離：http://t.co/GFsl2Kwt5h 來自 @YouTube</v>
      </c>
      <c r="G1322" s="4" t="str">
        <f>IFERROR(__xludf.DUMMYFUNCTION("GOOGLETRANSLATE(B1322)"),"撤離")</f>
        <v>撤離</v>
      </c>
    </row>
    <row r="1323" ht="15.75" customHeight="1">
      <c r="A1323" s="4">
        <v>4750.0</v>
      </c>
      <c r="B1323" s="4" t="s">
        <v>2095</v>
      </c>
      <c r="C1323" s="4" t="s">
        <v>2126</v>
      </c>
      <c r="D1323" s="4" t="s">
        <v>2127</v>
      </c>
      <c r="E1323" s="4">
        <v>1.0</v>
      </c>
      <c r="F1323" s="4" t="str">
        <f>IFERROR(__xludf.DUMMYFUNCTION("GOOGLETRANSLATE(D1323)"),"@pantalonesfuego 是的，我在洛杉磯上方的峽谷長大。我們不得不疏散幾次。")</f>
        <v>@pantalonesfuego 是的，我在洛杉磯上方的峽谷長大。我們不得不疏散幾次。</v>
      </c>
      <c r="G1323" s="4" t="str">
        <f>IFERROR(__xludf.DUMMYFUNCTION("GOOGLETRANSLATE(B1323)"),"撤離")</f>
        <v>撤離</v>
      </c>
    </row>
    <row r="1324" ht="15.75" customHeight="1">
      <c r="A1324" s="4">
        <v>4753.0</v>
      </c>
      <c r="B1324" s="4" t="s">
        <v>2095</v>
      </c>
      <c r="C1324" s="4" t="s">
        <v>2128</v>
      </c>
      <c r="D1324" s="4" t="s">
        <v>2129</v>
      </c>
      <c r="E1324" s="4">
        <v>1.0</v>
      </c>
      <c r="F1324" s="4" t="str">
        <f>IFERROR(__xludf.DUMMYFUNCTION("GOOGLETRANSLATE(D1324)"),"@MeetKakarotto 「當你離線時別打擾我，我設法將包括日向在內的所有人撤離這裡，所以繼續吧，因為——")</f>
        <v>@MeetKakarotto 「當你離線時別打擾我，我設法將包括日向在內的所有人撤離這裡，所以繼續吧，因為——</v>
      </c>
      <c r="G1324" s="4" t="str">
        <f>IFERROR(__xludf.DUMMYFUNCTION("GOOGLETRANSLATE(B1324)"),"撤離")</f>
        <v>撤離</v>
      </c>
    </row>
    <row r="1325" ht="15.75" customHeight="1">
      <c r="A1325" s="4">
        <v>4755.0</v>
      </c>
      <c r="B1325" s="4" t="s">
        <v>2095</v>
      </c>
      <c r="C1325" s="4" t="s">
        <v>2130</v>
      </c>
      <c r="D1325" s="4" t="s">
        <v>2131</v>
      </c>
      <c r="E1325" s="4">
        <v>1.0</v>
      </c>
      <c r="F1325" s="4" t="str">
        <f>IFERROR(__xludf.DUMMYFUNCTION("GOOGLETRANSLATE(D1325)"),"今晚非常有趣……幾分鐘前，消防系統發生了故障，我們不得不疏散大樓。")</f>
        <v>今晚非常有趣……幾分鐘前，消防系統發生了故障，我們不得不疏散大樓。</v>
      </c>
      <c r="G1325" s="4" t="str">
        <f>IFERROR(__xludf.DUMMYFUNCTION("GOOGLETRANSLATE(B1325)"),"撤離")</f>
        <v>撤離</v>
      </c>
    </row>
    <row r="1326" ht="15.75" customHeight="1">
      <c r="A1326" s="4">
        <v>4757.0</v>
      </c>
      <c r="B1326" s="4" t="s">
        <v>2095</v>
      </c>
      <c r="C1326" s="4" t="s">
        <v>2132</v>
      </c>
      <c r="D1326" s="4" t="s">
        <v>2133</v>
      </c>
      <c r="E1326" s="4">
        <v>1.0</v>
      </c>
      <c r="F1326" s="4" t="str">
        <f>IFERROR(__xludf.DUMMYFUNCTION("GOOGLETRANSLATE(D1326)"),"我只是想讓每個人都知道，當我們應該撤離時，艾米莉擔心我正在喝奶昔")</f>
        <v>我只是想讓每個人都知道，當我們應該撤離時，艾米莉擔心我正在喝奶昔</v>
      </c>
      <c r="G1326" s="4" t="str">
        <f>IFERROR(__xludf.DUMMYFUNCTION("GOOGLETRANSLATE(B1326)"),"撤離")</f>
        <v>撤離</v>
      </c>
    </row>
    <row r="1327" ht="15.75" customHeight="1">
      <c r="A1327" s="4">
        <v>4758.0</v>
      </c>
      <c r="B1327" s="4" t="s">
        <v>2095</v>
      </c>
      <c r="C1327" s="4" t="s">
        <v>2134</v>
      </c>
      <c r="D1327" s="4" t="s">
        <v>2135</v>
      </c>
      <c r="E1327" s="4">
        <v>1.0</v>
      </c>
      <c r="F1327" s="4" t="str">
        <f>IFERROR(__xludf.DUMMYFUNCTION("GOOGLETRANSLATE(D1327)"),"我的家人不得不撤離 BC 我們需要電力")</f>
        <v>我的家人不得不撤離 BC 我們需要電力</v>
      </c>
      <c r="G1327" s="4" t="str">
        <f>IFERROR(__xludf.DUMMYFUNCTION("GOOGLETRANSLATE(B1327)"),"撤離")</f>
        <v>撤離</v>
      </c>
    </row>
    <row r="1328" ht="15.75" customHeight="1">
      <c r="A1328" s="4">
        <v>4762.0</v>
      </c>
      <c r="B1328" s="4" t="s">
        <v>2136</v>
      </c>
      <c r="D1328" s="4" t="s">
        <v>2137</v>
      </c>
      <c r="E1328" s="4">
        <v>1.0</v>
      </c>
      <c r="F1328" s="4" t="str">
        <f>IFERROR(__xludf.DUMMYFUNCTION("GOOGLETRANSLATE(D1328)"),"有誰知道為什麼 #murfreesboro #walmart 今晚被疏散？ @dnj_com")</f>
        <v>有誰知道為什麼 #murfreesboro #walmart 今晚被疏散？ @dnj_com</v>
      </c>
      <c r="G1328" s="4" t="str">
        <f>IFERROR(__xludf.DUMMYFUNCTION("GOOGLETRANSLATE(B1328)"),"疏散")</f>
        <v>疏散</v>
      </c>
    </row>
    <row r="1329" ht="15.75" customHeight="1">
      <c r="A1329" s="4">
        <v>4765.0</v>
      </c>
      <c r="B1329" s="4" t="s">
        <v>2136</v>
      </c>
      <c r="C1329" s="4" t="s">
        <v>1205</v>
      </c>
      <c r="D1329" s="4" t="s">
        <v>2138</v>
      </c>
      <c r="E1329" s="4">
        <v>1.0</v>
      </c>
      <c r="F1329" s="4" t="str">
        <f>IFERROR(__xludf.DUMMYFUNCTION("GOOGLETRANSLATE(D1329)"),"CTA 列車脫軌導致乘客疏散，南側綠線服務中斷。 http://t.co/6eZkoof2Xt http://t.co/faCM78eg7K")</f>
        <v>CTA 列車脫軌導致乘客疏散，南側綠線服務中斷。 http://t.co/6eZkoof2Xt http://t.co/faCM78eg7K</v>
      </c>
      <c r="G1329" s="4" t="str">
        <f>IFERROR(__xludf.DUMMYFUNCTION("GOOGLETRANSLATE(B1329)"),"疏散")</f>
        <v>疏散</v>
      </c>
    </row>
    <row r="1330" ht="15.75" customHeight="1">
      <c r="A1330" s="4">
        <v>4766.0</v>
      </c>
      <c r="B1330" s="4" t="s">
        <v>2136</v>
      </c>
      <c r="C1330" s="4" t="s">
        <v>2139</v>
      </c>
      <c r="D1330" s="4" t="s">
        <v>2140</v>
      </c>
      <c r="E1330" s="4">
        <v>1.0</v>
      </c>
      <c r="F1330" s="4" t="str">
        <f>IFERROR(__xludf.DUMMYFUNCTION("GOOGLETRANSLATE(D1330)"),"GC 高速公路上有軌電車上的電力線已被拉斷。乘客剛被疏散 @9NewsBrisbane @9NewsGoldCoast http://t.co/KD3Qsakbi5")</f>
        <v>GC 高速公路上有軌電車上的電力線已被拉斷。乘客剛被疏散 @9NewsBrisbane @9NewsGoldCoast http://t.co/KD3Qsakbi5</v>
      </c>
      <c r="G1330" s="4" t="str">
        <f>IFERROR(__xludf.DUMMYFUNCTION("GOOGLETRANSLATE(B1330)"),"疏散")</f>
        <v>疏散</v>
      </c>
    </row>
    <row r="1331" ht="15.75" customHeight="1">
      <c r="A1331" s="4">
        <v>4768.0</v>
      </c>
      <c r="B1331" s="4" t="s">
        <v>2136</v>
      </c>
      <c r="C1331" s="4" t="s">
        <v>2141</v>
      </c>
      <c r="D1331" s="4" t="s">
        <v>2142</v>
      </c>
      <c r="E1331" s="4">
        <v>1.0</v>
      </c>
      <c r="F1331" s="4" t="str">
        <f>IFERROR(__xludf.DUMMYFUNCTION("GOOGLETRANSLATE(D1331)"),"在 25 個家庭撤離後，紅十字會重新開放比克爾頓學校的避難所。由於野火，西澳州羅斯福周圍。 #LiveOnK2")</f>
        <v>在 25 個家庭撤離後，紅十字會重新開放比克爾頓學校的避難所。由於野火，西澳州羅斯福周圍。 #LiveOnK2</v>
      </c>
      <c r="G1331" s="4" t="str">
        <f>IFERROR(__xludf.DUMMYFUNCTION("GOOGLETRANSLATE(B1331)"),"疏散")</f>
        <v>疏散</v>
      </c>
    </row>
    <row r="1332" ht="15.75" customHeight="1">
      <c r="A1332" s="4">
        <v>4769.0</v>
      </c>
      <c r="B1332" s="4" t="s">
        <v>2136</v>
      </c>
      <c r="C1332" s="4" t="s">
        <v>2143</v>
      </c>
      <c r="D1332" s="4" t="s">
        <v>2144</v>
      </c>
      <c r="E1332" s="4">
        <v>1.0</v>
      </c>
      <c r="F1332" s="4" t="str">
        <f>IFERROR(__xludf.DUMMYFUNCTION("GOOGLETRANSLATE(D1332)"),"下令對高速公路危險的 25 戶家庭進行新的疏散。華盛頓州羅斯福附近發生 8 場火災。http://t.co/SQsyUeh4yI #KOIN6News http://t.co/199t7ND0pm")</f>
        <v>下令對高速公路危險的 25 戶家庭進行新的疏散。華盛頓州羅斯福附近發生 8 場火災。http://t.co/SQsyUeh4yI #KOIN6News http://t.co/199t7ND0pm</v>
      </c>
      <c r="G1332" s="4" t="str">
        <f>IFERROR(__xludf.DUMMYFUNCTION("GOOGLETRANSLATE(B1332)"),"疏散")</f>
        <v>疏散</v>
      </c>
    </row>
    <row r="1333" ht="15.75" customHeight="1">
      <c r="A1333" s="4">
        <v>4770.0</v>
      </c>
      <c r="B1333" s="4" t="s">
        <v>2136</v>
      </c>
      <c r="C1333" s="4" t="s">
        <v>2145</v>
      </c>
      <c r="D1333" s="4" t="s">
        <v>2146</v>
      </c>
      <c r="E1333" s="4">
        <v>1.0</v>
      </c>
      <c r="F1333" s="4" t="str">
        <f>IFERROR(__xludf.DUMMYFUNCTION("GOOGLETRANSLATE(D1333)"),"他們疏散了商場。再次。 ??")</f>
        <v>他們疏散了商場。再次。 ??</v>
      </c>
      <c r="G1333" s="4" t="str">
        <f>IFERROR(__xludf.DUMMYFUNCTION("GOOGLETRANSLATE(B1333)"),"疏散")</f>
        <v>疏散</v>
      </c>
    </row>
    <row r="1334" ht="15.75" customHeight="1">
      <c r="A1334" s="4">
        <v>4771.0</v>
      </c>
      <c r="B1334" s="4" t="s">
        <v>2136</v>
      </c>
      <c r="D1334" s="4" t="s">
        <v>2147</v>
      </c>
      <c r="E1334" s="4">
        <v>1.0</v>
      </c>
      <c r="F1334" s="4" t="str">
        <f>IFERROR(__xludf.DUMMYFUNCTION("GOOGLETRANSLATE(D1334)"),"官員稱，加州山火肆虐，超過 300 名露營者被疏散 http://t.co/wwgAdpFFkW")</f>
        <v>官員稱，加州山火肆虐，超過 300 名露營者被疏散 http://t.co/wwgAdpFFkW</v>
      </c>
      <c r="G1334" s="4" t="str">
        <f>IFERROR(__xludf.DUMMYFUNCTION("GOOGLETRANSLATE(B1334)"),"疏散")</f>
        <v>疏散</v>
      </c>
    </row>
    <row r="1335" ht="15.75" customHeight="1">
      <c r="A1335" s="4">
        <v>4773.0</v>
      </c>
      <c r="B1335" s="4" t="s">
        <v>2136</v>
      </c>
      <c r="C1335" s="4" t="s">
        <v>2148</v>
      </c>
      <c r="D1335" s="4" t="s">
        <v>2149</v>
      </c>
      <c r="E1335" s="4">
        <v>1.0</v>
      </c>
      <c r="F1335" s="4" t="str">
        <f>IFERROR(__xludf.DUMMYFUNCTION("GOOGLETRANSLATE(D1335)"),"Odeon 電影院因誤報火警而疏散，特拉福德中心影迷對此感到憤怒：
 Twitter 用戶告訴... http://t.co/dZLENSe1Gw")</f>
        <v>Odeon 電影院因誤報火警而疏散，特拉福德中心影迷對此感到憤怒：
 Twitter 用戶告訴... http://t.co/dZLENSe1Gw</v>
      </c>
      <c r="G1335" s="4" t="str">
        <f>IFERROR(__xludf.DUMMYFUNCTION("GOOGLETRANSLATE(B1335)"),"疏散")</f>
        <v>疏散</v>
      </c>
    </row>
    <row r="1336" ht="15.75" customHeight="1">
      <c r="A1336" s="4">
        <v>4774.0</v>
      </c>
      <c r="B1336" s="4" t="s">
        <v>2136</v>
      </c>
      <c r="C1336" s="4" t="s">
        <v>679</v>
      </c>
      <c r="D1336" s="4" t="s">
        <v>2150</v>
      </c>
      <c r="E1336" s="4">
        <v>1.0</v>
      </c>
      <c r="F1336" s="4" t="str">
        <f>IFERROR(__xludf.DUMMYFUNCTION("GOOGLETRANSLATE(D1336)"),"加州消防員奮力救火，疏散 13,000 人。 #RockyFire http://t.co/tB52o146tx http://t.co/tsbTiGDSDT")</f>
        <v>加州消防員奮力救火，疏散 13,000 人。 #RockyFire http://t.co/tB52o146tx http://t.co/tsbTiGDSDT</v>
      </c>
      <c r="G1336" s="4" t="str">
        <f>IFERROR(__xludf.DUMMYFUNCTION("GOOGLETRANSLATE(B1336)"),"疏散")</f>
        <v>疏散</v>
      </c>
    </row>
    <row r="1337" ht="15.75" customHeight="1">
      <c r="A1337" s="4">
        <v>4775.0</v>
      </c>
      <c r="B1337" s="4" t="s">
        <v>2136</v>
      </c>
      <c r="C1337" s="4" t="s">
        <v>2151</v>
      </c>
      <c r="D1337" s="4" t="s">
        <v>2152</v>
      </c>
      <c r="E1337" s="4">
        <v>1.0</v>
      </c>
      <c r="F1337" s="4" t="str">
        <f>IFERROR(__xludf.DUMMYFUNCTION("GOOGLETRANSLATE(D1337)"),"特拉福德中心影迷在 Odeon 電影院因虛假火警疏散後感到憤怒 http://t.co/pFMn63VnAm http://t.co/vKwqbOJFJc")</f>
        <v>特拉福德中心影迷在 Odeon 電影院因虛假火警疏散後感到憤怒 http://t.co/pFMn63VnAm http://t.co/vKwqbOJFJc</v>
      </c>
      <c r="G1337" s="4" t="str">
        <f>IFERROR(__xludf.DUMMYFUNCTION("GOOGLETRANSLATE(B1337)"),"疏散")</f>
        <v>疏散</v>
      </c>
    </row>
    <row r="1338" ht="15.75" customHeight="1">
      <c r="A1338" s="4">
        <v>4777.0</v>
      </c>
      <c r="B1338" s="4" t="s">
        <v>2136</v>
      </c>
      <c r="C1338" s="4" t="s">
        <v>2153</v>
      </c>
      <c r="D1338" s="4" t="s">
        <v>2154</v>
      </c>
      <c r="E1338" s="4">
        <v>1.0</v>
      </c>
      <c r="F1338" s="4" t="str">
        <f>IFERROR(__xludf.DUMMYFUNCTION("GOOGLETRANSLATE(D1338)"),"北加州洛基大火蔓延至6萬英畝； 12000 人撤離 http://t.co/42gW2i2Q41 波特蘭 #Phoenix #Miami #Atlanta #Casper")</f>
        <v>北加州洛基大火蔓延至6萬英畝； 12000 人撤離 http://t.co/42gW2i2Q41 波特蘭 #Phoenix #Miami #Atlanta #Casper</v>
      </c>
      <c r="G1338" s="4" t="str">
        <f>IFERROR(__xludf.DUMMYFUNCTION("GOOGLETRANSLATE(B1338)"),"疏散")</f>
        <v>疏散</v>
      </c>
    </row>
    <row r="1339" ht="15.75" customHeight="1">
      <c r="A1339" s="4">
        <v>4778.0</v>
      </c>
      <c r="B1339" s="4" t="s">
        <v>2136</v>
      </c>
      <c r="C1339" s="4" t="s">
        <v>2155</v>
      </c>
      <c r="D1339" s="4" t="s">
        <v>2156</v>
      </c>
      <c r="E1339" s="4">
        <v>1.0</v>
      </c>
      <c r="F1339" s="4" t="str">
        <f>IFERROR(__xludf.DUMMYFUNCTION("GOOGLETRANSLATE(D1339)"),"特拉福德中心影迷在 Odeon 電影院因誤報火災而疏散後感到憤怒：Twitter 用戶講述了Û_ http://t.co/PZeiXi4Xk7")</f>
        <v>特拉福德中心影迷在 Odeon 電影院因誤報火災而疏散後感到憤怒：Twitter 用戶講述了Û_ http://t.co/PZeiXi4Xk7</v>
      </c>
      <c r="G1339" s="4" t="str">
        <f>IFERROR(__xludf.DUMMYFUNCTION("GOOGLETRANSLATE(B1339)"),"疏散")</f>
        <v>疏散</v>
      </c>
    </row>
    <row r="1340" ht="15.75" customHeight="1">
      <c r="A1340" s="4">
        <v>4779.0</v>
      </c>
      <c r="B1340" s="4" t="s">
        <v>2136</v>
      </c>
      <c r="C1340" s="4" t="s">
        <v>2157</v>
      </c>
      <c r="D1340" s="4" t="s">
        <v>2158</v>
      </c>
      <c r="E1340" s="4">
        <v>1.0</v>
      </c>
      <c r="F1340" s="4" t="str">
        <f>IFERROR(__xludf.DUMMYFUNCTION("GOOGLETRANSLATE(D1340)"),"布基農洪水造成 5 人死亡 3 人失蹤 103 個家庭被疏散：... http://t.co/z0hSckvySN")</f>
        <v>布基農洪水造成 5 人死亡 3 人失蹤 103 個家庭被疏散：... http://t.co/z0hSckvySN</v>
      </c>
      <c r="G1340" s="4" t="str">
        <f>IFERROR(__xludf.DUMMYFUNCTION("GOOGLETRANSLATE(B1340)"),"疏散")</f>
        <v>疏散</v>
      </c>
    </row>
    <row r="1341" ht="15.75" customHeight="1">
      <c r="A1341" s="4">
        <v>4783.0</v>
      </c>
      <c r="B1341" s="4" t="s">
        <v>2136</v>
      </c>
      <c r="C1341" s="4" t="s">
        <v>48</v>
      </c>
      <c r="D1341" s="4" t="s">
        <v>2159</v>
      </c>
      <c r="E1341" s="4">
        <v>1.0</v>
      </c>
      <c r="F1341" s="4" t="str">
        <f>IFERROR(__xludf.DUMMYFUNCTION("GOOGLETRANSLATE(D1341)"),"剛剛因緊急情況從電影院撤離。看到人們從另一個人身邊逃跑。")</f>
        <v>剛剛因緊急情況從電影院撤離。看到人們從另一個人身邊逃跑。</v>
      </c>
      <c r="G1341" s="4" t="str">
        <f>IFERROR(__xludf.DUMMYFUNCTION("GOOGLETRANSLATE(B1341)"),"疏散")</f>
        <v>疏散</v>
      </c>
    </row>
    <row r="1342" ht="15.75" customHeight="1">
      <c r="A1342" s="4">
        <v>4784.0</v>
      </c>
      <c r="B1342" s="4" t="s">
        <v>2136</v>
      </c>
      <c r="D1342" s="4" t="s">
        <v>2160</v>
      </c>
      <c r="E1342" s="4">
        <v>1.0</v>
      </c>
      <c r="F1342" s="4" t="str">
        <f>IFERROR(__xludf.DUMMYFUNCTION("GOOGLETRANSLATE(D1342)"),"#WorldNews G:link 電車上倒塌的電線：更新：消防人員已疏散多達 30 名被困的乘客... http://t.co/EYSVvzA7Qm")</f>
        <v>#WorldNews G:link 電車上倒塌的電線：更新：消防人員已疏散多達 30 名被困的乘客... http://t.co/EYSVvzA7Qm</v>
      </c>
      <c r="G1342" s="4" t="str">
        <f>IFERROR(__xludf.DUMMYFUNCTION("GOOGLETRANSLATE(B1342)"),"疏散")</f>
        <v>疏散</v>
      </c>
    </row>
    <row r="1343" ht="15.75" customHeight="1">
      <c r="A1343" s="4">
        <v>4785.0</v>
      </c>
      <c r="B1343" s="4" t="s">
        <v>2136</v>
      </c>
      <c r="C1343" s="4" t="s">
        <v>2161</v>
      </c>
      <c r="D1343" s="4" t="s">
        <v>2162</v>
      </c>
      <c r="E1343" s="4">
        <v>1.0</v>
      </c>
      <c r="F1343" s="4" t="str">
        <f>IFERROR(__xludf.DUMMYFUNCTION("GOOGLETRANSLATE(D1343)"),"乘客疏散及疏散黃金海岸電車上的電線脫落，車道被封鎖@9NewsGoldCoast http://t.co/zZweEezJuG")</f>
        <v>乘客疏散及疏散黃金海岸電車上的電線脫落，車道被封鎖@9NewsGoldCoast http://t.co/zZweEezJuG</v>
      </c>
      <c r="G1343" s="4" t="str">
        <f>IFERROR(__xludf.DUMMYFUNCTION("GOOGLETRANSLATE(B1343)"),"疏散")</f>
        <v>疏散</v>
      </c>
    </row>
    <row r="1344" ht="15.75" customHeight="1">
      <c r="A1344" s="4">
        <v>4786.0</v>
      </c>
      <c r="B1344" s="4" t="s">
        <v>2136</v>
      </c>
      <c r="D1344" s="4" t="s">
        <v>2163</v>
      </c>
      <c r="E1344" s="4">
        <v>1.0</v>
      </c>
      <c r="F1344" s="4" t="str">
        <f>IFERROR(__xludf.DUMMYFUNCTION("GOOGLETRANSLATE(D1344)"),"警報！桑迪胡克小學因炸彈威脅而疏散 http://t.co/LwLexXjUS8")</f>
        <v>警報！桑迪胡克小學因炸彈威脅而疏散 http://t.co/LwLexXjUS8</v>
      </c>
      <c r="G1344" s="4" t="str">
        <f>IFERROR(__xludf.DUMMYFUNCTION("GOOGLETRANSLATE(B1344)"),"疏散")</f>
        <v>疏散</v>
      </c>
    </row>
    <row r="1345" ht="15.75" customHeight="1">
      <c r="A1345" s="4">
        <v>4788.0</v>
      </c>
      <c r="B1345" s="4" t="s">
        <v>2136</v>
      </c>
      <c r="C1345" s="4" t="s">
        <v>2141</v>
      </c>
      <c r="D1345" s="4" t="s">
        <v>2164</v>
      </c>
      <c r="E1345" s="4">
        <v>1.0</v>
      </c>
      <c r="F1345" s="4" t="str">
        <f>IFERROR(__xludf.DUMMYFUNCTION("GOOGLETRANSLATE(D1345)"),"羅斯福在 8 號高速公路火災中的疏散令已解除。 http://t.co/e2HltYyFAk #koin6news http://t.co/pmxEzUo4AY")</f>
        <v>羅斯福在 8 號高速公路火災中的疏散令已解除。 http://t.co/e2HltYyFAk #koin6news http://t.co/pmxEzUo4AY</v>
      </c>
      <c r="G1345" s="4" t="str">
        <f>IFERROR(__xludf.DUMMYFUNCTION("GOOGLETRANSLATE(B1345)"),"疏散")</f>
        <v>疏散</v>
      </c>
    </row>
    <row r="1346" ht="15.75" customHeight="1">
      <c r="A1346" s="4">
        <v>4789.0</v>
      </c>
      <c r="B1346" s="4" t="s">
        <v>2136</v>
      </c>
      <c r="C1346" s="4" t="s">
        <v>2165</v>
      </c>
      <c r="D1346" s="4" t="s">
        <v>2166</v>
      </c>
      <c r="E1346" s="4">
        <v>1.0</v>
      </c>
      <c r="F1346" s="4" t="str">
        <f>IFERROR(__xludf.DUMMYFUNCTION("GOOGLETRANSLATE(D1346)"),"我們的心與這些當地居民同在！是時候下一場大雨了！！！ http://t.co/x3g2OX6K8R")</f>
        <v>我們的心與這些當地居民同在！是時候下一場大雨了！！！ http://t.co/x3g2OX6K8R</v>
      </c>
      <c r="G1346" s="4" t="str">
        <f>IFERROR(__xludf.DUMMYFUNCTION("GOOGLETRANSLATE(B1346)"),"疏散")</f>
        <v>疏散</v>
      </c>
    </row>
    <row r="1347" ht="15.75" customHeight="1">
      <c r="A1347" s="4">
        <v>4790.0</v>
      </c>
      <c r="B1347" s="4" t="s">
        <v>2136</v>
      </c>
      <c r="C1347" s="4" t="s">
        <v>1676</v>
      </c>
      <c r="D1347" s="4" t="s">
        <v>2167</v>
      </c>
      <c r="E1347" s="4">
        <v>1.0</v>
      </c>
      <c r="F1347" s="4" t="str">
        <f>IFERROR(__xludf.DUMMYFUNCTION("GOOGLETRANSLATE(D1347)"),"Odeon 電影院因誤報火警而疏散，特拉福德中心影迷對此感到憤怒：
 契維語... http://t.co/RYEQMxIrj8 #manchesterlite")</f>
        <v>Odeon 電影院因誤報火警而疏散，特拉福德中心影迷對此感到憤怒：
 契維語... http://t.co/RYEQMxIrj8 #manchesterlite</v>
      </c>
      <c r="G1347" s="4" t="str">
        <f>IFERROR(__xludf.DUMMYFUNCTION("GOOGLETRANSLATE(B1347)"),"疏散")</f>
        <v>疏散</v>
      </c>
    </row>
    <row r="1348" ht="15.75" customHeight="1">
      <c r="A1348" s="4">
        <v>4791.0</v>
      </c>
      <c r="B1348" s="4" t="s">
        <v>2136</v>
      </c>
      <c r="C1348" s="4" t="s">
        <v>2168</v>
      </c>
      <c r="D1348" s="4" t="s">
        <v>2169</v>
      </c>
      <c r="E1348" s="4">
        <v>1.0</v>
      </c>
      <c r="F1348" s="4" t="str">
        <f>IFERROR(__xludf.DUMMYFUNCTION("GOOGLETRANSLATE(D1348)"),"綠線列車脫軌後，78名乘客安全疏散。 http://t.co/KzBSOhtwB4")</f>
        <v>綠線列車脫軌後，78名乘客安全疏散。 http://t.co/KzBSOhtwB4</v>
      </c>
      <c r="G1348" s="4" t="str">
        <f>IFERROR(__xludf.DUMMYFUNCTION("GOOGLETRANSLATE(B1348)"),"疏散")</f>
        <v>疏散</v>
      </c>
    </row>
    <row r="1349" ht="15.75" customHeight="1">
      <c r="A1349" s="4">
        <v>4793.0</v>
      </c>
      <c r="B1349" s="4" t="s">
        <v>2136</v>
      </c>
      <c r="D1349" s="4" t="s">
        <v>2170</v>
      </c>
      <c r="E1349" s="4">
        <v>1.0</v>
      </c>
      <c r="F1349" s="4" t="str">
        <f>IFERROR(__xludf.DUMMYFUNCTION("GOOGLETRANSLATE(D1349)"),"諾福克海岸大道發生火災後飯店疏散 http://t.co/6X0xHlbxji")</f>
        <v>諾福克海岸大道發生火災後飯店疏散 http://t.co/6X0xHlbxji</v>
      </c>
      <c r="G1349" s="4" t="str">
        <f>IFERROR(__xludf.DUMMYFUNCTION("GOOGLETRANSLATE(B1349)"),"疏散")</f>
        <v>疏散</v>
      </c>
    </row>
    <row r="1350" ht="15.75" customHeight="1">
      <c r="A1350" s="4">
        <v>4794.0</v>
      </c>
      <c r="B1350" s="4" t="s">
        <v>2136</v>
      </c>
      <c r="D1350" s="4" t="s">
        <v>2171</v>
      </c>
      <c r="E1350" s="4">
        <v>1.0</v>
      </c>
      <c r="F1350" s="4" t="str">
        <f>IFERROR(__xludf.DUMMYFUNCTION("GOOGLETRANSLATE(D1350)"),"@115Film Doctor，我們必須立即離開，核心不穩定……整棟大樓被告知要疏散。進行研究。我們需要...")</f>
        <v>@115Film Doctor，我們必須立即離開，核心不穩定……整棟大樓被告知要疏散。進行研究。我們需要...</v>
      </c>
      <c r="G1350" s="4" t="str">
        <f>IFERROR(__xludf.DUMMYFUNCTION("GOOGLETRANSLATE(B1350)"),"疏散")</f>
        <v>疏散</v>
      </c>
    </row>
    <row r="1351" ht="15.75" customHeight="1">
      <c r="A1351" s="4">
        <v>4795.0</v>
      </c>
      <c r="B1351" s="4" t="s">
        <v>2136</v>
      </c>
      <c r="C1351" s="4" t="s">
        <v>2172</v>
      </c>
      <c r="D1351" s="4" t="s">
        <v>2173</v>
      </c>
      <c r="E1351" s="4">
        <v>1.0</v>
      </c>
      <c r="F1351" s="4" t="str">
        <f>IFERROR(__xludf.DUMMYFUNCTION("GOOGLETRANSLATE(D1351)"),"羅斯福鎮解除疏散令 - 華盛頓時報 http://t.co/Kue48Nmjxh")</f>
        <v>羅斯福鎮解除疏散令 - 華盛頓時報 http://t.co/Kue48Nmjxh</v>
      </c>
      <c r="G1351" s="4" t="str">
        <f>IFERROR(__xludf.DUMMYFUNCTION("GOOGLETRANSLATE(B1351)"),"疏散")</f>
        <v>疏散</v>
      </c>
    </row>
    <row r="1352" ht="15.75" customHeight="1">
      <c r="A1352" s="4">
        <v>4797.0</v>
      </c>
      <c r="B1352" s="4" t="s">
        <v>2136</v>
      </c>
      <c r="C1352" s="4" t="s">
        <v>2174</v>
      </c>
      <c r="D1352" s="4" t="s">
        <v>2175</v>
      </c>
      <c r="E1352" s="4">
        <v>1.0</v>
      </c>
      <c r="F1352" s="4" t="str">
        <f>IFERROR(__xludf.DUMMYFUNCTION("GOOGLETRANSLATE(D1352)"),"洛基之火 http://t.co/wxhMp5ppjq")</f>
        <v>洛基之火 http://t.co/wxhMp5ppjq</v>
      </c>
      <c r="G1352" s="4" t="str">
        <f>IFERROR(__xludf.DUMMYFUNCTION("GOOGLETRANSLATE(B1352)"),"疏散")</f>
        <v>疏散</v>
      </c>
    </row>
    <row r="1353" ht="15.75" customHeight="1">
      <c r="A1353" s="4">
        <v>4799.0</v>
      </c>
      <c r="B1353" s="4" t="s">
        <v>2136</v>
      </c>
      <c r="C1353" s="4" t="s">
        <v>2176</v>
      </c>
      <c r="D1353" s="4" t="s">
        <v>2177</v>
      </c>
      <c r="E1353" s="4">
        <v>1.0</v>
      </c>
      <c r="F1353" s="4" t="str">
        <f>IFERROR(__xludf.DUMMYFUNCTION("GOOGLETRANSLATE(D1353)"),"華盛頓州羅斯福整個城鎮因野火而疏散 http://t.co/CmwEIojJ55")</f>
        <v>華盛頓州羅斯福整個城鎮因野火而疏散 http://t.co/CmwEIojJ55</v>
      </c>
      <c r="G1353" s="4" t="str">
        <f>IFERROR(__xludf.DUMMYFUNCTION("GOOGLETRANSLATE(B1353)"),"疏散")</f>
        <v>疏散</v>
      </c>
    </row>
    <row r="1354" ht="15.75" customHeight="1">
      <c r="A1354" s="4">
        <v>4800.0</v>
      </c>
      <c r="B1354" s="4" t="s">
        <v>2136</v>
      </c>
      <c r="C1354" s="4" t="s">
        <v>2178</v>
      </c>
      <c r="D1354" s="4" t="s">
        <v>2179</v>
      </c>
      <c r="E1354" s="4">
        <v>1.0</v>
      </c>
      <c r="F1354" s="4" t="str">
        <f>IFERROR(__xludf.DUMMYFUNCTION("GOOGLETRANSLATE(D1354)"),"KATUNews：#SR14 仍然關閉，因為灌木叢大火燒毀了 1700 英畝：http://t.co/QposKp3MWj #LiveOnK2 http://t.co/mTQjsvupwy")</f>
        <v>KATUNews：#SR14 仍然關閉，因為灌木叢大火燒毀了 1700 英畝：http://t.co/QposKp3MWj #LiveOnK2 http://t.co/mTQjsvupwy</v>
      </c>
      <c r="G1354" s="4" t="str">
        <f>IFERROR(__xludf.DUMMYFUNCTION("GOOGLETRANSLATE(B1354)"),"疏散")</f>
        <v>疏散</v>
      </c>
    </row>
    <row r="1355" ht="15.75" customHeight="1">
      <c r="A1355" s="4">
        <v>4802.0</v>
      </c>
      <c r="B1355" s="4" t="s">
        <v>2136</v>
      </c>
      <c r="D1355" s="4" t="s">
        <v>2180</v>
      </c>
      <c r="E1355" s="4">
        <v>1.0</v>
      </c>
      <c r="F1355" s="4" t="str">
        <f>IFERROR(__xludf.DUMMYFUNCTION("GOOGLETRANSLATE(D1355)"),"還好商場裡其實只是發生了一場合法的火災，沒有人撤離！")</f>
        <v>還好商場裡其實只是發生了一場合法的火災，沒有人撤離！</v>
      </c>
      <c r="G1355" s="4" t="str">
        <f>IFERROR(__xludf.DUMMYFUNCTION("GOOGLETRANSLATE(B1355)"),"疏散")</f>
        <v>疏散</v>
      </c>
    </row>
    <row r="1356" ht="15.75" customHeight="1">
      <c r="A1356" s="4">
        <v>4803.0</v>
      </c>
      <c r="B1356" s="4" t="s">
        <v>2136</v>
      </c>
      <c r="C1356" s="4" t="s">
        <v>2181</v>
      </c>
      <c r="D1356" s="4" t="s">
        <v>2182</v>
      </c>
      <c r="E1356" s="4">
        <v>1.0</v>
      </c>
      <c r="F1356" s="4" t="str">
        <f>IFERROR(__xludf.DUMMYFUNCTION("GOOGLETRANSLATE(D1356)"),"班級被疏散，把孩子單獨留在班上，強迫孩子聽話，這算是隔離嗎？ #更多聲音")</f>
        <v>班級被疏散，把孩子單獨留在班上，強迫孩子聽話，這算是隔離嗎？ #更多聲音</v>
      </c>
      <c r="G1356" s="4" t="str">
        <f>IFERROR(__xludf.DUMMYFUNCTION("GOOGLETRANSLATE(B1356)"),"疏散")</f>
        <v>疏散</v>
      </c>
    </row>
    <row r="1357" ht="15.75" customHeight="1">
      <c r="A1357" s="4">
        <v>4807.0</v>
      </c>
      <c r="B1357" s="4" t="s">
        <v>2136</v>
      </c>
      <c r="C1357" s="4" t="s">
        <v>2183</v>
      </c>
      <c r="D1357" s="4" t="s">
        <v>2184</v>
      </c>
      <c r="E1357" s="4">
        <v>1.0</v>
      </c>
      <c r="F1357" s="4" t="str">
        <f>IFERROR(__xludf.DUMMYFUNCTION("GOOGLETRANSLATE(D1357)"),"北加州洛基大火蔓延至6萬英畝； 12000 人撤離 http://t.co/mtfnbhRYZq 波特蘭 #Phoenix #Miami #Atlanta #Casper")</f>
        <v>北加州洛基大火蔓延至6萬英畝； 12000 人撤離 http://t.co/mtfnbhRYZq 波特蘭 #Phoenix #Miami #Atlanta #Casper</v>
      </c>
      <c r="G1357" s="4" t="str">
        <f>IFERROR(__xludf.DUMMYFUNCTION("GOOGLETRANSLATE(B1357)"),"疏散")</f>
        <v>疏散</v>
      </c>
    </row>
    <row r="1358" ht="15.75" customHeight="1">
      <c r="A1358" s="4">
        <v>4809.0</v>
      </c>
      <c r="B1358" s="4" t="s">
        <v>2136</v>
      </c>
      <c r="C1358" s="4" t="s">
        <v>1193</v>
      </c>
      <c r="D1358" s="4" t="s">
        <v>2185</v>
      </c>
      <c r="E1358" s="4">
        <v>1.0</v>
      </c>
      <c r="F1358" s="4" t="str">
        <f>IFERROR(__xludf.DUMMYFUNCTION("GOOGLETRANSLATE(D1358)"),"黃金海岸有軌電車被倒下的電線擊中：多達 30 人已從黃金海岸的有軌電車中疏散... http://t.co/xpPQnYHiWC")</f>
        <v>黃金海岸有軌電車被倒下的電線擊中：多達 30 人已從黃金海岸的有軌電車中疏散... http://t.co/xpPQnYHiWC</v>
      </c>
      <c r="G1358" s="4" t="str">
        <f>IFERROR(__xludf.DUMMYFUNCTION("GOOGLETRANSLATE(B1358)"),"疏散")</f>
        <v>疏散</v>
      </c>
    </row>
    <row r="1359" ht="15.75" customHeight="1">
      <c r="A1359" s="4">
        <v>4810.0</v>
      </c>
      <c r="B1359" s="4" t="s">
        <v>2136</v>
      </c>
      <c r="C1359" s="4" t="s">
        <v>2186</v>
      </c>
      <c r="D1359" s="4" t="s">
        <v>2187</v>
      </c>
      <c r="E1359" s="4">
        <v>1.0</v>
      </c>
      <c r="F1359" s="4" t="str">
        <f>IFERROR(__xludf.DUMMYFUNCTION("GOOGLETRANSLATE(D1359)"),"衝浪者電線斷電後電車乘客撤離 http://t.co/Qsheu3yF0W")</f>
        <v>衝浪者電線斷電後電車乘客撤離 http://t.co/Qsheu3yF0W</v>
      </c>
      <c r="G1359" s="4" t="str">
        <f>IFERROR(__xludf.DUMMYFUNCTION("GOOGLETRANSLATE(B1359)"),"疏散")</f>
        <v>疏散</v>
      </c>
    </row>
    <row r="1360" ht="15.75" customHeight="1">
      <c r="A1360" s="4">
        <v>4812.0</v>
      </c>
      <c r="B1360" s="4" t="s">
        <v>2188</v>
      </c>
      <c r="D1360" s="4" t="s">
        <v>2189</v>
      </c>
      <c r="E1360" s="4">
        <v>1.0</v>
      </c>
      <c r="F1360" s="4" t="str">
        <f>IFERROR(__xludf.DUMMYFUNCTION("GOOGLETRANSLATE(D1360)"),"FAAN 命令疏散 MMA 廢棄飛機：FAAN 指出，由於... http://t.co/ZUqgvJnEQA")</f>
        <v>FAAN 命令疏散 MMA 廢棄飛機：FAAN 指出，由於... http://t.co/ZUqgvJnEQA</v>
      </c>
      <c r="G1360" s="4" t="str">
        <f>IFERROR(__xludf.DUMMYFUNCTION("GOOGLETRANSLATE(B1360)"),"疏散")</f>
        <v>疏散</v>
      </c>
    </row>
    <row r="1361" ht="15.75" customHeight="1">
      <c r="A1361" s="4">
        <v>4813.0</v>
      </c>
      <c r="B1361" s="4" t="s">
        <v>2188</v>
      </c>
      <c r="C1361" s="4" t="s">
        <v>2141</v>
      </c>
      <c r="D1361" s="4" t="s">
        <v>2190</v>
      </c>
      <c r="E1361" s="4">
        <v>1.0</v>
      </c>
      <c r="F1361" s="4" t="str">
        <f>IFERROR(__xludf.DUMMYFUNCTION("GOOGLETRANSLATE(D1361)"),"#Breaking：當局已向西澳#Roosevelt 火災以北的 25 所房屋發布新的強制疏散通知")</f>
        <v>#Breaking：當局已向西澳#Roosevelt 火災以北的 25 所房屋發布新的強制疏散通知</v>
      </c>
      <c r="G1361" s="4" t="str">
        <f>IFERROR(__xludf.DUMMYFUNCTION("GOOGLETRANSLATE(B1361)"),"疏散")</f>
        <v>疏散</v>
      </c>
    </row>
    <row r="1362" ht="15.75" customHeight="1">
      <c r="A1362" s="4">
        <v>4819.0</v>
      </c>
      <c r="B1362" s="4" t="s">
        <v>2188</v>
      </c>
      <c r="C1362" s="4" t="s">
        <v>2191</v>
      </c>
      <c r="D1362" s="4" t="s">
        <v>2192</v>
      </c>
      <c r="E1362" s="4">
        <v>1.0</v>
      </c>
      <c r="F1362" s="4" t="str">
        <f>IFERROR(__xludf.DUMMYFUNCTION("GOOGLETRANSLATE(D1362)"),"華盛頓州羅斯福因野火而下疏散令 http://t.co/FiJAPxyKRQ")</f>
        <v>華盛頓州羅斯福因野火而下疏散令 http://t.co/FiJAPxyKRQ</v>
      </c>
      <c r="G1362" s="4" t="str">
        <f>IFERROR(__xludf.DUMMYFUNCTION("GOOGLETRANSLATE(B1362)"),"疏散")</f>
        <v>疏散</v>
      </c>
    </row>
    <row r="1363" ht="15.75" customHeight="1">
      <c r="A1363" s="4">
        <v>4820.0</v>
      </c>
      <c r="B1363" s="4" t="s">
        <v>2188</v>
      </c>
      <c r="C1363" s="4" t="s">
        <v>2193</v>
      </c>
      <c r="D1363" s="4" t="s">
        <v>2194</v>
      </c>
      <c r="E1363" s="4">
        <v>1.0</v>
      </c>
      <c r="F1363" s="4" t="str">
        <f>IFERROR(__xludf.DUMMYFUNCTION("GOOGLETRANSLATE(D1363)"),"洪堡市治安官辦公室已針對 Lassics 地區的 10 處住宅發布了疏散建議...更多資訊請訪問 http://t.co/ERUzBUQZYU")</f>
        <v>洪堡市治安官辦公室已針對 Lassics 地區的 10 處住宅發布了疏散建議...更多資訊請訪問 http://t.co/ERUzBUQZYU</v>
      </c>
      <c r="G1363" s="4" t="str">
        <f>IFERROR(__xludf.DUMMYFUNCTION("GOOGLETRANSLATE(B1363)"),"疏散")</f>
        <v>疏散</v>
      </c>
    </row>
    <row r="1364" ht="15.75" customHeight="1">
      <c r="A1364" s="4">
        <v>4821.0</v>
      </c>
      <c r="B1364" s="4" t="s">
        <v>2188</v>
      </c>
      <c r="C1364" s="4" t="s">
        <v>997</v>
      </c>
      <c r="D1364" s="4" t="s">
        <v>2195</v>
      </c>
      <c r="E1364" s="4">
        <v>1.0</v>
      </c>
      <c r="F1364" s="4" t="str">
        <f>IFERROR(__xludf.DUMMYFUNCTION("GOOGLETRANSLATE(D1364)"),"FAAN 命令疏散 MMA 廢棄飛機 http://t.co/GsOMtDPmoJ")</f>
        <v>FAAN 命令疏散 MMA 廢棄飛機 http://t.co/GsOMtDPmoJ</v>
      </c>
      <c r="G1364" s="4" t="str">
        <f>IFERROR(__xludf.DUMMYFUNCTION("GOOGLETRANSLATE(B1364)"),"疏散")</f>
        <v>疏散</v>
      </c>
    </row>
    <row r="1365" ht="15.75" customHeight="1">
      <c r="A1365" s="4">
        <v>4823.0</v>
      </c>
      <c r="B1365" s="4" t="s">
        <v>2188</v>
      </c>
      <c r="D1365" s="4" t="s">
        <v>2196</v>
      </c>
      <c r="E1365" s="4">
        <v>1.0</v>
      </c>
      <c r="F1365" s="4" t="str">
        <f>IFERROR(__xludf.DUMMYFUNCTION("GOOGLETRANSLATE(D1365)"),"越戰補丁 美國第 71 撤離醫院高地醫護人員 http://t.co/kIF7M3FQLx http://t.co/Oz6vlWwTNR")</f>
        <v>越戰補丁 美國第 71 撤離醫院高地醫護人員 http://t.co/kIF7M3FQLx http://t.co/Oz6vlWwTNR</v>
      </c>
      <c r="G1365" s="4" t="str">
        <f>IFERROR(__xludf.DUMMYFUNCTION("GOOGLETRANSLATE(B1365)"),"疏散")</f>
        <v>疏散</v>
      </c>
    </row>
    <row r="1366" ht="15.75" customHeight="1">
      <c r="A1366" s="4">
        <v>4825.0</v>
      </c>
      <c r="B1366" s="4" t="s">
        <v>2188</v>
      </c>
      <c r="D1366" s="4" t="s">
        <v>2197</v>
      </c>
      <c r="E1366" s="4">
        <v>1.0</v>
      </c>
      <c r="F1366" s="4" t="str">
        <f>IFERROR(__xludf.DUMMYFUNCTION("GOOGLETRANSLATE(D1366)"),"。 @VELDFest 宣布第二天極端天氣疏散後退款：http://t.co/PP05eTlK7t http://t.co/3Ol8MhhPMa")</f>
        <v>。 @VELDFest 宣布第二天極端天氣疏散後退款：http://t.co/PP05eTlK7t http://t.co/3Ol8MhhPMa</v>
      </c>
      <c r="G1366" s="4" t="str">
        <f>IFERROR(__xludf.DUMMYFUNCTION("GOOGLETRANSLATE(B1366)"),"疏散")</f>
        <v>疏散</v>
      </c>
    </row>
    <row r="1367" ht="15.75" customHeight="1">
      <c r="A1367" s="4">
        <v>4826.0</v>
      </c>
      <c r="B1367" s="4" t="s">
        <v>2188</v>
      </c>
      <c r="C1367" s="4" t="s">
        <v>995</v>
      </c>
      <c r="D1367" s="4" t="s">
        <v>2198</v>
      </c>
      <c r="E1367" s="4">
        <v>1.0</v>
      </c>
      <c r="F1367" s="4" t="str">
        <f>IFERROR(__xludf.DUMMYFUNCTION("GOOGLETRANSLATE(D1367)"),"我們昨晚的任務是在火災警報疏散後看到這部電影的結尾@markoturner @annaciclismo http://t.co/5kFOVovjso")</f>
        <v>我們昨晚的任務是在火災警報疏散後看到這部電影的結尾@markoturner @annaciclismo http://t.co/5kFOVovjso</v>
      </c>
      <c r="G1367" s="4" t="str">
        <f>IFERROR(__xludf.DUMMYFUNCTION("GOOGLETRANSLATE(B1367)"),"疏散")</f>
        <v>疏散</v>
      </c>
    </row>
    <row r="1368" ht="15.75" customHeight="1">
      <c r="A1368" s="4">
        <v>4828.0</v>
      </c>
      <c r="B1368" s="4" t="s">
        <v>2188</v>
      </c>
      <c r="C1368" s="4" t="s">
        <v>2199</v>
      </c>
      <c r="D1368" s="4" t="s">
        <v>2200</v>
      </c>
      <c r="E1368" s="4">
        <v>1.0</v>
      </c>
      <c r="F1368" s="4" t="str">
        <f>IFERROR(__xludf.DUMMYFUNCTION("GOOGLETRANSLATE(D1368)"),"更新：Bend FD 表示屋頂公司。工人們不小心切斷了郵局的天然氣管道，導致疏散約半小時")</f>
        <v>更新：Bend FD 表示屋頂公司。工人們不小心切斷了郵局的天然氣管道，導致疏散約半小時</v>
      </c>
      <c r="G1368" s="4" t="str">
        <f>IFERROR(__xludf.DUMMYFUNCTION("GOOGLETRANSLATE(B1368)"),"疏散")</f>
        <v>疏散</v>
      </c>
    </row>
    <row r="1369" ht="15.75" customHeight="1">
      <c r="A1369" s="4">
        <v>4829.0</v>
      </c>
      <c r="B1369" s="4" t="s">
        <v>2188</v>
      </c>
      <c r="C1369" s="4" t="s">
        <v>2199</v>
      </c>
      <c r="D1369" s="4" t="s">
        <v>2201</v>
      </c>
      <c r="E1369" s="4">
        <v>1.0</v>
      </c>
      <c r="F1369" s="4" t="str">
        <f>IFERROR(__xludf.DUMMYFUNCTION("GOOGLETRANSLATE(D1369)"),"Swayback Ridge 地區疏散建議..自願-InciWeb：Mad River Complex 公告 http://t.co/vN73o4SGzJ #wildfires #calfires")</f>
        <v>Swayback Ridge 地區疏散建議..自願-InciWeb：Mad River Complex 公告 http://t.co/vN73o4SGzJ #wildfires #calfires</v>
      </c>
      <c r="G1369" s="4" t="str">
        <f>IFERROR(__xludf.DUMMYFUNCTION("GOOGLETRANSLATE(B1369)"),"疏散")</f>
        <v>疏散</v>
      </c>
    </row>
    <row r="1370" ht="15.75" customHeight="1">
      <c r="A1370" s="4">
        <v>4830.0</v>
      </c>
      <c r="B1370" s="4" t="s">
        <v>2188</v>
      </c>
      <c r="D1370" s="4" t="s">
        <v>2202</v>
      </c>
      <c r="E1370" s="4">
        <v>1.0</v>
      </c>
      <c r="F1370" s="4" t="str">
        <f>IFERROR(__xludf.DUMMYFUNCTION("GOOGLETRANSLATE(D1370)"),"用完後送醫院索引權力精英醫院血管成形術論文的補救措施感到沮喪：Û_ http://t.co/VGvJGr8zoO")</f>
        <v>用完後送醫院索引權力精英醫院血管成形術論文的補救措施感到沮喪：Û_ http://t.co/VGvJGr8zoO</v>
      </c>
      <c r="G1370" s="4" t="str">
        <f>IFERROR(__xludf.DUMMYFUNCTION("GOOGLETRANSLATE(B1370)"),"疏散")</f>
        <v>疏散</v>
      </c>
    </row>
    <row r="1371" ht="15.75" customHeight="1">
      <c r="A1371" s="4">
        <v>4831.0</v>
      </c>
      <c r="B1371" s="4" t="s">
        <v>2188</v>
      </c>
      <c r="C1371" s="4" t="s">
        <v>2110</v>
      </c>
      <c r="D1371" s="4" t="s">
        <v>2203</v>
      </c>
      <c r="E1371" s="4">
        <v>1.0</v>
      </c>
      <c r="F1371" s="4" t="str">
        <f>IFERROR(__xludf.DUMMYFUNCTION("GOOGLETRANSLATE(D1371)"),"所以 IFAK 是一個“個人急救箱”，用於治療單一創傷受害者 我認為我應該創建 EFAK 或疏散急救箱")</f>
        <v>所以 IFAK 是一個“個人急救箱”，用於治療單一創傷受害者 我認為我應該創建 EFAK 或疏散急救箱</v>
      </c>
      <c r="G1371" s="4" t="str">
        <f>IFERROR(__xludf.DUMMYFUNCTION("GOOGLETRANSLATE(B1371)"),"疏散")</f>
        <v>疏散</v>
      </c>
    </row>
    <row r="1372" ht="15.75" customHeight="1">
      <c r="A1372" s="4">
        <v>4832.0</v>
      </c>
      <c r="B1372" s="4" t="s">
        <v>2188</v>
      </c>
      <c r="C1372" s="4" t="s">
        <v>1798</v>
      </c>
      <c r="D1372" s="4" t="s">
        <v>1799</v>
      </c>
      <c r="E1372" s="4">
        <v>1.0</v>
      </c>
      <c r="F1372" s="4" t="str">
        <f>IFERROR(__xludf.DUMMYFUNCTION("GOOGLETRANSLATE(D1372)"),"Elem Pomo 幫助洛基大火中的流離失所者。請考慮！
Elem 疏散中心 http://t.co/dYDFvz7amj 來自 @gofundme")</f>
        <v>Elem Pomo 幫助洛基大火中的流離失所者。請考慮！
Elem 疏散中心 http://t.co/dYDFvz7amj 來自 @gofundme</v>
      </c>
      <c r="G1372" s="4" t="str">
        <f>IFERROR(__xludf.DUMMYFUNCTION("GOOGLETRANSLATE(B1372)"),"疏散")</f>
        <v>疏散</v>
      </c>
    </row>
    <row r="1373" ht="15.75" customHeight="1">
      <c r="A1373" s="4">
        <v>4833.0</v>
      </c>
      <c r="B1373" s="4" t="s">
        <v>2188</v>
      </c>
      <c r="C1373" s="4" t="s">
        <v>38</v>
      </c>
      <c r="D1373" s="4" t="s">
        <v>2204</v>
      </c>
      <c r="E1373" s="4">
        <v>1.0</v>
      </c>
      <c r="F1373" s="4" t="str">
        <f>IFERROR(__xludf.DUMMYFUNCTION("GOOGLETRANSLATE(D1373)"),"本德郵局屋頂工人切斷瓦斯管道並迅速疏散 - http://t.co/6mF7eyZOAw")</f>
        <v>本德郵局屋頂工人切斷瓦斯管道並迅速疏散 - http://t.co/6mF7eyZOAw</v>
      </c>
      <c r="G1373" s="4" t="str">
        <f>IFERROR(__xludf.DUMMYFUNCTION("GOOGLETRANSLATE(B1373)"),"疏散")</f>
        <v>疏散</v>
      </c>
    </row>
    <row r="1374" ht="15.75" customHeight="1">
      <c r="A1374" s="4">
        <v>4834.0</v>
      </c>
      <c r="B1374" s="4" t="s">
        <v>2188</v>
      </c>
      <c r="C1374" s="4" t="s">
        <v>2205</v>
      </c>
      <c r="D1374" s="4" t="s">
        <v>2206</v>
      </c>
      <c r="E1374" s="4">
        <v>1.0</v>
      </c>
      <c r="F1374" s="4" t="str">
        <f>IFERROR(__xludf.DUMMYFUNCTION("GOOGLETRANSLATE(D1374)"),"FAAN 命令疏散 MMA 廢棄飛機：FAAN 指出該行動已成為必要... http://t.co/tlS40nqiPN Via @todayngr")</f>
        <v>FAAN 命令疏散 MMA 廢棄飛機：FAAN 指出該行動已成為必要... http://t.co/tlS40nqiPN Via @todayngr</v>
      </c>
      <c r="G1374" s="4" t="str">
        <f>IFERROR(__xludf.DUMMYFUNCTION("GOOGLETRANSLATE(B1374)"),"疏散")</f>
        <v>疏散</v>
      </c>
    </row>
    <row r="1375" ht="15.75" customHeight="1">
      <c r="A1375" s="4">
        <v>4836.0</v>
      </c>
      <c r="B1375" s="4" t="s">
        <v>2188</v>
      </c>
      <c r="C1375" s="4" t="s">
        <v>89</v>
      </c>
      <c r="D1375" s="4" t="s">
        <v>2207</v>
      </c>
      <c r="E1375" s="4">
        <v>1.0</v>
      </c>
      <c r="F1375" s="4" t="str">
        <f>IFERROR(__xludf.DUMMYFUNCTION("GOOGLETRANSLATE(D1375)"),"FAAN 透過@dailytimesngr 向廢棄飛機的所有者發出最後通牒http://t.co/zZpojgngAJ。他們也應該調查一下！")</f>
        <v>FAAN 透過@dailytimesngr 向廢棄飛機的所有者發出最後通牒http://t.co/zZpojgngAJ。他們也應該調查一下！</v>
      </c>
      <c r="G1375" s="4" t="str">
        <f>IFERROR(__xludf.DUMMYFUNCTION("GOOGLETRANSLATE(B1375)"),"疏散")</f>
        <v>疏散</v>
      </c>
    </row>
    <row r="1376" ht="15.75" customHeight="1">
      <c r="A1376" s="4">
        <v>4840.0</v>
      </c>
      <c r="B1376" s="4" t="s">
        <v>2188</v>
      </c>
      <c r="C1376" s="4" t="s">
        <v>2208</v>
      </c>
      <c r="D1376" s="4" t="s">
        <v>2209</v>
      </c>
      <c r="E1376" s="4">
        <v>1.0</v>
      </c>
      <c r="F1376" s="4" t="str">
        <f>IFERROR(__xludf.DUMMYFUNCTION("GOOGLETRANSLATE(D1376)"),"更新了#RockyFire 地圖，其中包含強制疏散區域（紅色）諮詢疏散（黃色）2 個疏散中心（綠色）https://t.co/gZEgjoAKKw")</f>
        <v>更新了#RockyFire 地圖，其中包含強制疏散區域（紅色）諮詢疏散（黃色）2 個疏散中心（綠色）https://t.co/gZEgjoAKKw</v>
      </c>
      <c r="G1376" s="4" t="str">
        <f>IFERROR(__xludf.DUMMYFUNCTION("GOOGLETRANSLATE(B1376)"),"疏散")</f>
        <v>疏散</v>
      </c>
    </row>
    <row r="1377" ht="15.75" customHeight="1">
      <c r="A1377" s="4">
        <v>4842.0</v>
      </c>
      <c r="B1377" s="4" t="s">
        <v>2188</v>
      </c>
      <c r="C1377" s="4" t="s">
        <v>2210</v>
      </c>
      <c r="D1377" s="4" t="s">
        <v>2211</v>
      </c>
      <c r="E1377" s="4">
        <v>1.0</v>
      </c>
      <c r="F1377" s="4" t="str">
        <f>IFERROR(__xludf.DUMMYFUNCTION("GOOGLETRANSLATE(D1377)"),"更新：GNWT 剛剛向里德附近的 Pickerel 湖的小屋業主發布了自願疏散令... http://t.co/RVSYxwj9Cp")</f>
        <v>更新：GNWT 剛剛向里德附近的 Pickerel 湖的小屋業主發布了自願疏散令... http://t.co/RVSYxwj9Cp</v>
      </c>
      <c r="G1377" s="4" t="str">
        <f>IFERROR(__xludf.DUMMYFUNCTION("GOOGLETRANSLATE(B1377)"),"疏散")</f>
        <v>疏散</v>
      </c>
    </row>
    <row r="1378" ht="15.75" customHeight="1">
      <c r="A1378" s="4">
        <v>4843.0</v>
      </c>
      <c r="B1378" s="4" t="s">
        <v>2188</v>
      </c>
      <c r="C1378" s="4" t="s">
        <v>2199</v>
      </c>
      <c r="D1378" s="4" t="s">
        <v>2212</v>
      </c>
      <c r="E1378" s="4">
        <v>1.0</v>
      </c>
      <c r="F1378" s="4" t="str">
        <f>IFERROR(__xludf.DUMMYFUNCTION("GOOGLETRANSLATE(D1378)"),"華盛頓州羅斯福鎮的疏散令已解除，但居民警告要準備好迅速離開 http://t.co/Na0ptN0dTr")</f>
        <v>華盛頓州羅斯福鎮的疏散令已解除，但居民警告要準備好迅速離開 http://t.co/Na0ptN0dTr</v>
      </c>
      <c r="G1378" s="4" t="str">
        <f>IFERROR(__xludf.DUMMYFUNCTION("GOOGLETRANSLATE(B1378)"),"疏散")</f>
        <v>疏散</v>
      </c>
    </row>
    <row r="1379" ht="15.75" customHeight="1">
      <c r="A1379" s="4">
        <v>4846.0</v>
      </c>
      <c r="B1379" s="4" t="s">
        <v>2188</v>
      </c>
      <c r="C1379" s="4" t="s">
        <v>627</v>
      </c>
      <c r="D1379" s="4" t="s">
        <v>2213</v>
      </c>
      <c r="E1379" s="4">
        <v>1.0</v>
      </c>
      <c r="F1379" s="4" t="str">
        <f>IFERROR(__xludf.DUMMYFUNCTION("GOOGLETRANSLATE(D1379)"),"上週日，2015 年 #Lolla 疏散期間，沿著密西根大道中間行走 https://t.co/YrfZ5WJ7R2")</f>
        <v>上週日，2015 年 #Lolla 疏散期間，沿著密西根大道中間行走 https://t.co/YrfZ5WJ7R2</v>
      </c>
      <c r="G1379" s="4" t="str">
        <f>IFERROR(__xludf.DUMMYFUNCTION("GOOGLETRANSLATE(B1379)"),"疏散")</f>
        <v>疏散</v>
      </c>
    </row>
    <row r="1380" ht="15.75" customHeight="1">
      <c r="A1380" s="4">
        <v>4848.0</v>
      </c>
      <c r="B1380" s="4" t="s">
        <v>2188</v>
      </c>
      <c r="C1380" s="4" t="s">
        <v>2214</v>
      </c>
      <c r="D1380" s="4" t="s">
        <v>2215</v>
      </c>
      <c r="E1380" s="4">
        <v>1.0</v>
      </c>
      <c r="F1380" s="4" t="str">
        <f>IFERROR(__xludf.DUMMYFUNCTION("GOOGLETRANSLATE(D1380)"),"MACA #NWT #YZF 表示，目前建議對 #Reidlake 火災高速公路對面的 Pickerel Lake 小屋進行自願疏散")</f>
        <v>MACA #NWT #YZF 表示，目前建議對 #Reidlake 火災高速公路對面的 Pickerel Lake 小屋進行自願疏散</v>
      </c>
      <c r="G1380" s="4" t="str">
        <f>IFERROR(__xludf.DUMMYFUNCTION("GOOGLETRANSLATE(B1380)"),"疏散")</f>
        <v>疏散</v>
      </c>
    </row>
    <row r="1381" ht="15.75" customHeight="1">
      <c r="A1381" s="4">
        <v>4849.0</v>
      </c>
      <c r="B1381" s="4" t="s">
        <v>2188</v>
      </c>
      <c r="C1381" s="4" t="s">
        <v>2216</v>
      </c>
      <c r="D1381" s="4" t="s">
        <v>2217</v>
      </c>
      <c r="E1381" s="4">
        <v>1.0</v>
      </c>
      <c r="F1381" s="4" t="str">
        <f>IFERROR(__xludf.DUMMYFUNCTION("GOOGLETRANSLATE(D1381)"),"IbrahimMisau：FAAN 命令疏散 MMA 廢棄飛機 http://t.co/5Zcje7arci（透過 Twitter http://t.co/haVXoBcSVU）")</f>
        <v>IbrahimMisau：FAAN 命令疏散 MMA 廢棄飛機 http://t.co/5Zcje7arci（透過 Twitter http://t.co/haVXoBcSVU）</v>
      </c>
      <c r="G1381" s="4" t="str">
        <f>IFERROR(__xludf.DUMMYFUNCTION("GOOGLETRANSLATE(B1381)"),"疏散")</f>
        <v>疏散</v>
      </c>
    </row>
    <row r="1382" ht="15.75" customHeight="1">
      <c r="A1382" s="4">
        <v>4850.0</v>
      </c>
      <c r="B1382" s="4" t="s">
        <v>2188</v>
      </c>
      <c r="C1382" s="4" t="s">
        <v>2218</v>
      </c>
      <c r="D1382" s="4" t="s">
        <v>2219</v>
      </c>
      <c r="E1382" s="4">
        <v>1.0</v>
      </c>
      <c r="F1382" s="4" t="str">
        <f>IFERROR(__xludf.DUMMYFUNCTION("GOOGLETRANSLATE(D1382)"),"羅斯福鎮解除疏散令：http://t.co/EDyfo6E2PU http://t.co/M5KxLPKFA1")</f>
        <v>羅斯福鎮解除疏散令：http://t.co/EDyfo6E2PU http://t.co/M5KxLPKFA1</v>
      </c>
      <c r="G1382" s="4" t="str">
        <f>IFERROR(__xludf.DUMMYFUNCTION("GOOGLETRANSLATE(B1382)"),"疏散")</f>
        <v>疏散</v>
      </c>
    </row>
    <row r="1383" ht="15.75" customHeight="1">
      <c r="A1383" s="4">
        <v>4852.0</v>
      </c>
      <c r="B1383" s="4" t="s">
        <v>2188</v>
      </c>
      <c r="C1383" s="4" t="s">
        <v>2199</v>
      </c>
      <c r="D1383" s="4" t="s">
        <v>2220</v>
      </c>
      <c r="E1383" s="4">
        <v>1.0</v>
      </c>
      <c r="F1383" s="4" t="str">
        <f>IFERROR(__xludf.DUMMYFUNCTION("GOOGLETRANSLATE(D1383)"),"更新：來自 Bend FD 的更多內容，介紹了今天下午天然氣管道切斷如何促使主要郵局疏散的情況 http://t.co/wMmkIrJ0Hw")</f>
        <v>更新：來自 Bend FD 的更多內容，介紹了今天下午天然氣管道切斷如何促使主要郵局疏散的情況 http://t.co/wMmkIrJ0Hw</v>
      </c>
      <c r="G1383" s="4" t="str">
        <f>IFERROR(__xludf.DUMMYFUNCTION("GOOGLETRANSLATE(B1383)"),"疏散")</f>
        <v>疏散</v>
      </c>
    </row>
    <row r="1384" ht="15.75" customHeight="1">
      <c r="A1384" s="4">
        <v>4853.0</v>
      </c>
      <c r="B1384" s="4" t="s">
        <v>2188</v>
      </c>
      <c r="C1384" s="4" t="s">
        <v>2143</v>
      </c>
      <c r="D1384" s="4" t="s">
        <v>2144</v>
      </c>
      <c r="E1384" s="4">
        <v>1.0</v>
      </c>
      <c r="F1384" s="4" t="str">
        <f>IFERROR(__xludf.DUMMYFUNCTION("GOOGLETRANSLATE(D1384)"),"下令對高速公路危險的 25 戶家庭進行新的疏散。華盛頓州羅斯福附近發生 8 場火災。http://t.co/SQsyUeh4yI #KOIN6News http://t.co/199t7ND0pm")</f>
        <v>下令對高速公路危險的 25 戶家庭進行新的疏散。華盛頓州羅斯福附近發生 8 場火災。http://t.co/SQsyUeh4yI #KOIN6News http://t.co/199t7ND0pm</v>
      </c>
      <c r="G1384" s="4" t="str">
        <f>IFERROR(__xludf.DUMMYFUNCTION("GOOGLETRANSLATE(B1384)"),"疏散")</f>
        <v>疏散</v>
      </c>
    </row>
    <row r="1385" ht="15.75" customHeight="1">
      <c r="A1385" s="4">
        <v>4854.0</v>
      </c>
      <c r="B1385" s="4" t="s">
        <v>2188</v>
      </c>
      <c r="D1385" s="4" t="s">
        <v>2221</v>
      </c>
      <c r="E1385" s="4">
        <v>1.0</v>
      </c>
      <c r="F1385" s="4" t="str">
        <f>IFERROR(__xludf.DUMMYFUNCTION("GOOGLETRANSLATE(D1385)"),"里德湖火災提示露營地疏散令 http://t.co/jBODKM6rBU")</f>
        <v>里德湖火災提示露營地疏散令 http://t.co/jBODKM6rBU</v>
      </c>
      <c r="G1385" s="4" t="str">
        <f>IFERROR(__xludf.DUMMYFUNCTION("GOOGLETRANSLATE(B1385)"),"疏散")</f>
        <v>疏散</v>
      </c>
    </row>
    <row r="1386" ht="15.75" customHeight="1">
      <c r="A1386" s="4">
        <v>4859.0</v>
      </c>
      <c r="B1386" s="4" t="s">
        <v>2188</v>
      </c>
      <c r="C1386" s="4" t="s">
        <v>38</v>
      </c>
      <c r="D1386" s="4" t="s">
        <v>2222</v>
      </c>
      <c r="E1386" s="4">
        <v>1.0</v>
      </c>
      <c r="F1386" s="4" t="str">
        <f>IFERROR(__xludf.DUMMYFUNCTION("GOOGLETRANSLATE(D1386)"),"#野火錯過城鎮後，羅斯福的疏散令被解除 - KOMO 新聞 http://t.co/qCpMktGLLR")</f>
        <v>#野火錯過城鎮後，羅斯福的疏散令被解除 - KOMO 新聞 http://t.co/qCpMktGLLR</v>
      </c>
      <c r="G1386" s="4" t="str">
        <f>IFERROR(__xludf.DUMMYFUNCTION("GOOGLETRANSLATE(B1386)"),"疏散")</f>
        <v>疏散</v>
      </c>
    </row>
    <row r="1387" ht="15.75" customHeight="1">
      <c r="A1387" s="4">
        <v>4860.0</v>
      </c>
      <c r="B1387" s="4" t="s">
        <v>2188</v>
      </c>
      <c r="C1387" s="4" t="s">
        <v>2223</v>
      </c>
      <c r="D1387" s="4" t="s">
        <v>2224</v>
      </c>
      <c r="E1387" s="4">
        <v>1.0</v>
      </c>
      <c r="F1387" s="4" t="str">
        <f>IFERROR(__xludf.DUMMYFUNCTION("GOOGLETRANSLATE(D1387)"),"氣體洩漏迫使聖約翰東部疏散 http://t.co/E1vkc2efsT #NB http://t.co/BeUa507Iug")</f>
        <v>氣體洩漏迫使聖約翰東部疏散 http://t.co/E1vkc2efsT #NB http://t.co/BeUa507Iug</v>
      </c>
      <c r="G1387" s="4" t="str">
        <f>IFERROR(__xludf.DUMMYFUNCTION("GOOGLETRANSLATE(B1387)"),"疏散")</f>
        <v>疏散</v>
      </c>
    </row>
    <row r="1388" ht="15.75" customHeight="1">
      <c r="A1388" s="4">
        <v>4879.0</v>
      </c>
      <c r="B1388" s="4" t="s">
        <v>2225</v>
      </c>
      <c r="C1388" s="4" t="s">
        <v>2226</v>
      </c>
      <c r="D1388" s="4" t="s">
        <v>2227</v>
      </c>
      <c r="E1388" s="4">
        <v>1.0</v>
      </c>
      <c r="F1388" s="4" t="str">
        <f>IFERROR(__xludf.DUMMYFUNCTION("GOOGLETRANSLATE(D1388)"),"他要崩潰了嗎？
女王死了嗎？
有東西爆炸了嗎？
誰知道。 http://t.co/LThMwtl5fP")</f>
        <v>他要崩潰了嗎？
女王死了嗎？
有東西爆炸了嗎？
誰知道。 http://t.co/LThMwtl5fP</v>
      </c>
      <c r="G1388" s="4" t="str">
        <f>IFERROR(__xludf.DUMMYFUNCTION("GOOGLETRANSLATE(B1388)"),"霹靂")</f>
        <v>霹靂</v>
      </c>
    </row>
    <row r="1389" ht="15.75" customHeight="1">
      <c r="A1389" s="4">
        <v>4882.0</v>
      </c>
      <c r="B1389" s="4" t="s">
        <v>2225</v>
      </c>
      <c r="C1389" s="4" t="s">
        <v>708</v>
      </c>
      <c r="D1389" s="4" t="s">
        <v>2228</v>
      </c>
      <c r="E1389" s="4">
        <v>1.0</v>
      </c>
      <c r="F1389" s="4" t="str">
        <f>IFERROR(__xludf.DUMMYFUNCTION("GOOGLETRANSLATE(D1389)"),"肯德爾詹納和尼克喬納斯正在約會，世界可能會爆炸 http://t.co/pfvzVPxQGr")</f>
        <v>肯德爾詹納和尼克喬納斯正在約會，世界可能會爆炸 http://t.co/pfvzVPxQGr</v>
      </c>
      <c r="G1389" s="4" t="str">
        <f>IFERROR(__xludf.DUMMYFUNCTION("GOOGLETRANSLATE(B1389)"),"霹靂")</f>
        <v>霹靂</v>
      </c>
    </row>
    <row r="1390" ht="15.75" customHeight="1">
      <c r="A1390" s="4">
        <v>4895.0</v>
      </c>
      <c r="B1390" s="4" t="s">
        <v>2225</v>
      </c>
      <c r="D1390" s="4" t="s">
        <v>2229</v>
      </c>
      <c r="E1390" s="4">
        <v>1.0</v>
      </c>
      <c r="F1390" s="4" t="str">
        <f>IFERROR(__xludf.DUMMYFUNCTION("GOOGLETRANSLATE(D1390)"),"@allen_enbot 如果你搞砸了它就會爆炸...")</f>
        <v>@allen_enbot 如果你搞砸了它就會爆炸...</v>
      </c>
      <c r="G1390" s="4" t="str">
        <f>IFERROR(__xludf.DUMMYFUNCTION("GOOGLETRANSLATE(B1390)"),"霹靂")</f>
        <v>霹靂</v>
      </c>
    </row>
    <row r="1391" ht="15.75" customHeight="1">
      <c r="A1391" s="4">
        <v>4911.0</v>
      </c>
      <c r="B1391" s="4" t="s">
        <v>2230</v>
      </c>
      <c r="D1391" s="4" t="s">
        <v>2231</v>
      </c>
      <c r="E1391" s="4">
        <v>1.0</v>
      </c>
      <c r="F1391" s="4" t="str">
        <f>IFERROR(__xludf.DUMMYFUNCTION("GOOGLETRANSLATE(D1391)"),"小妞自慰一個男人，直到她臉上爆炸&gt; http://t.co/5QhoeHE9hf")</f>
        <v>小妞自慰一個男人，直到她臉上爆炸&gt; http://t.co/5QhoeHE9hf</v>
      </c>
      <c r="G1391" s="4" t="str">
        <f>IFERROR(__xludf.DUMMYFUNCTION("GOOGLETRANSLATE(B1391)"),"爆炸了")</f>
        <v>爆炸了</v>
      </c>
    </row>
    <row r="1392" ht="15.75" customHeight="1">
      <c r="A1392" s="4">
        <v>4913.0</v>
      </c>
      <c r="B1392" s="4" t="s">
        <v>2230</v>
      </c>
      <c r="C1392" s="4" t="s">
        <v>2232</v>
      </c>
      <c r="D1392" s="4" t="s">
        <v>2233</v>
      </c>
      <c r="E1392" s="4">
        <v>1.0</v>
      </c>
      <c r="F1392" s="4" t="str">
        <f>IFERROR(__xludf.DUMMYFUNCTION("GOOGLETRANSLATE(D1392)"),"Kakeru Teduka：70 年前的今天，廣島爆炸了一顆原子彈。這是如此悲傷的一天。http://t.co/8Vzl1ns2iO")</f>
        <v>Kakeru Teduka：70 年前的今天，廣島爆炸了一顆原子彈。這是如此悲傷的一天。http://t.co/8Vzl1ns2iO</v>
      </c>
      <c r="G1392" s="4" t="str">
        <f>IFERROR(__xludf.DUMMYFUNCTION("GOOGLETRANSLATE(B1392)"),"爆炸了")</f>
        <v>爆炸了</v>
      </c>
    </row>
    <row r="1393" ht="15.75" customHeight="1">
      <c r="A1393" s="4">
        <v>4915.0</v>
      </c>
      <c r="B1393" s="4" t="s">
        <v>2230</v>
      </c>
      <c r="C1393" s="4" t="s">
        <v>2234</v>
      </c>
      <c r="D1393" s="4" t="s">
        <v>2235</v>
      </c>
      <c r="E1393" s="4">
        <v>1.0</v>
      </c>
      <c r="F1393" s="4" t="str">
        <f>IFERROR(__xludf.DUMMYFUNCTION("GOOGLETRANSLATE(D1393)"),"@KopiteLuke1892 它已經完全爆炸了。")</f>
        <v>@KopiteLuke1892 它已經完全爆炸了。</v>
      </c>
      <c r="G1393" s="4" t="str">
        <f>IFERROR(__xludf.DUMMYFUNCTION("GOOGLETRANSLATE(B1393)"),"爆炸了")</f>
        <v>爆炸了</v>
      </c>
    </row>
    <row r="1394" ht="15.75" customHeight="1">
      <c r="A1394" s="4">
        <v>4918.0</v>
      </c>
      <c r="B1394" s="4" t="s">
        <v>2230</v>
      </c>
      <c r="D1394" s="4" t="s">
        <v>2236</v>
      </c>
      <c r="E1394" s="4">
        <v>1.0</v>
      </c>
      <c r="F1394" s="4" t="str">
        <f>IFERROR(__xludf.DUMMYFUNCTION("GOOGLETRANSLATE(D1394)"),"洋裝迷因已在網路上正式爆發 http://t.co/3drSmxw3cr")</f>
        <v>洋裝迷因已在網路上正式爆發 http://t.co/3drSmxw3cr</v>
      </c>
      <c r="G1394" s="4" t="str">
        <f>IFERROR(__xludf.DUMMYFUNCTION("GOOGLETRANSLATE(B1394)"),"爆炸了")</f>
        <v>爆炸了</v>
      </c>
    </row>
    <row r="1395" ht="15.75" customHeight="1">
      <c r="A1395" s="4">
        <v>4919.0</v>
      </c>
      <c r="B1395" s="4" t="s">
        <v>2230</v>
      </c>
      <c r="C1395" s="4" t="s">
        <v>1205</v>
      </c>
      <c r="D1395" s="4" t="s">
        <v>2237</v>
      </c>
      <c r="E1395" s="4">
        <v>1.0</v>
      </c>
      <c r="F1395" s="4" t="str">
        <f>IFERROR(__xludf.DUMMYFUNCTION("GOOGLETRANSLATE(D1395)"),"#Medinah 最終更新：正面打出 105。49（背面爆炸）56。 #ImKeepingMyDayJob（圖片著名#17）http://t.co/kcmbBwwp8G")</f>
        <v>#Medinah 最終更新：正面打出 105。49（背面爆炸）56。 #ImKeepingMyDayJob（圖片著名#17）http://t.co/kcmbBwwp8G</v>
      </c>
      <c r="G1395" s="4" t="str">
        <f>IFERROR(__xludf.DUMMYFUNCTION("GOOGLETRANSLATE(B1395)"),"爆炸了")</f>
        <v>爆炸了</v>
      </c>
    </row>
    <row r="1396" ht="15.75" customHeight="1">
      <c r="A1396" s="4">
        <v>4924.0</v>
      </c>
      <c r="B1396" s="4" t="s">
        <v>2230</v>
      </c>
      <c r="C1396" s="4" t="s">
        <v>54</v>
      </c>
      <c r="D1396" s="4" t="s">
        <v>2238</v>
      </c>
      <c r="E1396" s="4">
        <v>1.0</v>
      </c>
      <c r="F1396" s="4" t="str">
        <f>IFERROR(__xludf.DUMMYFUNCTION("GOOGLETRANSLATE(D1396)"),"1945 年 8 月 6 日，原子彈在 #Hiroshima 上空爆炸時，純子 13 歲。http://t.co/lSpnyCVoLO http://t.co/Nh5pkFBfqm")</f>
        <v>1945 年 8 月 6 日，原子彈在 #Hiroshima 上空爆炸時，純子 13 歲。http://t.co/lSpnyCVoLO http://t.co/Nh5pkFBfqm</v>
      </c>
      <c r="G1396" s="4" t="str">
        <f>IFERROR(__xludf.DUMMYFUNCTION("GOOGLETRANSLATE(B1396)"),"爆炸了")</f>
        <v>爆炸了</v>
      </c>
    </row>
    <row r="1397" ht="15.75" customHeight="1">
      <c r="A1397" s="4">
        <v>4945.0</v>
      </c>
      <c r="B1397" s="4" t="s">
        <v>2230</v>
      </c>
      <c r="C1397" s="4" t="s">
        <v>2239</v>
      </c>
      <c r="D1397" s="4" t="s">
        <v>2240</v>
      </c>
      <c r="E1397" s="4">
        <v>1.0</v>
      </c>
      <c r="F1397" s="4" t="str">
        <f>IFERROR(__xludf.DUMMYFUNCTION("GOOGLETRANSLATE(D1397)"),"凱·福巴斯 (Kai Forbath) 剛剛拆除了演習場上設立的氣象站，但射門失手。東西剛剛爆炸成金屬碎片。")</f>
        <v>凱·福巴斯 (Kai Forbath) 剛剛拆除了演習場上設立的氣象站，但射門失手。東西剛剛爆炸成金屬碎片。</v>
      </c>
      <c r="G1397" s="4" t="str">
        <f>IFERROR(__xludf.DUMMYFUNCTION("GOOGLETRANSLATE(B1397)"),"爆炸了")</f>
        <v>爆炸了</v>
      </c>
    </row>
    <row r="1398" ht="15.75" customHeight="1">
      <c r="A1398" s="4">
        <v>4953.0</v>
      </c>
      <c r="B1398" s="4" t="s">
        <v>2230</v>
      </c>
      <c r="C1398" s="4" t="s">
        <v>2241</v>
      </c>
      <c r="D1398" s="4" t="s">
        <v>2242</v>
      </c>
      <c r="E1398" s="4">
        <v>1.0</v>
      </c>
      <c r="F1398" s="4" t="str">
        <f>IFERROR(__xludf.DUMMYFUNCTION("GOOGLETRANSLATE(D1398)"),"哦，是的，昨晚我的 ipod 差點爆炸，我在充電時使用它，結果火花四濺，akxbskdn 差點死掉")</f>
        <v>哦，是的，昨晚我的 ipod 差點爆炸，我在充電時使用它，結果火花四濺，akxbskdn 差點死掉</v>
      </c>
      <c r="G1398" s="4" t="str">
        <f>IFERROR(__xludf.DUMMYFUNCTION("GOOGLETRANSLATE(B1398)"),"爆炸了")</f>
        <v>爆炸了</v>
      </c>
    </row>
    <row r="1399" ht="15.75" customHeight="1">
      <c r="A1399" s="4">
        <v>4957.0</v>
      </c>
      <c r="B1399" s="4" t="s">
        <v>2230</v>
      </c>
      <c r="D1399" s="4" t="s">
        <v>2243</v>
      </c>
      <c r="E1399" s="4">
        <v>1.0</v>
      </c>
      <c r="F1399" s="4" t="str">
        <f>IFERROR(__xludf.DUMMYFUNCTION("GOOGLETRANSLATE(D1399)"),"#news #science 倫敦軍艦於 1665 年爆炸，因為水手們正在回收砲彈...... http://t.co/r4WGXrA59M #life #tech")</f>
        <v>#news #science 倫敦軍艦於 1665 年爆炸，因為水手們正在回收砲彈...... http://t.co/r4WGXrA59M #life #tech</v>
      </c>
      <c r="G1399" s="4" t="str">
        <f>IFERROR(__xludf.DUMMYFUNCTION("GOOGLETRANSLATE(B1399)"),"爆炸了")</f>
        <v>爆炸了</v>
      </c>
    </row>
    <row r="1400" ht="15.75" customHeight="1">
      <c r="A1400" s="4">
        <v>4962.0</v>
      </c>
      <c r="B1400" s="4" t="s">
        <v>2244</v>
      </c>
      <c r="C1400" s="4" t="s">
        <v>1445</v>
      </c>
      <c r="D1400" s="4" t="s">
        <v>2245</v>
      </c>
      <c r="E1400" s="4">
        <v>1.0</v>
      </c>
      <c r="F1400" s="4" t="str">
        <f>IFERROR(__xludf.DUMMYFUNCTION("GOOGLETRANSLATE(D1400)"),"EE 在爆炸燒傷婦女後召回 Power Bar 手機充電器 ÛÒ The Register http://t.co/lhTvKcoISo")</f>
        <v>EE 在爆炸燒傷婦女後召回 Power Bar 手機充電器 ÛÒ The Register http://t.co/lhTvKcoISo</v>
      </c>
      <c r="G1400" s="4" t="str">
        <f>IFERROR(__xludf.DUMMYFUNCTION("GOOGLETRANSLATE(B1400)"),"霹靂")</f>
        <v>霹靂</v>
      </c>
    </row>
    <row r="1401" ht="15.75" customHeight="1">
      <c r="A1401" s="4">
        <v>4964.0</v>
      </c>
      <c r="B1401" s="4" t="s">
        <v>2244</v>
      </c>
      <c r="D1401" s="4" t="s">
        <v>2246</v>
      </c>
      <c r="E1401" s="4">
        <v>1.0</v>
      </c>
      <c r="F1401" s="4" t="str">
        <f>IFERROR(__xludf.DUMMYFUNCTION("GOOGLETRANSLATE(D1401)"),"另一起機械模組爆炸：一名「法老王」模組在手中爆炸時受傷 - http://t.co/O82yVXbztv http://t.co/N5KmxuVeRg")</f>
        <v>另一起機械模組爆炸：一名「法老王」模組在手中爆炸時受傷 - http://t.co/O82yVXbztv http://t.co/N5KmxuVeRg</v>
      </c>
      <c r="G1401" s="4" t="str">
        <f>IFERROR(__xludf.DUMMYFUNCTION("GOOGLETRANSLATE(B1401)"),"霹靂")</f>
        <v>霹靂</v>
      </c>
    </row>
    <row r="1402" ht="15.75" customHeight="1">
      <c r="A1402" s="4">
        <v>4966.0</v>
      </c>
      <c r="B1402" s="4" t="s">
        <v>2244</v>
      </c>
      <c r="D1402" s="4" t="s">
        <v>2247</v>
      </c>
      <c r="E1402" s="4">
        <v>1.0</v>
      </c>
      <c r="F1402" s="4" t="str">
        <f>IFERROR(__xludf.DUMMYFUNCTION("GOOGLETRANSLATE(D1402)"),"報告：Corey Brewer 在 51 點爆炸後接受藥物測試 http://t.co/HhlLQCkcEP")</f>
        <v>報告：Corey Brewer 在 51 點爆炸後接受藥物測試 http://t.co/HhlLQCkcEP</v>
      </c>
      <c r="G1402" s="4" t="str">
        <f>IFERROR(__xludf.DUMMYFUNCTION("GOOGLETRANSLATE(B1402)"),"霹靂")</f>
        <v>霹靂</v>
      </c>
    </row>
    <row r="1403" ht="15.75" customHeight="1">
      <c r="A1403" s="4">
        <v>4967.0</v>
      </c>
      <c r="B1403" s="4" t="s">
        <v>2244</v>
      </c>
      <c r="D1403" s="4" t="s">
        <v>2248</v>
      </c>
      <c r="E1403" s="4">
        <v>1.0</v>
      </c>
      <c r="F1403" s="4" t="str">
        <f>IFERROR(__xludf.DUMMYFUNCTION("GOOGLETRANSLATE(D1403)"),"上週六，年輕舞者為參加 GMMBC Youth Explosion 的約 300 名年輕人帶來了舞蹈。鼓舞人心！ http://t.co/TMmOrvxsWz")</f>
        <v>上週六，年輕舞者為參加 GMMBC Youth Explosion 的約 300 名年輕人帶來了舞蹈。鼓舞人心！ http://t.co/TMmOrvxsWz</v>
      </c>
      <c r="G1403" s="4" t="str">
        <f>IFERROR(__xludf.DUMMYFUNCTION("GOOGLETRANSLATE(B1403)"),"霹靂")</f>
        <v>霹靂</v>
      </c>
    </row>
    <row r="1404" ht="15.75" customHeight="1">
      <c r="A1404" s="4">
        <v>4968.0</v>
      </c>
      <c r="B1404" s="4" t="s">
        <v>2244</v>
      </c>
      <c r="C1404" s="4" t="s">
        <v>2249</v>
      </c>
      <c r="D1404" s="4" t="s">
        <v>2250</v>
      </c>
      <c r="E1404" s="4">
        <v>1.0</v>
      </c>
      <c r="F1404" s="4" t="str">
        <f>IFERROR(__xludf.DUMMYFUNCTION("GOOGLETRANSLATE(D1404)"),"德國西部化工園區爆炸造成約10人受傷... http://t.co/XBznU0QkVS")</f>
        <v>德國西部化工園區爆炸造成約10人受傷... http://t.co/XBznU0QkVS</v>
      </c>
      <c r="G1404" s="4" t="str">
        <f>IFERROR(__xludf.DUMMYFUNCTION("GOOGLETRANSLATE(B1404)"),"霹靂")</f>
        <v>霹靂</v>
      </c>
    </row>
    <row r="1405" ht="15.75" customHeight="1">
      <c r="A1405" s="4">
        <v>4969.0</v>
      </c>
      <c r="B1405" s="4" t="s">
        <v>2244</v>
      </c>
      <c r="C1405" s="4" t="s">
        <v>2251</v>
      </c>
      <c r="D1405" s="4" t="s">
        <v>2252</v>
      </c>
      <c r="E1405" s="4">
        <v>1.0</v>
      </c>
      <c r="F1405" s="4" t="str">
        <f>IFERROR(__xludf.DUMMYFUNCTION("GOOGLETRANSLATE(D1405)"),"我喜歡 @YouTube 影片 http://t.co/bGAJ2oAX1p 2500fps 的巨大建築爆炸 - The Slow Mo Guys")</f>
        <v>我喜歡 @YouTube 影片 http://t.co/bGAJ2oAX1p 2500fps 的巨大建築爆炸 - The Slow Mo Guys</v>
      </c>
      <c r="G1405" s="4" t="str">
        <f>IFERROR(__xludf.DUMMYFUNCTION("GOOGLETRANSLATE(B1405)"),"霹靂")</f>
        <v>霹靂</v>
      </c>
    </row>
    <row r="1406" ht="15.75" customHeight="1">
      <c r="A1406" s="4">
        <v>4970.0</v>
      </c>
      <c r="B1406" s="4" t="s">
        <v>2244</v>
      </c>
      <c r="D1406" s="4" t="s">
        <v>2253</v>
      </c>
      <c r="E1406" s="4">
        <v>1.0</v>
      </c>
      <c r="F1406" s="4" t="str">
        <f>IFERROR(__xludf.DUMMYFUNCTION("GOOGLETRANSLATE(D1406)"),"密蘇裡州東南部鋁廠發生大爆炸 Re:Naomi-No Logo http://t.co/0WdsEIHYQu")</f>
        <v>密蘇裡州東南部鋁廠發生大爆炸 Re:Naomi-No Logo http://t.co/0WdsEIHYQu</v>
      </c>
      <c r="G1406" s="4" t="str">
        <f>IFERROR(__xludf.DUMMYFUNCTION("GOOGLETRANSLATE(B1406)"),"霹靂")</f>
        <v>霹靂</v>
      </c>
    </row>
    <row r="1407" ht="15.75" customHeight="1">
      <c r="A1407" s="4">
        <v>4972.0</v>
      </c>
      <c r="B1407" s="4" t="s">
        <v>2244</v>
      </c>
      <c r="D1407" s="4" t="s">
        <v>2254</v>
      </c>
      <c r="E1407" s="4">
        <v>1.0</v>
      </c>
      <c r="F1407" s="4" t="str">
        <f>IFERROR(__xludf.DUMMYFUNCTION("GOOGLETRANSLATE(D1407)"),"GAElite 0 爆炸格雷格 2 [前 3 名] [0 出局] [0 球] [0 罷工] ... [P：#16 摩根果園] 無人 [B：]")</f>
        <v>GAElite 0 爆炸格雷格 2 [前 3 名] [0 出局] [0 球] [0 罷工] ... [P：#16 摩根果園] 無人 [B：]</v>
      </c>
      <c r="G1407" s="4" t="str">
        <f>IFERROR(__xludf.DUMMYFUNCTION("GOOGLETRANSLATE(B1407)"),"霹靂")</f>
        <v>霹靂</v>
      </c>
    </row>
    <row r="1408" ht="15.75" customHeight="1">
      <c r="A1408" s="4">
        <v>4973.0</v>
      </c>
      <c r="B1408" s="4" t="s">
        <v>2244</v>
      </c>
      <c r="D1408" s="4" t="s">
        <v>2255</v>
      </c>
      <c r="E1408" s="4">
        <v>1.0</v>
      </c>
      <c r="F1408" s="4" t="str">
        <f>IFERROR(__xludf.DUMMYFUNCTION("GOOGLETRANSLATE(D1408)"),"IG 上的紮染爆炸幫我。我被紮染淹沒了")</f>
        <v>IG 上的紮染爆炸幫我。我被紮染淹沒了</v>
      </c>
      <c r="G1408" s="4" t="str">
        <f>IFERROR(__xludf.DUMMYFUNCTION("GOOGLETRANSLATE(B1408)"),"霹靂")</f>
        <v>霹靂</v>
      </c>
    </row>
    <row r="1409" ht="15.75" customHeight="1">
      <c r="A1409" s="4">
        <v>4974.0</v>
      </c>
      <c r="B1409" s="4" t="s">
        <v>2244</v>
      </c>
      <c r="D1409" s="4" t="s">
        <v>2256</v>
      </c>
      <c r="E1409" s="4">
        <v>1.0</v>
      </c>
      <c r="F1409" s="4" t="str">
        <f>IFERROR(__xludf.DUMMYFUNCTION("GOOGLETRANSLATE(D1409)"),"探索新世界：中國爆炸的三個時刻 MiÌville http://t.co/OTrwZ1t9sp http://t.co/xVlkFCvfX5")</f>
        <v>探索新世界：中國爆炸的三個時刻 MiÌville http://t.co/OTrwZ1t9sp http://t.co/xVlkFCvfX5</v>
      </c>
      <c r="G1409" s="4" t="str">
        <f>IFERROR(__xludf.DUMMYFUNCTION("GOOGLETRANSLATE(B1409)"),"霹靂")</f>
        <v>霹靂</v>
      </c>
    </row>
    <row r="1410" ht="15.75" customHeight="1">
      <c r="A1410" s="4">
        <v>4975.0</v>
      </c>
      <c r="B1410" s="4" t="s">
        <v>2244</v>
      </c>
      <c r="C1410" s="4" t="s">
        <v>2257</v>
      </c>
      <c r="D1410" s="4" t="s">
        <v>2258</v>
      </c>
      <c r="E1410" s="4">
        <v>1.0</v>
      </c>
      <c r="F1410" s="4" t="str">
        <f>IFERROR(__xludf.DUMMYFUNCTION("GOOGLETRANSLATE(D1410)"),"更多--&amp;gt;OSHA 官員在現場調查 Noranda 爆炸 -KFVS12 新聞 Cape Girardeau Carbondale Poplar Bluff http://t.co/Pxyh7zo7vT")</f>
        <v>更多--&amp;gt;OSHA 官員在現場調查 Noranda 爆炸 -KFVS12 新聞 Cape Girardeau Carbondale Poplar Bluff http://t.co/Pxyh7zo7vT</v>
      </c>
      <c r="G1410" s="4" t="str">
        <f>IFERROR(__xludf.DUMMYFUNCTION("GOOGLETRANSLATE(B1410)"),"霹靂")</f>
        <v>霹靂</v>
      </c>
    </row>
    <row r="1411" ht="15.75" customHeight="1">
      <c r="A1411" s="4">
        <v>4978.0</v>
      </c>
      <c r="B1411" s="4" t="s">
        <v>2244</v>
      </c>
      <c r="D1411" s="4" t="s">
        <v>2259</v>
      </c>
      <c r="E1411" s="4">
        <v>1.0</v>
      </c>
      <c r="F1411" s="4" t="str">
        <f>IFERROR(__xludf.DUMMYFUNCTION("GOOGLETRANSLATE(D1411)"),"自 1945 年以來每次核爆的延時地圖 - 作者：Isao Hashimoto #War #atomicbomb
https://t.co/V0t8H4Iecc")</f>
        <v>自 1945 年以來每次核爆的延時地圖 - 作者：Isao Hashimoto #War #atomicbomb
https://t.co/V0t8H4Iecc</v>
      </c>
      <c r="G1411" s="4" t="str">
        <f>IFERROR(__xludf.DUMMYFUNCTION("GOOGLETRANSLATE(B1411)"),"霹靂")</f>
        <v>霹靂</v>
      </c>
    </row>
    <row r="1412" ht="15.75" customHeight="1">
      <c r="A1412" s="4">
        <v>4982.0</v>
      </c>
      <c r="B1412" s="4" t="s">
        <v>2244</v>
      </c>
      <c r="D1412" s="4" t="s">
        <v>2260</v>
      </c>
      <c r="E1412" s="4">
        <v>1.0</v>
      </c>
      <c r="F1412" s="4" t="str">
        <f>IFERROR(__xludf.DUMMYFUNCTION("GOOGLETRANSLATE(D1412)"),"@colinhoffman29 我希望他這麼做。我希望你也死於爆炸")</f>
        <v>@colinhoffman29 我希望他這麼做。我希望你也死於爆炸</v>
      </c>
      <c r="G1412" s="4" t="str">
        <f>IFERROR(__xludf.DUMMYFUNCTION("GOOGLETRANSLATE(B1412)"),"霹靂")</f>
        <v>霹靂</v>
      </c>
    </row>
    <row r="1413" ht="15.75" customHeight="1">
      <c r="A1413" s="4">
        <v>4983.0</v>
      </c>
      <c r="B1413" s="4" t="s">
        <v>2244</v>
      </c>
      <c r="C1413" s="4" t="s">
        <v>2261</v>
      </c>
      <c r="D1413" s="4" t="s">
        <v>2262</v>
      </c>
      <c r="E1413" s="4">
        <v>1.0</v>
      </c>
      <c r="F1413" s="4" t="str">
        <f>IFERROR(__xludf.DUMMYFUNCTION("GOOGLETRANSLATE(D1413)"),"蔡國強的煙火藝術作品在費城的台階上爆炸成花朵... http://t.co/orOvZFsKU2")</f>
        <v>蔡國強的煙火藝術作品在費城的台階上爆炸成花朵... http://t.co/orOvZFsKU2</v>
      </c>
      <c r="G1413" s="4" t="str">
        <f>IFERROR(__xludf.DUMMYFUNCTION("GOOGLETRANSLATE(B1413)"),"霹靂")</f>
        <v>霹靂</v>
      </c>
    </row>
    <row r="1414" ht="15.75" customHeight="1">
      <c r="A1414" s="4">
        <v>4985.0</v>
      </c>
      <c r="B1414" s="4" t="s">
        <v>2244</v>
      </c>
      <c r="C1414" s="4" t="s">
        <v>2263</v>
      </c>
      <c r="D1414" s="4" t="s">
        <v>2264</v>
      </c>
      <c r="E1414" s="4">
        <v>1.0</v>
      </c>
      <c r="F1414" s="4" t="str">
        <f>IFERROR(__xludf.DUMMYFUNCTION("GOOGLETRANSLATE(D1414)"),"@lordRsBiscuits 這對漂亮的爆炸總是有好處的。")</f>
        <v>@lordRsBiscuits 這對漂亮的爆炸總是有好處的。</v>
      </c>
      <c r="G1414" s="4" t="str">
        <f>IFERROR(__xludf.DUMMYFUNCTION("GOOGLETRANSLATE(B1414)"),"霹靂")</f>
        <v>霹靂</v>
      </c>
    </row>
    <row r="1415" ht="15.75" customHeight="1">
      <c r="A1415" s="4">
        <v>4988.0</v>
      </c>
      <c r="B1415" s="4" t="s">
        <v>2244</v>
      </c>
      <c r="C1415" s="4" t="s">
        <v>2265</v>
      </c>
      <c r="D1415" s="4" t="s">
        <v>2266</v>
      </c>
      <c r="E1415" s="4">
        <v>1.0</v>
      </c>
      <c r="F1415" s="4" t="str">
        <f>IFERROR(__xludf.DUMMYFUNCTION("GOOGLETRANSLATE(D1415)"),"EE 召回學生臥室爆炸後的 Power Bar 電池組 http://t.co/EKWTiHlwuf")</f>
        <v>EE 召回學生臥室爆炸後的 Power Bar 電池組 http://t.co/EKWTiHlwuf</v>
      </c>
      <c r="G1415" s="4" t="str">
        <f>IFERROR(__xludf.DUMMYFUNCTION("GOOGLETRANSLATE(B1415)"),"霹靂")</f>
        <v>霹靂</v>
      </c>
    </row>
    <row r="1416" ht="15.75" customHeight="1">
      <c r="A1416" s="4">
        <v>4996.0</v>
      </c>
      <c r="B1416" s="4" t="s">
        <v>2244</v>
      </c>
      <c r="D1416" s="4" t="s">
        <v>2267</v>
      </c>
      <c r="E1416" s="4">
        <v>1.0</v>
      </c>
      <c r="F1416" s="4" t="str">
        <f>IFERROR(__xludf.DUMMYFUNCTION("GOOGLETRANSLATE(D1416)"),"金德摩根瓦斯爆炸")</f>
        <v>金德摩根瓦斯爆炸</v>
      </c>
      <c r="G1416" s="4" t="str">
        <f>IFERROR(__xludf.DUMMYFUNCTION("GOOGLETRANSLATE(B1416)"),"霹靂")</f>
        <v>霹靂</v>
      </c>
    </row>
    <row r="1417" ht="15.75" customHeight="1">
      <c r="A1417" s="4">
        <v>4998.0</v>
      </c>
      <c r="B1417" s="4" t="s">
        <v>2244</v>
      </c>
      <c r="C1417" s="4" t="s">
        <v>2268</v>
      </c>
      <c r="D1417" s="4" t="s">
        <v>2269</v>
      </c>
      <c r="E1417" s="4">
        <v>1.0</v>
      </c>
      <c r="F1417" s="4" t="str">
        <f>IFERROR(__xludf.DUMMYFUNCTION("GOOGLETRANSLATE(D1417)"),"我們在散步時發現了向日葵爆炸。 http://t.co/vLNmkLWW取自http://t.co/P769eo49Fj")</f>
        <v>我們在散步時發現了向日葵爆炸。 http://t.co/vLNmkLWW取自http://t.co/P769eo49Fj</v>
      </c>
      <c r="G1417" s="4" t="str">
        <f>IFERROR(__xludf.DUMMYFUNCTION("GOOGLETRANSLATE(B1417)"),"霹靂")</f>
        <v>霹靂</v>
      </c>
    </row>
    <row r="1418" ht="15.75" customHeight="1">
      <c r="A1418" s="4">
        <v>5004.0</v>
      </c>
      <c r="B1418" s="4" t="s">
        <v>2244</v>
      </c>
      <c r="C1418" s="4" t="s">
        <v>2270</v>
      </c>
      <c r="D1418" s="4" t="s">
        <v>2271</v>
      </c>
      <c r="E1418" s="4">
        <v>1.0</v>
      </c>
      <c r="F1418" s="4" t="str">
        <f>IFERROR(__xludf.DUMMYFUNCTION("GOOGLETRANSLATE(D1418)"),"誠摯邀請您參加2015年世博會爆炸夏季活動！
時間：2015 年 8 月 14 日星期五
地點：Ben E Keith... http://t.co/yh4R7Ug21a")</f>
        <v>誠摯邀請您參加2015年世博會爆炸夏季活動！
時間：2015 年 8 月 14 日星期五
地點：Ben E Keith... http://t.co/yh4R7Ug21a</v>
      </c>
      <c r="G1418" s="4" t="str">
        <f>IFERROR(__xludf.DUMMYFUNCTION("GOOGLETRANSLATE(B1418)"),"霹靂")</f>
        <v>霹靂</v>
      </c>
    </row>
    <row r="1419" ht="15.75" customHeight="1">
      <c r="A1419" s="4">
        <v>5005.0</v>
      </c>
      <c r="B1419" s="4" t="s">
        <v>2244</v>
      </c>
      <c r="D1419" s="4" t="s">
        <v>2272</v>
      </c>
      <c r="E1419" s="4">
        <v>1.0</v>
      </c>
      <c r="F1419" s="4" t="str">
        <f>IFERROR(__xludf.DUMMYFUNCTION("GOOGLETRANSLATE(D1419)"),"空洞的交流爆炸中持續存在的熱情：hPSsJD")</f>
        <v>空洞的交流爆炸中持續存在的熱情：hPSsJD</v>
      </c>
      <c r="G1419" s="4" t="str">
        <f>IFERROR(__xludf.DUMMYFUNCTION("GOOGLETRANSLATE(B1419)"),"霹靂")</f>
        <v>霹靂</v>
      </c>
    </row>
    <row r="1420" ht="15.75" customHeight="1">
      <c r="A1420" s="4">
        <v>5018.0</v>
      </c>
      <c r="B1420" s="4" t="s">
        <v>2273</v>
      </c>
      <c r="C1420" s="4" t="s">
        <v>2274</v>
      </c>
      <c r="D1420" s="4" t="s">
        <v>2275</v>
      </c>
      <c r="E1420" s="4">
        <v>1.0</v>
      </c>
      <c r="F1420" s="4" t="str">
        <f>IFERROR(__xludf.DUMMYFUNCTION("GOOGLETRANSLATE(D1420)"),"廣島倖存者的目擊者敘述
口述歷史項目的數量 https://t.co/yRQGNbLKaC")</f>
        <v>廣島倖存者的目擊者敘述
口述歷史項目的數量 https://t.co/yRQGNbLKaC</v>
      </c>
      <c r="G1420" s="4" t="str">
        <f>IFERROR(__xludf.DUMMYFUNCTION("GOOGLETRANSLATE(B1420)"),"目擊者")</f>
        <v>目擊者</v>
      </c>
    </row>
    <row r="1421" ht="15.75" customHeight="1">
      <c r="A1421" s="4">
        <v>5019.0</v>
      </c>
      <c r="B1421" s="4" t="s">
        <v>2273</v>
      </c>
      <c r="C1421" s="4" t="s">
        <v>2276</v>
      </c>
      <c r="D1421" s="4" t="s">
        <v>2277</v>
      </c>
      <c r="E1421" s="4">
        <v>1.0</v>
      </c>
      <c r="F1421" s="4" t="str">
        <f>IFERROR(__xludf.DUMMYFUNCTION("GOOGLETRANSLATE(D1421)"),"荷蘭起重機倒塌拆除房屋：戲劇性的目擊者影片捕捉荷蘭起重機吊裝的瞬間... http://t.co/dYy7ml2NzJ")</f>
        <v>荷蘭起重機倒塌拆除房屋：戲劇性的目擊者影片捕捉荷蘭起重機吊裝的瞬間... http://t.co/dYy7ml2NzJ</v>
      </c>
      <c r="G1421" s="4" t="str">
        <f>IFERROR(__xludf.DUMMYFUNCTION("GOOGLETRANSLATE(B1421)"),"目擊者")</f>
        <v>目擊者</v>
      </c>
    </row>
    <row r="1422" ht="15.75" customHeight="1">
      <c r="A1422" s="4">
        <v>5024.0</v>
      </c>
      <c r="B1422" s="4" t="s">
        <v>2273</v>
      </c>
      <c r="C1422" s="4" t="s">
        <v>627</v>
      </c>
      <c r="D1422" s="4" t="s">
        <v>2278</v>
      </c>
      <c r="E1422" s="4">
        <v>1.0</v>
      </c>
      <c r="F1422" s="4" t="str">
        <f>IFERROR(__xludf.DUMMYFUNCTION("GOOGLETRANSLATE(D1422)"),"閱讀 #Hiroshima 1945 年這一天的目擊者敘述 http://t.co/njAffyjaRz http://t.co/1xHSuEwQn4 #LIFE")</f>
        <v>閱讀 #Hiroshima 1945 年這一天的目擊者敘述 http://t.co/njAffyjaRz http://t.co/1xHSuEwQn4 #LIFE</v>
      </c>
      <c r="G1422" s="4" t="str">
        <f>IFERROR(__xludf.DUMMYFUNCTION("GOOGLETRANSLATE(B1422)"),"目擊者")</f>
        <v>目擊者</v>
      </c>
    </row>
    <row r="1423" ht="15.75" customHeight="1">
      <c r="A1423" s="4">
        <v>5025.0</v>
      </c>
      <c r="B1423" s="4" t="s">
        <v>2273</v>
      </c>
      <c r="D1423" s="4" t="s">
        <v>2279</v>
      </c>
      <c r="E1423" s="4">
        <v>1.0</v>
      </c>
      <c r="F1423" s="4" t="str">
        <f>IFERROR(__xludf.DUMMYFUNCTION("GOOGLETRANSLATE(D1423)"),"有趣的方法，但並不能取代目擊者影片。弗格森案 - 影片 - http://t.co/vEcsoSRleR http://t.co/fiUOgj6hEF")</f>
        <v>有趣的方法，但並不能取代目擊者影片。弗格森案 - 影片 - http://t.co/vEcsoSRleR http://t.co/fiUOgj6hEF</v>
      </c>
      <c r="G1423" s="4" t="str">
        <f>IFERROR(__xludf.DUMMYFUNCTION("GOOGLETRANSLATE(B1423)"),"目擊者")</f>
        <v>目擊者</v>
      </c>
    </row>
    <row r="1424" ht="15.75" customHeight="1">
      <c r="A1424" s="4">
        <v>5027.0</v>
      </c>
      <c r="B1424" s="4" t="s">
        <v>2273</v>
      </c>
      <c r="C1424" s="4" t="s">
        <v>2280</v>
      </c>
      <c r="D1424" s="4" t="s">
        <v>2281</v>
      </c>
      <c r="E1424" s="4">
        <v>1.0</v>
      </c>
      <c r="F1424" s="4" t="str">
        <f>IFERROR(__xludf.DUMMYFUNCTION("GOOGLETRANSLATE(D1424)"),"#ClimateChange 極端天氣的目擊者：11 個社交媒體帖子展示了事情是多麼瘋狂...... http://t.co/czpDn9oBiT #Anarchy")</f>
        <v>#ClimateChange 極端天氣的目擊者：11 個社交媒體帖子展示了事情是多麼瘋狂...... http://t.co/czpDn9oBiT #Anarchy</v>
      </c>
      <c r="G1424" s="4" t="str">
        <f>IFERROR(__xludf.DUMMYFUNCTION("GOOGLETRANSLATE(B1424)"),"目擊者")</f>
        <v>目擊者</v>
      </c>
    </row>
    <row r="1425" ht="15.75" customHeight="1">
      <c r="A1425" s="4">
        <v>5032.0</v>
      </c>
      <c r="B1425" s="4" t="s">
        <v>2273</v>
      </c>
      <c r="C1425" s="4" t="s">
        <v>2282</v>
      </c>
      <c r="D1425" s="4" t="s">
        <v>2283</v>
      </c>
      <c r="E1425" s="4">
        <v>1.0</v>
      </c>
      <c r="F1425" s="4" t="str">
        <f>IFERROR(__xludf.DUMMYFUNCTION("GOOGLETRANSLATE(D1425)"),"孤獨的倖存者：紅翼行動的目擊者敘事與海豹部隊失落的英雄¤_ http://t.co/NXtWXJCAVh http://t.co/oL8ESFRGLE")</f>
        <v>孤獨的倖存者：紅翼行動的目擊者敘事與海豹部隊失落的英雄¤_ http://t.co/NXtWXJCAVh http://t.co/oL8ESFRGLE</v>
      </c>
      <c r="G1425" s="4" t="str">
        <f>IFERROR(__xludf.DUMMYFUNCTION("GOOGLETRANSLATE(B1425)"),"目擊者")</f>
        <v>目擊者</v>
      </c>
    </row>
    <row r="1426" ht="15.75" customHeight="1">
      <c r="A1426" s="4">
        <v>5034.0</v>
      </c>
      <c r="B1426" s="4" t="s">
        <v>2273</v>
      </c>
      <c r="D1426" s="4" t="s">
        <v>2284</v>
      </c>
      <c r="E1426" s="4">
        <v>1.0</v>
      </c>
      <c r="F1426" s="4" t="str">
        <f>IFERROR(__xludf.DUMMYFUNCTION("GOOGLETRANSLATE(D1426)"),"ÛÏ小男孩Û如何影響廣島民眾 ÛÒ目擊者證詞 http://t.co/mUAnfWcRW9")</f>
        <v>ÛÏ小男孩Û如何影響廣島民眾 ÛÒ目擊者證詞 http://t.co/mUAnfWcRW9</v>
      </c>
      <c r="G1426" s="4" t="str">
        <f>IFERROR(__xludf.DUMMYFUNCTION("GOOGLETRANSLATE(B1426)"),"目擊者")</f>
        <v>目擊者</v>
      </c>
    </row>
    <row r="1427" ht="15.75" customHeight="1">
      <c r="A1427" s="4">
        <v>5035.0</v>
      </c>
      <c r="B1427" s="4" t="s">
        <v>2273</v>
      </c>
      <c r="C1427" s="4" t="s">
        <v>2285</v>
      </c>
      <c r="D1427" s="4" t="s">
        <v>2286</v>
      </c>
      <c r="E1427" s="4">
        <v>1.0</v>
      </c>
      <c r="F1427" s="4" t="str">
        <f>IFERROR(__xludf.DUMMYFUNCTION("GOOGLETRANSLATE(D1427)"),"閱讀一名小學生對廣島的目擊者描述 http://t.co/pq0D7MH3qr")</f>
        <v>閱讀一名小學生對廣島的目擊者描述 http://t.co/pq0D7MH3qr</v>
      </c>
      <c r="G1427" s="4" t="str">
        <f>IFERROR(__xludf.DUMMYFUNCTION("GOOGLETRANSLATE(B1427)"),"目擊者")</f>
        <v>目擊者</v>
      </c>
    </row>
    <row r="1428" ht="15.75" customHeight="1">
      <c r="A1428" s="4">
        <v>5037.0</v>
      </c>
      <c r="B1428" s="4" t="s">
        <v>2273</v>
      </c>
      <c r="C1428" s="4" t="s">
        <v>852</v>
      </c>
      <c r="D1428" s="4" t="s">
        <v>2287</v>
      </c>
      <c r="E1428" s="4">
        <v>1.0</v>
      </c>
      <c r="F1428" s="4" t="str">
        <f>IFERROR(__xludf.DUMMYFUNCTION("GOOGLETRANSLATE(D1428)"),"閱讀 #Hiroshima 1945 年這一天的目擊者敘述 http://t.co/QUEDV2xxxX #LIFE")</f>
        <v>閱讀 #Hiroshima 1945 年這一天的目擊者敘述 http://t.co/QUEDV2xxxX #LIFE</v>
      </c>
      <c r="G1428" s="4" t="str">
        <f>IFERROR(__xludf.DUMMYFUNCTION("GOOGLETRANSLATE(B1428)"),"目擊者")</f>
        <v>目擊者</v>
      </c>
    </row>
    <row r="1429" ht="15.75" customHeight="1">
      <c r="A1429" s="4">
        <v>5039.0</v>
      </c>
      <c r="B1429" s="4" t="s">
        <v>2273</v>
      </c>
      <c r="C1429" s="4" t="s">
        <v>2288</v>
      </c>
      <c r="D1429" s="4" t="s">
        <v>2289</v>
      </c>
      <c r="E1429" s="4">
        <v>1.0</v>
      </c>
      <c r="F1429" s="4" t="str">
        <f>IFERROR(__xludf.DUMMYFUNCTION("GOOGLETRANSLATE(D1429)"),"醒來吧，克恩縣目擊者新聞早間正在 KBAK CBS29 上播出。 http://t.co/rorKtMpqNs #liveonKBAK http://t.co/eDznX6GOud")</f>
        <v>醒來吧，克恩縣目擊者新聞早間正在 KBAK CBS29 上播出。 http://t.co/rorKtMpqNs #liveonKBAK http://t.co/eDznX6GOud</v>
      </c>
      <c r="G1429" s="4" t="str">
        <f>IFERROR(__xludf.DUMMYFUNCTION("GOOGLETRANSLATE(B1429)"),"目擊者")</f>
        <v>目擊者</v>
      </c>
    </row>
    <row r="1430" ht="15.75" customHeight="1">
      <c r="A1430" s="4">
        <v>5040.0</v>
      </c>
      <c r="B1430" s="4" t="s">
        <v>2273</v>
      </c>
      <c r="C1430" s="4" t="s">
        <v>620</v>
      </c>
      <c r="D1430" s="4" t="s">
        <v>2290</v>
      </c>
      <c r="E1430" s="4">
        <v>1.0</v>
      </c>
      <c r="F1430" s="4" t="str">
        <f>IFERROR(__xludf.DUMMYFUNCTION("GOOGLETRANSLATE(D1430)"),"廣島原子彈爆炸週年紀念日，圖解了爆炸事件的時間表。目擊者的敘述特別恐怖 http://t.co/GZIb0mAwmn")</f>
        <v>廣島原子彈爆炸週年紀念日，圖解了爆炸事件的時間表。目擊者的敘述特別恐怖 http://t.co/GZIb0mAwmn</v>
      </c>
      <c r="G1430" s="4" t="str">
        <f>IFERROR(__xludf.DUMMYFUNCTION("GOOGLETRANSLATE(B1430)"),"目擊者")</f>
        <v>目擊者</v>
      </c>
    </row>
    <row r="1431" ht="15.75" customHeight="1">
      <c r="A1431" s="4">
        <v>5046.0</v>
      </c>
      <c r="B1431" s="4" t="s">
        <v>2273</v>
      </c>
      <c r="C1431" s="4" t="s">
        <v>89</v>
      </c>
      <c r="D1431" s="4" t="s">
        <v>2291</v>
      </c>
      <c r="E1431" s="4">
        <v>1.0</v>
      </c>
      <c r="F1431" s="4" t="str">
        <f>IFERROR(__xludf.DUMMYFUNCTION("GOOGLETRANSLATE(D1431)"),"RT patrickjbutler：達米恩蓋爾 (damiengayle) 出色的兒童公司倒閉目擊者的描述：「你扔下炸彈並期待Û_ http://t.co/pHH1VmLfoo")</f>
        <v>RT patrickjbutler：達米恩蓋爾 (damiengayle) 出色的兒童公司倒閉目擊者的描述：「你扔下炸彈並期待Û_ http://t.co/pHH1VmLfoo</v>
      </c>
      <c r="G1431" s="4" t="str">
        <f>IFERROR(__xludf.DUMMYFUNCTION("GOOGLETRANSLATE(B1431)"),"目擊者")</f>
        <v>目擊者</v>
      </c>
    </row>
    <row r="1432" ht="15.75" customHeight="1">
      <c r="A1432" s="4">
        <v>5061.0</v>
      </c>
      <c r="B1432" s="4" t="s">
        <v>2292</v>
      </c>
      <c r="D1432" s="4" t="s">
        <v>2293</v>
      </c>
      <c r="E1432" s="4">
        <v>1.0</v>
      </c>
      <c r="F1432" s="4" t="str">
        <f>IFERROR(__xludf.DUMMYFUNCTION("GOOGLETRANSLATE(D1432)"),"俄羅斯「食物火葬場」在危機飢荒記憶中激起憤怒：莫斯科（路透社）-俄羅斯政府...... http://t.co/Mphog0QDDN")</f>
        <v>俄羅斯「食物火葬場」在危機飢荒記憶中激起憤怒：莫斯科（路透社）-俄羅斯政府...... http://t.co/Mphog0QDDN</v>
      </c>
      <c r="G1432" s="4" t="str">
        <f>IFERROR(__xludf.DUMMYFUNCTION("GOOGLETRANSLATE(B1432)"),"飢荒")</f>
        <v>飢荒</v>
      </c>
    </row>
    <row r="1433" ht="15.75" customHeight="1">
      <c r="A1433" s="4">
        <v>5063.0</v>
      </c>
      <c r="B1433" s="4" t="s">
        <v>2292</v>
      </c>
      <c r="C1433" s="4" t="s">
        <v>2294</v>
      </c>
      <c r="D1433" s="4" t="s">
        <v>2295</v>
      </c>
      <c r="E1433" s="4">
        <v>1.0</v>
      </c>
      <c r="F1433" s="4" t="str">
        <f>IFERROR(__xludf.DUMMYFUNCTION("GOOGLETRANSLATE(D1433)"),"「食物火葬場」在危機飢荒記憶中激起憤怒...... http://t.co/fABVlvN5MS")</f>
        <v>「食物火葬場」在危機飢荒記憶中激起憤怒...... http://t.co/fABVlvN5MS</v>
      </c>
      <c r="G1433" s="4" t="str">
        <f>IFERROR(__xludf.DUMMYFUNCTION("GOOGLETRANSLATE(B1433)"),"飢荒")</f>
        <v>飢荒</v>
      </c>
    </row>
    <row r="1434" ht="15.75" customHeight="1">
      <c r="A1434" s="4">
        <v>5064.0</v>
      </c>
      <c r="B1434" s="4" t="s">
        <v>2292</v>
      </c>
      <c r="C1434" s="4" t="s">
        <v>2296</v>
      </c>
      <c r="D1434" s="4" t="s">
        <v>2297</v>
      </c>
      <c r="E1434" s="4">
        <v>1.0</v>
      </c>
      <c r="F1434" s="4" t="str">
        <f>IFERROR(__xludf.DUMMYFUNCTION("GOOGLETRANSLATE(D1434)"),"#俄羅斯「食物火葬場」在貧窮加劇的國家激起憤怒+蘇聯飢荒記憶http://t.co/vymOuZjZRe http://t.co/eNRJh5Qkve")</f>
        <v>#俄羅斯「食物火葬場」在貧窮加劇的國家激起憤怒+蘇聯飢荒記憶http://t.co/vymOuZjZRe http://t.co/eNRJh5Qkve</v>
      </c>
      <c r="G1434" s="4" t="str">
        <f>IFERROR(__xludf.DUMMYFUNCTION("GOOGLETRANSLATE(B1434)"),"飢荒")</f>
        <v>飢荒</v>
      </c>
    </row>
    <row r="1435" ht="15.75" customHeight="1">
      <c r="A1435" s="4">
        <v>5071.0</v>
      </c>
      <c r="B1435" s="4" t="s">
        <v>2292</v>
      </c>
      <c r="D1435" s="4" t="s">
        <v>2298</v>
      </c>
      <c r="E1435" s="4">
        <v>1.0</v>
      </c>
      <c r="F1435" s="4" t="str">
        <f>IFERROR(__xludf.DUMMYFUNCTION("GOOGLETRANSLATE(D1435)"),"俄羅斯「食物火葬場」在危機飢荒記憶中激起憤怒 http://t.co/O4xLjnaV8F")</f>
        <v>俄羅斯「食物火葬場」在危機飢荒記憶中激起憤怒 http://t.co/O4xLjnaV8F</v>
      </c>
      <c r="G1435" s="4" t="str">
        <f>IFERROR(__xludf.DUMMYFUNCTION("GOOGLETRANSLATE(B1435)"),"飢荒")</f>
        <v>飢荒</v>
      </c>
    </row>
    <row r="1436" ht="15.75" customHeight="1">
      <c r="A1436" s="4">
        <v>5073.0</v>
      </c>
      <c r="B1436" s="4" t="s">
        <v>2292</v>
      </c>
      <c r="C1436" s="4" t="s">
        <v>708</v>
      </c>
      <c r="D1436" s="4" t="s">
        <v>2299</v>
      </c>
      <c r="E1436" s="4">
        <v>1.0</v>
      </c>
      <c r="F1436" s="4" t="str">
        <f>IFERROR(__xludf.DUMMYFUNCTION("GOOGLETRANSLATE(D1436)"),"美國首都為數百萬人在大饑荒中喪生的人建立了紀念碑。 http://t.co/Dj1LWZNIEH http://t.co/I9MxXkzHbL")</f>
        <v>美國首都為數百萬人在大饑荒中喪生的人建立了紀念碑。 http://t.co/Dj1LWZNIEH http://t.co/I9MxXkzHbL</v>
      </c>
      <c r="G1436" s="4" t="str">
        <f>IFERROR(__xludf.DUMMYFUNCTION("GOOGLETRANSLATE(B1436)"),"飢荒")</f>
        <v>飢荒</v>
      </c>
    </row>
    <row r="1437" ht="15.75" customHeight="1">
      <c r="A1437" s="4">
        <v>5074.0</v>
      </c>
      <c r="B1437" s="4" t="s">
        <v>2292</v>
      </c>
      <c r="C1437" s="4" t="s">
        <v>2300</v>
      </c>
      <c r="D1437" s="4" t="s">
        <v>2301</v>
      </c>
      <c r="E1437" s="4">
        <v>1.0</v>
      </c>
      <c r="F1437" s="4" t="str">
        <f>IFERROR(__xludf.DUMMYFUNCTION("GOOGLETRANSLATE(D1437)"),"出口糧食並不能解決問題。非洲人將透過解決失控的部落戰爭來結束飢荒和貧窮。 https://t.co/UttaNbigRx")</f>
        <v>出口糧食並不能解決問題。非洲人將透過解決失控的部落戰爭來結束飢荒和貧窮。 https://t.co/UttaNbigRx</v>
      </c>
      <c r="G1437" s="4" t="str">
        <f>IFERROR(__xludf.DUMMYFUNCTION("GOOGLETRANSLATE(B1437)"),"飢荒")</f>
        <v>飢荒</v>
      </c>
    </row>
    <row r="1438" ht="15.75" customHeight="1">
      <c r="A1438" s="4">
        <v>5075.0</v>
      </c>
      <c r="B1438" s="4" t="s">
        <v>2292</v>
      </c>
      <c r="D1438" s="4" t="s">
        <v>2302</v>
      </c>
      <c r="E1438" s="4">
        <v>1.0</v>
      </c>
      <c r="F1438" s="4" t="str">
        <f>IFERROR(__xludf.DUMMYFUNCTION("GOOGLETRANSLATE(D1438)"),"「食物火葬場」在危機飢荒記憶中激起憤怒...... http://t.co/REsxAvgpyJ")</f>
        <v>「食物火葬場」在危機飢荒記憶中激起憤怒...... http://t.co/REsxAvgpyJ</v>
      </c>
      <c r="G1438" s="4" t="str">
        <f>IFERROR(__xludf.DUMMYFUNCTION("GOOGLETRANSLATE(B1438)"),"飢荒")</f>
        <v>飢荒</v>
      </c>
    </row>
    <row r="1439" ht="15.75" customHeight="1">
      <c r="A1439" s="4">
        <v>5076.0</v>
      </c>
      <c r="B1439" s="4" t="s">
        <v>2292</v>
      </c>
      <c r="D1439" s="4" t="s">
        <v>2303</v>
      </c>
      <c r="E1439" s="4">
        <v>1.0</v>
      </c>
      <c r="F1439" s="4" t="str">
        <f>IFERROR(__xludf.DUMMYFUNCTION("GOOGLETRANSLATE(D1439)"),"新文章：俄羅斯「食物火葬場」在危機飢荒記憶中激起憤怒 點擊此處閱讀更多內容 http://t.co/9HiEiFHSmC")</f>
        <v>新文章：俄羅斯「食物火葬場」在危機飢荒記憶中激起憤怒 點擊此處閱讀更多內容 http://t.co/9HiEiFHSmC</v>
      </c>
      <c r="G1439" s="4" t="str">
        <f>IFERROR(__xludf.DUMMYFUNCTION("GOOGLETRANSLATE(B1439)"),"飢荒")</f>
        <v>飢荒</v>
      </c>
    </row>
    <row r="1440" ht="15.75" customHeight="1">
      <c r="A1440" s="4">
        <v>5079.0</v>
      </c>
      <c r="B1440" s="4" t="s">
        <v>2292</v>
      </c>
      <c r="C1440" s="4" t="s">
        <v>1248</v>
      </c>
      <c r="D1440" s="4" t="s">
        <v>2304</v>
      </c>
      <c r="E1440" s="4">
        <v>1.0</v>
      </c>
      <c r="F1440" s="4" t="str">
        <f>IFERROR(__xludf.DUMMYFUNCTION("GOOGLETRANSLATE(D1440)"),"飢荒即將結束#Bluebell http://t.co/p9ryMfjcUX")</f>
        <v>飢荒即將結束#Bluebell http://t.co/p9ryMfjcUX</v>
      </c>
      <c r="G1440" s="4" t="str">
        <f>IFERROR(__xludf.DUMMYFUNCTION("GOOGLETRANSLATE(B1440)"),"飢荒")</f>
        <v>飢荒</v>
      </c>
    </row>
    <row r="1441" ht="15.75" customHeight="1">
      <c r="A1441" s="4">
        <v>5082.0</v>
      </c>
      <c r="B1441" s="4" t="s">
        <v>2292</v>
      </c>
      <c r="D1441" s="4" t="s">
        <v>2305</v>
      </c>
      <c r="E1441" s="4">
        <v>1.0</v>
      </c>
      <c r="F1441" s="4" t="str">
        <f>IFERROR(__xludf.DUMMYFUNCTION("GOOGLETRANSLATE(D1441)"),"俄羅斯「食物火葬場」在危機飢荒記憶中激起憤怒 http://t.co/GyH00mRKjm")</f>
        <v>俄羅斯「食物火葬場」在危機飢荒記憶中激起憤怒 http://t.co/GyH00mRKjm</v>
      </c>
      <c r="G1441" s="4" t="str">
        <f>IFERROR(__xludf.DUMMYFUNCTION("GOOGLETRANSLATE(B1441)"),"飢荒")</f>
        <v>飢荒</v>
      </c>
    </row>
    <row r="1442" ht="15.75" customHeight="1">
      <c r="A1442" s="4">
        <v>5083.0</v>
      </c>
      <c r="B1442" s="4" t="s">
        <v>2292</v>
      </c>
      <c r="C1442" s="4" t="s">
        <v>2306</v>
      </c>
      <c r="D1442" s="4" t="s">
        <v>2307</v>
      </c>
      <c r="E1442" s="4">
        <v>1.0</v>
      </c>
      <c r="F1442" s="4" t="str">
        <f>IFERROR(__xludf.DUMMYFUNCTION("GOOGLETRANSLATE(D1442)"),"俄羅斯銷毀糧食，而人們卻挨餓。我們並不是唯一擁有瘋狂政府的國家。
http://t.co/ZonNqGsxYw")</f>
        <v>俄羅斯銷毀糧食，而人們卻挨餓。我們並不是唯一擁有瘋狂政府的國家。
http://t.co/ZonNqGsxYw</v>
      </c>
      <c r="G1442" s="4" t="str">
        <f>IFERROR(__xludf.DUMMYFUNCTION("GOOGLETRANSLATE(B1442)"),"飢荒")</f>
        <v>飢荒</v>
      </c>
    </row>
    <row r="1443" ht="15.75" customHeight="1">
      <c r="A1443" s="4">
        <v>5085.0</v>
      </c>
      <c r="B1443" s="4" t="s">
        <v>2292</v>
      </c>
      <c r="D1443" s="4" t="s">
        <v>2308</v>
      </c>
      <c r="E1443" s="4">
        <v>1.0</v>
      </c>
      <c r="F1443" s="4" t="str">
        <f>IFERROR(__xludf.DUMMYFUNCTION("GOOGLETRANSLATE(D1443)"),"@FinancialTimes 當埃塞俄比亞東部發生兩年飢荒時，埃塞俄比亞政權繼續接受外國援助 https://t.co/2fGgzQn1v4")</f>
        <v>@FinancialTimes 當埃塞俄比亞東部發生兩年飢荒時，埃塞俄比亞政權繼續接受外國援助 https://t.co/2fGgzQn1v4</v>
      </c>
      <c r="G1443" s="4" t="str">
        <f>IFERROR(__xludf.DUMMYFUNCTION("GOOGLETRANSLATE(B1443)"),"飢荒")</f>
        <v>飢荒</v>
      </c>
    </row>
    <row r="1444" ht="15.75" customHeight="1">
      <c r="A1444" s="4">
        <v>5087.0</v>
      </c>
      <c r="B1444" s="4" t="s">
        <v>2292</v>
      </c>
      <c r="C1444" s="4" t="s">
        <v>2309</v>
      </c>
      <c r="D1444" s="4" t="s">
        <v>2310</v>
      </c>
      <c r="E1444" s="4">
        <v>1.0</v>
      </c>
      <c r="F1444" s="4" t="str">
        <f>IFERROR(__xludf.DUMMYFUNCTION("GOOGLETRANSLATE(D1444)"),"路透社：俄羅斯「食品火葬場」在危機飢荒記憶中激起憤怒 http://t.co/SI02QRgukA http://t.co/0C1y8g7E9p")</f>
        <v>路透社：俄羅斯「食品火葬場」在危機飢荒記憶中激起憤怒 http://t.co/SI02QRgukA http://t.co/0C1y8g7E9p</v>
      </c>
      <c r="G1444" s="4" t="str">
        <f>IFERROR(__xludf.DUMMYFUNCTION("GOOGLETRANSLATE(B1444)"),"飢荒")</f>
        <v>飢荒</v>
      </c>
    </row>
    <row r="1445" ht="15.75" customHeight="1">
      <c r="A1445" s="4">
        <v>5089.0</v>
      </c>
      <c r="B1445" s="4" t="s">
        <v>2292</v>
      </c>
      <c r="C1445" s="4" t="s">
        <v>2311</v>
      </c>
      <c r="D1445" s="4" t="s">
        <v>2312</v>
      </c>
      <c r="E1445" s="4">
        <v>1.0</v>
      </c>
      <c r="F1445" s="4" t="str">
        <f>IFERROR(__xludf.DUMMYFUNCTION("GOOGLETRANSLATE(D1445)"),"俄羅斯「食物火葬場」在飢荒危機中激起憤怒 記憶 http://t.co/sGECNKFThU")</f>
        <v>俄羅斯「食物火葬場」在飢荒危機中激起憤怒 記憶 http://t.co/sGECNKFThU</v>
      </c>
      <c r="G1445" s="4" t="str">
        <f>IFERROR(__xludf.DUMMYFUNCTION("GOOGLETRANSLATE(B1445)"),"飢荒")</f>
        <v>飢荒</v>
      </c>
    </row>
    <row r="1446" ht="15.75" customHeight="1">
      <c r="A1446" s="4">
        <v>5092.0</v>
      </c>
      <c r="B1446" s="4" t="s">
        <v>2292</v>
      </c>
      <c r="D1446" s="4" t="s">
        <v>2313</v>
      </c>
      <c r="E1446" s="4">
        <v>1.0</v>
      </c>
      <c r="F1446" s="4" t="str">
        <f>IFERROR(__xludf.DUMMYFUNCTION("GOOGLETRANSLATE(D1446)"),"布爾什維克政府壟斷糧食供應，以奪取飢餓人口的權力。結果是人為飢荒 https://t.co/0xOUv7DHWz")</f>
        <v>布爾什維克政府壟斷糧食供應，以奪取飢餓人口的權力。結果是人為飢荒 https://t.co/0xOUv7DHWz</v>
      </c>
      <c r="G1446" s="4" t="str">
        <f>IFERROR(__xludf.DUMMYFUNCTION("GOOGLETRANSLATE(B1446)"),"飢荒")</f>
        <v>飢荒</v>
      </c>
    </row>
    <row r="1447" ht="15.75" customHeight="1">
      <c r="A1447" s="4">
        <v>5094.0</v>
      </c>
      <c r="B1447" s="4" t="s">
        <v>2292</v>
      </c>
      <c r="C1447" s="4" t="s">
        <v>627</v>
      </c>
      <c r="D1447" s="4" t="s">
        <v>2314</v>
      </c>
      <c r="E1447" s="4">
        <v>1.0</v>
      </c>
      <c r="F1447" s="4" t="str">
        <f>IFERROR(__xludf.DUMMYFUNCTION("GOOGLETRANSLATE(D1447)"),"俄羅斯「食物火葬場」在危機飢荒記憶中激起憤怒 http://t.co/h6Z7hXUqtu 來自 @YahooNews")</f>
        <v>俄羅斯「食物火葬場」在危機飢荒記憶中激起憤怒 http://t.co/h6Z7hXUqtu 來自 @YahooNews</v>
      </c>
      <c r="G1447" s="4" t="str">
        <f>IFERROR(__xludf.DUMMYFUNCTION("GOOGLETRANSLATE(B1447)"),"飢荒")</f>
        <v>飢荒</v>
      </c>
    </row>
    <row r="1448" ht="15.75" customHeight="1">
      <c r="A1448" s="4">
        <v>5095.0</v>
      </c>
      <c r="B1448" s="4" t="s">
        <v>2292</v>
      </c>
      <c r="C1448" s="4" t="s">
        <v>542</v>
      </c>
      <c r="D1448" s="4" t="s">
        <v>2315</v>
      </c>
      <c r="E1448" s="4">
        <v>1.0</v>
      </c>
      <c r="F1448" s="4" t="str">
        <f>IFERROR(__xludf.DUMMYFUNCTION("GOOGLETRANSLATE(D1448)"),"我第一次聞到腐爛馬鈴薯的味道。如果整個國家都散發著那樣的氣味，飢荒一定很可怕。")</f>
        <v>我第一次聞到腐爛馬鈴薯的味道。如果整個國家都散發著那樣的氣味，飢荒一定很可怕。</v>
      </c>
      <c r="G1448" s="4" t="str">
        <f>IFERROR(__xludf.DUMMYFUNCTION("GOOGLETRANSLATE(B1448)"),"飢荒")</f>
        <v>飢荒</v>
      </c>
    </row>
    <row r="1449" ht="15.75" customHeight="1">
      <c r="A1449" s="4">
        <v>5096.0</v>
      </c>
      <c r="B1449" s="4" t="s">
        <v>2292</v>
      </c>
      <c r="C1449" s="4" t="s">
        <v>1749</v>
      </c>
      <c r="D1449" s="4" t="s">
        <v>2316</v>
      </c>
      <c r="E1449" s="4">
        <v>1.0</v>
      </c>
      <c r="F1449" s="4" t="str">
        <f>IFERROR(__xludf.DUMMYFUNCTION("GOOGLETRANSLATE(D1449)"),"http://t.co/x1x6d5Enef 俄羅斯「食物火葬場」在危機飢荒記憶中激起憤怒 http://t.co/XhehJFFT7g")</f>
        <v>http://t.co/x1x6d5Enef 俄羅斯「食物火葬場」在危機飢荒記憶中激起憤怒 http://t.co/XhehJFFT7g</v>
      </c>
      <c r="G1449" s="4" t="str">
        <f>IFERROR(__xludf.DUMMYFUNCTION("GOOGLETRANSLATE(B1449)"),"飢荒")</f>
        <v>飢荒</v>
      </c>
    </row>
    <row r="1450" ht="15.75" customHeight="1">
      <c r="A1450" s="4">
        <v>5098.0</v>
      </c>
      <c r="B1450" s="4" t="s">
        <v>2292</v>
      </c>
      <c r="C1450" s="4" t="s">
        <v>2317</v>
      </c>
      <c r="D1450" s="4" t="s">
        <v>2318</v>
      </c>
      <c r="E1450" s="4">
        <v>1.0</v>
      </c>
      <c r="F1450" s="4" t="str">
        <f>IFERROR(__xludf.DUMMYFUNCTION("GOOGLETRANSLATE(D1450)"),"@SavageNation 讓我想起當史達林的軍隊來「重新分配財富」時，農民們毀掉了他們的食物。它導致了飢荒/死亡")</f>
        <v>@SavageNation 讓我想起當史達林的軍隊來「重新分配財富」時，農民們毀掉了他們的食物。它導致了飢荒/死亡</v>
      </c>
      <c r="G1450" s="4" t="str">
        <f>IFERROR(__xludf.DUMMYFUNCTION("GOOGLETRANSLATE(B1450)"),"飢荒")</f>
        <v>飢荒</v>
      </c>
    </row>
    <row r="1451" ht="15.75" customHeight="1">
      <c r="A1451" s="4">
        <v>5099.0</v>
      </c>
      <c r="B1451" s="4" t="s">
        <v>2292</v>
      </c>
      <c r="C1451" s="4" t="s">
        <v>1406</v>
      </c>
      <c r="D1451" s="4" t="s">
        <v>2319</v>
      </c>
      <c r="E1451" s="4">
        <v>1.0</v>
      </c>
      <c r="F1451" s="4" t="str">
        <f>IFERROR(__xludf.DUMMYFUNCTION("GOOGLETRANSLATE(D1451)"),"更新1-俄羅斯「食物火葬場」在危機飢荒記憶中激起憤怒：*俄羅斯社會仍然回憶...http://t.co/J2erZbMjQD")</f>
        <v>更新1-俄羅斯「食物火葬場」在危機飢荒記憶中激起憤怒：*俄羅斯社會仍然回憶...http://t.co/J2erZbMjQD</v>
      </c>
      <c r="G1451" s="4" t="str">
        <f>IFERROR(__xludf.DUMMYFUNCTION("GOOGLETRANSLATE(B1451)"),"飢荒")</f>
        <v>飢荒</v>
      </c>
    </row>
    <row r="1452" ht="15.75" customHeight="1">
      <c r="A1452" s="4">
        <v>5101.0</v>
      </c>
      <c r="B1452" s="4" t="s">
        <v>2292</v>
      </c>
      <c r="D1452" s="4" t="s">
        <v>2320</v>
      </c>
      <c r="E1452" s="4">
        <v>1.0</v>
      </c>
      <c r="F1452" s="4" t="str">
        <f>IFERROR(__xludf.DUMMYFUNCTION("GOOGLETRANSLATE(D1452)"),"《我的冒險》#9 飢荒結束了 http://t.co/spYmIQNeCj")</f>
        <v>《我的冒險》#9 飢荒結束了 http://t.co/spYmIQNeCj</v>
      </c>
      <c r="G1452" s="4" t="str">
        <f>IFERROR(__xludf.DUMMYFUNCTION("GOOGLETRANSLATE(B1452)"),"飢荒")</f>
        <v>飢荒</v>
      </c>
    </row>
    <row r="1453" ht="15.75" customHeight="1">
      <c r="A1453" s="4">
        <v>5102.0</v>
      </c>
      <c r="B1453" s="4" t="s">
        <v>2292</v>
      </c>
      <c r="C1453" s="4" t="s">
        <v>2309</v>
      </c>
      <c r="D1453" s="4" t="s">
        <v>2321</v>
      </c>
      <c r="E1453" s="4">
        <v>1.0</v>
      </c>
      <c r="F1453" s="4" t="str">
        <f>IFERROR(__xludf.DUMMYFUNCTION("GOOGLETRANSLATE(D1453)"),"俄羅斯「食物火葬場」在危機飢荒記憶中激起憤怒
http://t.co/FelR5a1hBP")</f>
        <v>俄羅斯「食物火葬場」在危機飢荒記憶中激起憤怒
http://t.co/FelR5a1hBP</v>
      </c>
      <c r="G1453" s="4" t="str">
        <f>IFERROR(__xludf.DUMMYFUNCTION("GOOGLETRANSLATE(B1453)"),"飢荒")</f>
        <v>飢荒</v>
      </c>
    </row>
    <row r="1454" ht="15.75" customHeight="1">
      <c r="A1454" s="4">
        <v>5104.0</v>
      </c>
      <c r="B1454" s="4" t="s">
        <v>2292</v>
      </c>
      <c r="D1454" s="4" t="s">
        <v>2322</v>
      </c>
      <c r="E1454" s="4">
        <v>1.0</v>
      </c>
      <c r="F1454" s="4" t="str">
        <f>IFERROR(__xludf.DUMMYFUNCTION("GOOGLETRANSLATE(D1454)"),"#俄羅斯食品火葬場在危機飢荒記憶中激起憤怒http://t.co/FjeaFgbZfJ")</f>
        <v>#俄羅斯食品火葬場在危機飢荒記憶中激起憤怒http://t.co/FjeaFgbZfJ</v>
      </c>
      <c r="G1454" s="4" t="str">
        <f>IFERROR(__xludf.DUMMYFUNCTION("GOOGLETRANSLATE(B1454)"),"飢荒")</f>
        <v>飢荒</v>
      </c>
    </row>
    <row r="1455" ht="15.75" customHeight="1">
      <c r="A1455" s="4">
        <v>5106.0</v>
      </c>
      <c r="B1455" s="4" t="s">
        <v>2292</v>
      </c>
      <c r="C1455" s="4" t="s">
        <v>2323</v>
      </c>
      <c r="D1455" s="4" t="s">
        <v>2324</v>
      </c>
      <c r="E1455" s="4">
        <v>1.0</v>
      </c>
      <c r="F1455" s="4" t="str">
        <f>IFERROR(__xludf.DUMMYFUNCTION("GOOGLETRANSLATE(D1455)"),"馬拉塔襲擊者燒毀了他們的土地1943 年飢荒期間，旁遮普邦拒絕向他們提供糧食援助，想知道孟加拉人是否懷有“怨恨”")</f>
        <v>馬拉塔襲擊者燒毀了他們的土地1943 年飢荒期間，旁遮普邦拒絕向他們提供糧食援助，想知道孟加拉人是否懷有“怨恨”</v>
      </c>
      <c r="G1455" s="4" t="str">
        <f>IFERROR(__xludf.DUMMYFUNCTION("GOOGLETRANSLATE(B1455)"),"飢荒")</f>
        <v>飢荒</v>
      </c>
    </row>
    <row r="1456" ht="15.75" customHeight="1">
      <c r="A1456" s="4">
        <v>5107.0</v>
      </c>
      <c r="B1456" s="4" t="s">
        <v>2292</v>
      </c>
      <c r="C1456" s="4" t="s">
        <v>2325</v>
      </c>
      <c r="D1456" s="4" t="s">
        <v>2326</v>
      </c>
      <c r="E1456" s="4">
        <v>1.0</v>
      </c>
      <c r="F1456" s="4" t="str">
        <f>IFERROR(__xludf.DUMMYFUNCTION("GOOGLETRANSLATE(D1456)"),"飢荒的圖像 ÛÒ 基督裡的希望 - 一個關於當我們忘記上帝時會發生什麼的博客 http://t.co/9BLiDdNGtF #HopeinChrist @lifelettercafe")</f>
        <v>飢荒的圖像 ÛÒ 基督裡的希望 - 一個關於當我們忘記上帝時會發生什麼的博客 http://t.co/9BLiDdNGtF #HopeinChrist @lifelettercafe</v>
      </c>
      <c r="G1456" s="4" t="str">
        <f>IFERROR(__xludf.DUMMYFUNCTION("GOOGLETRANSLATE(B1456)"),"飢荒")</f>
        <v>飢荒</v>
      </c>
    </row>
    <row r="1457" ht="15.75" customHeight="1">
      <c r="A1457" s="4">
        <v>5110.0</v>
      </c>
      <c r="B1457" s="4" t="s">
        <v>2292</v>
      </c>
      <c r="C1457" s="4" t="s">
        <v>2327</v>
      </c>
      <c r="D1457" s="4" t="s">
        <v>2328</v>
      </c>
      <c r="E1457" s="4">
        <v>1.0</v>
      </c>
      <c r="F1457" s="4" t="str">
        <f>IFERROR(__xludf.DUMMYFUNCTION("GOOGLETRANSLATE(D1457)"),"俄羅斯「食物火葬場」在危機飢荒記憶中激起憤怒 - 雅虎新聞 http://t.co/6siiRlnV6z")</f>
        <v>俄羅斯「食物火葬場」在危機飢荒記憶中激起憤怒 - 雅虎新聞 http://t.co/6siiRlnV6z</v>
      </c>
      <c r="G1457" s="4" t="str">
        <f>IFERROR(__xludf.DUMMYFUNCTION("GOOGLETRANSLATE(B1457)"),"飢荒")</f>
        <v>飢荒</v>
      </c>
    </row>
    <row r="1458" ht="15.75" customHeight="1">
      <c r="A1458" s="4">
        <v>5113.0</v>
      </c>
      <c r="B1458" s="4" t="s">
        <v>2329</v>
      </c>
      <c r="D1458" s="4" t="s">
        <v>2330</v>
      </c>
      <c r="E1458" s="4">
        <v>1.0</v>
      </c>
      <c r="F1458" s="4" t="str">
        <f>IFERROR(__xludf.DUMMYFUNCTION("GOOGLETRANSLATE(D1458)"),"11 歲男孩被指控過失殺人幼兒：報告：一名 11 歲男孩被指控過失殺人罪...")</f>
        <v>11 歲男孩被指控過失殺人幼兒：報告：一名 11 歲男孩被指控過失殺人罪...</v>
      </c>
      <c r="G1458" s="4" t="str">
        <f>IFERROR(__xludf.DUMMYFUNCTION("GOOGLETRANSLATE(B1458)"),"致命的")</f>
        <v>致命的</v>
      </c>
    </row>
    <row r="1459" ht="15.75" customHeight="1">
      <c r="A1459" s="4">
        <v>5115.0</v>
      </c>
      <c r="B1459" s="4" t="s">
        <v>2329</v>
      </c>
      <c r="C1459" s="4" t="s">
        <v>1361</v>
      </c>
      <c r="D1459" s="4" t="s">
        <v>2331</v>
      </c>
      <c r="E1459" s="4">
        <v>1.0</v>
      </c>
      <c r="F1459" s="4" t="str">
        <f>IFERROR(__xludf.DUMMYFUNCTION("GOOGLETRANSLATE(D1459)"),"11 歲男孩因槍殺伊利亞沃克 (Elijah Walker) 被控過失殺人罪：這名 11 歲男孩週三出現在... http://t.co/gtcFfaCvam")</f>
        <v>11 歲男孩因槍殺伊利亞沃克 (Elijah Walker) 被控過失殺人罪：這名 11 歲男孩週三出現在... http://t.co/gtcFfaCvam</v>
      </c>
      <c r="G1459" s="4" t="str">
        <f>IFERROR(__xludf.DUMMYFUNCTION("GOOGLETRANSLATE(B1459)"),"致命的")</f>
        <v>致命的</v>
      </c>
    </row>
    <row r="1460" ht="15.75" customHeight="1">
      <c r="A1460" s="4">
        <v>5117.0</v>
      </c>
      <c r="B1460" s="4" t="s">
        <v>2329</v>
      </c>
      <c r="C1460" s="4" t="s">
        <v>1506</v>
      </c>
      <c r="D1460" s="4" t="s">
        <v>2332</v>
      </c>
      <c r="E1460" s="4">
        <v>1.0</v>
      </c>
      <c r="F1460" s="4" t="str">
        <f>IFERROR(__xludf.DUMMYFUNCTION("GOOGLETRANSLATE(D1460)"),"APD 正在調查安克雷奇東南部 3 歲兒童被槍殺的事件 http://t.co/qYccvUubkr")</f>
        <v>APD 正在調查安克雷奇東南部 3 歲兒童被槍殺的事件 http://t.co/qYccvUubkr</v>
      </c>
      <c r="G1460" s="4" t="str">
        <f>IFERROR(__xludf.DUMMYFUNCTION("GOOGLETRANSLATE(B1460)"),"致命的")</f>
        <v>致命的</v>
      </c>
    </row>
    <row r="1461" ht="15.75" customHeight="1">
      <c r="A1461" s="4">
        <v>5119.0</v>
      </c>
      <c r="B1461" s="4" t="s">
        <v>2329</v>
      </c>
      <c r="C1461" s="4" t="s">
        <v>2333</v>
      </c>
      <c r="D1461" s="4" t="s">
        <v>2334</v>
      </c>
      <c r="E1461" s="4">
        <v>1.0</v>
      </c>
      <c r="F1461" s="4" t="str">
        <f>IFERROR(__xludf.DUMMYFUNCTION("GOOGLETRANSLATE(D1461)"),"調查人員將注意力轉向懷馬特致命火災的原因 http://t.co/c9dVDsSoFn")</f>
        <v>調查人員將注意力轉向懷馬特致命火災的原因 http://t.co/c9dVDsSoFn</v>
      </c>
      <c r="G1461" s="4" t="str">
        <f>IFERROR(__xludf.DUMMYFUNCTION("GOOGLETRANSLATE(B1461)"),"致命的")</f>
        <v>致命的</v>
      </c>
    </row>
    <row r="1462" ht="15.75" customHeight="1">
      <c r="A1462" s="4">
        <v>5122.0</v>
      </c>
      <c r="B1462" s="4" t="s">
        <v>2329</v>
      </c>
      <c r="C1462" s="4" t="s">
        <v>2335</v>
      </c>
      <c r="D1462" s="4" t="s">
        <v>2336</v>
      </c>
      <c r="E1462" s="4">
        <v>1.0</v>
      </c>
      <c r="F1462" s="4" t="str">
        <f>IFERROR(__xludf.DUMMYFUNCTION("GOOGLETRANSLATE(D1462)"),"警方：30歲出頭的男子在佛蒙特州街槍擊後死亡：http://t.co/HteZ4z48Od http://t.co/Eq4rXC9bb3")</f>
        <v>警方：30歲出頭的男子在佛蒙特州街槍擊後死亡：http://t.co/HteZ4z48Od http://t.co/Eq4rXC9bb3</v>
      </c>
      <c r="G1462" s="4" t="str">
        <f>IFERROR(__xludf.DUMMYFUNCTION("GOOGLETRANSLATE(B1462)"),"致命的")</f>
        <v>致命的</v>
      </c>
    </row>
    <row r="1463" ht="15.75" customHeight="1">
      <c r="A1463" s="4">
        <v>5125.0</v>
      </c>
      <c r="B1463" s="4" t="s">
        <v>2329</v>
      </c>
      <c r="C1463" s="4" t="s">
        <v>2337</v>
      </c>
      <c r="D1463" s="4" t="s">
        <v>2338</v>
      </c>
      <c r="E1463" s="4">
        <v>1.0</v>
      </c>
      <c r="F1463" s="4" t="str">
        <f>IFERROR(__xludf.DUMMYFUNCTION("GOOGLETRANSLATE(D1463)"),"溫尼伯警方尋找阿靈頓和威廉致命車禍的目擊者 http://t.co/N2bCf4M64V")</f>
        <v>溫尼伯警方尋找阿靈頓和威廉致命車禍的目擊者 http://t.co/N2bCf4M64V</v>
      </c>
      <c r="G1463" s="4" t="str">
        <f>IFERROR(__xludf.DUMMYFUNCTION("GOOGLETRANSLATE(B1463)"),"致命的")</f>
        <v>致命的</v>
      </c>
    </row>
    <row r="1464" ht="15.75" customHeight="1">
      <c r="A1464" s="4">
        <v>5127.0</v>
      </c>
      <c r="B1464" s="4" t="s">
        <v>2329</v>
      </c>
      <c r="C1464" s="4" t="s">
        <v>2339</v>
      </c>
      <c r="D1464" s="4" t="s">
        <v>2330</v>
      </c>
      <c r="E1464" s="4">
        <v>1.0</v>
      </c>
      <c r="F1464" s="4" t="str">
        <f>IFERROR(__xludf.DUMMYFUNCTION("GOOGLETRANSLATE(D1464)"),"11 歲男孩被指控過失殺人幼兒：報告：一名 11 歲男孩被指控過失殺人罪...")</f>
        <v>11 歲男孩被指控過失殺人幼兒：報告：一名 11 歲男孩被指控過失殺人罪...</v>
      </c>
      <c r="G1464" s="4" t="str">
        <f>IFERROR(__xludf.DUMMYFUNCTION("GOOGLETRANSLATE(B1464)"),"致命的")</f>
        <v>致命的</v>
      </c>
    </row>
    <row r="1465" ht="15.75" customHeight="1">
      <c r="A1465" s="4">
        <v>5130.0</v>
      </c>
      <c r="B1465" s="4" t="s">
        <v>2329</v>
      </c>
      <c r="C1465" s="4" t="s">
        <v>2340</v>
      </c>
      <c r="D1465" s="4" t="s">
        <v>2330</v>
      </c>
      <c r="E1465" s="4">
        <v>1.0</v>
      </c>
      <c r="F1465" s="4" t="str">
        <f>IFERROR(__xludf.DUMMYFUNCTION("GOOGLETRANSLATE(D1465)"),"11 歲男孩被指控過失殺人幼兒：報告：一名 11 歲男孩被指控過失殺人罪...")</f>
        <v>11 歲男孩被指控過失殺人幼兒：報告：一名 11 歲男孩被指控過失殺人罪...</v>
      </c>
      <c r="G1465" s="4" t="str">
        <f>IFERROR(__xludf.DUMMYFUNCTION("GOOGLETRANSLATE(B1465)"),"致命的")</f>
        <v>致命的</v>
      </c>
    </row>
    <row r="1466" ht="15.75" customHeight="1">
      <c r="A1466" s="4">
        <v>5131.0</v>
      </c>
      <c r="B1466" s="4" t="s">
        <v>2329</v>
      </c>
      <c r="C1466" s="4" t="s">
        <v>2341</v>
      </c>
      <c r="D1466" s="4" t="s">
        <v>2342</v>
      </c>
      <c r="E1466" s="4">
        <v>1.0</v>
      </c>
      <c r="F1466" s="4" t="str">
        <f>IFERROR(__xludf.DUMMYFUNCTION("GOOGLETRANSLATE(D1466)"),"因達博附近致命車禍而被指控的男子拒絕保釋 http://t.co/HDBMfOVUtZ via @dailyliberal")</f>
        <v>因達博附近致命車禍而被指控的男子拒絕保釋 http://t.co/HDBMfOVUtZ via @dailyliberal</v>
      </c>
      <c r="G1466" s="4" t="str">
        <f>IFERROR(__xludf.DUMMYFUNCTION("GOOGLETRANSLATE(B1466)"),"致命的")</f>
        <v>致命的</v>
      </c>
    </row>
    <row r="1467" ht="15.75" customHeight="1">
      <c r="A1467" s="4">
        <v>5132.0</v>
      </c>
      <c r="B1467" s="4" t="s">
        <v>2329</v>
      </c>
      <c r="D1467" s="4" t="s">
        <v>2343</v>
      </c>
      <c r="E1467" s="4">
        <v>1.0</v>
      </c>
      <c r="F1467" s="4" t="str">
        <f>IFERROR(__xludf.DUMMYFUNCTION("GOOGLETRANSLATE(D1467)"),"加州男子在周日的錯誤道路致命車禍中面臨過失殺人指控 - http://t.co/1vz3RmjHy4：加州... http://t.co/xevUEEfQBZ")</f>
        <v>加州男子在周日的錯誤道路致命車禍中面臨過失殺人指控 - http://t.co/1vz3RmjHy4：加州... http://t.co/xevUEEfQBZ</v>
      </c>
      <c r="G1467" s="4" t="str">
        <f>IFERROR(__xludf.DUMMYFUNCTION("GOOGLETRANSLATE(B1467)"),"致命的")</f>
        <v>致命的</v>
      </c>
    </row>
    <row r="1468" ht="15.75" customHeight="1">
      <c r="A1468" s="4">
        <v>5135.0</v>
      </c>
      <c r="B1468" s="4" t="s">
        <v>2329</v>
      </c>
      <c r="C1468" s="4" t="s">
        <v>790</v>
      </c>
      <c r="D1468" s="4" t="s">
        <v>2344</v>
      </c>
      <c r="E1468" s="4">
        <v>1.0</v>
      </c>
      <c r="F1468" s="4" t="str">
        <f>IFERROR(__xludf.DUMMYFUNCTION("GOOGLETRANSLATE(D1468)"),"斯托克頓警方正在調查斯托克頓北部發生的一起致命駕駛槍擊事件
 http://t.co/j3x0DOY7R3")</f>
        <v>斯托克頓警方正在調查斯托克頓北部發生的一起致命駕駛槍擊事件
 http://t.co/j3x0DOY7R3</v>
      </c>
      <c r="G1468" s="4" t="str">
        <f>IFERROR(__xludf.DUMMYFUNCTION("GOOGLETRANSLATE(B1468)"),"致命的")</f>
        <v>致命的</v>
      </c>
    </row>
    <row r="1469" ht="15.75" customHeight="1">
      <c r="A1469" s="4">
        <v>5136.0</v>
      </c>
      <c r="B1469" s="4" t="s">
        <v>2329</v>
      </c>
      <c r="C1469" s="4" t="s">
        <v>2345</v>
      </c>
      <c r="D1469" s="4" t="s">
        <v>2346</v>
      </c>
      <c r="E1469" s="4">
        <v>1.0</v>
      </c>
      <c r="F1469" s="4" t="str">
        <f>IFERROR(__xludf.DUMMYFUNCTION("GOOGLETRANSLATE(D1469)"),"代表：狗糾紛導致帕森縣致命槍擊案 http://t.co/OazgHoZGYa #gunfail #nra")</f>
        <v>代表：狗糾紛導致帕森縣致命槍擊案 http://t.co/OazgHoZGYa #gunfail #nra</v>
      </c>
      <c r="G1469" s="4" t="str">
        <f>IFERROR(__xludf.DUMMYFUNCTION("GOOGLETRANSLATE(B1469)"),"致命的")</f>
        <v>致命的</v>
      </c>
    </row>
    <row r="1470" ht="15.75" customHeight="1">
      <c r="A1470" s="4">
        <v>5137.0</v>
      </c>
      <c r="B1470" s="4" t="s">
        <v>2329</v>
      </c>
      <c r="D1470" s="4" t="s">
        <v>2330</v>
      </c>
      <c r="E1470" s="4">
        <v>1.0</v>
      </c>
      <c r="F1470" s="4" t="str">
        <f>IFERROR(__xludf.DUMMYFUNCTION("GOOGLETRANSLATE(D1470)"),"11 歲男孩被指控過失殺人幼兒：報告：一名 11 歲男孩被指控過失殺人罪...")</f>
        <v>11 歲男孩被指控過失殺人幼兒：報告：一名 11 歲男孩被指控過失殺人罪...</v>
      </c>
      <c r="G1470" s="4" t="str">
        <f>IFERROR(__xludf.DUMMYFUNCTION("GOOGLETRANSLATE(B1470)"),"致命的")</f>
        <v>致命的</v>
      </c>
    </row>
    <row r="1471" ht="15.75" customHeight="1">
      <c r="A1471" s="4">
        <v>5138.0</v>
      </c>
      <c r="B1471" s="4" t="s">
        <v>2329</v>
      </c>
      <c r="C1471" s="4" t="s">
        <v>2347</v>
      </c>
      <c r="D1471" s="4" t="s">
        <v>2348</v>
      </c>
      <c r="E1471" s="4">
        <v>1.0</v>
      </c>
      <c r="F1471" s="4" t="str">
        <f>IFERROR(__xludf.DUMMYFUNCTION("GOOGLETRANSLATE(D1471)"),"加州警察：曾有 4 人被捕的非法移民被控致命性攻擊 http://t.co/BL59Fw4SYS")</f>
        <v>加州警察：曾有 4 人被捕的非法移民被控致命性攻擊 http://t.co/BL59Fw4SYS</v>
      </c>
      <c r="G1471" s="4" t="str">
        <f>IFERROR(__xludf.DUMMYFUNCTION("GOOGLETRANSLATE(B1471)"),"致命的")</f>
        <v>致命的</v>
      </c>
    </row>
    <row r="1472" ht="15.75" customHeight="1">
      <c r="A1472" s="4">
        <v>5140.0</v>
      </c>
      <c r="B1472" s="4" t="s">
        <v>2329</v>
      </c>
      <c r="D1472" s="4" t="s">
        <v>2330</v>
      </c>
      <c r="E1472" s="4">
        <v>1.0</v>
      </c>
      <c r="F1472" s="4" t="str">
        <f>IFERROR(__xludf.DUMMYFUNCTION("GOOGLETRANSLATE(D1472)"),"11 歲男孩被指控過失殺人幼兒：報告：一名 11 歲男孩被指控過失殺人罪...")</f>
        <v>11 歲男孩被指控過失殺人幼兒：報告：一名 11 歲男孩被指控過失殺人罪...</v>
      </c>
      <c r="G1472" s="4" t="str">
        <f>IFERROR(__xludf.DUMMYFUNCTION("GOOGLETRANSLATE(B1472)"),"致命的")</f>
        <v>致命的</v>
      </c>
    </row>
    <row r="1473" ht="15.75" customHeight="1">
      <c r="A1473" s="4">
        <v>5142.0</v>
      </c>
      <c r="B1473" s="4" t="s">
        <v>2329</v>
      </c>
      <c r="C1473" s="4" t="s">
        <v>2349</v>
      </c>
      <c r="D1473" s="4" t="s">
        <v>2350</v>
      </c>
      <c r="E1473" s="4">
        <v>1.0</v>
      </c>
      <c r="F1473" s="4" t="str">
        <f>IFERROR(__xludf.DUMMYFUNCTION("GOOGLETRANSLATE(D1473)"),"調查人員將注意力轉向懷馬特致命火災的原因 http://t.co/a6Ro9bmXcy")</f>
        <v>調查人員將注意力轉向懷馬特致命火災的原因 http://t.co/a6Ro9bmXcy</v>
      </c>
      <c r="G1473" s="4" t="str">
        <f>IFERROR(__xludf.DUMMYFUNCTION("GOOGLETRANSLATE(B1473)"),"致命的")</f>
        <v>致命的</v>
      </c>
    </row>
    <row r="1474" ht="15.75" customHeight="1">
      <c r="A1474" s="4">
        <v>5144.0</v>
      </c>
      <c r="B1474" s="4" t="s">
        <v>2329</v>
      </c>
      <c r="D1474" s="4" t="s">
        <v>2330</v>
      </c>
      <c r="E1474" s="4">
        <v>1.0</v>
      </c>
      <c r="F1474" s="4" t="str">
        <f>IFERROR(__xludf.DUMMYFUNCTION("GOOGLETRANSLATE(D1474)"),"11 歲男孩被指控過失殺人幼兒：報告：一名 11 歲男孩被指控過失殺人罪...")</f>
        <v>11 歲男孩被指控過失殺人幼兒：報告：一名 11 歲男孩被指控過失殺人罪...</v>
      </c>
      <c r="G1474" s="4" t="str">
        <f>IFERROR(__xludf.DUMMYFUNCTION("GOOGLETRANSLATE(B1474)"),"致命的")</f>
        <v>致命的</v>
      </c>
    </row>
    <row r="1475" ht="15.75" customHeight="1">
      <c r="A1475" s="4">
        <v>5145.0</v>
      </c>
      <c r="B1475" s="4" t="s">
        <v>2329</v>
      </c>
      <c r="C1475" s="4" t="s">
        <v>2351</v>
      </c>
      <c r="D1475" s="4" t="s">
        <v>2330</v>
      </c>
      <c r="E1475" s="4">
        <v>1.0</v>
      </c>
      <c r="F1475" s="4" t="str">
        <f>IFERROR(__xludf.DUMMYFUNCTION("GOOGLETRANSLATE(D1475)"),"11 歲男孩被指控過失殺人幼兒：報告：一名 11 歲男孩被指控過失殺人罪...")</f>
        <v>11 歲男孩被指控過失殺人幼兒：報告：一名 11 歲男孩被指控過失殺人罪...</v>
      </c>
      <c r="G1475" s="4" t="str">
        <f>IFERROR(__xludf.DUMMYFUNCTION("GOOGLETRANSLATE(B1475)"),"致命的")</f>
        <v>致命的</v>
      </c>
    </row>
    <row r="1476" ht="15.75" customHeight="1">
      <c r="A1476" s="4">
        <v>5148.0</v>
      </c>
      <c r="B1476" s="4" t="s">
        <v>2329</v>
      </c>
      <c r="C1476" s="4" t="s">
        <v>2352</v>
      </c>
      <c r="D1476" s="4" t="s">
        <v>2353</v>
      </c>
      <c r="E1476" s="4">
        <v>1.0</v>
      </c>
      <c r="F1476" s="4" t="str">
        <f>IFERROR(__xludf.DUMMYFUNCTION("GOOGLETRANSLATE(D1476)"),"11 歲男孩因槍殺伊利亞·沃克而被控過失殺人罪 http://t.co/HUrIIVFDKC")</f>
        <v>11 歲男孩因槍殺伊利亞·沃克而被控過失殺人罪 http://t.co/HUrIIVFDKC</v>
      </c>
      <c r="G1476" s="4" t="str">
        <f>IFERROR(__xludf.DUMMYFUNCTION("GOOGLETRANSLATE(B1476)"),"致命的")</f>
        <v>致命的</v>
      </c>
    </row>
    <row r="1477" ht="15.75" customHeight="1">
      <c r="A1477" s="4">
        <v>5152.0</v>
      </c>
      <c r="B1477" s="4" t="s">
        <v>2329</v>
      </c>
      <c r="D1477" s="4" t="s">
        <v>2354</v>
      </c>
      <c r="E1477" s="4">
        <v>1.0</v>
      </c>
      <c r="F1477" s="4" t="str">
        <f>IFERROR(__xludf.DUMMYFUNCTION("GOOGLETRANSLATE(D1477)"),"#news #crimes 富蘭克林附近 I-65 號公路關閉的致命事故中，警方身份證明受害者：一人被困...... http://t.co/9h0ym9OFsv #justice #courts")</f>
        <v>#news #crimes 富蘭克林附近 I-65 號公路關閉的致命事故中，警方身份證明受害者：一人被困...... http://t.co/9h0ym9OFsv #justice #courts</v>
      </c>
      <c r="G1477" s="4" t="str">
        <f>IFERROR(__xludf.DUMMYFUNCTION("GOOGLETRANSLATE(B1477)"),"致命的")</f>
        <v>致命的</v>
      </c>
    </row>
    <row r="1478" ht="15.75" customHeight="1">
      <c r="A1478" s="4">
        <v>5153.0</v>
      </c>
      <c r="B1478" s="4" t="s">
        <v>2329</v>
      </c>
      <c r="C1478" s="4" t="s">
        <v>2355</v>
      </c>
      <c r="D1478" s="4" t="s">
        <v>2330</v>
      </c>
      <c r="E1478" s="4">
        <v>1.0</v>
      </c>
      <c r="F1478" s="4" t="str">
        <f>IFERROR(__xludf.DUMMYFUNCTION("GOOGLETRANSLATE(D1478)"),"11 歲男孩被指控過失殺人幼兒：報告：一名 11 歲男孩被指控過失殺人罪...")</f>
        <v>11 歲男孩被指控過失殺人幼兒：報告：一名 11 歲男孩被指控過失殺人罪...</v>
      </c>
      <c r="G1478" s="4" t="str">
        <f>IFERROR(__xludf.DUMMYFUNCTION("GOOGLETRANSLATE(B1478)"),"致命的")</f>
        <v>致命的</v>
      </c>
    </row>
    <row r="1479" ht="15.75" customHeight="1">
      <c r="A1479" s="4">
        <v>5154.0</v>
      </c>
      <c r="B1479" s="4" t="s">
        <v>2329</v>
      </c>
      <c r="D1479" s="4" t="s">
        <v>2356</v>
      </c>
      <c r="E1479" s="4">
        <v>1.0</v>
      </c>
      <c r="F1479" s="4" t="str">
        <f>IFERROR(__xludf.DUMMYFUNCTION("GOOGLETRANSLATE(D1479)"),"調查人員將注意力轉向懷馬特致命火災的原因 http://t.co/aDSvDpNP3r")</f>
        <v>調查人員將注意力轉向懷馬特致命火災的原因 http://t.co/aDSvDpNP3r</v>
      </c>
      <c r="G1479" s="4" t="str">
        <f>IFERROR(__xludf.DUMMYFUNCTION("GOOGLETRANSLATE(B1479)"),"致命的")</f>
        <v>致命的</v>
      </c>
    </row>
    <row r="1480" ht="15.75" customHeight="1">
      <c r="A1480" s="4">
        <v>5155.0</v>
      </c>
      <c r="B1480" s="4" t="s">
        <v>2329</v>
      </c>
      <c r="C1480" s="4" t="s">
        <v>2357</v>
      </c>
      <c r="D1480" s="4" t="s">
        <v>2358</v>
      </c>
      <c r="E1480" s="4">
        <v>1.0</v>
      </c>
      <c r="F1480" s="4" t="str">
        <f>IFERROR(__xludf.DUMMYFUNCTION("GOOGLETRANSLATE(D1480)"),"11 歲男孩被指控射殺 3 歲兒童 http://t.co/FJ7kcRliR7")</f>
        <v>11 歲男孩被指控射殺 3 歲兒童 http://t.co/FJ7kcRliR7</v>
      </c>
      <c r="G1480" s="4" t="str">
        <f>IFERROR(__xludf.DUMMYFUNCTION("GOOGLETRANSLATE(B1480)"),"致命的")</f>
        <v>致命的</v>
      </c>
    </row>
    <row r="1481" ht="15.75" customHeight="1">
      <c r="A1481" s="4">
        <v>5157.0</v>
      </c>
      <c r="B1481" s="4" t="s">
        <v>2329</v>
      </c>
      <c r="D1481" s="4" t="s">
        <v>2330</v>
      </c>
      <c r="E1481" s="4">
        <v>1.0</v>
      </c>
      <c r="F1481" s="4" t="str">
        <f>IFERROR(__xludf.DUMMYFUNCTION("GOOGLETRANSLATE(D1481)"),"11 歲男孩被指控過失殺人幼兒：報告：一名 11 歲男孩被指控過失殺人罪...")</f>
        <v>11 歲男孩被指控過失殺人幼兒：報告：一名 11 歲男孩被指控過失殺人罪...</v>
      </c>
      <c r="G1481" s="4" t="str">
        <f>IFERROR(__xludf.DUMMYFUNCTION("GOOGLETRANSLATE(B1481)"),"致命的")</f>
        <v>致命的</v>
      </c>
    </row>
    <row r="1482" ht="15.75" customHeight="1">
      <c r="A1482" s="4">
        <v>5159.0</v>
      </c>
      <c r="B1482" s="4" t="s">
        <v>2329</v>
      </c>
      <c r="D1482" s="4" t="s">
        <v>2330</v>
      </c>
      <c r="E1482" s="4">
        <v>1.0</v>
      </c>
      <c r="F1482" s="4" t="str">
        <f>IFERROR(__xludf.DUMMYFUNCTION("GOOGLETRANSLATE(D1482)"),"11 歲男孩被指控過失殺人幼兒：報告：一名 11 歲男孩被指控過失殺人罪...")</f>
        <v>11 歲男孩被指控過失殺人幼兒：報告：一名 11 歲男孩被指控過失殺人罪...</v>
      </c>
      <c r="G1482" s="4" t="str">
        <f>IFERROR(__xludf.DUMMYFUNCTION("GOOGLETRANSLATE(B1482)"),"致命的")</f>
        <v>致命的</v>
      </c>
    </row>
    <row r="1483" ht="15.75" customHeight="1">
      <c r="A1483" s="4">
        <v>5160.0</v>
      </c>
      <c r="B1483" s="4" t="s">
        <v>2329</v>
      </c>
      <c r="D1483" s="4" t="s">
        <v>2359</v>
      </c>
      <c r="E1483" s="4">
        <v>1.0</v>
      </c>
      <c r="F1483" s="4" t="str">
        <f>IFERROR(__xludf.DUMMYFUNCTION("GOOGLETRANSLATE(D1483)"),"調查人員將注意力轉向懷馬特致命火災的原因 http://t.co/GoeTJGIhOp")</f>
        <v>調查人員將注意力轉向懷馬特致命火災的原因 http://t.co/GoeTJGIhOp</v>
      </c>
      <c r="G1483" s="4" t="str">
        <f>IFERROR(__xludf.DUMMYFUNCTION("GOOGLETRANSLATE(B1483)"),"致命的")</f>
        <v>致命的</v>
      </c>
    </row>
    <row r="1484" ht="15.75" customHeight="1">
      <c r="A1484" s="4">
        <v>5162.0</v>
      </c>
      <c r="B1484" s="4" t="s">
        <v>2360</v>
      </c>
      <c r="D1484" s="4" t="s">
        <v>2361</v>
      </c>
      <c r="E1484" s="4">
        <v>1.0</v>
      </c>
      <c r="F1484" s="4" t="str">
        <f>IFERROR(__xludf.DUMMYFUNCTION("GOOGLETRANSLATE(D1484)"),"獨家報導：15 年來紐約市警察局執勤警察死亡 179 人，其中僅 3 人死亡 http://t.co/Cn1joMMUGH")</f>
        <v>獨家報導：15 年來紐約市警察局執勤警察死亡 179 人，其中僅 3 人死亡 http://t.co/Cn1joMMUGH</v>
      </c>
      <c r="G1484" s="4" t="str">
        <f>IFERROR(__xludf.DUMMYFUNCTION("GOOGLETRANSLATE(B1484)"),"死亡人數")</f>
        <v>死亡人數</v>
      </c>
    </row>
    <row r="1485" ht="15.75" customHeight="1">
      <c r="A1485" s="4">
        <v>5164.0</v>
      </c>
      <c r="B1485" s="4" t="s">
        <v>2360</v>
      </c>
      <c r="C1485" s="4" t="s">
        <v>291</v>
      </c>
      <c r="D1485" s="4" t="s">
        <v>2362</v>
      </c>
      <c r="E1485" s="4">
        <v>1.0</v>
      </c>
      <c r="F1485" s="4" t="str">
        <f>IFERROR(__xludf.DUMMYFUNCTION("GOOGLETRANSLATE(D1485)"),"#NYC #News 紐約市退伍軍人死亡人數上升至 8 人：所有 8 名死亡者均為患有... http://t.co/IQJ1Z3jXx8")</f>
        <v>#NYC #News 紐約市退伍軍人死亡人數上升至 8 人：所有 8 名死亡者均為患有... http://t.co/IQJ1Z3jXx8</v>
      </c>
      <c r="G1485" s="4" t="str">
        <f>IFERROR(__xludf.DUMMYFUNCTION("GOOGLETRANSLATE(B1485)"),"死亡人數")</f>
        <v>死亡人數</v>
      </c>
    </row>
    <row r="1486" ht="15.75" customHeight="1">
      <c r="A1486" s="4">
        <v>5168.0</v>
      </c>
      <c r="B1486" s="4" t="s">
        <v>2360</v>
      </c>
      <c r="C1486" s="4" t="s">
        <v>2363</v>
      </c>
      <c r="D1486" s="4" t="s">
        <v>2364</v>
      </c>
      <c r="E1486" s="4">
        <v>1.0</v>
      </c>
      <c r="F1486" s="4" t="str">
        <f>IFERROR(__xludf.DUMMYFUNCTION("GOOGLETRANSLATE(D1486)"),"我們對電磁脈衝攻擊完全沒有準備。中國、俄羅斯和可能還有伊斯蘭國都擁有它們。 90%死亡。我們為什麼要推動他們？")</f>
        <v>我們對電磁脈衝攻擊完全沒有準備。中國、俄羅斯和可能還有伊斯蘭國都擁有它們。 90%死亡。我們為什麼要推動他們？</v>
      </c>
      <c r="G1486" s="4" t="str">
        <f>IFERROR(__xludf.DUMMYFUNCTION("GOOGLETRANSLATE(B1486)"),"死亡人數")</f>
        <v>死亡人數</v>
      </c>
    </row>
    <row r="1487" ht="15.75" customHeight="1">
      <c r="A1487" s="4">
        <v>5169.0</v>
      </c>
      <c r="B1487" s="4" t="s">
        <v>2360</v>
      </c>
      <c r="C1487" s="4" t="s">
        <v>2365</v>
      </c>
      <c r="D1487" s="4" t="s">
        <v>2366</v>
      </c>
      <c r="E1487" s="4">
        <v>1.0</v>
      </c>
      <c r="F1487" s="4" t="str">
        <f>IFERROR(__xludf.DUMMYFUNCTION("GOOGLETRANSLATE(D1487)"),"在自然保護區附近發生更多動物死亡事件後，市政府懇請駕駛人不要超速
-&gt; http://t.co/hiKF8Mkjsn")</f>
        <v>在自然保護區附近發生更多動物死亡事件後，市政府懇請駕駛人不要超速
-&gt; http://t.co/hiKF8Mkjsn</v>
      </c>
      <c r="G1487" s="4" t="str">
        <f>IFERROR(__xludf.DUMMYFUNCTION("GOOGLETRANSLATE(B1487)"),"死亡人數")</f>
        <v>死亡人數</v>
      </c>
    </row>
    <row r="1488" ht="15.75" customHeight="1">
      <c r="A1488" s="4">
        <v>5171.0</v>
      </c>
      <c r="B1488" s="4" t="s">
        <v>2360</v>
      </c>
      <c r="C1488" s="4" t="s">
        <v>2367</v>
      </c>
      <c r="D1488" s="4" t="s">
        <v>2368</v>
      </c>
      <c r="E1488" s="4">
        <v>1.0</v>
      </c>
      <c r="F1488" s="4" t="str">
        <f>IFERROR(__xludf.DUMMYFUNCTION("GOOGLETRANSLATE(D1488)"),"據了解，由於沒有人被困在批發市場內，因此沒有造成人員死亡。現場有8輛消防車和40名消防員。")</f>
        <v>據了解，由於沒有人被困在批發市場內，因此沒有造成人員死亡。現場有8輛消防車和40名消防員。</v>
      </c>
      <c r="G1488" s="4" t="str">
        <f>IFERROR(__xludf.DUMMYFUNCTION("GOOGLETRANSLATE(B1488)"),"死亡人數")</f>
        <v>死亡人數</v>
      </c>
    </row>
    <row r="1489" ht="15.75" customHeight="1">
      <c r="A1489" s="4">
        <v>5172.0</v>
      </c>
      <c r="B1489" s="4" t="s">
        <v>2360</v>
      </c>
      <c r="C1489" s="4" t="s">
        <v>2369</v>
      </c>
      <c r="D1489" s="4" t="s">
        <v>2370</v>
      </c>
      <c r="E1489" s="4">
        <v>1.0</v>
      </c>
      <c r="F1489" s="4" t="str">
        <f>IFERROR(__xludf.DUMMYFUNCTION("GOOGLETRANSLATE(D1489)"),"截至 6 個月大關，共有 662 人死亡，比去年上半年增加 114 人 || http://t.co/reOz7H3Em8")</f>
        <v>截至 6 個月大關，共有 662 人死亡，比去年上半年增加 114 人 || http://t.co/reOz7H3Em8</v>
      </c>
      <c r="G1489" s="4" t="str">
        <f>IFERROR(__xludf.DUMMYFUNCTION("GOOGLETRANSLATE(B1489)"),"死亡人數")</f>
        <v>死亡人數</v>
      </c>
    </row>
    <row r="1490" ht="15.75" customHeight="1">
      <c r="A1490" s="4">
        <v>5175.0</v>
      </c>
      <c r="B1490" s="4" t="s">
        <v>2360</v>
      </c>
      <c r="C1490" s="4" t="s">
        <v>2371</v>
      </c>
      <c r="D1490" s="4" t="s">
        <v>2372</v>
      </c>
      <c r="E1490" s="4">
        <v>1.0</v>
      </c>
      <c r="F1490" s="4" t="str">
        <f>IFERROR(__xludf.DUMMYFUNCTION("GOOGLETRANSLATE(D1490)"),"#西雅圖最致命的紅燈十字路口揭曉
 http://t.co/gHk9Xup6E0")</f>
        <v>#西雅圖最致命的紅燈十字路口揭曉
 http://t.co/gHk9Xup6E0</v>
      </c>
      <c r="G1490" s="4" t="str">
        <f>IFERROR(__xludf.DUMMYFUNCTION("GOOGLETRANSLATE(B1490)"),"死亡人數")</f>
        <v>死亡人數</v>
      </c>
    </row>
    <row r="1491" ht="15.75" customHeight="1">
      <c r="A1491" s="4">
        <v>5177.0</v>
      </c>
      <c r="B1491" s="4" t="s">
        <v>2360</v>
      </c>
      <c r="C1491" s="4" t="s">
        <v>1519</v>
      </c>
      <c r="D1491" s="4" t="s">
        <v>2373</v>
      </c>
      <c r="E1491" s="4">
        <v>1.0</v>
      </c>
      <c r="F1491" s="4" t="str">
        <f>IFERROR(__xludf.DUMMYFUNCTION("GOOGLETRANSLATE(D1491)"),"@unsuckdcmetro 小火車離開鐵軌。主 = 1/13/82 史密森連鎖脫軌 &amp;amp; 1/13/82撞上隔離牆並造成死亡。")</f>
        <v>@unsuckdcmetro 小火車離開鐵軌。主 = 1/13/82 史密森連鎖脫軌 &amp;amp; 1/13/82撞上隔離牆並造成死亡。</v>
      </c>
      <c r="G1491" s="4" t="str">
        <f>IFERROR(__xludf.DUMMYFUNCTION("GOOGLETRANSLATE(B1491)"),"死亡人數")</f>
        <v>死亡人數</v>
      </c>
    </row>
    <row r="1492" ht="15.75" customHeight="1">
      <c r="A1492" s="4">
        <v>5178.0</v>
      </c>
      <c r="B1492" s="4" t="s">
        <v>2360</v>
      </c>
      <c r="D1492" s="4" t="s">
        <v>2374</v>
      </c>
      <c r="E1492" s="4">
        <v>1.0</v>
      </c>
      <c r="F1492" s="4" t="str">
        <f>IFERROR(__xludf.DUMMYFUNCTION("GOOGLETRANSLATE(D1492)"),"受傷、疾病和死亡最新數字：http://t.co/1uo1aTrbbJ")</f>
        <v>受傷、疾病和死亡最新數字：http://t.co/1uo1aTrbbJ</v>
      </c>
      <c r="G1492" s="4" t="str">
        <f>IFERROR(__xludf.DUMMYFUNCTION("GOOGLETRANSLATE(B1492)"),"死亡人數")</f>
        <v>死亡人數</v>
      </c>
    </row>
    <row r="1493" ht="15.75" customHeight="1">
      <c r="A1493" s="4">
        <v>5181.0</v>
      </c>
      <c r="B1493" s="4" t="s">
        <v>2360</v>
      </c>
      <c r="C1493" s="4" t="s">
        <v>620</v>
      </c>
      <c r="D1493" s="4" t="s">
        <v>2375</v>
      </c>
      <c r="E1493" s="4">
        <v>1.0</v>
      </c>
      <c r="F1493" s="4" t="str">
        <f>IFERROR(__xludf.DUMMYFUNCTION("GOOGLETRANSLATE(D1493)"),"#沙烏地阿拉伯：#Abha：據報導清真寺自殺式爆炸造成人員死亡；避開區域 http://t.co/1xW0Z8ZeqW")</f>
        <v>#沙烏地阿拉伯：#Abha：據報導清真寺自殺式爆炸造成人員死亡；避開區域 http://t.co/1xW0Z8ZeqW</v>
      </c>
      <c r="G1493" s="4" t="str">
        <f>IFERROR(__xludf.DUMMYFUNCTION("GOOGLETRANSLATE(B1493)"),"死亡人數")</f>
        <v>死亡人數</v>
      </c>
    </row>
    <row r="1494" ht="15.75" customHeight="1">
      <c r="A1494" s="4">
        <v>5186.0</v>
      </c>
      <c r="B1494" s="4" t="s">
        <v>2360</v>
      </c>
      <c r="D1494" s="4" t="s">
        <v>2376</v>
      </c>
      <c r="E1494" s="4">
        <v>1.0</v>
      </c>
      <c r="F1494" s="4" t="str">
        <f>IFERROR(__xludf.DUMMYFUNCTION("GOOGLETRANSLATE(D1494)"),"-??-
;吉塔納
？她的死亡殺死了我
ÛÓ科迪？ （藤蔓@KOMBATFANS33）https://t.co/uMajwSNLUF")</f>
        <v>-??-
;吉塔納
？她的死亡殺死了我
ÛÓ科迪？ （藤蔓@KOMBATFANS33）https://t.co/uMajwSNLUF</v>
      </c>
      <c r="G1494" s="4" t="str">
        <f>IFERROR(__xludf.DUMMYFUNCTION("GOOGLETRANSLATE(B1494)"),"死亡人數")</f>
        <v>死亡人數</v>
      </c>
    </row>
    <row r="1495" ht="15.75" customHeight="1">
      <c r="A1495" s="4">
        <v>5187.0</v>
      </c>
      <c r="B1495" s="4" t="s">
        <v>2360</v>
      </c>
      <c r="C1495" s="4" t="s">
        <v>2377</v>
      </c>
      <c r="D1495" s="4" t="s">
        <v>2378</v>
      </c>
      <c r="E1495" s="4">
        <v>1.0</v>
      </c>
      <c r="F1495" s="4" t="str">
        <f>IFERROR(__xludf.DUMMYFUNCTION("GOOGLETRANSLATE(D1495)"),"OSP 擔心死亡人數不斷增加 http://t.co/YmP0gInwza http://t.co/FYIOQvIOif")</f>
        <v>OSP 擔心死亡人數不斷增加 http://t.co/YmP0gInwza http://t.co/FYIOQvIOif</v>
      </c>
      <c r="G1495" s="4" t="str">
        <f>IFERROR(__xludf.DUMMYFUNCTION("GOOGLETRANSLATE(B1495)"),"死亡人數")</f>
        <v>死亡人數</v>
      </c>
    </row>
    <row r="1496" ht="15.75" customHeight="1">
      <c r="A1496" s="4">
        <v>5189.0</v>
      </c>
      <c r="B1496" s="4" t="s">
        <v>2360</v>
      </c>
      <c r="C1496" s="4" t="s">
        <v>2379</v>
      </c>
      <c r="D1496" s="4" t="s">
        <v>2380</v>
      </c>
      <c r="E1496" s="4">
        <v>1.0</v>
      </c>
      <c r="F1496" s="4" t="str">
        <f>IFERROR(__xludf.DUMMYFUNCTION("GOOGLETRANSLATE(D1496)"),"一顆廣島大小的原子彈落在您家鄉的預計損失和死亡人數 - http://t.co/BSrERJbY0I #Hiroshima70")</f>
        <v>一顆廣島大小的原子彈落在您家鄉的預計損失和死亡人數 - http://t.co/BSrERJbY0I #Hiroshima70</v>
      </c>
      <c r="G1496" s="4" t="str">
        <f>IFERROR(__xludf.DUMMYFUNCTION("GOOGLETRANSLATE(B1496)"),"死亡人數")</f>
        <v>死亡人數</v>
      </c>
    </row>
    <row r="1497" ht="15.75" customHeight="1">
      <c r="A1497" s="4">
        <v>5190.0</v>
      </c>
      <c r="B1497" s="4" t="s">
        <v>2360</v>
      </c>
      <c r="C1497" s="4" t="s">
        <v>2381</v>
      </c>
      <c r="D1497" s="4" t="s">
        <v>2382</v>
      </c>
      <c r="E1497" s="4">
        <v>1.0</v>
      </c>
      <c r="F1497" s="4" t="str">
        <f>IFERROR(__xludf.DUMMYFUNCTION("GOOGLETRANSLATE(D1497)"),"加拿大皇家騎警正在報告惠特伯恩附近 TCH 發生的碰撞事故造成死亡和重傷。")</f>
        <v>加拿大皇家騎警正在報告惠特伯恩附近 TCH 發生的碰撞事故造成死亡和重傷。</v>
      </c>
      <c r="G1497" s="4" t="str">
        <f>IFERROR(__xludf.DUMMYFUNCTION("GOOGLETRANSLATE(B1497)"),"死亡人數")</f>
        <v>死亡人數</v>
      </c>
    </row>
    <row r="1498" ht="15.75" customHeight="1">
      <c r="A1498" s="4">
        <v>5191.0</v>
      </c>
      <c r="B1498" s="4" t="s">
        <v>2360</v>
      </c>
      <c r="C1498" s="4" t="s">
        <v>2383</v>
      </c>
      <c r="D1498" s="4" t="s">
        <v>2384</v>
      </c>
      <c r="E1498" s="4">
        <v>1.0</v>
      </c>
      <c r="F1498" s="4" t="str">
        <f>IFERROR(__xludf.DUMMYFUNCTION("GOOGLETRANSLATE(D1498)"),"政府撥款 13 億用於洪水行動：威尼托死亡事件後問題成為焦點 http://t.co/w3esX6Ud8t")</f>
        <v>政府撥款 13 億用於洪水行動：威尼托死亡事件後問題成為焦點 http://t.co/w3esX6Ud8t</v>
      </c>
      <c r="G1498" s="4" t="str">
        <f>IFERROR(__xludf.DUMMYFUNCTION("GOOGLETRANSLATE(B1498)"),"死亡人數")</f>
        <v>死亡人數</v>
      </c>
    </row>
    <row r="1499" ht="15.75" customHeight="1">
      <c r="A1499" s="4">
        <v>5193.0</v>
      </c>
      <c r="B1499" s="4" t="s">
        <v>2360</v>
      </c>
      <c r="C1499" s="4" t="s">
        <v>2385</v>
      </c>
      <c r="D1499" s="4" t="s">
        <v>2386</v>
      </c>
      <c r="E1499" s="4">
        <v>1.0</v>
      </c>
      <c r="F1499" s="4" t="str">
        <f>IFERROR(__xludf.DUMMYFUNCTION("GOOGLETRANSLATE(D1499)"),"我喜歡@YouTube 影片 http://t.co/43sXG9Z6xh 顫抖不是玩笑！！ [TREMOR DLC] [死亡人數/X 光]")</f>
        <v>我喜歡@YouTube 影片 http://t.co/43sXG9Z6xh 顫抖不是玩笑！！ [TREMOR DLC] [死亡人數/X 光]</v>
      </c>
      <c r="G1499" s="4" t="str">
        <f>IFERROR(__xludf.DUMMYFUNCTION("GOOGLETRANSLATE(B1499)"),"死亡人數")</f>
        <v>死亡人數</v>
      </c>
    </row>
    <row r="1500" ht="15.75" customHeight="1">
      <c r="A1500" s="4">
        <v>5196.0</v>
      </c>
      <c r="B1500" s="4" t="s">
        <v>2360</v>
      </c>
      <c r="D1500" s="4" t="s">
        <v>2387</v>
      </c>
      <c r="E1500" s="4">
        <v>1.0</v>
      </c>
      <c r="F1500" s="4" t="str">
        <f>IFERROR(__xludf.DUMMYFUNCTION("GOOGLETRANSLATE(D1500)"),"「導致行人死亡的其他主要因素是人們沒有給汽車讓路」http://t.co/dgUL7FfJt2")</f>
        <v>「導致行人死亡的其他主要因素是人們沒有給汽車讓路」http://t.co/dgUL7FfJt2</v>
      </c>
      <c r="G1500" s="4" t="str">
        <f>IFERROR(__xludf.DUMMYFUNCTION("GOOGLETRANSLATE(B1500)"),"死亡人數")</f>
        <v>死亡人數</v>
      </c>
    </row>
    <row r="1501" ht="15.75" customHeight="1">
      <c r="A1501" s="4">
        <v>5200.0</v>
      </c>
      <c r="B1501" s="4" t="s">
        <v>2360</v>
      </c>
      <c r="C1501" s="4" t="s">
        <v>38</v>
      </c>
      <c r="D1501" s="4" t="s">
        <v>2388</v>
      </c>
      <c r="E1501" s="4">
        <v>1.0</v>
      </c>
      <c r="F1501" s="4" t="str">
        <f>IFERROR(__xludf.DUMMYFUNCTION("GOOGLETRANSLATE(D1501)"),"拉斯維加斯闖紅燈死亡人數最多的 5 個城市 http://t.co/kC8O81BcHG")</f>
        <v>拉斯維加斯闖紅燈死亡人數最多的 5 個城市 http://t.co/kC8O81BcHG</v>
      </c>
      <c r="G1501" s="4" t="str">
        <f>IFERROR(__xludf.DUMMYFUNCTION("GOOGLETRANSLATE(B1501)"),"死亡人數")</f>
        <v>死亡人數</v>
      </c>
    </row>
    <row r="1502" ht="15.75" customHeight="1">
      <c r="A1502" s="4">
        <v>5201.0</v>
      </c>
      <c r="B1502" s="4" t="s">
        <v>2360</v>
      </c>
      <c r="D1502" s="4" t="s">
        <v>2389</v>
      </c>
      <c r="E1502" s="4">
        <v>1.0</v>
      </c>
      <c r="F1502" s="4" t="str">
        <f>IFERROR(__xludf.DUMMYFUNCTION("GOOGLETRANSLATE(D1502)"),"加拿大皇家騎警確認兩車相撞事故造成人員死亡：TCH 因事故而在惠特本仍關閉 http://t.co/0RokDuTyUN")</f>
        <v>加拿大皇家騎警確認兩車相撞事故造成人員死亡：TCH 因事故而在惠特本仍關閉 http://t.co/0RokDuTyUN</v>
      </c>
      <c r="G1502" s="4" t="str">
        <f>IFERROR(__xludf.DUMMYFUNCTION("GOOGLETRANSLATE(B1502)"),"死亡人數")</f>
        <v>死亡人數</v>
      </c>
    </row>
    <row r="1503" ht="15.75" customHeight="1">
      <c r="A1503" s="4">
        <v>5202.0</v>
      </c>
      <c r="B1503" s="4" t="s">
        <v>2360</v>
      </c>
      <c r="C1503" s="4" t="s">
        <v>2390</v>
      </c>
      <c r="D1503" s="4" t="s">
        <v>2391</v>
      </c>
      <c r="E1503" s="4">
        <v>1.0</v>
      </c>
      <c r="F1503" s="4" t="str">
        <f>IFERROR(__xludf.DUMMYFUNCTION("GOOGLETRANSLATE(D1503)"),"……美國傷亡包括40萬、80萬和日本人死亡5到1000萬人。” https://t.co/TxzXCNUDr8")</f>
        <v>……美國傷亡包括40萬、80萬和日本人死亡5到1000萬人。” https://t.co/TxzXCNUDr8</v>
      </c>
      <c r="G1503" s="4" t="str">
        <f>IFERROR(__xludf.DUMMYFUNCTION("GOOGLETRANSLATE(B1503)"),"死亡人數")</f>
        <v>死亡人數</v>
      </c>
    </row>
    <row r="1504" ht="15.75" customHeight="1">
      <c r="A1504" s="4">
        <v>5203.0</v>
      </c>
      <c r="B1504" s="4" t="s">
        <v>2360</v>
      </c>
      <c r="D1504" s="4" t="s">
        <v>2392</v>
      </c>
      <c r="E1504" s="4">
        <v>1.0</v>
      </c>
      <c r="F1504" s="4" t="str">
        <f>IFERROR(__xludf.DUMMYFUNCTION("GOOGLETRANSLATE(D1504)"),"儘管客運量增加了 4%，英國連續第八年沒有發生火車事故死亡 http://t.co/SuiLzS2S95 @healthandsafety")</f>
        <v>儘管客運量增加了 4%，英國連續第八年沒有發生火車事故死亡 http://t.co/SuiLzS2S95 @healthandsafety</v>
      </c>
      <c r="G1504" s="4" t="str">
        <f>IFERROR(__xludf.DUMMYFUNCTION("GOOGLETRANSLATE(B1504)"),"死亡人數")</f>
        <v>死亡人數</v>
      </c>
    </row>
    <row r="1505" ht="15.75" customHeight="1">
      <c r="A1505" s="4">
        <v>5206.0</v>
      </c>
      <c r="B1505" s="4" t="s">
        <v>2360</v>
      </c>
      <c r="C1505" s="4" t="s">
        <v>438</v>
      </c>
      <c r="D1505" s="4" t="s">
        <v>2393</v>
      </c>
      <c r="E1505" s="4">
        <v>1.0</v>
      </c>
      <c r="F1505" s="4" t="str">
        <f>IFERROR(__xludf.DUMMYFUNCTION("GOOGLETRANSLATE(D1505)"),"PolicyLab 出席@CECANF 今天和明天在紐約舉行的最後一次公開聽證會，討論虐待和忽視兒童死亡問題 http://t.co/n2cY3Z4TPB")</f>
        <v>PolicyLab 出席@CECANF 今天和明天在紐約舉行的最後一次公開聽證會，討論虐待和忽視兒童死亡問題 http://t.co/n2cY3Z4TPB</v>
      </c>
      <c r="G1505" s="4" t="str">
        <f>IFERROR(__xludf.DUMMYFUNCTION("GOOGLETRANSLATE(B1505)"),"死亡人數")</f>
        <v>死亡人數</v>
      </c>
    </row>
    <row r="1506" ht="15.75" customHeight="1">
      <c r="A1506" s="4">
        <v>5207.0</v>
      </c>
      <c r="B1506" s="4" t="s">
        <v>2360</v>
      </c>
      <c r="C1506" s="4" t="s">
        <v>2394</v>
      </c>
      <c r="D1506" s="4" t="s">
        <v>2395</v>
      </c>
      <c r="E1506" s="4">
        <v>1.0</v>
      </c>
      <c r="F1506" s="4" t="str">
        <f>IFERROR(__xludf.DUMMYFUNCTION("GOOGLETRANSLATE(D1506)"),".@KurtSchlichter 是的，考慮到日本的垮台預計將導致「數百萬」日本人死亡。 @_FreeMarketeer @dibang")</f>
        <v>.@KurtSchlichter 是的，考慮到日本的垮台預計將導致「數百萬」日本人死亡。 @_FreeMarketeer @dibang</v>
      </c>
      <c r="G1506" s="4" t="str">
        <f>IFERROR(__xludf.DUMMYFUNCTION("GOOGLETRANSLATE(B1506)"),"死亡人數")</f>
        <v>死亡人數</v>
      </c>
    </row>
    <row r="1507" ht="15.75" customHeight="1">
      <c r="A1507" s="4">
        <v>5208.0</v>
      </c>
      <c r="B1507" s="4" t="s">
        <v>2360</v>
      </c>
      <c r="D1507" s="4" t="s">
        <v>2396</v>
      </c>
      <c r="E1507" s="4">
        <v>1.0</v>
      </c>
      <c r="F1507" s="4" t="str">
        <f>IFERROR(__xludf.DUMMYFUNCTION("GOOGLETRANSLATE(D1507)"),"#Shipping #Logistics eNCA |地中海移民船傾覆造成人員死亡，船上數百人：Û_ 傾覆，因為我... http://t.co/dnO7QXcFfh")</f>
        <v>#Shipping #Logistics eNCA |地中海移民船傾覆造成人員死亡，船上數百人：Û_ 傾覆，因為我... http://t.co/dnO7QXcFfh</v>
      </c>
      <c r="G1507" s="4" t="str">
        <f>IFERROR(__xludf.DUMMYFUNCTION("GOOGLETRANSLATE(B1507)"),"死亡人數")</f>
        <v>死亡人數</v>
      </c>
    </row>
    <row r="1508" ht="15.75" customHeight="1">
      <c r="A1508" s="4">
        <v>5209.0</v>
      </c>
      <c r="B1508" s="4" t="s">
        <v>2360</v>
      </c>
      <c r="C1508" s="4" t="s">
        <v>2397</v>
      </c>
      <c r="D1508" s="4" t="s">
        <v>2398</v>
      </c>
      <c r="E1508" s="4">
        <v>1.0</v>
      </c>
      <c r="F1508" s="4" t="str">
        <f>IFERROR(__xludf.DUMMYFUNCTION("GOOGLETRANSLATE(D1508)"),"從今天開始，留言板將顯示更新的交通死亡人數（之前為 582 人）和新消息：交通死亡人數 616 - 工人移動緩慢。")</f>
        <v>從今天開始，留言板將顯示更新的交通死亡人數（之前為 582 人）和新消息：交通死亡人數 616 - 工人移動緩慢。</v>
      </c>
      <c r="G1508" s="4" t="str">
        <f>IFERROR(__xludf.DUMMYFUNCTION("GOOGLETRANSLATE(B1508)"),"死亡人數")</f>
        <v>死亡人數</v>
      </c>
    </row>
    <row r="1509" ht="15.75" customHeight="1">
      <c r="A1509" s="4">
        <v>5210.0</v>
      </c>
      <c r="B1509" s="4" t="s">
        <v>2360</v>
      </c>
      <c r="C1509" s="4" t="s">
        <v>542</v>
      </c>
      <c r="D1509" s="4" t="s">
        <v>2399</v>
      </c>
      <c r="E1509" s="4">
        <v>1.0</v>
      </c>
      <c r="F1509" s="4" t="str">
        <f>IFERROR(__xludf.DUMMYFUNCTION("GOOGLETRANSLATE(D1509)"),"愛爾蘭道路上的駕駛死亡人數下降，但行人和騎自行車的人面臨的風險更大 http://t.co/E7OJhpdfG2")</f>
        <v>愛爾蘭道路上的駕駛死亡人數下降，但行人和騎自行車的人面臨的風險更大 http://t.co/E7OJhpdfG2</v>
      </c>
      <c r="G1509" s="4" t="str">
        <f>IFERROR(__xludf.DUMMYFUNCTION("GOOGLETRANSLATE(B1509)"),"死亡人數")</f>
        <v>死亡人數</v>
      </c>
    </row>
    <row r="1510" ht="15.75" customHeight="1">
      <c r="A1510" s="4">
        <v>5213.0</v>
      </c>
      <c r="B1510" s="4" t="s">
        <v>2400</v>
      </c>
      <c r="D1510" s="4" t="s">
        <v>2401</v>
      </c>
      <c r="E1510" s="4">
        <v>1.0</v>
      </c>
      <c r="F1510" s="4" t="str">
        <f>IFERROR(__xludf.DUMMYFUNCTION("GOOGLETRANSLATE(D1510)"),"@Truly_Stings 喲 Dm 我")</f>
        <v>@Truly_Stings 喲 Dm 我</v>
      </c>
      <c r="G1510" s="4" t="str">
        <f>IFERROR(__xludf.DUMMYFUNCTION("GOOGLETRANSLATE(B1510)"),"死亡")</f>
        <v>死亡</v>
      </c>
    </row>
    <row r="1511" ht="15.75" customHeight="1">
      <c r="A1511" s="4">
        <v>5222.0</v>
      </c>
      <c r="B1511" s="4" t="s">
        <v>2400</v>
      </c>
      <c r="C1511" s="4" t="s">
        <v>2402</v>
      </c>
      <c r="D1511" s="4" t="s">
        <v>2403</v>
      </c>
      <c r="E1511" s="4">
        <v>1.0</v>
      </c>
      <c r="F1511" s="4" t="str">
        <f>IFERROR(__xludf.DUMMYFUNCTION("GOOGLETRANSLATE(D1511)"),"死於萊姆病：病死率接近 100% http://t.co/RgT9GhODpW")</f>
        <v>死於萊姆病：病死率接近 100% http://t.co/RgT9GhODpW</v>
      </c>
      <c r="G1511" s="4" t="str">
        <f>IFERROR(__xludf.DUMMYFUNCTION("GOOGLETRANSLATE(B1511)"),"死亡")</f>
        <v>死亡</v>
      </c>
    </row>
    <row r="1512" ht="15.75" customHeight="1">
      <c r="A1512" s="4">
        <v>5223.0</v>
      </c>
      <c r="B1512" s="4" t="s">
        <v>2400</v>
      </c>
      <c r="D1512" s="4" t="s">
        <v>2404</v>
      </c>
      <c r="E1512" s="4">
        <v>1.0</v>
      </c>
      <c r="F1512" s="4" t="str">
        <f>IFERROR(__xludf.DUMMYFUNCTION("GOOGLETRANSLATE(D1512)"),"@hrips_k 當你遭遇致命事故時，屍體仍然在顫抖")</f>
        <v>@hrips_k 當你遭遇致命事故時，屍體仍然在顫抖</v>
      </c>
      <c r="G1512" s="4" t="str">
        <f>IFERROR(__xludf.DUMMYFUNCTION("GOOGLETRANSLATE(B1512)"),"死亡")</f>
        <v>死亡</v>
      </c>
    </row>
    <row r="1513" ht="15.75" customHeight="1">
      <c r="A1513" s="4">
        <v>5226.0</v>
      </c>
      <c r="B1513" s="4" t="s">
        <v>2400</v>
      </c>
      <c r="D1513" s="4" t="s">
        <v>2405</v>
      </c>
      <c r="E1513" s="4">
        <v>1.0</v>
      </c>
      <c r="F1513" s="4" t="str">
        <f>IFERROR(__xludf.DUMMYFUNCTION("GOOGLETRANSLATE(D1513)"),"哇101大型鑽孔機的死亡事故擊中摩托車騎士到處都是血？哇。我病了。")</f>
        <v>哇101大型鑽孔機的死亡事故擊中摩托車騎士到處都是血？哇。我病了。</v>
      </c>
      <c r="G1513" s="4" t="str">
        <f>IFERROR(__xludf.DUMMYFUNCTION("GOOGLETRANSLATE(B1513)"),"死亡")</f>
        <v>死亡</v>
      </c>
    </row>
    <row r="1514" ht="15.75" customHeight="1">
      <c r="A1514" s="4">
        <v>5228.0</v>
      </c>
      <c r="B1514" s="4" t="s">
        <v>2400</v>
      </c>
      <c r="C1514" s="4" t="s">
        <v>2406</v>
      </c>
      <c r="D1514" s="4" t="s">
        <v>2407</v>
      </c>
      <c r="E1514" s="4">
        <v>1.0</v>
      </c>
      <c r="F1514" s="4" t="str">
        <f>IFERROR(__xludf.DUMMYFUNCTION("GOOGLETRANSLATE(D1514)"),"科修斯科警方週四調查行人被火車撞死的事件 http://t.co/JILfbR0UfP")</f>
        <v>科修斯科警方週四調查行人被火車撞死的事件 http://t.co/JILfbR0UfP</v>
      </c>
      <c r="G1514" s="4" t="str">
        <f>IFERROR(__xludf.DUMMYFUNCTION("GOOGLETRANSLATE(B1514)"),"死亡")</f>
        <v>死亡</v>
      </c>
    </row>
    <row r="1515" ht="15.75" customHeight="1">
      <c r="A1515" s="4">
        <v>5234.0</v>
      </c>
      <c r="B1515" s="4" t="s">
        <v>2400</v>
      </c>
      <c r="C1515" s="4" t="s">
        <v>2124</v>
      </c>
      <c r="D1515" s="4" t="s">
        <v>2408</v>
      </c>
      <c r="E1515" s="4">
        <v>1.0</v>
      </c>
      <c r="F1515" s="4" t="str">
        <f>IFERROR(__xludf.DUMMYFUNCTION("GOOGLETRANSLATE(D1515)"),"阿富汗士兵殺死美國將軍，這是自越戰以來美國死亡人數最高的一次 http://t.co/SiHQPlUIDW")</f>
        <v>阿富汗士兵殺死美國將軍，這是自越戰以來美國死亡人數最高的一次 http://t.co/SiHQPlUIDW</v>
      </c>
      <c r="G1515" s="4" t="str">
        <f>IFERROR(__xludf.DUMMYFUNCTION("GOOGLETRANSLATE(B1515)"),"死亡")</f>
        <v>死亡</v>
      </c>
    </row>
    <row r="1516" ht="15.75" customHeight="1">
      <c r="A1516" s="4">
        <v>5248.0</v>
      </c>
      <c r="B1516" s="4" t="s">
        <v>2400</v>
      </c>
      <c r="D1516" s="4" t="s">
        <v>2409</v>
      </c>
      <c r="E1516" s="4">
        <v>1.0</v>
      </c>
      <c r="F1516" s="4" t="str">
        <f>IFERROR(__xludf.DUMMYFUNCTION("GOOGLETRANSLATE(D1516)"),"死亡人數 https://t.co/GF5qjGoyCi")</f>
        <v>死亡人數 https://t.co/GF5qjGoyCi</v>
      </c>
      <c r="G1516" s="4" t="str">
        <f>IFERROR(__xludf.DUMMYFUNCTION("GOOGLETRANSLATE(B1516)"),"死亡")</f>
        <v>死亡</v>
      </c>
    </row>
    <row r="1517" ht="15.75" customHeight="1">
      <c r="A1517" s="4">
        <v>5252.0</v>
      </c>
      <c r="B1517" s="4" t="s">
        <v>2400</v>
      </c>
      <c r="C1517" s="4" t="s">
        <v>48</v>
      </c>
      <c r="D1517" s="4" t="s">
        <v>2410</v>
      </c>
      <c r="E1517" s="4">
        <v>1.0</v>
      </c>
      <c r="F1517" s="4" t="str">
        <f>IFERROR(__xludf.DUMMYFUNCTION("GOOGLETRANSLATE(D1517)"),"黎巴嫩 US70 公路上 40w 卡車相撞，造成死亡。非常難過。預計整個早上都會有長時間的延誤。")</f>
        <v>黎巴嫩 US70 公路上 40w 卡車相撞，造成死亡。非常難過。預計整個早上都會有長時間的延誤。</v>
      </c>
      <c r="G1517" s="4" t="str">
        <f>IFERROR(__xludf.DUMMYFUNCTION("GOOGLETRANSLATE(B1517)"),"死亡")</f>
        <v>死亡</v>
      </c>
    </row>
    <row r="1518" ht="15.75" customHeight="1">
      <c r="A1518" s="4">
        <v>5254.0</v>
      </c>
      <c r="B1518" s="4" t="s">
        <v>2400</v>
      </c>
      <c r="C1518" s="4" t="s">
        <v>2411</v>
      </c>
      <c r="D1518" s="4" t="s">
        <v>2412</v>
      </c>
      <c r="E1518" s="4">
        <v>1.0</v>
      </c>
      <c r="F1518" s="4" t="str">
        <f>IFERROR(__xludf.DUMMYFUNCTION("GOOGLETRANSLATE(D1518)"),"@LindaSOCVAT @TfLBusAlerts 顯然是的。牛死亡的報告也令人遺憾。")</f>
        <v>@LindaSOCVAT @TfLBusAlerts 顯然是的。牛死亡的報告也令人遺憾。</v>
      </c>
      <c r="G1518" s="4" t="str">
        <f>IFERROR(__xludf.DUMMYFUNCTION("GOOGLETRANSLATE(B1518)"),"死亡")</f>
        <v>死亡</v>
      </c>
    </row>
    <row r="1519" ht="15.75" customHeight="1">
      <c r="A1519" s="4">
        <v>5257.0</v>
      </c>
      <c r="B1519" s="4" t="s">
        <v>2400</v>
      </c>
      <c r="D1519" s="4" t="s">
        <v>2413</v>
      </c>
      <c r="E1519" s="4">
        <v>1.0</v>
      </c>
      <c r="F1519" s="4" t="str">
        <f>IFERROR(__xludf.DUMMYFUNCTION("GOOGLETRANSLATE(D1519)"),"負責驗證歐巴馬出生證明的洛雷塔·福迪之死是飛機上九人唯一的死亡 http://t.co/MzRhfOJT2j")</f>
        <v>負責驗證歐巴馬出生證明的洛雷塔·福迪之死是飛機上九人唯一的死亡 http://t.co/MzRhfOJT2j</v>
      </c>
      <c r="G1519" s="4" t="str">
        <f>IFERROR(__xludf.DUMMYFUNCTION("GOOGLETRANSLATE(B1519)"),"死亡")</f>
        <v>死亡</v>
      </c>
    </row>
    <row r="1520" ht="15.75" customHeight="1">
      <c r="A1520" s="4">
        <v>5278.0</v>
      </c>
      <c r="B1520" s="4" t="s">
        <v>2414</v>
      </c>
      <c r="D1520" s="4" t="s">
        <v>2415</v>
      </c>
      <c r="E1520" s="4">
        <v>1.0</v>
      </c>
      <c r="F1520" s="4" t="str">
        <f>IFERROR(__xludf.DUMMYFUNCTION("GOOGLETRANSLATE(D1520)"),"愛的反面是恐懼，這就是為什麼
http://t.co/r5bXZzhXkm")</f>
        <v>愛的反面是恐懼，這就是為什麼
http://t.co/r5bXZzhXkm</v>
      </c>
      <c r="G1520" s="4" t="str">
        <f>IFERROR(__xludf.DUMMYFUNCTION("GOOGLETRANSLATE(B1520)"),"害怕")</f>
        <v>害怕</v>
      </c>
    </row>
    <row r="1521" ht="15.75" customHeight="1">
      <c r="A1521" s="4">
        <v>5282.0</v>
      </c>
      <c r="B1521" s="4" t="s">
        <v>2414</v>
      </c>
      <c r="C1521" s="4" t="s">
        <v>2416</v>
      </c>
      <c r="D1521" s="4" t="s">
        <v>2417</v>
      </c>
      <c r="E1521" s="4">
        <v>1.0</v>
      </c>
      <c r="F1521" s="4" t="str">
        <f>IFERROR(__xludf.DUMMYFUNCTION("GOOGLETRANSLATE(D1521)"),"@CowgirlLawyer 我們必須拒絕成為一個每個人都生活在擔心被醉酒和/或瘋狂的人無意中槍殺的國家。")</f>
        <v>@CowgirlLawyer 我們必須拒絕成為一個每個人都生活在擔心被醉酒和/或瘋狂的人無意中槍殺的國家。</v>
      </c>
      <c r="G1521" s="4" t="str">
        <f>IFERROR(__xludf.DUMMYFUNCTION("GOOGLETRANSLATE(B1521)"),"害怕")</f>
        <v>害怕</v>
      </c>
    </row>
    <row r="1522" ht="15.75" customHeight="1">
      <c r="A1522" s="4">
        <v>5283.0</v>
      </c>
      <c r="B1522" s="4" t="s">
        <v>2414</v>
      </c>
      <c r="C1522" s="4" t="s">
        <v>2418</v>
      </c>
      <c r="D1522" s="4" t="s">
        <v>2419</v>
      </c>
      <c r="E1522" s="4">
        <v>1.0</v>
      </c>
      <c r="F1522" s="4" t="str">
        <f>IFERROR(__xludf.DUMMYFUNCTION("GOOGLETRANSLATE(D1522)"),"恐怖電影是由極具創意的藝術家製作的。我們在《剖析恐懼》中深入採訪了其中 21 人。 http://t.co/J6mpdsx9Lk")</f>
        <v>恐怖電影是由極具創意的藝術家製作的。我們在《剖析恐懼》中深入採訪了其中 21 人。 http://t.co/J6mpdsx9Lk</v>
      </c>
      <c r="G1522" s="4" t="str">
        <f>IFERROR(__xludf.DUMMYFUNCTION("GOOGLETRANSLATE(B1522)"),"害怕")</f>
        <v>害怕</v>
      </c>
    </row>
    <row r="1523" ht="15.75" customHeight="1">
      <c r="A1523" s="4">
        <v>5299.0</v>
      </c>
      <c r="B1523" s="4" t="s">
        <v>2414</v>
      </c>
      <c r="D1523" s="4" t="s">
        <v>2420</v>
      </c>
      <c r="E1523" s="4">
        <v>1.0</v>
      </c>
      <c r="F1523" s="4" t="str">
        <f>IFERROR(__xludf.DUMMYFUNCTION("GOOGLETRANSLATE(D1523)"),"沒什麼好怕的。這都是關於冒險的。")</f>
        <v>沒什麼好怕的。這都是關於冒險的。</v>
      </c>
      <c r="G1523" s="4" t="str">
        <f>IFERROR(__xludf.DUMMYFUNCTION("GOOGLETRANSLATE(B1523)"),"害怕")</f>
        <v>害怕</v>
      </c>
    </row>
    <row r="1524" ht="15.75" customHeight="1">
      <c r="A1524" s="4">
        <v>5301.0</v>
      </c>
      <c r="B1524" s="4" t="s">
        <v>2414</v>
      </c>
      <c r="C1524" s="4" t="s">
        <v>2421</v>
      </c>
      <c r="D1524" s="4" t="s">
        <v>2422</v>
      </c>
      <c r="E1524" s="4">
        <v>1.0</v>
      </c>
      <c r="F1524" s="4" t="str">
        <f>IFERROR(__xludf.DUMMYFUNCTION("GOOGLETRANSLATE(D1524)"),"《陰屍路》衍生劇《陰屍路》將於 23 日上映？")</f>
        <v>《陰屍路》衍生劇《陰屍路》將於 23 日上映？</v>
      </c>
      <c r="G1524" s="4" t="str">
        <f>IFERROR(__xludf.DUMMYFUNCTION("GOOGLETRANSLATE(B1524)"),"害怕")</f>
        <v>害怕</v>
      </c>
    </row>
    <row r="1525" ht="15.75" customHeight="1">
      <c r="A1525" s="4">
        <v>5319.0</v>
      </c>
      <c r="B1525" s="4" t="s">
        <v>2423</v>
      </c>
      <c r="C1525" s="4" t="s">
        <v>2424</v>
      </c>
      <c r="D1525" s="4" t="s">
        <v>2425</v>
      </c>
      <c r="E1525" s="4">
        <v>1.0</v>
      </c>
      <c r="F1525" s="4" t="str">
        <f>IFERROR(__xludf.DUMMYFUNCTION("GOOGLETRANSLATE(D1525)"),"@Miss_HoMaStToPa 因為著火了，我們著火了，現在著火了.. 是的，我們著火了，我們著火了，現在著火了wwwwww")</f>
        <v>@Miss_HoMaStToPa 因為著火了，我們著火了，現在著火了.. 是的，我們著火了，我們著火了，現在著火了wwwwww</v>
      </c>
      <c r="G1525" s="4" t="str">
        <f>IFERROR(__xludf.DUMMYFUNCTION("GOOGLETRANSLATE(B1525)"),"火")</f>
        <v>火</v>
      </c>
    </row>
    <row r="1526" ht="15.75" customHeight="1">
      <c r="A1526" s="4">
        <v>5324.0</v>
      </c>
      <c r="B1526" s="4" t="s">
        <v>2423</v>
      </c>
      <c r="D1526" s="4" t="s">
        <v>2426</v>
      </c>
      <c r="E1526" s="4">
        <v>1.0</v>
      </c>
      <c r="F1526" s="4" t="str">
        <f>IFERROR(__xludf.DUMMYFUNCTION("GOOGLETRANSLATE(D1526)"),"放火燒東西總是一種選擇")</f>
        <v>放火燒東西總是一種選擇</v>
      </c>
      <c r="G1526" s="4" t="str">
        <f>IFERROR(__xludf.DUMMYFUNCTION("GOOGLETRANSLATE(B1526)"),"火")</f>
        <v>火</v>
      </c>
    </row>
    <row r="1527" ht="15.75" customHeight="1">
      <c r="A1527" s="4">
        <v>5328.0</v>
      </c>
      <c r="B1527" s="4" t="s">
        <v>2423</v>
      </c>
      <c r="C1527" s="4" t="s">
        <v>2427</v>
      </c>
      <c r="D1527" s="4" t="s">
        <v>2428</v>
      </c>
      <c r="E1527" s="4">
        <v>1.0</v>
      </c>
      <c r="F1527" s="4" t="str">
        <f>IFERROR(__xludf.DUMMYFUNCTION("GOOGLETRANSLATE(D1527)"),"但把「洪水氾濫」放在清單的頂部。 https://t.co/p5JPjgiipW")</f>
        <v>但把「洪水氾濫」放在清單的頂部。 https://t.co/p5JPjgiipW</v>
      </c>
      <c r="G1527" s="4" t="str">
        <f>IFERROR(__xludf.DUMMYFUNCTION("GOOGLETRANSLATE(B1527)"),"火")</f>
        <v>火</v>
      </c>
    </row>
    <row r="1528" ht="15.75" customHeight="1">
      <c r="A1528" s="4">
        <v>5336.0</v>
      </c>
      <c r="B1528" s="4" t="s">
        <v>2423</v>
      </c>
      <c r="D1528" s="4" t="s">
        <v>2429</v>
      </c>
      <c r="E1528" s="4">
        <v>1.0</v>
      </c>
      <c r="F1528" s="4" t="str">
        <f>IFERROR(__xludf.DUMMYFUNCTION("GOOGLETRANSLATE(D1528)"),"這場火災太近了，到底發生了什麼事？？？ http://t.co/drf3mmRbyx")</f>
        <v>這場火災太近了，到底發生了什麼事？？？ http://t.co/drf3mmRbyx</v>
      </c>
      <c r="G1528" s="4" t="str">
        <f>IFERROR(__xludf.DUMMYFUNCTION("GOOGLETRANSLATE(B1528)"),"火")</f>
        <v>火</v>
      </c>
    </row>
    <row r="1529" ht="15.75" customHeight="1">
      <c r="A1529" s="4">
        <v>5343.0</v>
      </c>
      <c r="B1529" s="4" t="s">
        <v>2423</v>
      </c>
      <c r="D1529" s="4" t="s">
        <v>2430</v>
      </c>
      <c r="E1529" s="4">
        <v>1.0</v>
      </c>
      <c r="F1529" s="4" t="str">
        <f>IFERROR(__xludf.DUMMYFUNCTION("GOOGLETRANSLATE(D1529)"),"沒有什麼比火災更好的了 https://t.co/ItFbBz9xYC")</f>
        <v>沒有什麼比火災更好的了 https://t.co/ItFbBz9xYC</v>
      </c>
      <c r="G1529" s="4" t="str">
        <f>IFERROR(__xludf.DUMMYFUNCTION("GOOGLETRANSLATE(B1529)"),"火")</f>
        <v>火</v>
      </c>
    </row>
    <row r="1530" ht="15.75" customHeight="1">
      <c r="A1530" s="4">
        <v>5345.0</v>
      </c>
      <c r="B1530" s="4" t="s">
        <v>2423</v>
      </c>
      <c r="C1530" s="4" t="s">
        <v>2431</v>
      </c>
      <c r="D1530" s="4" t="s">
        <v>2432</v>
      </c>
      <c r="E1530" s="4">
        <v>1.0</v>
      </c>
      <c r="F1530" s="4" t="str">
        <f>IFERROR(__xludf.DUMMYFUNCTION("GOOGLETRANSLATE(D1530)"),"過去 150 多年來，加州一直在搖晃……著火……並且向人們收取過高的租金，但它不會有任何進展。")</f>
        <v>過去 150 多年來，加州一直在搖晃……著火……並且向人們收取過高的租金，但它不會有任何進展。</v>
      </c>
      <c r="G1530" s="4" t="str">
        <f>IFERROR(__xludf.DUMMYFUNCTION("GOOGLETRANSLATE(B1530)"),"火")</f>
        <v>火</v>
      </c>
    </row>
    <row r="1531" ht="15.75" customHeight="1">
      <c r="A1531" s="4">
        <v>5346.0</v>
      </c>
      <c r="B1531" s="4" t="s">
        <v>2423</v>
      </c>
      <c r="C1531" s="4" t="s">
        <v>2433</v>
      </c>
      <c r="D1531" s="4" t="s">
        <v>2434</v>
      </c>
      <c r="E1531" s="4">
        <v>1.0</v>
      </c>
      <c r="F1531" s="4" t="str">
        <f>IFERROR(__xludf.DUMMYFUNCTION("GOOGLETRANSLATE(D1531)"),"卡塔利納斯群島發生火災。看起來有點酷。這張照片並不公平。 https://t.co/N0tAwGeZJx")</f>
        <v>卡塔利納斯群島發生火災。看起來有點酷。這張照片並不公平。 https://t.co/N0tAwGeZJx</v>
      </c>
      <c r="G1531" s="4" t="str">
        <f>IFERROR(__xludf.DUMMYFUNCTION("GOOGLETRANSLATE(B1531)"),"火")</f>
        <v>火</v>
      </c>
    </row>
    <row r="1532" ht="15.75" customHeight="1">
      <c r="A1532" s="4">
        <v>5351.0</v>
      </c>
      <c r="B1532" s="4" t="s">
        <v>2423</v>
      </c>
      <c r="C1532" s="4" t="s">
        <v>2435</v>
      </c>
      <c r="D1532" s="4" t="s">
        <v>2436</v>
      </c>
      <c r="E1532" s="4">
        <v>1.0</v>
      </c>
      <c r="F1532" s="4" t="str">
        <f>IFERROR(__xludf.DUMMYFUNCTION("GOOGLETRANSLATE(D1532)"),"我想放火燒一些東西。")</f>
        <v>我想放火燒一些東西。</v>
      </c>
      <c r="G1532" s="4" t="str">
        <f>IFERROR(__xludf.DUMMYFUNCTION("GOOGLETRANSLATE(B1532)"),"火")</f>
        <v>火</v>
      </c>
    </row>
    <row r="1533" ht="15.75" customHeight="1">
      <c r="A1533" s="4">
        <v>5352.0</v>
      </c>
      <c r="B1533" s="4" t="s">
        <v>2423</v>
      </c>
      <c r="C1533" s="4" t="s">
        <v>2437</v>
      </c>
      <c r="D1533" s="4" t="s">
        <v>2438</v>
      </c>
      <c r="E1533" s="4">
        <v>1.0</v>
      </c>
      <c r="F1533" s="4" t="str">
        <f>IFERROR(__xludf.DUMMYFUNCTION("GOOGLETRANSLATE(D1533)"),"用查理·丹尼爾斯的話來說，「山上的火是男孩跑的。」Û_ https://t.co/fz1HAEj255")</f>
        <v>用查理·丹尼爾斯的話來說，「山上的火是男孩跑的。」Û_ https://t.co/fz1HAEj255</v>
      </c>
      <c r="G1533" s="4" t="str">
        <f>IFERROR(__xludf.DUMMYFUNCTION("GOOGLETRANSLATE(B1533)"),"火")</f>
        <v>火</v>
      </c>
    </row>
    <row r="1534" ht="15.75" customHeight="1">
      <c r="A1534" s="4">
        <v>5353.0</v>
      </c>
      <c r="B1534" s="4" t="s">
        <v>2423</v>
      </c>
      <c r="C1534" s="4" t="s">
        <v>596</v>
      </c>
      <c r="D1534" s="4" t="s">
        <v>2439</v>
      </c>
      <c r="E1534" s="4">
        <v>1.0</v>
      </c>
      <c r="F1534" s="4" t="str">
        <f>IFERROR(__xludf.DUMMYFUNCTION("GOOGLETRANSLATE(D1534)"),"我剛剛簽到！ ÛÒ 在 @ZomatoAUS #LoveFood 上著火 http://t.co/9l5kqykrbG")</f>
        <v>我剛剛簽到！ ÛÒ 在 @ZomatoAUS #LoveFood 上著火 http://t.co/9l5kqykrbG</v>
      </c>
      <c r="G1534" s="4" t="str">
        <f>IFERROR(__xludf.DUMMYFUNCTION("GOOGLETRANSLATE(B1534)"),"火")</f>
        <v>火</v>
      </c>
    </row>
    <row r="1535" ht="15.75" customHeight="1">
      <c r="A1535" s="4">
        <v>5357.0</v>
      </c>
      <c r="B1535" s="4" t="s">
        <v>2423</v>
      </c>
      <c r="D1535" s="4" t="s">
        <v>2440</v>
      </c>
      <c r="E1535" s="4">
        <v>1.0</v>
      </c>
      <c r="F1535" s="4" t="str">
        <f>IFERROR(__xludf.DUMMYFUNCTION("GOOGLETRANSLATE(D1535)"),"開車時聞到苯火的味道讓我想坐在旁邊做 s'mores ？？？")</f>
        <v>開車時聞到苯火的味道讓我想坐在旁邊做 s'mores ？？？</v>
      </c>
      <c r="G1535" s="4" t="str">
        <f>IFERROR(__xludf.DUMMYFUNCTION("GOOGLETRANSLATE(B1535)"),"火")</f>
        <v>火</v>
      </c>
    </row>
    <row r="1536" ht="15.75" customHeight="1">
      <c r="A1536" s="4">
        <v>5362.0</v>
      </c>
      <c r="B1536" s="4" t="s">
        <v>2441</v>
      </c>
      <c r="C1536" s="4" t="s">
        <v>2442</v>
      </c>
      <c r="D1536" s="4" t="s">
        <v>2443</v>
      </c>
      <c r="E1536" s="4">
        <v>1.0</v>
      </c>
      <c r="F1536" s="4" t="str">
        <f>IFERROR(__xludf.DUMMYFUNCTION("GOOGLETRANSLATE(D1536)"),"Fire Call：消防用 BRANT AV / DRUMMOND RD - *結構 - 單。單位：CAR 6 待命卡車 http://t.co/euDwNFyUeM")</f>
        <v>Fire Call：消防用 BRANT AV / DRUMMOND RD - *結構 - 單。單位：CAR 6 待命卡車 http://t.co/euDwNFyUeM</v>
      </c>
      <c r="G1536" s="4" t="str">
        <f>IFERROR(__xludf.DUMMYFUNCTION("GOOGLETRANSLATE(B1536)"),"火災%20卡車")</f>
        <v>火災%20卡車</v>
      </c>
    </row>
    <row r="1537" ht="15.75" customHeight="1">
      <c r="A1537" s="4">
        <v>5367.0</v>
      </c>
      <c r="B1537" s="4" t="s">
        <v>2441</v>
      </c>
      <c r="D1537" s="4" t="s">
        <v>2444</v>
      </c>
      <c r="E1537" s="4">
        <v>1.0</v>
      </c>
      <c r="F1537" s="4" t="str">
        <f>IFERROR(__xludf.DUMMYFUNCTION("GOOGLETRANSLATE(D1537)"),"#reno 卡車拖車在裡諾起火 http://t.co/k5FIJaNkJb")</f>
        <v>#reno 卡車拖車在裡諾起火 http://t.co/k5FIJaNkJb</v>
      </c>
      <c r="G1537" s="4" t="str">
        <f>IFERROR(__xludf.DUMMYFUNCTION("GOOGLETRANSLATE(B1537)"),"火災%20卡車")</f>
        <v>火災%20卡車</v>
      </c>
    </row>
    <row r="1538" ht="15.75" customHeight="1">
      <c r="A1538" s="4">
        <v>5368.0</v>
      </c>
      <c r="B1538" s="4" t="s">
        <v>2441</v>
      </c>
      <c r="D1538" s="4" t="s">
        <v>2445</v>
      </c>
      <c r="E1538" s="4">
        <v>1.0</v>
      </c>
      <c r="F1538" s="4" t="str">
        <f>IFERROR(__xludf.DUMMYFUNCTION("GOOGLETRANSLATE(D1538)"),"帕格沃什村的狂野之夜，鎮上的每輛消防車都出動了，就像每棟房子都有一輛消防車一樣 - 人口：6")</f>
        <v>帕格沃什村的狂野之夜，鎮上的每輛消防車都出動了，就像每棟房子都有一輛消防車一樣 - 人口：6</v>
      </c>
      <c r="G1538" s="4" t="str">
        <f>IFERROR(__xludf.DUMMYFUNCTION("GOOGLETRANSLATE(B1538)"),"火災%20卡車")</f>
        <v>火災%20卡車</v>
      </c>
    </row>
    <row r="1539" ht="15.75" customHeight="1">
      <c r="A1539" s="4">
        <v>5371.0</v>
      </c>
      <c r="B1539" s="4" t="s">
        <v>2441</v>
      </c>
      <c r="C1539" s="4" t="s">
        <v>2446</v>
      </c>
      <c r="D1539" s="4" t="s">
        <v>2447</v>
      </c>
      <c r="E1539" s="4">
        <v>1.0</v>
      </c>
      <c r="F1539" s="4" t="str">
        <f>IFERROR(__xludf.DUMMYFUNCTION("GOOGLETRANSLATE(D1539)"),"「一輛 18 輪汽車駛來，撞上了消防車，導致消防車旋轉 180 度並導致翻車」http://t.co/kmPfhGlhoo")</f>
        <v>「一輛 18 輪汽車駛來，撞上了消防車，導致消防車旋轉 180 度並導致翻車」http://t.co/kmPfhGlhoo</v>
      </c>
      <c r="G1539" s="4" t="str">
        <f>IFERROR(__xludf.DUMMYFUNCTION("GOOGLETRANSLATE(B1539)"),"火災%20卡車")</f>
        <v>火災%20卡車</v>
      </c>
    </row>
    <row r="1540" ht="15.75" customHeight="1">
      <c r="A1540" s="4">
        <v>5372.0</v>
      </c>
      <c r="B1540" s="4" t="s">
        <v>2441</v>
      </c>
      <c r="C1540" s="4" t="s">
        <v>2448</v>
      </c>
      <c r="D1540" s="4" t="s">
        <v>2449</v>
      </c>
      <c r="E1540" s="4">
        <v>1.0</v>
      </c>
      <c r="F1540" s="4" t="str">
        <f>IFERROR(__xludf.DUMMYFUNCTION("GOOGLETRANSLATE(D1540)"),"SIGALERT 更新 #3***N-133 在 5 FWY UFN*** 關閉 - 垃圾車起火")</f>
        <v>SIGALERT 更新 #3***N-133 在 5 FWY UFN*** 關閉 - 垃圾車起火</v>
      </c>
      <c r="G1540" s="4" t="str">
        <f>IFERROR(__xludf.DUMMYFUNCTION("GOOGLETRANSLATE(B1540)"),"火災%20卡車")</f>
        <v>火災%20卡車</v>
      </c>
    </row>
    <row r="1541" ht="15.75" customHeight="1">
      <c r="A1541" s="4">
        <v>5373.0</v>
      </c>
      <c r="B1541" s="4" t="s">
        <v>2441</v>
      </c>
      <c r="C1541" s="4" t="s">
        <v>2450</v>
      </c>
      <c r="D1541" s="4" t="s">
        <v>2451</v>
      </c>
      <c r="E1541" s="4">
        <v>1.0</v>
      </c>
      <c r="F1541" s="4" t="str">
        <f>IFERROR(__xludf.DUMMYFUNCTION("GOOGLETRANSLATE(D1541)"),"@BrookTekle_看起來不像謀殺現場，只有 1 名警察、一輛消防車和 2 輛消防車以及一架直升機")</f>
        <v>@BrookTekle_看起來不像謀殺現場，只有 1 名警察、一輛消防車和 2 輛消防車以及一架直升機</v>
      </c>
      <c r="G1541" s="4" t="str">
        <f>IFERROR(__xludf.DUMMYFUNCTION("GOOGLETRANSLATE(B1541)"),"火災%20卡車")</f>
        <v>火災%20卡車</v>
      </c>
    </row>
    <row r="1542" ht="15.75" customHeight="1">
      <c r="A1542" s="4">
        <v>5375.0</v>
      </c>
      <c r="B1542" s="4" t="s">
        <v>2441</v>
      </c>
      <c r="C1542" s="4" t="s">
        <v>2452</v>
      </c>
      <c r="D1542" s="4" t="s">
        <v>2453</v>
      </c>
      <c r="E1542" s="4">
        <v>1.0</v>
      </c>
      <c r="F1542" s="4" t="str">
        <f>IFERROR(__xludf.DUMMYFUNCTION("GOOGLETRANSLATE(D1542)"),"菲律賓使用前鎮消防車 - 蘭利時報 http://t.co/L90dCPV9Zu #Philippines")</f>
        <v>菲律賓使用前鎮消防車 - 蘭利時報 http://t.co/L90dCPV9Zu #Philippines</v>
      </c>
      <c r="G1542" s="4" t="str">
        <f>IFERROR(__xludf.DUMMYFUNCTION("GOOGLETRANSLATE(B1542)"),"火災%20卡車")</f>
        <v>火災%20卡車</v>
      </c>
    </row>
    <row r="1543" ht="15.75" customHeight="1">
      <c r="A1543" s="4">
        <v>5377.0</v>
      </c>
      <c r="B1543" s="4" t="s">
        <v>2441</v>
      </c>
      <c r="D1543" s="4" t="s">
        <v>2454</v>
      </c>
      <c r="E1543" s="4">
        <v>1.0</v>
      </c>
      <c r="F1543" s="4" t="str">
        <f>IFERROR(__xludf.DUMMYFUNCTION("GOOGLETRANSLATE(D1543)"),"菲律賓使用的前鎮消防車：蘭利鎮助理消防隊長 Pat Walker 花費... http://t.co/r6YJw4xcKY")</f>
        <v>菲律賓使用的前鎮消防車：蘭利鎮助理消防隊長 Pat Walker 花費... http://t.co/r6YJw4xcKY</v>
      </c>
      <c r="G1543" s="4" t="str">
        <f>IFERROR(__xludf.DUMMYFUNCTION("GOOGLETRANSLATE(B1543)"),"火災%20卡車")</f>
        <v>火災%20卡車</v>
      </c>
    </row>
    <row r="1544" ht="15.75" customHeight="1">
      <c r="A1544" s="4">
        <v>5379.0</v>
      </c>
      <c r="B1544" s="4" t="s">
        <v>2441</v>
      </c>
      <c r="D1544" s="4" t="s">
        <v>2455</v>
      </c>
      <c r="E1544" s="4">
        <v>1.0</v>
      </c>
      <c r="F1544" s="4" t="str">
        <f>IFERROR(__xludf.DUMMYFUNCTION("GOOGLETRANSLATE(D1544)"),"@KapoKekito，在北門，墨西哥捲餅卡車著火了。")</f>
        <v>@KapoKekito，在北門，墨西哥捲餅卡車著火了。</v>
      </c>
      <c r="G1544" s="4" t="str">
        <f>IFERROR(__xludf.DUMMYFUNCTION("GOOGLETRANSLATE(B1544)"),"火災%20卡車")</f>
        <v>火災%20卡車</v>
      </c>
    </row>
    <row r="1545" ht="15.75" customHeight="1">
      <c r="A1545" s="4">
        <v>5380.0</v>
      </c>
      <c r="B1545" s="4" t="s">
        <v>2441</v>
      </c>
      <c r="D1545" s="4" t="s">
        <v>2456</v>
      </c>
      <c r="E1545" s="4">
        <v>1.0</v>
      </c>
      <c r="F1545" s="4" t="str">
        <f>IFERROR(__xludf.DUMMYFUNCTION("GOOGLETRANSLATE(D1545)"),"當你停下來上班時，這絕對不是一個好兆頭。有五輛救護車和海灣裡的一輛消防車。 Wompppp 至少今天是星期五")</f>
        <v>當你停下來上班時，這絕對不是一個好兆頭。有五輛救護車和海灣裡的一輛消防車。 Wompppp 至少今天是星期五</v>
      </c>
      <c r="G1545" s="4" t="str">
        <f>IFERROR(__xludf.DUMMYFUNCTION("GOOGLETRANSLATE(B1545)"),"火災%20卡車")</f>
        <v>火災%20卡車</v>
      </c>
    </row>
    <row r="1546" ht="15.75" customHeight="1">
      <c r="A1546" s="4">
        <v>5381.0</v>
      </c>
      <c r="B1546" s="4" t="s">
        <v>2441</v>
      </c>
      <c r="C1546" s="4" t="s">
        <v>2457</v>
      </c>
      <c r="D1546" s="4" t="s">
        <v>2458</v>
      </c>
      <c r="E1546" s="4">
        <v>1.0</v>
      </c>
      <c r="F1546" s="4" t="str">
        <f>IFERROR(__xludf.DUMMYFUNCTION("GOOGLETRANSLATE(D1546)"),"K3 第三期的消防車和救護車。希望大家都沒事。 #為塞班島祈禱")</f>
        <v>K3 第三期的消防車和救護車。希望大家都沒事。 #為塞班島祈禱</v>
      </c>
      <c r="G1546" s="4" t="str">
        <f>IFERROR(__xludf.DUMMYFUNCTION("GOOGLETRANSLATE(B1546)"),"火災%20卡車")</f>
        <v>火災%20卡車</v>
      </c>
    </row>
    <row r="1547" ht="15.75" customHeight="1">
      <c r="A1547" s="4">
        <v>5382.0</v>
      </c>
      <c r="B1547" s="4" t="s">
        <v>2441</v>
      </c>
      <c r="C1547" s="4" t="s">
        <v>2459</v>
      </c>
      <c r="D1547" s="4" t="s">
        <v>2460</v>
      </c>
      <c r="E1547" s="4">
        <v>1.0</v>
      </c>
      <c r="F1547" s="4" t="str">
        <f>IFERROR(__xludf.DUMMYFUNCTION("GOOGLETRANSLATE(D1547)"),"#SigAlert：北和北由於卡車起火，南行 133 號公路在 5 號高速公路和歐文大道之間關閉。熱電聯產正在繞道交通。")</f>
        <v>#SigAlert：北和北由於卡車起火，南行 133 號公路在 5 號高速公路和歐文大道之間關閉。熱電聯產正在繞道交通。</v>
      </c>
      <c r="G1547" s="4" t="str">
        <f>IFERROR(__xludf.DUMMYFUNCTION("GOOGLETRANSLATE(B1547)"),"火災%20卡車")</f>
        <v>火災%20卡車</v>
      </c>
    </row>
    <row r="1548" ht="15.75" customHeight="1">
      <c r="A1548" s="4">
        <v>5383.0</v>
      </c>
      <c r="B1548" s="4" t="s">
        <v>2441</v>
      </c>
      <c r="C1548" s="4" t="s">
        <v>2461</v>
      </c>
      <c r="D1548" s="4" t="s">
        <v>2462</v>
      </c>
      <c r="E1548" s="4">
        <v>1.0</v>
      </c>
      <c r="F1548" s="4" t="str">
        <f>IFERROR(__xludf.DUMMYFUNCTION("GOOGLETRANSLATE(D1548)"),"@eeenice221 真的是因為卡車著火了？")</f>
        <v>@eeenice221 真的是因為卡車著火了？</v>
      </c>
      <c r="G1548" s="4" t="str">
        <f>IFERROR(__xludf.DUMMYFUNCTION("GOOGLETRANSLATE(B1548)"),"火災%20卡車")</f>
        <v>火災%20卡車</v>
      </c>
    </row>
    <row r="1549" ht="15.75" customHeight="1">
      <c r="A1549" s="4">
        <v>5386.0</v>
      </c>
      <c r="B1549" s="4" t="s">
        <v>2441</v>
      </c>
      <c r="C1549" s="4" t="s">
        <v>512</v>
      </c>
      <c r="D1549" s="4" t="s">
        <v>2463</v>
      </c>
      <c r="E1549" s="4">
        <v>1.0</v>
      </c>
      <c r="F1549" s="4" t="str">
        <f>IFERROR(__xludf.DUMMYFUNCTION("GOOGLETRANSLATE(D1549)"),"5 L 車道後的 133 N 車道重新開放。所有其他車道均已關閉。 133 S. 垃圾車火災清理時所有車道均開放。 @KNX1070")</f>
        <v>5 L 車道後的 133 N 車道重新開放。所有其他車道均已關閉。 133 S. 垃圾車火災清理時所有車道均開放。 @KNX1070</v>
      </c>
      <c r="G1549" s="4" t="str">
        <f>IFERROR(__xludf.DUMMYFUNCTION("GOOGLETRANSLATE(B1549)"),"火災%20卡車")</f>
        <v>火災%20卡車</v>
      </c>
    </row>
    <row r="1550" ht="15.75" customHeight="1">
      <c r="A1550" s="4">
        <v>5387.0</v>
      </c>
      <c r="B1550" s="4" t="s">
        <v>2441</v>
      </c>
      <c r="C1550" s="4" t="s">
        <v>2464</v>
      </c>
      <c r="D1550" s="4" t="s">
        <v>2460</v>
      </c>
      <c r="E1550" s="4">
        <v>1.0</v>
      </c>
      <c r="F1550" s="4" t="str">
        <f>IFERROR(__xludf.DUMMYFUNCTION("GOOGLETRANSLATE(D1550)"),"#SigAlert：北和北由於卡車起火，南行 133 號公路在 5 號高速公路和歐文大道之間關閉。熱電聯產正在繞道交通。")</f>
        <v>#SigAlert：北和北由於卡車起火，南行 133 號公路在 5 號高速公路和歐文大道之間關閉。熱電聯產正在繞道交通。</v>
      </c>
      <c r="G1550" s="4" t="str">
        <f>IFERROR(__xludf.DUMMYFUNCTION("GOOGLETRANSLATE(B1550)"),"火災%20卡車")</f>
        <v>火災%20卡車</v>
      </c>
    </row>
    <row r="1551" ht="15.75" customHeight="1">
      <c r="A1551" s="4">
        <v>5389.0</v>
      </c>
      <c r="B1551" s="4" t="s">
        <v>2441</v>
      </c>
      <c r="C1551" s="4" t="s">
        <v>2013</v>
      </c>
      <c r="D1551" s="4" t="s">
        <v>2465</v>
      </c>
      <c r="E1551" s="4">
        <v>1.0</v>
      </c>
      <c r="F1551" s="4" t="str">
        <f>IFERROR(__xludf.DUMMYFUNCTION("GOOGLETRANSLATE(D1551)"),"發現這張很酷的照片不是我的 1952 年道奇韋恩車身 4 窗巴士。前 Libby MT 消防局卡車。所有原意_ http://t.co/mcEjZzxgh8")</f>
        <v>發現這張很酷的照片不是我的 1952 年道奇韋恩車身 4 窗巴士。前 Libby MT 消防局卡車。所有原意_ http://t.co/mcEjZzxgh8</v>
      </c>
      <c r="G1551" s="4" t="str">
        <f>IFERROR(__xludf.DUMMYFUNCTION("GOOGLETRANSLATE(B1551)"),"火災%20卡車")</f>
        <v>火災%20卡車</v>
      </c>
    </row>
    <row r="1552" ht="15.75" customHeight="1">
      <c r="A1552" s="4">
        <v>5396.0</v>
      </c>
      <c r="B1552" s="4" t="s">
        <v>2441</v>
      </c>
      <c r="D1552" s="4" t="s">
        <v>2466</v>
      </c>
      <c r="E1552" s="4">
        <v>1.0</v>
      </c>
      <c r="F1552" s="4" t="str">
        <f>IFERROR(__xludf.DUMMYFUNCTION("GOOGLETRANSLATE(D1552)"),"當怪物卡車賽車在展會上著火時")</f>
        <v>當怪物卡車賽車在展會上著火時</v>
      </c>
      <c r="G1552" s="4" t="str">
        <f>IFERROR(__xludf.DUMMYFUNCTION("GOOGLETRANSLATE(B1552)"),"火災%20卡車")</f>
        <v>火災%20卡車</v>
      </c>
    </row>
    <row r="1553" ht="15.75" customHeight="1">
      <c r="A1553" s="4">
        <v>5397.0</v>
      </c>
      <c r="B1553" s="4" t="s">
        <v>2441</v>
      </c>
      <c r="C1553" s="4" t="s">
        <v>2467</v>
      </c>
      <c r="D1553" s="4" t="s">
        <v>2468</v>
      </c>
      <c r="E1553" s="4">
        <v>1.0</v>
      </c>
      <c r="F1553" s="4" t="str">
        <f>IFERROR(__xludf.DUMMYFUNCTION("GOOGLETRANSLATE(D1553)"),"卡車火災堵塞了峽谷路 http://t.co/JRDwyy0aX4")</f>
        <v>卡車火災堵塞了峽谷路 http://t.co/JRDwyy0aX4</v>
      </c>
      <c r="G1553" s="4" t="str">
        <f>IFERROR(__xludf.DUMMYFUNCTION("GOOGLETRANSLATE(B1553)"),"火災%20卡車")</f>
        <v>火災%20卡車</v>
      </c>
    </row>
    <row r="1554" ht="15.75" customHeight="1">
      <c r="A1554" s="4">
        <v>5400.0</v>
      </c>
      <c r="B1554" s="4" t="s">
        <v>2441</v>
      </c>
      <c r="C1554" s="4" t="s">
        <v>2469</v>
      </c>
      <c r="D1554" s="4" t="s">
        <v>2470</v>
      </c>
      <c r="E1554" s="4">
        <v>1.0</v>
      </c>
      <c r="F1554" s="4" t="str">
        <f>IFERROR(__xludf.DUMMYFUNCTION("GOOGLETRANSLATE(D1554)"),"rgj：卡車拖車在裡諾起火 http://t.co/kAF3WdRmTn")</f>
        <v>rgj：卡車拖車在裡諾起火 http://t.co/kAF3WdRmTn</v>
      </c>
      <c r="G1554" s="4" t="str">
        <f>IFERROR(__xludf.DUMMYFUNCTION("GOOGLETRANSLATE(B1554)"),"火災%20卡車")</f>
        <v>火災%20卡車</v>
      </c>
    </row>
    <row r="1555" ht="15.75" customHeight="1">
      <c r="A1555" s="4">
        <v>5403.0</v>
      </c>
      <c r="B1555" s="4" t="s">
        <v>2441</v>
      </c>
      <c r="D1555" s="4" t="s">
        <v>2471</v>
      </c>
      <c r="E1555" s="4">
        <v>1.0</v>
      </c>
      <c r="F1555" s="4" t="str">
        <f>IFERROR(__xludf.DUMMYFUNCTION("GOOGLETRANSLATE(D1555)"),"#菲律賓前鄉鎮消防車在菲律賓使用：宿霧菲律賓緊急設備的¤Û_... http://t.co/aL28RVkqPQ")</f>
        <v>#菲律賓前鄉鎮消防車在菲律賓使用：宿霧菲律賓緊急設備的¤Û_... http://t.co/aL28RVkqPQ</v>
      </c>
      <c r="G1555" s="4" t="str">
        <f>IFERROR(__xludf.DUMMYFUNCTION("GOOGLETRANSLATE(B1555)"),"火災%20卡車")</f>
        <v>火災%20卡車</v>
      </c>
    </row>
    <row r="1556" ht="15.75" customHeight="1">
      <c r="A1556" s="4">
        <v>5409.0</v>
      </c>
      <c r="B1556" s="4" t="s">
        <v>2441</v>
      </c>
      <c r="D1556" s="4" t="s">
        <v>2472</v>
      </c>
      <c r="E1556" s="4">
        <v>1.0</v>
      </c>
      <c r="F1556" s="4" t="str">
        <f>IFERROR(__xludf.DUMMYFUNCTION("GOOGLETRANSLATE(D1556)"),"傑克遜維爾消防局救援引擎 58 - 很棒的卡車！ - 官方 JADE FL... https://t.co/ybdSlJw7c1 來自 @YouTube")</f>
        <v>傑克遜維爾消防局救援引擎 58 - 很棒的卡車！ - 官方 JADE FL... https://t.co/ybdSlJw7c1 來自 @YouTube</v>
      </c>
      <c r="G1556" s="4" t="str">
        <f>IFERROR(__xludf.DUMMYFUNCTION("GOOGLETRANSLATE(B1556)"),"火災%20卡車")</f>
        <v>火災%20卡車</v>
      </c>
    </row>
    <row r="1557" ht="15.75" customHeight="1">
      <c r="A1557" s="4">
        <v>5410.0</v>
      </c>
      <c r="B1557" s="4" t="s">
        <v>2441</v>
      </c>
      <c r="C1557" s="4" t="s">
        <v>2473</v>
      </c>
      <c r="D1557" s="4" t="s">
        <v>2474</v>
      </c>
      <c r="E1557" s="4">
        <v>1.0</v>
      </c>
      <c r="F1557" s="4" t="str">
        <f>IFERROR(__xludf.DUMMYFUNCTION("GOOGLETRANSLATE(D1557)"),"#NJTurnpike å_ #NJTurnpike 在卡車起火數小時後重新開放？ http://t.co/oABJZtbVyZ http://t.co/GPBXRrDc07")</f>
        <v>#NJTurnpike å_ #NJTurnpike 在卡車起火數小時後重新開放？ http://t.co/oABJZtbVyZ http://t.co/GPBXRrDc07</v>
      </c>
      <c r="G1557" s="4" t="str">
        <f>IFERROR(__xludf.DUMMYFUNCTION("GOOGLETRANSLATE(B1557)"),"火災%20卡車")</f>
        <v>火災%20卡車</v>
      </c>
    </row>
    <row r="1558" ht="15.75" customHeight="1">
      <c r="A1558" s="4">
        <v>5412.0</v>
      </c>
      <c r="B1558" s="4" t="s">
        <v>2475</v>
      </c>
      <c r="C1558" s="4" t="s">
        <v>2476</v>
      </c>
      <c r="D1558" s="4" t="s">
        <v>2477</v>
      </c>
      <c r="E1558" s="4">
        <v>1.0</v>
      </c>
      <c r="F1558" s="4" t="str">
        <f>IFERROR(__xludf.DUMMYFUNCTION("GOOGLETRANSLATE(D1558)"),"我感謝我們的第一個響應者 - @MNPDNashville @NashvilleFD 和其他人 - 他們今天採取瞭如此迅速的行動，拯救了無數生命。")</f>
        <v>我感謝我們的第一個響應者 - @MNPDNashville @NashvilleFD 和其他人 - 他們今天採取瞭如此迅速的行動，拯救了無數生命。</v>
      </c>
      <c r="G1558" s="4" t="str">
        <f>IFERROR(__xludf.DUMMYFUNCTION("GOOGLETRANSLATE(B1558)"),"前%20位回覆者")</f>
        <v>前%20位回覆者</v>
      </c>
    </row>
    <row r="1559" ht="15.75" customHeight="1">
      <c r="A1559" s="4">
        <v>5420.0</v>
      </c>
      <c r="B1559" s="4" t="s">
        <v>2475</v>
      </c>
      <c r="C1559" s="4" t="s">
        <v>2478</v>
      </c>
      <c r="D1559" s="4" t="s">
        <v>2479</v>
      </c>
      <c r="E1559" s="4">
        <v>1.0</v>
      </c>
      <c r="F1559" s="4" t="str">
        <f>IFERROR(__xludf.DUMMYFUNCTION("GOOGLETRANSLATE(D1559)"),"丹佛消防員表示我們可以提供協助，努力遏制急救人員自殺 http://t.co/WtaFaepuKZ")</f>
        <v>丹佛消防員表示我們可以提供協助，努力遏制急救人員自殺 http://t.co/WtaFaepuKZ</v>
      </c>
      <c r="G1559" s="4" t="str">
        <f>IFERROR(__xludf.DUMMYFUNCTION("GOOGLETRANSLATE(B1559)"),"前%20位回覆者")</f>
        <v>前%20位回覆者</v>
      </c>
    </row>
    <row r="1560" ht="15.75" customHeight="1">
      <c r="A1560" s="4">
        <v>5425.0</v>
      </c>
      <c r="B1560" s="4" t="s">
        <v>2475</v>
      </c>
      <c r="D1560" s="4" t="s">
        <v>2480</v>
      </c>
      <c r="E1560" s="4">
        <v>1.0</v>
      </c>
      <c r="F1560" s="4" t="str">
        <f>IFERROR(__xludf.DUMMYFUNCTION("GOOGLETRANSLATE(D1560)"),"卡麥克電影院談安提阿槍擊事件：「我們感謝」工作人員和急救人員的安全是「最高優先級」http://t.co/BehfHspPud")</f>
        <v>卡麥克電影院談安提阿槍擊事件：「我們感謝」工作人員和急救人員的安全是「最高優先級」http://t.co/BehfHspPud</v>
      </c>
      <c r="G1560" s="4" t="str">
        <f>IFERROR(__xludf.DUMMYFUNCTION("GOOGLETRANSLATE(B1560)"),"前%20位回覆者")</f>
        <v>前%20位回覆者</v>
      </c>
    </row>
    <row r="1561" ht="15.75" customHeight="1">
      <c r="A1561" s="4">
        <v>5428.0</v>
      </c>
      <c r="B1561" s="4" t="s">
        <v>2475</v>
      </c>
      <c r="C1561" s="4" t="s">
        <v>434</v>
      </c>
      <c r="D1561" s="4" t="s">
        <v>2481</v>
      </c>
      <c r="E1561" s="4">
        <v>1.0</v>
      </c>
      <c r="F1561" s="4" t="str">
        <f>IFERROR(__xludf.DUMMYFUNCTION("GOOGLETRANSLATE(D1561)"),"我剛剛將“桑迪急救人員失去家園”添加到 @Vimeo 上的 VIP 主頁組：https://t.co/lKXi6UXjaQ")</f>
        <v>我剛剛將“桑迪急救人員失去家園”添加到 @Vimeo 上的 VIP 主頁組：https://t.co/lKXi6UXjaQ</v>
      </c>
      <c r="G1561" s="4" t="str">
        <f>IFERROR(__xludf.DUMMYFUNCTION("GOOGLETRANSLATE(B1561)"),"前%20位回覆者")</f>
        <v>前%20位回覆者</v>
      </c>
    </row>
    <row r="1562" ht="15.75" customHeight="1">
      <c r="A1562" s="4">
        <v>5430.0</v>
      </c>
      <c r="B1562" s="4" t="s">
        <v>2475</v>
      </c>
      <c r="C1562" s="4" t="s">
        <v>48</v>
      </c>
      <c r="D1562" s="4" t="s">
        <v>2482</v>
      </c>
      <c r="E1562" s="4">
        <v>1.0</v>
      </c>
      <c r="F1562" s="4" t="str">
        <f>IFERROR(__xludf.DUMMYFUNCTION("GOOGLETRANSLATE(D1562)"),"感謝我們的第一響應者，特別是@MNPDNashville 今天在安提阿做出的拯救生命的響應！")</f>
        <v>感謝我們的第一響應者，特別是@MNPDNashville 今天在安提阿做出的拯救生命的響應！</v>
      </c>
      <c r="G1562" s="4" t="str">
        <f>IFERROR(__xludf.DUMMYFUNCTION("GOOGLETRANSLATE(B1562)"),"前%20位回覆者")</f>
        <v>前%20位回覆者</v>
      </c>
    </row>
    <row r="1563" ht="15.75" customHeight="1">
      <c r="A1563" s="4">
        <v>5444.0</v>
      </c>
      <c r="B1563" s="4" t="s">
        <v>2475</v>
      </c>
      <c r="C1563" s="4" t="s">
        <v>2483</v>
      </c>
      <c r="D1563" s="4" t="s">
        <v>2484</v>
      </c>
      <c r="E1563" s="4">
        <v>1.0</v>
      </c>
      <c r="F1563" s="4" t="str">
        <f>IFERROR(__xludf.DUMMYFUNCTION("GOOGLETRANSLATE(D1563)"),"Kirsten Gillibrand http://t.co/amEA3LaMDj 將醫療保健擴展到 911 急救人員！")</f>
        <v>Kirsten Gillibrand http://t.co/amEA3LaMDj 將醫療保健擴展到 911 急救人員！</v>
      </c>
      <c r="G1563" s="4" t="str">
        <f>IFERROR(__xludf.DUMMYFUNCTION("GOOGLETRANSLATE(B1563)"),"前%20位回覆者")</f>
        <v>前%20位回覆者</v>
      </c>
    </row>
    <row r="1564" ht="15.75" customHeight="1">
      <c r="A1564" s="4">
        <v>5445.0</v>
      </c>
      <c r="B1564" s="4" t="s">
        <v>2475</v>
      </c>
      <c r="C1564" s="4" t="s">
        <v>2485</v>
      </c>
      <c r="D1564" s="4" t="s">
        <v>2486</v>
      </c>
      <c r="E1564" s="4">
        <v>1.0</v>
      </c>
      <c r="F1564" s="4" t="str">
        <f>IFERROR(__xludf.DUMMYFUNCTION("GOOGLETRANSLATE(D1564)"),"丹佛消防員表示“我們可以提供幫助”，努力遏制急救人員自殺 http://t.co/aVV6hPNpch")</f>
        <v>丹佛消防員表示“我們可以提供幫助”，努力遏制急救人員自殺 http://t.co/aVV6hPNpch</v>
      </c>
      <c r="G1564" s="4" t="str">
        <f>IFERROR(__xludf.DUMMYFUNCTION("GOOGLETRANSLATE(B1564)"),"前%20位回覆者")</f>
        <v>前%20位回覆者</v>
      </c>
    </row>
    <row r="1565" ht="15.75" customHeight="1">
      <c r="A1565" s="4">
        <v>5450.0</v>
      </c>
      <c r="B1565" s="4" t="s">
        <v>2475</v>
      </c>
      <c r="D1565" s="4" t="s">
        <v>2487</v>
      </c>
      <c r="E1565" s="4">
        <v>1.0</v>
      </c>
      <c r="F1565" s="4" t="str">
        <f>IFERROR(__xludf.DUMMYFUNCTION("GOOGLETRANSLATE(D1565)"),"@IAFFLocal4416 除了急救人員或負責保護的公眾之外，沒有人喪生？")</f>
        <v>@IAFFLocal4416 除了急救人員或負責保護的公眾之外，沒有人喪生？</v>
      </c>
      <c r="G1565" s="4" t="str">
        <f>IFERROR(__xludf.DUMMYFUNCTION("GOOGLETRANSLATE(B1565)"),"前%20位回覆者")</f>
        <v>前%20位回覆者</v>
      </c>
    </row>
    <row r="1566" ht="15.75" customHeight="1">
      <c r="A1566" s="4">
        <v>5454.0</v>
      </c>
      <c r="B1566" s="4" t="s">
        <v>2475</v>
      </c>
      <c r="C1566" s="4" t="s">
        <v>2488</v>
      </c>
      <c r="D1566" s="4" t="s">
        <v>2489</v>
      </c>
      <c r="E1566" s="4">
        <v>1.0</v>
      </c>
      <c r="F1566" s="4" t="str">
        <f>IFERROR(__xludf.DUMMYFUNCTION("GOOGLETRANSLATE(D1566)"),"在 #999day 緊急服務展示中！認識勇敢的警察消防隊員和急救人員，他們幫忙保障我們的安全！ ???????")</f>
        <v>在 #999day 緊急服務展示中！認識勇敢的警察消防隊員和急救人員，他們幫忙保障我們的安全！ ???????</v>
      </c>
      <c r="G1566" s="4" t="str">
        <f>IFERROR(__xludf.DUMMYFUNCTION("GOOGLETRANSLATE(B1566)"),"前%20位回覆者")</f>
        <v>前%20位回覆者</v>
      </c>
    </row>
    <row r="1567" ht="15.75" customHeight="1">
      <c r="A1567" s="4">
        <v>5455.0</v>
      </c>
      <c r="B1567" s="4" t="s">
        <v>2475</v>
      </c>
      <c r="D1567" s="4" t="s">
        <v>2490</v>
      </c>
      <c r="E1567" s="4">
        <v>1.0</v>
      </c>
      <c r="F1567" s="4" t="str">
        <f>IFERROR(__xludf.DUMMYFUNCTION("GOOGLETRANSLATE(D1567)"),"本週，急救人員和 DART 成員將參加為期四天的密集技術大型動物... http://t.co/tL93AOd3ER")</f>
        <v>本週，急救人員和 DART 成員將參加為期四天的密集技術大型動物... http://t.co/tL93AOd3ER</v>
      </c>
      <c r="G1567" s="4" t="str">
        <f>IFERROR(__xludf.DUMMYFUNCTION("GOOGLETRANSLATE(B1567)"),"前%20位回覆者")</f>
        <v>前%20位回覆者</v>
      </c>
    </row>
    <row r="1568" ht="15.75" customHeight="1">
      <c r="A1568" s="4">
        <v>5458.0</v>
      </c>
      <c r="B1568" s="4" t="s">
        <v>2475</v>
      </c>
      <c r="C1568" s="4" t="s">
        <v>790</v>
      </c>
      <c r="D1568" s="4" t="s">
        <v>2491</v>
      </c>
      <c r="E1568" s="4">
        <v>1.0</v>
      </c>
      <c r="F1568" s="4" t="str">
        <f>IFERROR(__xludf.DUMMYFUNCTION("GOOGLETRANSLATE(D1568)"),"隨著消防員在 #RockyFire 上取得進展，傑裡布朗將於明天早上前往該地區與急救人員會面")</f>
        <v>隨著消防員在 #RockyFire 上取得進展，傑裡布朗將於明天早上前往該地區與急救人員會面</v>
      </c>
      <c r="G1568" s="4" t="str">
        <f>IFERROR(__xludf.DUMMYFUNCTION("GOOGLETRANSLATE(B1568)"),"前%20位回覆者")</f>
        <v>前%20位回覆者</v>
      </c>
    </row>
    <row r="1569" ht="15.75" customHeight="1">
      <c r="A1569" s="4">
        <v>5459.0</v>
      </c>
      <c r="B1569" s="4" t="s">
        <v>2475</v>
      </c>
      <c r="C1569" s="4" t="s">
        <v>2492</v>
      </c>
      <c r="D1569" s="4" t="s">
        <v>2493</v>
      </c>
      <c r="E1569" s="4">
        <v>1.0</v>
      </c>
      <c r="F1569" s="4" t="str">
        <f>IFERROR(__xludf.DUMMYFUNCTION("GOOGLETRANSLATE(D1569)"),"劇院槍擊事件結束後，@星巴克向所有急救人員、警察和警察提供免費咖啡。消防員。安提阿山核桃空心#TN")</f>
        <v>劇院槍擊事件結束後，@星巴克向所有急救人員、警察和警察提供免費咖啡。消防員。安提阿山核桃空心#TN</v>
      </c>
      <c r="G1569" s="4" t="str">
        <f>IFERROR(__xludf.DUMMYFUNCTION("GOOGLETRANSLATE(B1569)"),"前%20位回覆者")</f>
        <v>前%20位回覆者</v>
      </c>
    </row>
    <row r="1570" ht="15.75" customHeight="1">
      <c r="A1570" s="4">
        <v>5461.0</v>
      </c>
      <c r="B1570" s="4" t="s">
        <v>2494</v>
      </c>
      <c r="C1570" s="4" t="s">
        <v>2495</v>
      </c>
      <c r="D1570" s="4" t="s">
        <v>2496</v>
      </c>
      <c r="E1570" s="4">
        <v>1.0</v>
      </c>
      <c r="F1570" s="4" t="str">
        <f>IFERROR(__xludf.DUMMYFUNCTION("GOOGLETRANSLATE(D1570)"),"新巨型火焰（巨型全黑PANTOFEL）資訊/訂單簡訊：087809233445 pin：23928835 http://t.co/dthNEezupe pic.twitter.com/pNPiZoDY")</f>
        <v>新巨型火焰（巨型全黑PANTOFEL）資訊/訂單簡訊：087809233445 pin：23928835 http://t.co/dthNEezupe pic.twitter.com/pNPiZoDY</v>
      </c>
      <c r="G1570" s="4" t="str">
        <f>IFERROR(__xludf.DUMMYFUNCTION("GOOGLETRANSLATE(B1570)"),"火焰")</f>
        <v>火焰</v>
      </c>
    </row>
    <row r="1571" ht="15.75" customHeight="1">
      <c r="A1571" s="4">
        <v>5479.0</v>
      </c>
      <c r="B1571" s="4" t="s">
        <v>2494</v>
      </c>
      <c r="C1571" s="4" t="s">
        <v>2497</v>
      </c>
      <c r="D1571" s="4" t="s">
        <v>2498</v>
      </c>
      <c r="E1571" s="4">
        <v>1.0</v>
      </c>
      <c r="F1571" s="4" t="str">
        <f>IFERROR(__xludf.DUMMYFUNCTION("GOOGLETRANSLATE(D1571)"),"@gilderoy 我希望我足夠好，可以在我的指甲上添加火焰，我著火了")</f>
        <v>@gilderoy 我希望我足夠好，可以在我的指甲上添加火焰，我著火了</v>
      </c>
      <c r="G1571" s="4" t="str">
        <f>IFERROR(__xludf.DUMMYFUNCTION("GOOGLETRANSLATE(B1571)"),"火焰")</f>
        <v>火焰</v>
      </c>
    </row>
    <row r="1572" ht="15.75" customHeight="1">
      <c r="A1572" s="4">
        <v>5482.0</v>
      </c>
      <c r="B1572" s="4" t="s">
        <v>2494</v>
      </c>
      <c r="C1572" s="4" t="s">
        <v>2499</v>
      </c>
      <c r="D1572" s="4" t="s">
        <v>2500</v>
      </c>
      <c r="E1572" s="4">
        <v>1.0</v>
      </c>
      <c r="F1572" s="4" t="str">
        <f>IFERROR(__xludf.DUMMYFUNCTION("GOOGLETRANSLATE(D1572)"),"@TadhgTGMTEL 這傢伙只是在抽煙，他媽的東西著火了，我雖然炸彈爆炸了，天啊，害怕")</f>
        <v>@TadhgTGMTEL 這傢伙只是在抽煙，他媽的東西著火了，我雖然炸彈爆炸了，天啊，害怕</v>
      </c>
      <c r="G1572" s="4" t="str">
        <f>IFERROR(__xludf.DUMMYFUNCTION("GOOGLETRANSLATE(B1572)"),"火焰")</f>
        <v>火焰</v>
      </c>
    </row>
    <row r="1573" ht="15.75" customHeight="1">
      <c r="A1573" s="4">
        <v>5484.0</v>
      </c>
      <c r="B1573" s="4" t="s">
        <v>2494</v>
      </c>
      <c r="D1573" s="4" t="s">
        <v>2501</v>
      </c>
      <c r="E1573" s="4">
        <v>1.0</v>
      </c>
      <c r="F1573" s="4" t="str">
        <f>IFERROR(__xludf.DUMMYFUNCTION("GOOGLETRANSLATE(D1573)"),"馬裡蘭州豪宅火災，因聖誕樹下插頭損壞造成 6 人死亡，報告稱 - 著火了... http://t.co/ucUDwIU3aN")</f>
        <v>馬裡蘭州豪宅火災，因聖誕樹下插頭損壞造成 6 人死亡，報告稱 - 著火了... http://t.co/ucUDwIU3aN</v>
      </c>
      <c r="G1573" s="4" t="str">
        <f>IFERROR(__xludf.DUMMYFUNCTION("GOOGLETRANSLATE(B1573)"),"火焰")</f>
        <v>火焰</v>
      </c>
    </row>
    <row r="1574" ht="15.75" customHeight="1">
      <c r="A1574" s="4">
        <v>5486.0</v>
      </c>
      <c r="B1574" s="4" t="s">
        <v>2494</v>
      </c>
      <c r="C1574" s="4" t="s">
        <v>627</v>
      </c>
      <c r="D1574" s="4" t="s">
        <v>2502</v>
      </c>
      <c r="E1574" s="4">
        <v>1.0</v>
      </c>
      <c r="F1574" s="4" t="str">
        <f>IFERROR(__xludf.DUMMYFUNCTION("GOOGLETRANSLATE(D1574)"),"ÛÏ你看到了破壞和破壞令人震驚。消防隊員繼續在加州與大火搏鬥。本斯特西報告 Û_")</f>
        <v>ÛÏ你看到了破壞和破壞令人震驚。消防隊員繼續在加州與大火搏鬥。本斯特西報告 Û_</v>
      </c>
      <c r="G1574" s="4" t="str">
        <f>IFERROR(__xludf.DUMMYFUNCTION("GOOGLETRANSLATE(B1574)"),"火焰")</f>
        <v>火焰</v>
      </c>
    </row>
    <row r="1575" ht="15.75" customHeight="1">
      <c r="A1575" s="4">
        <v>5487.0</v>
      </c>
      <c r="B1575" s="4" t="s">
        <v>2494</v>
      </c>
      <c r="C1575" s="4" t="s">
        <v>2503</v>
      </c>
      <c r="D1575" s="4" t="s">
        <v>2504</v>
      </c>
      <c r="E1575" s="4">
        <v>1.0</v>
      </c>
      <c r="F1575" s="4" t="str">
        <f>IFERROR(__xludf.DUMMYFUNCTION("GOOGLETRANSLATE(D1575)"),"看著它在火焰中燃燒")</f>
        <v>看著它在火焰中燃燒</v>
      </c>
      <c r="G1575" s="4" t="str">
        <f>IFERROR(__xludf.DUMMYFUNCTION("GOOGLETRANSLATE(B1575)"),"火焰")</f>
        <v>火焰</v>
      </c>
    </row>
    <row r="1576" ht="15.75" customHeight="1">
      <c r="A1576" s="4">
        <v>5488.0</v>
      </c>
      <c r="B1576" s="4" t="s">
        <v>2494</v>
      </c>
      <c r="C1576" s="4" t="s">
        <v>2505</v>
      </c>
      <c r="D1576" s="4" t="s">
        <v>2506</v>
      </c>
      <c r="E1576" s="4">
        <v>1.0</v>
      </c>
      <c r="F1576" s="4" t="str">
        <f>IFERROR(__xludf.DUMMYFUNCTION("GOOGLETRANSLATE(D1576)"),"RP 表示，他們可以看到哈特福德 260 街的筒倉冒出煙霧，但沒有看到火焰。")</f>
        <v>RP 表示，他們可以看到哈特福德 260 街的筒倉冒出煙霧，但沒有看到火焰。</v>
      </c>
      <c r="G1576" s="4" t="str">
        <f>IFERROR(__xludf.DUMMYFUNCTION("GOOGLETRANSLATE(B1576)"),"火焰")</f>
        <v>火焰</v>
      </c>
    </row>
    <row r="1577" ht="15.75" customHeight="1">
      <c r="A1577" s="4">
        <v>5491.0</v>
      </c>
      <c r="B1577" s="4" t="s">
        <v>2494</v>
      </c>
      <c r="C1577" s="4" t="s">
        <v>2507</v>
      </c>
      <c r="D1577" s="4" t="s">
        <v>2508</v>
      </c>
      <c r="E1577" s="4">
        <v>1.0</v>
      </c>
      <c r="F1577" s="4" t="str">
        <f>IFERROR(__xludf.DUMMYFUNCTION("GOOGLETRANSLATE(D1577)"),"馬裡蘭州一棟豪宅起火，聖誕樹下插頭損壞，造成 6 人死亡，報告稱 - 陷入火焰：消防員的勇敢...")</f>
        <v>馬裡蘭州一棟豪宅起火，聖誕樹下插頭損壞，造成 6 人死亡，報告稱 - 陷入火焰：消防員的勇敢...</v>
      </c>
      <c r="G1577" s="4" t="str">
        <f>IFERROR(__xludf.DUMMYFUNCTION("GOOGLETRANSLATE(B1577)"),"火焰")</f>
        <v>火焰</v>
      </c>
    </row>
    <row r="1578" ht="15.75" customHeight="1">
      <c r="A1578" s="4">
        <v>5494.0</v>
      </c>
      <c r="B1578" s="4" t="s">
        <v>2494</v>
      </c>
      <c r="C1578" s="4" t="s">
        <v>2124</v>
      </c>
      <c r="D1578" s="4" t="s">
        <v>2509</v>
      </c>
      <c r="E1578" s="4">
        <v>1.0</v>
      </c>
      <c r="F1578" s="4" t="str">
        <f>IFERROR(__xludf.DUMMYFUNCTION("GOOGLETRANSLATE(D1578)"),"馬裡蘭州豪宅起火，聖誕樹下插頭損壞造成 6 人死亡，報告稱 - 著火了... http://t.co/P1WmkXA9d8")</f>
        <v>馬裡蘭州豪宅起火，聖誕樹下插頭損壞造成 6 人死亡，報告稱 - 著火了... http://t.co/P1WmkXA9d8</v>
      </c>
      <c r="G1578" s="4" t="str">
        <f>IFERROR(__xludf.DUMMYFUNCTION("GOOGLETRANSLATE(B1578)"),"火焰")</f>
        <v>火焰</v>
      </c>
    </row>
    <row r="1579" ht="15.75" customHeight="1">
      <c r="A1579" s="4">
        <v>5497.0</v>
      </c>
      <c r="B1579" s="4" t="s">
        <v>2494</v>
      </c>
      <c r="C1579" s="4" t="s">
        <v>2510</v>
      </c>
      <c r="D1579" s="4" t="s">
        <v>2511</v>
      </c>
      <c r="E1579" s="4">
        <v>1.0</v>
      </c>
      <c r="F1579" s="4" t="str">
        <f>IFERROR(__xludf.DUMMYFUNCTION("GOOGLETRANSLATE(D1579)"),"@selmoooooo @_edvinnn @imTariik @dzafic_haris selmo 你沒有從我身上捕捉到火焰，我只是要目睹屠殺")</f>
        <v>@selmoooooo @_edvinnn @imTariik @dzafic_haris selmo 你沒有從我身上捕捉到火焰，我只是要目睹屠殺</v>
      </c>
      <c r="G1579" s="4" t="str">
        <f>IFERROR(__xludf.DUMMYFUNCTION("GOOGLETRANSLATE(B1579)"),"火焰")</f>
        <v>火焰</v>
      </c>
    </row>
    <row r="1580" ht="15.75" customHeight="1">
      <c r="A1580" s="4">
        <v>5502.0</v>
      </c>
      <c r="B1580" s="4" t="s">
        <v>2494</v>
      </c>
      <c r="C1580" s="4" t="s">
        <v>2512</v>
      </c>
      <c r="D1580" s="4" t="s">
        <v>2513</v>
      </c>
      <c r="E1580" s="4">
        <v>1.0</v>
      </c>
      <c r="F1580" s="4" t="str">
        <f>IFERROR(__xludf.DUMMYFUNCTION("GOOGLETRANSLATE(D1580)"),"@AisuMage @AkumaReisu——就在格雷和奧菲莉亞之間，紅色火焰在她周圍燃燒，幾乎設置了該地區的一切——")</f>
        <v>@AisuMage @AkumaReisu——就在格雷和奧菲莉亞之間，紅色火焰在她周圍燃燒，幾乎設置了該地區的一切——</v>
      </c>
      <c r="G1580" s="4" t="str">
        <f>IFERROR(__xludf.DUMMYFUNCTION("GOOGLETRANSLATE(B1580)"),"火焰")</f>
        <v>火焰</v>
      </c>
    </row>
    <row r="1581" ht="15.75" customHeight="1">
      <c r="A1581" s="4">
        <v>5503.0</v>
      </c>
      <c r="B1581" s="4" t="s">
        <v>2494</v>
      </c>
      <c r="C1581" s="4" t="s">
        <v>2514</v>
      </c>
      <c r="D1581" s="4" t="s">
        <v>2515</v>
      </c>
      <c r="E1581" s="4">
        <v>1.0</v>
      </c>
      <c r="F1581" s="4" t="str">
        <f>IFERROR(__xludf.DUMMYFUNCTION("GOOGLETRANSLATE(D1581)"),"馬裡蘭州 SoloQuiero 豪宅起火，因聖誕樹下插頭損壞造成 6 人死亡，報告稱 - 陷入火焰：消防...")</f>
        <v>馬裡蘭州 SoloQuiero 豪宅起火，因聖誕樹下插頭損壞造成 6 人死亡，報告稱 - 陷入火焰：消防...</v>
      </c>
      <c r="G1581" s="4" t="str">
        <f>IFERROR(__xludf.DUMMYFUNCTION("GOOGLETRANSLATE(B1581)"),"火焰")</f>
        <v>火焰</v>
      </c>
    </row>
    <row r="1582" ht="15.75" customHeight="1">
      <c r="A1582" s="4">
        <v>5505.0</v>
      </c>
      <c r="B1582" s="4" t="s">
        <v>2494</v>
      </c>
      <c r="C1582" s="4" t="s">
        <v>2516</v>
      </c>
      <c r="D1582" s="4" t="s">
        <v>2517</v>
      </c>
      <c r="E1582" s="4">
        <v>1.0</v>
      </c>
      <c r="F1582" s="4" t="str">
        <f>IFERROR(__xludf.DUMMYFUNCTION("GOOGLETRANSLATE(D1582)"),"馬裡蘭州豪宅起火，聖誕樹下插頭損壞造成 6 人死亡，報告稱 - 著火了... http://t.co/lKJFabQzb3")</f>
        <v>馬裡蘭州豪宅起火，聖誕樹下插頭損壞造成 6 人死亡，報告稱 - 著火了... http://t.co/lKJFabQzb3</v>
      </c>
      <c r="G1582" s="4" t="str">
        <f>IFERROR(__xludf.DUMMYFUNCTION("GOOGLETRANSLATE(B1582)"),"火焰")</f>
        <v>火焰</v>
      </c>
    </row>
    <row r="1583" ht="15.75" customHeight="1">
      <c r="A1583" s="4">
        <v>5522.0</v>
      </c>
      <c r="B1583" s="4" t="s">
        <v>2518</v>
      </c>
      <c r="C1583" s="4" t="s">
        <v>2519</v>
      </c>
      <c r="D1583" s="4" t="s">
        <v>2520</v>
      </c>
      <c r="E1583" s="4">
        <v>1.0</v>
      </c>
      <c r="F1583" s="4" t="str">
        <f>IFERROR(__xludf.DUMMYFUNCTION("GOOGLETRANSLATE(D1583)"),"70 年前，第一次原子彈襲擊將#廣島夷為平地，三天後#長崎 又犯下了戰爭罪行，讓莫斯科取而代之")</f>
        <v>70 年前，第一次原子彈襲擊將#廣島夷為平地，三天後#長崎 又犯下了戰爭罪行，讓莫斯科取而代之</v>
      </c>
      <c r="G1583" s="4" t="str">
        <f>IFERROR(__xludf.DUMMYFUNCTION("GOOGLETRANSLATE(B1583)"),"壓扁的")</f>
        <v>壓扁的</v>
      </c>
    </row>
    <row r="1584" ht="15.75" customHeight="1">
      <c r="A1584" s="4">
        <v>5524.0</v>
      </c>
      <c r="B1584" s="4" t="s">
        <v>2518</v>
      </c>
      <c r="C1584" s="4" t="s">
        <v>89</v>
      </c>
      <c r="D1584" s="4" t="s">
        <v>2521</v>
      </c>
      <c r="E1584" s="4">
        <v>1.0</v>
      </c>
      <c r="F1584" s="4" t="str">
        <f>IFERROR(__xludf.DUMMYFUNCTION("GOOGLETRANSLATE(D1584)"),"今天（8 月 6 日）是廣島原子彈「小男孩」投下 70 週年。城市被夷為平地，造成 7 萬人死亡")</f>
        <v>今天（8 月 6 日）是廣島原子彈「小男孩」投下 70 週年。城市被夷為平地，造成 7 萬人死亡</v>
      </c>
      <c r="G1584" s="4" t="str">
        <f>IFERROR(__xludf.DUMMYFUNCTION("GOOGLETRANSLATE(B1584)"),"壓扁的")</f>
        <v>壓扁的</v>
      </c>
    </row>
    <row r="1585" ht="15.75" customHeight="1">
      <c r="A1585" s="4">
        <v>5528.0</v>
      </c>
      <c r="B1585" s="4" t="s">
        <v>2518</v>
      </c>
      <c r="C1585" s="4" t="s">
        <v>2522</v>
      </c>
      <c r="D1585" s="4" t="s">
        <v>2523</v>
      </c>
      <c r="E1585" s="4">
        <v>1.0</v>
      </c>
      <c r="F1585" s="4" t="str">
        <f>IFERROR(__xludf.DUMMYFUNCTION("GOOGLETRANSLATE(D1585)"),"@GrabakaHitman @Izi_Garcia 當他壓扁町田時...他輸掉了那場戰鬥嗎..不，他輸給了那些他不應該輸給的人")</f>
        <v>@GrabakaHitman @Izi_Garcia 當他壓扁町田時...他輸掉了那場戰鬥嗎..不，他輸給了那些他不應該輸給的人</v>
      </c>
      <c r="G1585" s="4" t="str">
        <f>IFERROR(__xludf.DUMMYFUNCTION("GOOGLETRANSLATE(B1585)"),"壓扁的")</f>
        <v>壓扁的</v>
      </c>
    </row>
    <row r="1586" ht="15.75" customHeight="1">
      <c r="A1586" s="4">
        <v>5532.0</v>
      </c>
      <c r="B1586" s="4" t="s">
        <v>2518</v>
      </c>
      <c r="C1586" s="4" t="s">
        <v>2524</v>
      </c>
      <c r="D1586" s="4" t="s">
        <v>2525</v>
      </c>
      <c r="E1586" s="4">
        <v>1.0</v>
      </c>
      <c r="F1586" s="4" t="str">
        <f>IFERROR(__xludf.DUMMYFUNCTION("GOOGLETRANSLATE(D1586)"),"壓扁了你的前鋒")</f>
        <v>壓扁了你的前鋒</v>
      </c>
      <c r="G1586" s="4" t="str">
        <f>IFERROR(__xludf.DUMMYFUNCTION("GOOGLETRANSLATE(B1586)"),"壓扁的")</f>
        <v>壓扁的</v>
      </c>
    </row>
    <row r="1587" ht="15.75" customHeight="1">
      <c r="A1587" s="4">
        <v>5559.0</v>
      </c>
      <c r="B1587" s="4" t="s">
        <v>2518</v>
      </c>
      <c r="C1587" s="4" t="s">
        <v>2526</v>
      </c>
      <c r="D1587" s="4" t="s">
        <v>2527</v>
      </c>
      <c r="E1587" s="4">
        <v>1.0</v>
      </c>
      <c r="F1587" s="4" t="str">
        <f>IFERROR(__xludf.DUMMYFUNCTION("GOOGLETRANSLATE(D1587)"),"@SatanaOfHell 到目前為止見過。當他開始慢慢地朝她走去時，他的臉上浮現出一種夢幻般的表情，他的耳朵變平了。*你會—")</f>
        <v>@SatanaOfHell 到目前為止見過。當他開始慢慢地朝她走去時，他的臉上浮現出一種夢幻般的表情，他的耳朵變平了。*你會—</v>
      </c>
      <c r="G1587" s="4" t="str">
        <f>IFERROR(__xludf.DUMMYFUNCTION("GOOGLETRANSLATE(B1587)"),"壓扁的")</f>
        <v>壓扁的</v>
      </c>
    </row>
    <row r="1588" ht="15.75" customHeight="1">
      <c r="A1588" s="4">
        <v>5563.0</v>
      </c>
      <c r="B1588" s="4" t="s">
        <v>2528</v>
      </c>
      <c r="C1588" s="4" t="s">
        <v>627</v>
      </c>
      <c r="D1588" s="4" t="s">
        <v>2529</v>
      </c>
      <c r="E1588" s="4">
        <v>1.0</v>
      </c>
      <c r="F1588" s="4" t="str">
        <f>IFERROR(__xludf.DUMMYFUNCTION("GOOGLETRANSLATE(D1588)"),"JKL 取消貝爾哈倫諾克斯 [KY] 的山洪警報 http://t.co/4rY6zhcPOQ #WX")</f>
        <v>JKL 取消貝爾哈倫諾克斯 [KY] 的山洪警報 http://t.co/4rY6zhcPOQ #WX</v>
      </c>
      <c r="G1588" s="4" t="str">
        <f>IFERROR(__xludf.DUMMYFUNCTION("GOOGLETRANSLATE(B1588)"),"洪水")</f>
        <v>洪水</v>
      </c>
    </row>
    <row r="1589" ht="15.75" customHeight="1">
      <c r="A1589" s="4">
        <v>5564.0</v>
      </c>
      <c r="B1589" s="4" t="s">
        <v>2528</v>
      </c>
      <c r="C1589" s="4" t="s">
        <v>291</v>
      </c>
      <c r="D1589" s="4" t="s">
        <v>2530</v>
      </c>
      <c r="E1589" s="4">
        <v>1.0</v>
      </c>
      <c r="F1589" s="4" t="str">
        <f>IFERROR(__xludf.DUMMYFUNCTION("GOOGLETRANSLATE(D1589)"),"現貨泛光組合 53 吋 300W 弧形 Cree LED 工作燈條 4X4 越野霧燈 - 完整版 http://t.co/xxkHjySn0p http://t.co/JEVHKNJGBX")</f>
        <v>現貨泛光組合 53 吋 300W 弧形 Cree LED 工作燈條 4X4 越野霧燈 - 完整版 http://t.co/xxkHjySn0p http://t.co/JEVHKNJGBX</v>
      </c>
      <c r="G1589" s="4" t="str">
        <f>IFERROR(__xludf.DUMMYFUNCTION("GOOGLETRANSLATE(B1589)"),"洪水")</f>
        <v>洪水</v>
      </c>
    </row>
    <row r="1590" ht="15.75" customHeight="1">
      <c r="A1590" s="4">
        <v>5567.0</v>
      </c>
      <c r="B1590" s="4" t="s">
        <v>2528</v>
      </c>
      <c r="C1590" s="4" t="s">
        <v>2531</v>
      </c>
      <c r="D1590" s="4" t="s">
        <v>2532</v>
      </c>
      <c r="E1590" s="4">
        <v>1.0</v>
      </c>
      <c r="F1590" s="4" t="str">
        <f>IFERROR(__xludf.DUMMYFUNCTION("GOOGLETRANSLATE(D1590)"),"[小]洪水帶來大後果 https://t.co/CVPdVHxd1R http://t.co/FDMXP4FcMo")</f>
        <v>[小]洪水帶來大後果 https://t.co/CVPdVHxd1R http://t.co/FDMXP4FcMo</v>
      </c>
      <c r="G1590" s="4" t="str">
        <f>IFERROR(__xludf.DUMMYFUNCTION("GOOGLETRANSLATE(B1590)"),"洪水")</f>
        <v>洪水</v>
      </c>
    </row>
    <row r="1591" ht="15.75" customHeight="1">
      <c r="A1591" s="4">
        <v>5569.0</v>
      </c>
      <c r="B1591" s="4" t="s">
        <v>2528</v>
      </c>
      <c r="C1591" s="4" t="s">
        <v>2533</v>
      </c>
      <c r="D1591" s="4" t="s">
        <v>2534</v>
      </c>
      <c r="E1591" s="4">
        <v>1.0</v>
      </c>
      <c r="F1591" s="4" t="str">
        <f>IFERROR(__xludf.DUMMYFUNCTION("GOOGLETRANSLATE(D1591)"),"返校節女王在舞會回家途中被洪水淹死！ #socialnews http://t.co/VmKexjTyG4")</f>
        <v>返校節女王在舞會回家途中被洪水淹死！ #socialnews http://t.co/VmKexjTyG4</v>
      </c>
      <c r="G1591" s="4" t="str">
        <f>IFERROR(__xludf.DUMMYFUNCTION("GOOGLETRANSLATE(B1591)"),"洪水")</f>
        <v>洪水</v>
      </c>
    </row>
    <row r="1592" ht="15.75" customHeight="1">
      <c r="A1592" s="4">
        <v>5576.0</v>
      </c>
      <c r="B1592" s="4" t="s">
        <v>2528</v>
      </c>
      <c r="C1592" s="4" t="s">
        <v>1834</v>
      </c>
      <c r="D1592" s="4" t="s">
        <v>2535</v>
      </c>
      <c r="E1592" s="4">
        <v>1.0</v>
      </c>
      <c r="F1592" s="4" t="str">
        <f>IFERROR(__xludf.DUMMYFUNCTION("GOOGLETRANSLATE(D1592)"),"請不要淹沒可憐的@RobertBEnglund 的提及。他已經投入工作了！")</f>
        <v>請不要淹沒可憐的@RobertBEnglund 的提及。他已經投入工作了！</v>
      </c>
      <c r="G1592" s="4" t="str">
        <f>IFERROR(__xludf.DUMMYFUNCTION("GOOGLETRANSLATE(B1592)"),"洪水")</f>
        <v>洪水</v>
      </c>
    </row>
    <row r="1593" ht="15.75" customHeight="1">
      <c r="A1593" s="4">
        <v>5580.0</v>
      </c>
      <c r="B1593" s="4" t="s">
        <v>2528</v>
      </c>
      <c r="C1593" s="4" t="s">
        <v>291</v>
      </c>
      <c r="D1593" s="4" t="s">
        <v>2536</v>
      </c>
      <c r="E1593" s="4">
        <v>1.0</v>
      </c>
      <c r="F1593" s="4" t="str">
        <f>IFERROR(__xludf.DUMMYFUNCTION("GOOGLETRANSLATE(D1593)"),"2 件 18W CREE Led 工作燈越野燈汽車卡車船採礦 4WD 泛光燈 - 全區域 http://t.co/ApWXS5Mm44 http://t.co/DS76loZLSu")</f>
        <v>2 件 18W CREE Led 工作燈越野燈汽車卡車船採礦 4WD 泛光燈 - 全區域 http://t.co/ApWXS5Mm44 http://t.co/DS76loZLSu</v>
      </c>
      <c r="G1593" s="4" t="str">
        <f>IFERROR(__xludf.DUMMYFUNCTION("GOOGLETRANSLATE(B1593)"),"洪水")</f>
        <v>洪水</v>
      </c>
    </row>
    <row r="1594" ht="15.75" customHeight="1">
      <c r="A1594" s="4">
        <v>5586.0</v>
      </c>
      <c r="B1594" s="4" t="s">
        <v>2528</v>
      </c>
      <c r="C1594" s="4" t="s">
        <v>2537</v>
      </c>
      <c r="D1594" s="4" t="s">
        <v>2538</v>
      </c>
      <c r="E1594" s="4">
        <v>1.0</v>
      </c>
      <c r="F1594" s="4" t="str">
        <f>IFERROR(__xludf.DUMMYFUNCTION("GOOGLETRANSLATE(D1594)"),"iembot_hfo ：上午 ​​10:00 2 NNW 哈納 [毛伊島夏威夷州] 縣官方報告沿海洪水 #Û_ http://t.co/Gg0dZSvBZ7) http://t.co/kBe91aRCdw")</f>
        <v>iembot_hfo ：上午 ​​10:00 2 NNW 哈納 [毛伊島夏威夷州] 縣官方報告沿海洪水 #Û_ http://t.co/Gg0dZSvBZ7) http://t.co/kBe91aRCdw</v>
      </c>
      <c r="G1594" s="4" t="str">
        <f>IFERROR(__xludf.DUMMYFUNCTION("GOOGLETRANSLATE(B1594)"),"洪水")</f>
        <v>洪水</v>
      </c>
    </row>
    <row r="1595" ht="15.75" customHeight="1">
      <c r="A1595" s="4">
        <v>5589.0</v>
      </c>
      <c r="B1595" s="4" t="s">
        <v>2528</v>
      </c>
      <c r="D1595" s="4" t="s">
        <v>2539</v>
      </c>
      <c r="E1595" s="4">
        <v>1.0</v>
      </c>
      <c r="F1595" s="4" t="str">
        <f>IFERROR(__xludf.DUMMYFUNCTION("GOOGLETRANSLATE(D1595)"),"網路基礎：洪水缺陷間組織是靈魂伴侶奶溝主機：GUAbxFv http://t.co/uzsQzYcB8X")</f>
        <v>網路基礎：洪水缺陷間組織是靈魂伴侶奶溝主機：GUAbxFv http://t.co/uzsQzYcB8X</v>
      </c>
      <c r="G1595" s="4" t="str">
        <f>IFERROR(__xludf.DUMMYFUNCTION("GOOGLETRANSLATE(B1595)"),"洪水")</f>
        <v>洪水</v>
      </c>
    </row>
    <row r="1596" ht="15.75" customHeight="1">
      <c r="A1596" s="4">
        <v>5590.0</v>
      </c>
      <c r="B1596" s="4" t="s">
        <v>2528</v>
      </c>
      <c r="D1596" s="4" t="s">
        <v>2540</v>
      </c>
      <c r="E1596" s="4">
        <v>1.0</v>
      </c>
      <c r="F1596" s="4" t="str">
        <f>IFERROR(__xludf.DUMMYFUNCTION("GOOGLETRANSLATE(D1596)"),"BMX 向謝爾比 [AL] 發佈區域洪水警告，截止時間為 CDT 8 月 5 日晚上 9:00 http://t.co/62OddEkVLi")</f>
        <v>BMX 向謝爾比 [AL] 發佈區域洪水警告，截止時間為 CDT 8 月 5 日晚上 9:00 http://t.co/62OddEkVLi</v>
      </c>
      <c r="G1596" s="4" t="str">
        <f>IFERROR(__xludf.DUMMYFUNCTION("GOOGLETRANSLATE(B1596)"),"洪水")</f>
        <v>洪水</v>
      </c>
    </row>
    <row r="1597" ht="15.75" customHeight="1">
      <c r="A1597" s="4">
        <v>5593.0</v>
      </c>
      <c r="B1597" s="4" t="s">
        <v>2528</v>
      </c>
      <c r="C1597" s="4" t="s">
        <v>38</v>
      </c>
      <c r="D1597" s="4" t="s">
        <v>2541</v>
      </c>
      <c r="E1597" s="4">
        <v>1.0</v>
      </c>
      <c r="F1597" s="4" t="str">
        <f>IFERROR(__xludf.DUMMYFUNCTION("GOOGLETRANSLATE(D1597)"),"阿拉巴馬州謝爾比縣洪水預警持續至晚上 9 點#alwx http://t.co/gTqMGsgcsB")</f>
        <v>阿拉巴馬州謝爾比縣洪水預警持續至晚上 9 點#alwx http://t.co/gTqMGsgcsB</v>
      </c>
      <c r="G1597" s="4" t="str">
        <f>IFERROR(__xludf.DUMMYFUNCTION("GOOGLETRANSLATE(B1597)"),"洪水")</f>
        <v>洪水</v>
      </c>
    </row>
    <row r="1598" ht="15.75" customHeight="1">
      <c r="A1598" s="4">
        <v>5594.0</v>
      </c>
      <c r="B1598" s="4" t="s">
        <v>2528</v>
      </c>
      <c r="C1598" s="4" t="s">
        <v>627</v>
      </c>
      <c r="D1598" s="4" t="s">
        <v>2542</v>
      </c>
      <c r="E1598" s="4">
        <v>1.0</v>
      </c>
      <c r="F1598" s="4" t="str">
        <f>IFERROR(__xludf.DUMMYFUNCTION("GOOGLETRANSLATE(D1598)"),"RT grant_factory：#grants #funds 韋茅斯關於海堤和洪水撥款的會議定於週四晚上 Û_ http://t.co/Th2WLilBmo")</f>
        <v>RT grant_factory：#grants #funds 韋茅斯關於海堤和洪水撥款的會議定於週四晚上 Û_ http://t.co/Th2WLilBmo</v>
      </c>
      <c r="G1598" s="4" t="str">
        <f>IFERROR(__xludf.DUMMYFUNCTION("GOOGLETRANSLATE(B1598)"),"洪水")</f>
        <v>洪水</v>
      </c>
    </row>
    <row r="1599" ht="15.75" customHeight="1">
      <c r="A1599" s="4">
        <v>5600.0</v>
      </c>
      <c r="B1599" s="4" t="s">
        <v>2528</v>
      </c>
      <c r="C1599" s="4" t="s">
        <v>627</v>
      </c>
      <c r="D1599" s="4" t="s">
        <v>2543</v>
      </c>
      <c r="E1599" s="4">
        <v>1.0</v>
      </c>
      <c r="F1599" s="4" t="str">
        <f>IFERROR(__xludf.DUMMYFUNCTION("GOOGLETRANSLATE(D1599)"),"NWS 於美國東部時間 8 月 5 日下午 4:28 發布洪水警報 http://t.co/D02sbM0ojs #WxKY")</f>
        <v>NWS 於美國東部時間 8 月 5 日下午 4:28 發布洪水警報 http://t.co/D02sbM0ojs #WxKY</v>
      </c>
      <c r="G1599" s="4" t="str">
        <f>IFERROR(__xludf.DUMMYFUNCTION("GOOGLETRANSLATE(B1599)"),"洪水")</f>
        <v>洪水</v>
      </c>
    </row>
    <row r="1600" ht="15.75" customHeight="1">
      <c r="A1600" s="4">
        <v>5604.0</v>
      </c>
      <c r="B1600" s="4" t="s">
        <v>2528</v>
      </c>
      <c r="C1600" s="4" t="s">
        <v>38</v>
      </c>
      <c r="D1600" s="4" t="s">
        <v>2544</v>
      </c>
      <c r="E1600" s="4">
        <v>1.0</v>
      </c>
      <c r="F1600" s="4" t="str">
        <f>IFERROR(__xludf.DUMMYFUNCTION("GOOGLETRANSLATE(D1600)"),"威徹斯特縣的洪水易發水道現在有資格獲得數百萬美元的國家援助#NewYork - http://t.co/XSR2VUJyIz")</f>
        <v>威徹斯特縣的洪水易發水道現在有資格獲得數百萬美元的國家援助#NewYork - http://t.co/XSR2VUJyIz</v>
      </c>
      <c r="G1600" s="4" t="str">
        <f>IFERROR(__xludf.DUMMYFUNCTION("GOOGLETRANSLATE(B1600)"),"洪水")</f>
        <v>洪水</v>
      </c>
    </row>
    <row r="1601" ht="15.75" customHeight="1">
      <c r="A1601" s="4">
        <v>5605.0</v>
      </c>
      <c r="B1601" s="4" t="s">
        <v>2528</v>
      </c>
      <c r="C1601" s="4" t="s">
        <v>2545</v>
      </c>
      <c r="D1601" s="4" t="s">
        <v>2546</v>
      </c>
      <c r="E1601" s="4">
        <v>1.0</v>
      </c>
      <c r="F1601" s="4" t="str">
        <f>IFERROR(__xludf.DUMMYFUNCTION("GOOGLETRANSLATE(D1601)"),"中國救援隊抵達緬甸救助洪水災民 http://t.co/nOSvu0Zx4x Sittway http://t.co/5mJZJNkPfn")</f>
        <v>中國救援隊抵達緬甸救助洪水災民 http://t.co/nOSvu0Zx4x Sittway http://t.co/5mJZJNkPfn</v>
      </c>
      <c r="G1601" s="4" t="str">
        <f>IFERROR(__xludf.DUMMYFUNCTION("GOOGLETRANSLATE(B1601)"),"洪水")</f>
        <v>洪水</v>
      </c>
    </row>
    <row r="1602" ht="15.75" customHeight="1">
      <c r="A1602" s="4">
        <v>5608.0</v>
      </c>
      <c r="B1602" s="4" t="s">
        <v>2528</v>
      </c>
      <c r="C1602" s="4" t="s">
        <v>2547</v>
      </c>
      <c r="D1602" s="4" t="s">
        <v>2548</v>
      </c>
      <c r="E1602" s="4">
        <v>1.0</v>
      </c>
      <c r="F1602" s="4" t="str">
        <f>IFERROR(__xludf.DUMMYFUNCTION("GOOGLETRANSLATE(D1602)"),"NWS 於 8 月 5 日中部夏令時間晚上 7:10 至 8 月 5 日中部夏令時晚上 8:00 發布洪水警報：...城市和...http://t.co/SeMw5cQ7Dg #weather")</f>
        <v>NWS 於 8 月 5 日中部夏令時間晚上 7:10 至 8 月 5 日中部夏令時晚上 8:00 發布洪水警報：...城市和...http://t.co/SeMw5cQ7Dg #weather</v>
      </c>
      <c r="G1602" s="4" t="str">
        <f>IFERROR(__xludf.DUMMYFUNCTION("GOOGLETRANSLATE(B1602)"),"洪水")</f>
        <v>洪水</v>
      </c>
    </row>
    <row r="1603" ht="15.75" customHeight="1">
      <c r="A1603" s="4">
        <v>5611.0</v>
      </c>
      <c r="B1603" s="4" t="s">
        <v>2549</v>
      </c>
      <c r="C1603" s="4" t="s">
        <v>2550</v>
      </c>
      <c r="D1603" s="4" t="s">
        <v>2551</v>
      </c>
      <c r="E1603" s="4">
        <v>1.0</v>
      </c>
      <c r="F1603" s="4" t="str">
        <f>IFERROR(__xludf.DUMMYFUNCTION("GOOGLETRANSLATE(D1603)"),"羅克斯普林 週一暴雨過後，居住在埃爾克街附近的居民繼續與洪水問題作鬥爭。而Û_ http://t.co/8J19FvU7qA")</f>
        <v>羅克斯普林 週一暴雨過後，居住在埃爾克街附近的居民繼續與洪水問題作鬥爭。而Û_ http://t.co/8J19FvU7qA</v>
      </c>
      <c r="G1603" s="4" t="str">
        <f>IFERROR(__xludf.DUMMYFUNCTION("GOOGLETRANSLATE(B1603)"),"洪水")</f>
        <v>洪水</v>
      </c>
    </row>
    <row r="1604" ht="15.75" customHeight="1">
      <c r="A1604" s="4">
        <v>5612.0</v>
      </c>
      <c r="B1604" s="4" t="s">
        <v>2549</v>
      </c>
      <c r="C1604" s="4" t="s">
        <v>2552</v>
      </c>
      <c r="D1604" s="4" t="s">
        <v>2553</v>
      </c>
      <c r="E1604" s="4">
        <v>1.0</v>
      </c>
      <c r="F1604" s="4" t="str">
        <f>IFERROR(__xludf.DUMMYFUNCTION("GOOGLETRANSLATE(D1604)"),"古巴領導人就越南洪澇災害向越南表示慰問：http://t.co/xLq8G6vb2r")</f>
        <v>古巴領導人就越南洪澇災害向越南表示慰問：http://t.co/xLq8G6vb2r</v>
      </c>
      <c r="G1604" s="4" t="str">
        <f>IFERROR(__xludf.DUMMYFUNCTION("GOOGLETRANSLATE(B1604)"),"洪水")</f>
        <v>洪水</v>
      </c>
    </row>
    <row r="1605" ht="15.75" customHeight="1">
      <c r="A1605" s="4">
        <v>5613.0</v>
      </c>
      <c r="B1605" s="4" t="s">
        <v>2549</v>
      </c>
      <c r="C1605" s="4" t="s">
        <v>2554</v>
      </c>
      <c r="D1605" s="4" t="s">
        <v>2555</v>
      </c>
      <c r="E1605" s="4">
        <v>1.0</v>
      </c>
      <c r="F1605" s="4" t="str">
        <f>IFERROR(__xludf.DUMMYFUNCTION("GOOGLETRANSLATE(D1605)"),"海綿碼頭的生意被雨水淹沒：http://t.co/5PmikAVyKL")</f>
        <v>海綿碼頭的生意被雨水淹沒：http://t.co/5PmikAVyKL</v>
      </c>
      <c r="G1605" s="4" t="str">
        <f>IFERROR(__xludf.DUMMYFUNCTION("GOOGLETRANSLATE(B1605)"),"洪水")</f>
        <v>洪水</v>
      </c>
    </row>
    <row r="1606" ht="15.75" customHeight="1">
      <c r="A1606" s="4">
        <v>5617.0</v>
      </c>
      <c r="B1606" s="4" t="s">
        <v>2549</v>
      </c>
      <c r="C1606" s="4" t="s">
        <v>38</v>
      </c>
      <c r="D1606" s="4" t="s">
        <v>2556</v>
      </c>
      <c r="E1606" s="4">
        <v>1.0</v>
      </c>
      <c r="F1606" s="4" t="str">
        <f>IFERROR(__xludf.DUMMYFUNCTION("GOOGLETRANSLATE(D1606)"),"中南部和中西部可能出現嚴重雷暴和山洪 http://t.co/uAhIcWpIh4 #WEATHER #ENVIRONMENT #CLIMATE #NATURE")</f>
        <v>中南部和中西部可能出現嚴重雷暴和山洪 http://t.co/uAhIcWpIh4 #WEATHER #ENVIRONMENT #CLIMATE #NATURE</v>
      </c>
      <c r="G1606" s="4" t="str">
        <f>IFERROR(__xludf.DUMMYFUNCTION("GOOGLETRANSLATE(B1606)"),"洪水")</f>
        <v>洪水</v>
      </c>
    </row>
    <row r="1607" ht="15.75" customHeight="1">
      <c r="A1607" s="4">
        <v>5618.0</v>
      </c>
      <c r="B1607" s="4" t="s">
        <v>2549</v>
      </c>
      <c r="C1607" s="4" t="s">
        <v>2557</v>
      </c>
      <c r="D1607" s="4" t="s">
        <v>2558</v>
      </c>
      <c r="E1607" s="4">
        <v>1.0</v>
      </c>
      <c r="F1607" s="4" t="str">
        <f>IFERROR(__xludf.DUMMYFUNCTION("GOOGLETRANSLATE(D1607)"),"11:30a 雷達更新：大範圍陣雨/暴風雨，但在同一地區移動 - 可能發生輕微洪水#HUNwx http://t.co/E3L1JqjH2u")</f>
        <v>11:30a 雷達更新：大範圍陣雨/暴風雨，但在同一地區移動 - 可能發生輕微洪水#HUNwx http://t.co/E3L1JqjH2u</v>
      </c>
      <c r="G1607" s="4" t="str">
        <f>IFERROR(__xludf.DUMMYFUNCTION("GOOGLETRANSLATE(B1607)"),"洪水")</f>
        <v>洪水</v>
      </c>
    </row>
    <row r="1608" ht="15.75" customHeight="1">
      <c r="A1608" s="4">
        <v>5620.0</v>
      </c>
      <c r="B1608" s="4" t="s">
        <v>2549</v>
      </c>
      <c r="D1608" s="4" t="s">
        <v>2559</v>
      </c>
      <c r="E1608" s="4">
        <v>1.0</v>
      </c>
      <c r="F1608" s="4" t="str">
        <f>IFERROR(__xludf.DUMMYFUNCTION("GOOGLETRANSLATE(D1608)"),"洪水氾濫？？？？ http://t.co/WVeO9ED10e")</f>
        <v>洪水氾濫？？？？ http://t.co/WVeO9ED10e</v>
      </c>
      <c r="G1608" s="4" t="str">
        <f>IFERROR(__xludf.DUMMYFUNCTION("GOOGLETRANSLATE(B1608)"),"洪水")</f>
        <v>洪水</v>
      </c>
    </row>
    <row r="1609" ht="15.75" customHeight="1">
      <c r="A1609" s="4">
        <v>5622.0</v>
      </c>
      <c r="B1609" s="4" t="s">
        <v>2549</v>
      </c>
      <c r="D1609" s="4" t="s">
        <v>2560</v>
      </c>
      <c r="E1609" s="4">
        <v>1.0</v>
      </c>
      <c r="F1609" s="4" t="str">
        <f>IFERROR(__xludf.DUMMYFUNCTION("GOOGLETRANSLATE(D1609)"),"巴基斯坦洪水造成 166 人死亡，超過 100 萬人流離失所分析http://t.co/9mj8oUj3vt #yugvani")</f>
        <v>巴基斯坦洪水造成 166 人死亡，超過 100 萬人流離失所分析http://t.co/9mj8oUj3vt #yugvani</v>
      </c>
      <c r="G1609" s="4" t="str">
        <f>IFERROR(__xludf.DUMMYFUNCTION("GOOGLETRANSLATE(B1609)"),"洪水")</f>
        <v>洪水</v>
      </c>
    </row>
    <row r="1610" ht="15.75" customHeight="1">
      <c r="A1610" s="4">
        <v>5624.0</v>
      </c>
      <c r="B1610" s="4" t="s">
        <v>2549</v>
      </c>
      <c r="C1610" s="4" t="s">
        <v>2172</v>
      </c>
      <c r="D1610" s="4" t="s">
        <v>2561</v>
      </c>
      <c r="E1610" s="4">
        <v>1.0</v>
      </c>
      <c r="F1610" s="4" t="str">
        <f>IFERROR(__xludf.DUMMYFUNCTION("GOOGLETRANSLATE(D1610)"),"巴基斯坦洪水造成 166 人死亡，超過 100 萬人流離失所分析http://t.co/KkOOVBKndp")</f>
        <v>巴基斯坦洪水造成 166 人死亡，超過 100 萬人流離失所分析http://t.co/KkOOVBKndp</v>
      </c>
      <c r="G1610" s="4" t="str">
        <f>IFERROR(__xludf.DUMMYFUNCTION("GOOGLETRANSLATE(B1610)"),"洪水")</f>
        <v>洪水</v>
      </c>
    </row>
    <row r="1611" ht="15.75" customHeight="1">
      <c r="A1611" s="4">
        <v>5625.0</v>
      </c>
      <c r="B1611" s="4" t="s">
        <v>2549</v>
      </c>
      <c r="C1611" s="4" t="s">
        <v>2562</v>
      </c>
      <c r="D1611" s="4" t="s">
        <v>2563</v>
      </c>
      <c r="E1611" s="4">
        <v>1.0</v>
      </c>
      <c r="F1611" s="4" t="str">
        <f>IFERROR(__xludf.DUMMYFUNCTION("GOOGLETRANSLATE(D1611)"),"#寮國洪水-10個村莊被水淹沒 世界展望會回應 http://t.co/8fvQRizOUX")</f>
        <v>#寮國洪水-10個村莊被水淹沒 世界展望會回應 http://t.co/8fvQRizOUX</v>
      </c>
      <c r="G1611" s="4" t="str">
        <f>IFERROR(__xludf.DUMMYFUNCTION("GOOGLETRANSLATE(B1611)"),"洪水")</f>
        <v>洪水</v>
      </c>
    </row>
    <row r="1612" ht="15.75" customHeight="1">
      <c r="A1612" s="4">
        <v>5626.0</v>
      </c>
      <c r="B1612" s="4" t="s">
        <v>2549</v>
      </c>
      <c r="C1612" s="4" t="s">
        <v>89</v>
      </c>
      <c r="D1612" s="4" t="s">
        <v>2564</v>
      </c>
      <c r="E1612" s="4">
        <v>1.0</v>
      </c>
      <c r="F1612" s="4" t="str">
        <f>IFERROR(__xludf.DUMMYFUNCTION("GOOGLETRANSLATE(D1612)"),"#floods #ukfloods - 英國徒步旅行者在喜馬拉雅山洪暴發中獲救：一群英國徒步旅行者... http://t.co/nsfzkfgZnj - #flooding")</f>
        <v>#floods #ukfloods - 英國徒步旅行者在喜馬拉雅山洪暴發中獲救：一群英國徒步旅行者... http://t.co/nsfzkfgZnj - #flooding</v>
      </c>
      <c r="G1612" s="4" t="str">
        <f>IFERROR(__xludf.DUMMYFUNCTION("GOOGLETRANSLATE(B1612)"),"洪水")</f>
        <v>洪水</v>
      </c>
    </row>
    <row r="1613" ht="15.75" customHeight="1">
      <c r="A1613" s="4">
        <v>5628.0</v>
      </c>
      <c r="B1613" s="4" t="s">
        <v>2549</v>
      </c>
      <c r="C1613" s="4" t="s">
        <v>2552</v>
      </c>
      <c r="D1613" s="4" t="s">
        <v>2565</v>
      </c>
      <c r="E1613" s="4">
        <v>1.0</v>
      </c>
      <c r="F1613" s="4" t="str">
        <f>IFERROR(__xludf.DUMMYFUNCTION("GOOGLETRANSLATE(D1613)"),"古巴領導人就洪災向越南表示慰問 http://t.co/QcyXwr2rdv")</f>
        <v>古巴領導人就洪災向越南表示慰問 http://t.co/QcyXwr2rdv</v>
      </c>
      <c r="G1613" s="4" t="str">
        <f>IFERROR(__xludf.DUMMYFUNCTION("GOOGLETRANSLATE(B1613)"),"洪水")</f>
        <v>洪水</v>
      </c>
    </row>
    <row r="1614" ht="15.75" customHeight="1">
      <c r="A1614" s="4">
        <v>5631.0</v>
      </c>
      <c r="B1614" s="4" t="s">
        <v>2549</v>
      </c>
      <c r="C1614" s="4" t="s">
        <v>2566</v>
      </c>
      <c r="D1614" s="4" t="s">
        <v>2567</v>
      </c>
      <c r="E1614" s="4">
        <v>1.0</v>
      </c>
      <c r="F1614" s="4" t="str">
        <f>IFERROR(__xludf.DUMMYFUNCTION("GOOGLETRANSLATE(D1614)"),"當海浪淹沒海岸時
我再也找不到回家的路了
就在那時我看著你 http://t.co/TDAKtGlU5p")</f>
        <v>當海浪淹沒海岸時
我再也找不到回家的路了
就在那時我看著你 http://t.co/TDAKtGlU5p</v>
      </c>
      <c r="G1614" s="4" t="str">
        <f>IFERROR(__xludf.DUMMYFUNCTION("GOOGLETRANSLATE(B1614)"),"洪水")</f>
        <v>洪水</v>
      </c>
    </row>
    <row r="1615" ht="15.75" customHeight="1">
      <c r="A1615" s="4">
        <v>5632.0</v>
      </c>
      <c r="B1615" s="4" t="s">
        <v>2549</v>
      </c>
      <c r="C1615" s="4" t="s">
        <v>2568</v>
      </c>
      <c r="D1615" s="4" t="s">
        <v>2569</v>
      </c>
      <c r="E1615" s="4">
        <v>1.0</v>
      </c>
      <c r="F1615" s="4" t="str">
        <f>IFERROR(__xludf.DUMMYFUNCTION("GOOGLETRANSLATE(D1615)"),"如果您的家中發生洪水 - 如何透過 @ProudGreenHome 阻止黴菌生長 http://t.co/KAVAovJz2V")</f>
        <v>如果您的家中發生洪水 - 如何透過 @ProudGreenHome 阻止黴菌生長 http://t.co/KAVAovJz2V</v>
      </c>
      <c r="G1615" s="4" t="str">
        <f>IFERROR(__xludf.DUMMYFUNCTION("GOOGLETRANSLATE(B1615)"),"洪水")</f>
        <v>洪水</v>
      </c>
    </row>
    <row r="1616" ht="15.75" customHeight="1">
      <c r="A1616" s="4">
        <v>5633.0</v>
      </c>
      <c r="B1616" s="4" t="s">
        <v>2549</v>
      </c>
      <c r="D1616" s="4" t="s">
        <v>2570</v>
      </c>
      <c r="E1616" s="4">
        <v>1.0</v>
      </c>
      <c r="F1616" s="4" t="str">
        <f>IFERROR(__xludf.DUMMYFUNCTION("GOOGLETRANSLATE(D1616)"),"http://t.co/XJkRXrNWNv 鐵軌淹水導致脫軌 #INSubContinental @INSubContinental http://t.co/JlWGshYY3N")</f>
        <v>http://t.co/XJkRXrNWNv 鐵軌淹水導致脫軌 #INSubContinental @INSubContinental http://t.co/JlWGshYY3N</v>
      </c>
      <c r="G1616" s="4" t="str">
        <f>IFERROR(__xludf.DUMMYFUNCTION("GOOGLETRANSLATE(B1616)"),"洪水")</f>
        <v>洪水</v>
      </c>
    </row>
    <row r="1617" ht="15.75" customHeight="1">
      <c r="A1617" s="4">
        <v>5635.0</v>
      </c>
      <c r="B1617" s="4" t="s">
        <v>2549</v>
      </c>
      <c r="C1617" s="4" t="s">
        <v>255</v>
      </c>
      <c r="D1617" s="4" t="s">
        <v>2571</v>
      </c>
      <c r="E1617" s="4">
        <v>1.0</v>
      </c>
      <c r="F1617" s="4" t="str">
        <f>IFERROR(__xludf.DUMMYFUNCTION("GOOGLETRANSLATE(D1617)"),"歐巴馬拘留了 27 名伊拉克基督徒尋求庇護者，同時將未經篩選的穆斯林大量湧入美國：http://t.co/b4k0R4GgA8 via @DCClothesline")</f>
        <v>歐巴馬拘留了 27 名伊拉克基督徒尋求庇護者，同時將未經篩選的穆斯林大量湧入美國：http://t.co/b4k0R4GgA8 via @DCClothesline</v>
      </c>
      <c r="G1617" s="4" t="str">
        <f>IFERROR(__xludf.DUMMYFUNCTION("GOOGLETRANSLATE(B1617)"),"洪水")</f>
        <v>洪水</v>
      </c>
    </row>
    <row r="1618" ht="15.75" customHeight="1">
      <c r="A1618" s="4">
        <v>5638.0</v>
      </c>
      <c r="B1618" s="4" t="s">
        <v>2549</v>
      </c>
      <c r="C1618" s="4" t="s">
        <v>193</v>
      </c>
      <c r="D1618" s="4" t="s">
        <v>2572</v>
      </c>
      <c r="E1618" s="4">
        <v>1.0</v>
      </c>
      <c r="F1618" s="4" t="str">
        <f>IFERROR(__xludf.DUMMYFUNCTION("GOOGLETRANSLATE(D1618)"),"非常感謝 @NetkiCorp 晚宴嘉賓的大力支持！謝謝你們！ https://t.co/ELTne5v1Qn")</f>
        <v>非常感謝 @NetkiCorp 晚宴嘉賓的大力支持！謝謝你們！ https://t.co/ELTne5v1Qn</v>
      </c>
      <c r="G1618" s="4" t="str">
        <f>IFERROR(__xludf.DUMMYFUNCTION("GOOGLETRANSLATE(B1618)"),"洪水")</f>
        <v>洪水</v>
      </c>
    </row>
    <row r="1619" ht="15.75" customHeight="1">
      <c r="A1619" s="4">
        <v>5641.0</v>
      </c>
      <c r="B1619" s="4" t="s">
        <v>2549</v>
      </c>
      <c r="C1619" s="4" t="s">
        <v>2573</v>
      </c>
      <c r="D1619" s="4" t="s">
        <v>2574</v>
      </c>
      <c r="E1619" s="4">
        <v>1.0</v>
      </c>
      <c r="F1619" s="4" t="str">
        <f>IFERROR(__xludf.DUMMYFUNCTION("GOOGLETRANSLATE(D1619)"),"麥迪遜發生山洪#valleywx")</f>
        <v>麥迪遜發生山洪#valleywx</v>
      </c>
      <c r="G1619" s="4" t="str">
        <f>IFERROR(__xludf.DUMMYFUNCTION("GOOGLETRANSLATE(B1619)"),"洪水")</f>
        <v>洪水</v>
      </c>
    </row>
    <row r="1620" ht="15.75" customHeight="1">
      <c r="A1620" s="4">
        <v>5645.0</v>
      </c>
      <c r="B1620" s="4" t="s">
        <v>2549</v>
      </c>
      <c r="C1620" s="4" t="s">
        <v>2575</v>
      </c>
      <c r="D1620" s="4" t="s">
        <v>2576</v>
      </c>
      <c r="E1620" s="4">
        <v>1.0</v>
      </c>
      <c r="F1620" s="4" t="str">
        <f>IFERROR(__xludf.DUMMYFUNCTION("GOOGLETRANSLATE(D1620)"),"ÛÏ@BBCEngland：水管爆裂導致伯明罕一家醫院發生嚴重洪水 http://t.co/q4kGftC2AM http://t.co/6w6A2L4qAeÛ OMG。")</f>
        <v>ÛÏ@BBCEngland：水管爆裂導致伯明罕一家醫院發生嚴重洪水 http://t.co/q4kGftC2AM http://t.co/6w6A2L4qAeÛ OMG。</v>
      </c>
      <c r="G1620" s="4" t="str">
        <f>IFERROR(__xludf.DUMMYFUNCTION("GOOGLETRANSLATE(B1620)"),"洪水")</f>
        <v>洪水</v>
      </c>
    </row>
    <row r="1621" ht="15.75" customHeight="1">
      <c r="A1621" s="4">
        <v>5646.0</v>
      </c>
      <c r="B1621" s="4" t="s">
        <v>2549</v>
      </c>
      <c r="C1621" s="4" t="s">
        <v>2562</v>
      </c>
      <c r="D1621" s="4" t="s">
        <v>2577</v>
      </c>
      <c r="E1621" s="4">
        <v>1.0</v>
      </c>
      <c r="F1621" s="4" t="str">
        <f>IFERROR(__xludf.DUMMYFUNCTION("GOOGLETRANSLATE(D1621)"),"#越南北部強降雨和洪水|情況報告第 2 號 http://t.co/hVxu1Zcvau http://t.co/iJmCCMHh5G")</f>
        <v>#越南北部強降雨和洪水|情況報告第 2 號 http://t.co/hVxu1Zcvau http://t.co/iJmCCMHh5G</v>
      </c>
      <c r="G1621" s="4" t="str">
        <f>IFERROR(__xludf.DUMMYFUNCTION("GOOGLETRANSLATE(B1621)"),"洪水")</f>
        <v>洪水</v>
      </c>
    </row>
    <row r="1622" ht="15.75" customHeight="1">
      <c r="A1622" s="4">
        <v>5650.0</v>
      </c>
      <c r="B1622" s="4" t="s">
        <v>2549</v>
      </c>
      <c r="C1622" s="4" t="s">
        <v>2578</v>
      </c>
      <c r="D1622" s="4" t="s">
        <v>2579</v>
      </c>
      <c r="E1622" s="4">
        <v>1.0</v>
      </c>
      <c r="F1622" s="4" t="str">
        <f>IFERROR(__xludf.DUMMYFUNCTION("GOOGLETRANSLATE(D1622)"),"#flood #disaster NYCHA 老人中心公寓發生水管破裂 - NY1：NY1 水管破裂發生洪水... http://t.co/w7SIIdujOH")</f>
        <v>#flood #disaster NYCHA 老人中心公寓發生水管破裂 - NY1：NY1 水管破裂發生洪水... http://t.co/w7SIIdujOH</v>
      </c>
      <c r="G1622" s="4" t="str">
        <f>IFERROR(__xludf.DUMMYFUNCTION("GOOGLETRANSLATE(B1622)"),"洪水")</f>
        <v>洪水</v>
      </c>
    </row>
    <row r="1623" ht="15.75" customHeight="1">
      <c r="A1623" s="4">
        <v>5652.0</v>
      </c>
      <c r="B1623" s="4" t="s">
        <v>2549</v>
      </c>
      <c r="C1623" s="4" t="s">
        <v>2562</v>
      </c>
      <c r="D1623" s="4" t="s">
        <v>2580</v>
      </c>
      <c r="E1623" s="4">
        <v>1.0</v>
      </c>
      <c r="F1623" s="4" t="str">
        <f>IFERROR(__xludf.DUMMYFUNCTION("GOOGLETRANSLATE(D1623)"),"緬甸：緬甸部分地區遭遇數十年來最嚴重的洪災，無國界醫生向數千人提供援助 http://t.co/PiJG5w2L2u")</f>
        <v>緬甸：緬甸部分地區遭遇數十年來最嚴重的洪災，無國界醫生向數千人提供援助 http://t.co/PiJG5w2L2u</v>
      </c>
      <c r="G1623" s="4" t="str">
        <f>IFERROR(__xludf.DUMMYFUNCTION("GOOGLETRANSLATE(B1623)"),"洪水")</f>
        <v>洪水</v>
      </c>
    </row>
    <row r="1624" ht="15.75" customHeight="1">
      <c r="A1624" s="4">
        <v>5653.0</v>
      </c>
      <c r="B1624" s="4" t="s">
        <v>2549</v>
      </c>
      <c r="C1624" s="4" t="s">
        <v>2581</v>
      </c>
      <c r="D1624" s="4" t="s">
        <v>2582</v>
      </c>
      <c r="E1624" s="4">
        <v>1.0</v>
      </c>
      <c r="F1624" s="4" t="str">
        <f>IFERROR(__xludf.DUMMYFUNCTION("GOOGLETRANSLATE(D1624)"),"週二，大洋城中部的居民從工程師那裡聽到了有關防洪方案的資訊#OCNJ...http://t.co/jzPrCIqa9D")</f>
        <v>週二，大洋城中部的居民從工程師那裡聽到了有關防洪方案的資訊#OCNJ...http://t.co/jzPrCIqa9D</v>
      </c>
      <c r="G1624" s="4" t="str">
        <f>IFERROR(__xludf.DUMMYFUNCTION("GOOGLETRANSLATE(B1624)"),"洪水")</f>
        <v>洪水</v>
      </c>
    </row>
    <row r="1625" ht="15.75" customHeight="1">
      <c r="A1625" s="4">
        <v>5656.0</v>
      </c>
      <c r="B1625" s="4" t="s">
        <v>2549</v>
      </c>
      <c r="C1625" s="4" t="s">
        <v>2583</v>
      </c>
      <c r="D1625" s="4" t="s">
        <v>2584</v>
      </c>
      <c r="E1625" s="4">
        <v>1.0</v>
      </c>
      <c r="F1625" s="4" t="str">
        <f>IFERROR(__xludf.DUMMYFUNCTION("GOOGLETRANSLATE(D1625)"),"緬甸季風洪水造成數十人死亡，亟需求助 - http://t.co/r7vPaKlhvI")</f>
        <v>緬甸季風洪水造成數十人死亡，亟需求助 - http://t.co/r7vPaKlhvI</v>
      </c>
      <c r="G1625" s="4" t="str">
        <f>IFERROR(__xludf.DUMMYFUNCTION("GOOGLETRANSLATE(B1625)"),"洪水")</f>
        <v>洪水</v>
      </c>
    </row>
    <row r="1626" ht="15.75" customHeight="1">
      <c r="A1626" s="4">
        <v>5657.0</v>
      </c>
      <c r="B1626" s="4" t="s">
        <v>2549</v>
      </c>
      <c r="C1626" s="4" t="s">
        <v>215</v>
      </c>
      <c r="D1626" s="4" t="s">
        <v>2585</v>
      </c>
      <c r="E1626" s="4">
        <v>1.0</v>
      </c>
      <c r="F1626" s="4" t="str">
        <f>IFERROR(__xludf.DUMMYFUNCTION("GOOGLETRANSLATE(D1626)"),"特拉維斯縣副警長在九月洪水中喪生的紀念碑揭幕：特拉維斯縣警長格雷格·漢密爾頓加入了¤Û_http://t.co/Eo2F96WXPz")</f>
        <v>特拉維斯縣副警長在九月洪水中喪生的紀念碑揭幕：特拉維斯縣警長格雷格·漢密爾頓加入了¤Û_http://t.co/Eo2F96WXPz</v>
      </c>
      <c r="G1626" s="4" t="str">
        <f>IFERROR(__xludf.DUMMYFUNCTION("GOOGLETRANSLATE(B1626)"),"洪水")</f>
        <v>洪水</v>
      </c>
    </row>
    <row r="1627" ht="15.75" customHeight="1">
      <c r="A1627" s="4">
        <v>5658.0</v>
      </c>
      <c r="B1627" s="4" t="s">
        <v>2549</v>
      </c>
      <c r="D1627" s="4" t="s">
        <v>2586</v>
      </c>
      <c r="E1627" s="4">
        <v>1.0</v>
      </c>
      <c r="F1627" s="4" t="str">
        <f>IFERROR(__xludf.DUMMYFUNCTION("GOOGLETRANSLATE(D1627)"),"巴基斯坦洪水造成 166 人死亡，超過 100 萬人流離失所 http://t.co/iCFQl7I9oP
至少 166 人死亡，近 110 萬人死亡")</f>
        <v>巴基斯坦洪水造成 166 人死亡，超過 100 萬人流離失所 http://t.co/iCFQl7I9oP
至少 166 人死亡，近 110 萬人死亡</v>
      </c>
      <c r="G1627" s="4" t="str">
        <f>IFERROR(__xludf.DUMMYFUNCTION("GOOGLETRANSLATE(B1627)"),"洪水")</f>
        <v>洪水</v>
      </c>
    </row>
    <row r="1628" ht="15.75" customHeight="1">
      <c r="A1628" s="4">
        <v>5661.0</v>
      </c>
      <c r="B1628" s="4" t="s">
        <v>2587</v>
      </c>
      <c r="C1628" s="4" t="s">
        <v>2588</v>
      </c>
      <c r="D1628" s="4" t="s">
        <v>2589</v>
      </c>
      <c r="E1628" s="4">
        <v>1.0</v>
      </c>
      <c r="F1628" s="4" t="str">
        <f>IFERROR(__xludf.DUMMYFUNCTION("GOOGLETRANSLATE(D1628)"),"滑走 - 為作家提供的山洪資訊與托尼·內斯特 @SonoranRattler #writingtips http://t.co/sLTtOrRLHs")</f>
        <v>滑走 - 為作家提供的山洪資訊與托尼·內斯特 @SonoranRattler #writingtips http://t.co/sLTtOrRLHs</v>
      </c>
      <c r="G1628" s="4" t="str">
        <f>IFERROR(__xludf.DUMMYFUNCTION("GOOGLETRANSLATE(B1628)"),"洪水")</f>
        <v>洪水</v>
      </c>
    </row>
    <row r="1629" ht="15.75" customHeight="1">
      <c r="A1629" s="4">
        <v>5662.0</v>
      </c>
      <c r="B1629" s="4" t="s">
        <v>2587</v>
      </c>
      <c r="D1629" s="4" t="s">
        <v>2590</v>
      </c>
      <c r="E1629" s="4">
        <v>1.0</v>
      </c>
      <c r="F1629" s="4" t="str">
        <f>IFERROR(__xludf.DUMMYFUNCTION("GOOGLETRANSLATE(D1629)"),"誰帶來了龍捲風和洪水。誰帶來了氣候變遷。上帝在跟隨美國，祂正在困擾她
#法拉克汗#QUOTE")</f>
        <v>誰帶來了龍捲風和洪水。誰帶來了氣候變遷。上帝在跟隨美國，祂正在困擾她
#法拉克汗#QUOTE</v>
      </c>
      <c r="G1629" s="4" t="str">
        <f>IFERROR(__xludf.DUMMYFUNCTION("GOOGLETRANSLATE(B1629)"),"洪水")</f>
        <v>洪水</v>
      </c>
    </row>
    <row r="1630" ht="15.75" customHeight="1">
      <c r="A1630" s="4">
        <v>5663.0</v>
      </c>
      <c r="B1630" s="4" t="s">
        <v>2587</v>
      </c>
      <c r="C1630" s="4" t="s">
        <v>2591</v>
      </c>
      <c r="D1630" s="4" t="s">
        <v>2592</v>
      </c>
      <c r="E1630" s="4">
        <v>1.0</v>
      </c>
      <c r="F1630" s="4" t="str">
        <f>IFERROR(__xludf.DUMMYFUNCTION("GOOGLETRANSLATE(D1630)"),"緬甸洪水：七月的強烈季風降雨導致洪水氾濫和土地滑坡... http://t.co/9TG7A5OqFP")</f>
        <v>緬甸洪水：七月的強烈季風降雨導致洪水氾濫和土地滑坡... http://t.co/9TG7A5OqFP</v>
      </c>
      <c r="G1630" s="4" t="str">
        <f>IFERROR(__xludf.DUMMYFUNCTION("GOOGLETRANSLATE(B1630)"),"洪水")</f>
        <v>洪水</v>
      </c>
    </row>
    <row r="1631" ht="15.75" customHeight="1">
      <c r="A1631" s="4">
        <v>5664.0</v>
      </c>
      <c r="B1631" s="4" t="s">
        <v>2587</v>
      </c>
      <c r="C1631" s="4" t="s">
        <v>54</v>
      </c>
      <c r="D1631" s="4" t="s">
        <v>2593</v>
      </c>
      <c r="E1631" s="4">
        <v>1.0</v>
      </c>
      <c r="F1631" s="4" t="str">
        <f>IFERROR(__xludf.DUMMYFUNCTION("GOOGLETRANSLATE(D1631)"),"在#India，119,000人在#洪水後政府設立的966個救援營中避難：http://t.co/eU8jypIzsd")</f>
        <v>在#India，119,000人在#洪水後政府設立的966個救援營中避難：http://t.co/eU8jypIzsd</v>
      </c>
      <c r="G1631" s="4" t="str">
        <f>IFERROR(__xludf.DUMMYFUNCTION("GOOGLETRANSLATE(B1631)"),"洪水")</f>
        <v>洪水</v>
      </c>
    </row>
    <row r="1632" ht="15.75" customHeight="1">
      <c r="A1632" s="4">
        <v>5665.0</v>
      </c>
      <c r="B1632" s="4" t="s">
        <v>2587</v>
      </c>
      <c r="D1632" s="4" t="s">
        <v>2594</v>
      </c>
      <c r="E1632" s="4">
        <v>1.0</v>
      </c>
      <c r="F1632" s="4" t="str">
        <f>IFERROR(__xludf.DUMMYFUNCTION("GOOGLETRANSLATE(D1632)"),"@pmharper 別擔心，我確信氣候與艾伯塔省和阿爾伯塔省的冰雹洪水龍捲風無關。安大略省。我確信上帝只是生你的氣了。")</f>
        <v>@pmharper 別擔心，我確信氣候與艾伯塔省和阿爾伯塔省的冰雹洪水龍捲風無關。安大略省。我確信上帝只是生你的氣了。</v>
      </c>
      <c r="G1632" s="4" t="str">
        <f>IFERROR(__xludf.DUMMYFUNCTION("GOOGLETRANSLATE(B1632)"),"洪水")</f>
        <v>洪水</v>
      </c>
    </row>
    <row r="1633" ht="15.75" customHeight="1">
      <c r="A1633" s="4">
        <v>5668.0</v>
      </c>
      <c r="B1633" s="4" t="s">
        <v>2587</v>
      </c>
      <c r="C1633" s="4" t="s">
        <v>2595</v>
      </c>
      <c r="D1633" s="4" t="s">
        <v>2596</v>
      </c>
      <c r="E1633" s="4">
        <v>1.0</v>
      </c>
      <c r="F1633" s="4" t="str">
        <f>IFERROR(__xludf.DUMMYFUNCTION("GOOGLETRANSLATE(D1633)"),"@ictyosaur 我從沒想過這會是一個糟糕的時刻，但在經歷了幾個月的 90 度高溫之後它就在這裡了
接下來我們將遭遇山洪暴發。")</f>
        <v>@ictyosaur 我從沒想過這會是一個糟糕的時刻，但在經歷了幾個月的 90 度高溫之後它就在這裡了
接下來我們將遭遇山洪暴發。</v>
      </c>
      <c r="G1633" s="4" t="str">
        <f>IFERROR(__xludf.DUMMYFUNCTION("GOOGLETRANSLATE(B1633)"),"洪水")</f>
        <v>洪水</v>
      </c>
    </row>
    <row r="1634" ht="15.75" customHeight="1">
      <c r="A1634" s="4">
        <v>5669.0</v>
      </c>
      <c r="B1634" s="4" t="s">
        <v>2587</v>
      </c>
      <c r="C1634" s="4" t="s">
        <v>2597</v>
      </c>
      <c r="D1634" s="4" t="s">
        <v>2598</v>
      </c>
      <c r="E1634" s="4">
        <v>1.0</v>
      </c>
      <c r="F1634" s="4" t="str">
        <f>IFERROR(__xludf.DUMMYFUNCTION("GOOGLETRANSLATE(D1634)"),"下雨時我的城鎮一半都會被洪水淹沒，但無論如何")</f>
        <v>下雨時我的城鎮一半都會被洪水淹沒，但無論如何</v>
      </c>
      <c r="G1634" s="4" t="str">
        <f>IFERROR(__xludf.DUMMYFUNCTION("GOOGLETRANSLATE(B1634)"),"洪水")</f>
        <v>洪水</v>
      </c>
    </row>
    <row r="1635" ht="15.75" customHeight="1">
      <c r="A1635" s="4">
        <v>5671.0</v>
      </c>
      <c r="B1635" s="4" t="s">
        <v>2587</v>
      </c>
      <c r="C1635" s="4" t="s">
        <v>2276</v>
      </c>
      <c r="D1635" s="4" t="s">
        <v>2599</v>
      </c>
      <c r="E1635" s="4">
        <v>1.0</v>
      </c>
      <c r="F1635" s="4" t="str">
        <f>IFERROR(__xludf.DUMMYFUNCTION("GOOGLETRANSLATE(D1635)"),"@Cyber​​demon531 我希望山露侵蝕你的喉嚨，淹沒你的肺部，讓你淹死")</f>
        <v>@Cyber​​demon531 我希望山露侵蝕你的喉嚨，淹沒你的肺部，讓你淹死</v>
      </c>
      <c r="G1635" s="4" t="str">
        <f>IFERROR(__xludf.DUMMYFUNCTION("GOOGLETRANSLATE(B1635)"),"洪水")</f>
        <v>洪水</v>
      </c>
    </row>
    <row r="1636" ht="15.75" customHeight="1">
      <c r="A1636" s="4">
        <v>5672.0</v>
      </c>
      <c r="B1636" s="4" t="s">
        <v>2587</v>
      </c>
      <c r="C1636" s="4" t="s">
        <v>2483</v>
      </c>
      <c r="D1636" s="4" t="s">
        <v>2600</v>
      </c>
      <c r="E1636" s="4">
        <v>1.0</v>
      </c>
      <c r="F1636" s="4" t="str">
        <f>IFERROR(__xludf.DUMMYFUNCTION("GOOGLETRANSLATE(D1636)"),"災難團體因洪水而震驚 http://t.co/jrgJ17oAMt")</f>
        <v>災難團體因洪水而震驚 http://t.co/jrgJ17oAMt</v>
      </c>
      <c r="G1636" s="4" t="str">
        <f>IFERROR(__xludf.DUMMYFUNCTION("GOOGLETRANSLATE(B1636)"),"洪水")</f>
        <v>洪水</v>
      </c>
    </row>
    <row r="1637" ht="15.75" customHeight="1">
      <c r="A1637" s="4">
        <v>5676.0</v>
      </c>
      <c r="B1637" s="4" t="s">
        <v>2587</v>
      </c>
      <c r="C1637" s="4" t="s">
        <v>2578</v>
      </c>
      <c r="D1637" s="4" t="s">
        <v>2601</v>
      </c>
      <c r="E1637" s="4">
        <v>1.0</v>
      </c>
      <c r="F1637" s="4" t="str">
        <f>IFERROR(__xludf.DUMMYFUNCTION("GOOGLETRANSLATE(D1637)"),"#flood #disaster 孟加拉洪水：CM Mamata Banerjee 指責 DVC BJP 聲稱國家未能使用...... - 經濟 T... http://t.co/BOZlwr716Z")</f>
        <v>#flood #disaster 孟加拉洪水：CM Mamata Banerjee 指責 DVC BJP 聲稱國家未能使用...... - 經濟 T... http://t.co/BOZlwr716Z</v>
      </c>
      <c r="G1637" s="4" t="str">
        <f>IFERROR(__xludf.DUMMYFUNCTION("GOOGLETRANSLATE(B1637)"),"洪水")</f>
        <v>洪水</v>
      </c>
    </row>
    <row r="1638" ht="15.75" customHeight="1">
      <c r="A1638" s="4">
        <v>5677.0</v>
      </c>
      <c r="B1638" s="4" t="s">
        <v>2587</v>
      </c>
      <c r="D1638" s="4" t="s">
        <v>2602</v>
      </c>
      <c r="E1638" s="4">
        <v>1.0</v>
      </c>
      <c r="F1638" s="4" t="str">
        <f>IFERROR(__xludf.DUMMYFUNCTION("GOOGLETRANSLATE(D1638)"),"緬甸因洪水造成 69 人死亡：內比都 8 月 5 日 (Prensa Latina) 緬甸的死亡人數今天上升至 69 人... http://t.co/JoDs9a32PI")</f>
        <v>緬甸因洪水造成 69 人死亡：內比都 8 月 5 日 (Prensa Latina) 緬甸的死亡人數今天上升至 69 人... http://t.co/JoDs9a32PI</v>
      </c>
      <c r="G1638" s="4" t="str">
        <f>IFERROR(__xludf.DUMMYFUNCTION("GOOGLETRANSLATE(B1638)"),"洪水")</f>
        <v>洪水</v>
      </c>
    </row>
    <row r="1639" ht="15.75" customHeight="1">
      <c r="A1639" s="4">
        <v>5680.0</v>
      </c>
      <c r="B1639" s="4" t="s">
        <v>2587</v>
      </c>
      <c r="C1639" s="4" t="s">
        <v>2603</v>
      </c>
      <c r="D1639" s="4" t="s">
        <v>2604</v>
      </c>
      <c r="E1639" s="4">
        <v>1.0</v>
      </c>
      <c r="F1639" s="4" t="str">
        <f>IFERROR(__xludf.DUMMYFUNCTION("GOOGLETRANSLATE(D1639)"),"菲律賓洪水造成 7 人死亡 2 人失踪，颱風蘇迪勒即將來臨 http://t.co/nJMiDySXoF via @abc7chicago")</f>
        <v>菲律賓洪水造成 7 人死亡 2 人失踪，颱風蘇迪勒即將來臨 http://t.co/nJMiDySXoF via @abc7chicago</v>
      </c>
      <c r="G1639" s="4" t="str">
        <f>IFERROR(__xludf.DUMMYFUNCTION("GOOGLETRANSLATE(B1639)"),"洪水")</f>
        <v>洪水</v>
      </c>
    </row>
    <row r="1640" ht="15.75" customHeight="1">
      <c r="A1640" s="4">
        <v>5683.0</v>
      </c>
      <c r="B1640" s="4" t="s">
        <v>2587</v>
      </c>
      <c r="C1640" s="4" t="s">
        <v>2605</v>
      </c>
      <c r="D1640" s="4" t="s">
        <v>2606</v>
      </c>
      <c r="E1640" s="4">
        <v>1.0</v>
      </c>
      <c r="F1640" s="4" t="str">
        <f>IFERROR(__xludf.DUMMYFUNCTION("GOOGLETRANSLATE(D1640)"),"@casewrites 新澤西州下雨時會發生山洪。否則，這只是一片悲傷和稅收的沙漠。")</f>
        <v>@casewrites 新澤西州下雨時會發生山洪。否則，這只是一片悲傷和稅收的沙漠。</v>
      </c>
      <c r="G1640" s="4" t="str">
        <f>IFERROR(__xludf.DUMMYFUNCTION("GOOGLETRANSLATE(B1640)"),"洪水")</f>
        <v>洪水</v>
      </c>
    </row>
    <row r="1641" ht="15.75" customHeight="1">
      <c r="A1641" s="4">
        <v>5685.0</v>
      </c>
      <c r="B1641" s="4" t="s">
        <v>2587</v>
      </c>
      <c r="C1641" s="4" t="s">
        <v>2607</v>
      </c>
      <c r="D1641" s="4" t="s">
        <v>2608</v>
      </c>
      <c r="E1641" s="4">
        <v>1.0</v>
      </c>
      <c r="F1641" s="4" t="str">
        <f>IFERROR(__xludf.DUMMYFUNCTION("GOOGLETRANSLATE(D1641)"),"@ContactEnergy 是的。在 1999 年或 2000 年的洪水期間，克萊德大壩釋放了它能釋放的所有水。最規格！電動車充電方式隨心所欲？")</f>
        <v>@ContactEnergy 是的。在 1999 年或 2000 年的洪水期間，克萊德大壩釋放了它能釋放的所有水。最規格！電動車充電方式隨心所欲？</v>
      </c>
      <c r="G1641" s="4" t="str">
        <f>IFERROR(__xludf.DUMMYFUNCTION("GOOGLETRANSLATE(B1641)"),"洪水")</f>
        <v>洪水</v>
      </c>
    </row>
    <row r="1642" ht="15.75" customHeight="1">
      <c r="A1642" s="4">
        <v>5686.0</v>
      </c>
      <c r="B1642" s="4" t="s">
        <v>2587</v>
      </c>
      <c r="C1642" s="4" t="s">
        <v>2609</v>
      </c>
      <c r="D1642" s="4" t="s">
        <v>2610</v>
      </c>
      <c r="E1642" s="4">
        <v>1.0</v>
      </c>
      <c r="F1642" s="4" t="str">
        <f>IFERROR(__xludf.DUMMYFUNCTION("GOOGLETRANSLATE(D1642)"),"巴門達洪水殺死動物鳥類 - http://t.co/WnamtxlfMt http://t.co/6cOIDv11qV")</f>
        <v>巴門達洪水殺死動物鳥類 - http://t.co/WnamtxlfMt http://t.co/6cOIDv11qV</v>
      </c>
      <c r="G1642" s="4" t="str">
        <f>IFERROR(__xludf.DUMMYFUNCTION("GOOGLETRANSLATE(B1642)"),"洪水")</f>
        <v>洪水</v>
      </c>
    </row>
    <row r="1643" ht="15.75" customHeight="1">
      <c r="A1643" s="4">
        <v>5688.0</v>
      </c>
      <c r="B1643" s="4" t="s">
        <v>2587</v>
      </c>
      <c r="C1643" s="4" t="s">
        <v>2611</v>
      </c>
      <c r="D1643" s="4" t="s">
        <v>2612</v>
      </c>
      <c r="E1643" s="4">
        <v>1.0</v>
      </c>
      <c r="F1643" s="4" t="str">
        <f>IFERROR(__xludf.DUMMYFUNCTION("GOOGLETRANSLATE(D1643)"),"APC 酋長要求迪克森在 N15b 洪水問題上向巴耶爾薩捐款 http://t.co/LqGOe7psXp")</f>
        <v>APC 酋長要求迪克森在 N15b 洪水問題上向巴耶爾薩捐款 http://t.co/LqGOe7psXp</v>
      </c>
      <c r="G1643" s="4" t="str">
        <f>IFERROR(__xludf.DUMMYFUNCTION("GOOGLETRANSLATE(B1643)"),"洪水")</f>
        <v>洪水</v>
      </c>
    </row>
    <row r="1644" ht="15.75" customHeight="1">
      <c r="A1644" s="4">
        <v>5689.0</v>
      </c>
      <c r="B1644" s="4" t="s">
        <v>2587</v>
      </c>
      <c r="C1644" s="4" t="s">
        <v>852</v>
      </c>
      <c r="D1644" s="4" t="s">
        <v>2613</v>
      </c>
      <c r="E1644" s="4">
        <v>1.0</v>
      </c>
      <c r="F1644" s="4" t="str">
        <f>IFERROR(__xludf.DUMMYFUNCTION("GOOGLETRANSLATE(D1644)"),"PAGASA 上午 7:12：黃色警告 - 班乃島吉馬拉斯內格羅斯。低窪地區可能發生洪水山區發生山崩。")</f>
        <v>PAGASA 上午 7:12：黃色警告 - 班乃島吉馬拉斯內格羅斯。低窪地區可能發生洪水山區發生山崩。</v>
      </c>
      <c r="G1644" s="4" t="str">
        <f>IFERROR(__xludf.DUMMYFUNCTION("GOOGLETRANSLATE(B1644)"),"洪水")</f>
        <v>洪水</v>
      </c>
    </row>
    <row r="1645" ht="15.75" customHeight="1">
      <c r="A1645" s="4">
        <v>5690.0</v>
      </c>
      <c r="B1645" s="4" t="s">
        <v>2587</v>
      </c>
      <c r="D1645" s="4" t="s">
        <v>2614</v>
      </c>
      <c r="E1645" s="4">
        <v>1.0</v>
      </c>
      <c r="F1645" s="4" t="str">
        <f>IFERROR(__xludf.DUMMYFUNCTION("GOOGLETRANSLATE(D1645)"),"RT：40HourFamine：#Bangladesh 政府尚未宣布洪水為緊急狀態。 #WorldVision 將繼續 mÛ_ http://t.co/XqdVghz8G6")</f>
        <v>RT：40HourFamine：#Bangladesh 政府尚未宣布洪水為緊急狀態。 #WorldVision 將繼續 mÛ_ http://t.co/XqdVghz8G6</v>
      </c>
      <c r="G1645" s="4" t="str">
        <f>IFERROR(__xludf.DUMMYFUNCTION("GOOGLETRANSLATE(B1645)"),"洪水")</f>
        <v>洪水</v>
      </c>
    </row>
    <row r="1646" ht="15.75" customHeight="1">
      <c r="A1646" s="4">
        <v>5692.0</v>
      </c>
      <c r="B1646" s="4" t="s">
        <v>2587</v>
      </c>
      <c r="C1646" s="4" t="s">
        <v>2615</v>
      </c>
      <c r="D1646" s="4" t="s">
        <v>2616</v>
      </c>
      <c r="E1646" s="4">
        <v>1.0</v>
      </c>
      <c r="F1646" s="4" t="str">
        <f>IFERROR(__xludf.DUMMYFUNCTION("GOOGLETRANSLATE(D1646)"),"#巴拉圭有近 5 萬人受到洪水影響？ http://t.co/aw23wXtyjB http://t.co/ABgct9VFUa")</f>
        <v>#巴拉圭有近 5 萬人受到洪水影響？ http://t.co/aw23wXtyjB http://t.co/ABgct9VFUa</v>
      </c>
      <c r="G1646" s="4" t="str">
        <f>IFERROR(__xludf.DUMMYFUNCTION("GOOGLETRANSLATE(B1646)"),"洪水")</f>
        <v>洪水</v>
      </c>
    </row>
    <row r="1647" ht="15.75" customHeight="1">
      <c r="A1647" s="4">
        <v>5693.0</v>
      </c>
      <c r="B1647" s="4" t="s">
        <v>2587</v>
      </c>
      <c r="C1647" s="4" t="s">
        <v>281</v>
      </c>
      <c r="D1647" s="4" t="s">
        <v>2617</v>
      </c>
      <c r="E1647" s="4">
        <v>1.0</v>
      </c>
      <c r="F1647" s="4" t="str">
        <f>IFERROR(__xludf.DUMMYFUNCTION("GOOGLETRANSLATE(D1647)"),"ETP 孟加拉洪水：CM Mamata Banerjee 指責 DVC BJP 聲稱國家未能使用救援資金：即使洪水發生... http://t.co/hsZjaFxrvi")</f>
        <v>ETP 孟加拉洪水：CM Mamata Banerjee 指責 DVC BJP 聲稱國家未能使用救援資金：即使洪水發生... http://t.co/hsZjaFxrvi</v>
      </c>
      <c r="G1647" s="4" t="str">
        <f>IFERROR(__xludf.DUMMYFUNCTION("GOOGLETRANSLATE(B1647)"),"洪水")</f>
        <v>洪水</v>
      </c>
    </row>
    <row r="1648" ht="15.75" customHeight="1">
      <c r="A1648" s="4">
        <v>5694.0</v>
      </c>
      <c r="B1648" s="4" t="s">
        <v>2587</v>
      </c>
      <c r="D1648" s="4" t="s">
        <v>2618</v>
      </c>
      <c r="E1648" s="4">
        <v>1.0</v>
      </c>
      <c r="F1648" s="4" t="str">
        <f>IFERROR(__xludf.DUMMYFUNCTION("GOOGLETRANSLATE(D1648)"),"願真主幫助所有遭受#巴基斯坦洪水之苦的人們！您和您的家人都在我們的#Dua中")</f>
        <v>願真主幫助所有遭受#巴基斯坦洪水之苦的人們！您和您的家人都在我們的#Dua中</v>
      </c>
      <c r="G1648" s="4" t="str">
        <f>IFERROR(__xludf.DUMMYFUNCTION("GOOGLETRANSLATE(B1648)"),"洪水")</f>
        <v>洪水</v>
      </c>
    </row>
    <row r="1649" ht="15.75" customHeight="1">
      <c r="A1649" s="4">
        <v>5695.0</v>
      </c>
      <c r="B1649" s="4" t="s">
        <v>2587</v>
      </c>
      <c r="D1649" s="4" t="s">
        <v>2619</v>
      </c>
      <c r="E1649" s="4">
        <v>1.0</v>
      </c>
      <c r="F1649" s="4" t="str">
        <f>IFERROR(__xludf.DUMMYFUNCTION("GOOGLETRANSLATE(D1649)"),"緬甸兒童面臨“雙重災難”，洪水襲擊最嚴重...... http://t.co/0jFNvAXFph")</f>
        <v>緬甸兒童面臨“雙重災難”，洪水襲擊最嚴重...... http://t.co/0jFNvAXFph</v>
      </c>
      <c r="G1649" s="4" t="str">
        <f>IFERROR(__xludf.DUMMYFUNCTION("GOOGLETRANSLATE(B1649)"),"洪水")</f>
        <v>洪水</v>
      </c>
    </row>
    <row r="1650" ht="15.75" customHeight="1">
      <c r="A1650" s="4">
        <v>5703.0</v>
      </c>
      <c r="B1650" s="4" t="s">
        <v>2587</v>
      </c>
      <c r="D1650" s="4" t="s">
        <v>2620</v>
      </c>
      <c r="E1650" s="4">
        <v>1.0</v>
      </c>
      <c r="F1650" s="4" t="str">
        <f>IFERROR(__xludf.DUMMYFUNCTION("GOOGLETRANSLATE(D1650)"),"緬甸洪水造成 69 人死亡 25 萬人受災 http://t.co/LxjjGyv86A | https://t.co/U9x3perXCO")</f>
        <v>緬甸洪水造成 69 人死亡 25 萬人受災 http://t.co/LxjjGyv86A | https://t.co/U9x3perXCO</v>
      </c>
      <c r="G1650" s="4" t="str">
        <f>IFERROR(__xludf.DUMMYFUNCTION("GOOGLETRANSLATE(B1650)"),"洪水")</f>
        <v>洪水</v>
      </c>
    </row>
    <row r="1651" ht="15.75" customHeight="1">
      <c r="A1651" s="4">
        <v>5704.0</v>
      </c>
      <c r="B1651" s="4" t="s">
        <v>2587</v>
      </c>
      <c r="D1651" s="4" t="s">
        <v>2621</v>
      </c>
      <c r="E1651" s="4">
        <v>1.0</v>
      </c>
      <c r="F1651" s="4" t="str">
        <f>IFERROR(__xludf.DUMMYFUNCTION("GOOGLETRANSLATE(D1651)"),"菲律賓洪水造成 7 人死亡 2 人失踪，颱風蘇迪勒逼近 http://t.co/8rDXcfgQEm #Typhoon")</f>
        <v>菲律賓洪水造成 7 人死亡 2 人失踪，颱風蘇迪勒逼近 http://t.co/8rDXcfgQEm #Typhoon</v>
      </c>
      <c r="G1651" s="4" t="str">
        <f>IFERROR(__xludf.DUMMYFUNCTION("GOOGLETRANSLATE(B1651)"),"洪水")</f>
        <v>洪水</v>
      </c>
    </row>
    <row r="1652" ht="15.75" customHeight="1">
      <c r="A1652" s="4">
        <v>5705.0</v>
      </c>
      <c r="B1652" s="4" t="s">
        <v>2587</v>
      </c>
      <c r="D1652" s="4" t="s">
        <v>2622</v>
      </c>
      <c r="E1652" s="4">
        <v>1.0</v>
      </c>
      <c r="F1652" s="4" t="str">
        <f>IFERROR(__xludf.DUMMYFUNCTION("GOOGLETRANSLATE(D1652)"),"孟菲斯總是洪水氾濫")</f>
        <v>孟菲斯總是洪水氾濫</v>
      </c>
      <c r="G1652" s="4" t="str">
        <f>IFERROR(__xludf.DUMMYFUNCTION("GOOGLETRANSLATE(B1652)"),"洪水")</f>
        <v>洪水</v>
      </c>
    </row>
    <row r="1653" ht="15.75" customHeight="1">
      <c r="A1653" s="4">
        <v>5706.0</v>
      </c>
      <c r="B1653" s="4" t="s">
        <v>2587</v>
      </c>
      <c r="C1653" s="4" t="s">
        <v>2623</v>
      </c>
      <c r="D1653" s="4" t="s">
        <v>2624</v>
      </c>
      <c r="E1653" s="4">
        <v>1.0</v>
      </c>
      <c r="F1653" s="4" t="str">
        <f>IFERROR(__xludf.DUMMYFUNCTION("GOOGLETRANSLATE(D1653)"),"洪水在亞洲造成損失和死亡所有媒體內容 | http://t.co/a2myUTpDiQ | 2015 年 8 月 5 日 http://t.co/XrSkT0s9lz")</f>
        <v>洪水在亞洲造成損失和死亡所有媒體內容 | http://t.co/a2myUTpDiQ | 2015 年 8 月 5 日 http://t.co/XrSkT0s9lz</v>
      </c>
      <c r="G1653" s="4" t="str">
        <f>IFERROR(__xludf.DUMMYFUNCTION("GOOGLETRANSLATE(B1653)"),"洪水")</f>
        <v>洪水</v>
      </c>
    </row>
    <row r="1654" ht="15.75" customHeight="1">
      <c r="A1654" s="4">
        <v>5711.0</v>
      </c>
      <c r="B1654" s="4" t="s">
        <v>2625</v>
      </c>
      <c r="D1654" s="4" t="s">
        <v>2626</v>
      </c>
      <c r="E1654" s="4">
        <v>1.0</v>
      </c>
      <c r="F1654" s="4" t="str">
        <f>IFERROR(__xludf.DUMMYFUNCTION("GOOGLETRANSLATE(D1654)"),"E1.1.2 粒狀物=固體燃燒化石燃料的分解 伏打活性森林火災 生物 VOC=石油 CH4 細菌分解")</f>
        <v>E1.1.2 粒狀物=固體燃燒化石燃料的分解 伏打活性森林火災 生物 VOC=石油 CH4 細菌分解</v>
      </c>
      <c r="G1654" s="4" t="str">
        <f>IFERROR(__xludf.DUMMYFUNCTION("GOOGLETRANSLATE(B1654)"),"森林%20火")</f>
        <v>森林%20火</v>
      </c>
    </row>
    <row r="1655" ht="15.75" customHeight="1">
      <c r="A1655" s="4">
        <v>5712.0</v>
      </c>
      <c r="B1655" s="4" t="s">
        <v>2625</v>
      </c>
      <c r="C1655" s="4" t="s">
        <v>2627</v>
      </c>
      <c r="D1655" s="4" t="s">
        <v>2628</v>
      </c>
      <c r="E1655" s="4">
        <v>1.0</v>
      </c>
      <c r="F1655" s="4" t="str">
        <f>IFERROR(__xludf.DUMMYFUNCTION("GOOGLETRANSLATE(D1655)"),"居住在比佛頓以西的任何人都要小心。福里斯特格羅夫（Forest Grove）火勢迅速向東蔓延")</f>
        <v>居住在比佛頓以西的任何人都要小心。福里斯特格羅夫（Forest Grove）火勢迅速向東蔓延</v>
      </c>
      <c r="G1655" s="4" t="str">
        <f>IFERROR(__xludf.DUMMYFUNCTION("GOOGLETRANSLATE(B1655)"),"森林%20火")</f>
        <v>森林%20火</v>
      </c>
    </row>
    <row r="1656" ht="15.75" customHeight="1">
      <c r="A1656" s="4">
        <v>5713.0</v>
      </c>
      <c r="B1656" s="4" t="s">
        <v>2625</v>
      </c>
      <c r="C1656" s="4" t="s">
        <v>2629</v>
      </c>
      <c r="D1656" s="4" t="s">
        <v>2630</v>
      </c>
      <c r="E1656" s="4">
        <v>1.0</v>
      </c>
      <c r="F1656" s="4" t="str">
        <f>IFERROR(__xludf.DUMMYFUNCTION("GOOGLETRANSLATE(D1656)"),"我在 @YouTube 播放清單中添加了一個視頻 http://t.co/bcjYleRRYX Ori and the Bind Forest 第 6 集“火與死”")</f>
        <v>我在 @YouTube 播放清單中添加了一個視頻 http://t.co/bcjYleRRYX Ori and the Bind Forest 第 6 集“火與死”</v>
      </c>
      <c r="G1656" s="4" t="str">
        <f>IFERROR(__xludf.DUMMYFUNCTION("GOOGLETRANSLATE(B1656)"),"森林%20火")</f>
        <v>森林%20火</v>
      </c>
    </row>
    <row r="1657" ht="15.75" customHeight="1">
      <c r="A1657" s="4">
        <v>5714.0</v>
      </c>
      <c r="B1657" s="4" t="s">
        <v>2625</v>
      </c>
      <c r="D1657" s="4" t="s">
        <v>2631</v>
      </c>
      <c r="E1657" s="4">
        <v>1.0</v>
      </c>
      <c r="F1657" s="4" t="str">
        <f>IFERROR(__xludf.DUMMYFUNCTION("GOOGLETRANSLATE(D1657)"),"為什麼一根不小心的火柴就能引起森林火災，但需要一整個盒子才能引起營火呢？")</f>
        <v>為什麼一根不小心的火柴就能引起森林火災，但需要一整個盒子才能引起營火呢？</v>
      </c>
      <c r="G1657" s="4" t="str">
        <f>IFERROR(__xludf.DUMMYFUNCTION("GOOGLETRANSLATE(B1657)"),"森林%20火")</f>
        <v>森林%20火</v>
      </c>
    </row>
    <row r="1658" ht="15.75" customHeight="1">
      <c r="A1658" s="4">
        <v>5715.0</v>
      </c>
      <c r="B1658" s="4" t="s">
        <v>2625</v>
      </c>
      <c r="C1658" s="4" t="s">
        <v>2632</v>
      </c>
      <c r="D1658" s="4" t="s">
        <v>2633</v>
      </c>
      <c r="E1658" s="4">
        <v>1.0</v>
      </c>
      <c r="F1658" s="4" t="str">
        <f>IFERROR(__xludf.DUMMYFUNCTION("GOOGLETRANSLATE(D1658)"),"我們的小森林防火管理員 http://t.co/aPreNsss3x")</f>
        <v>我們的小森林防火管理員 http://t.co/aPreNsss3x</v>
      </c>
      <c r="G1658" s="4" t="str">
        <f>IFERROR(__xludf.DUMMYFUNCTION("GOOGLETRANSLATE(B1658)"),"森林%20火")</f>
        <v>森林%20火</v>
      </c>
    </row>
    <row r="1659" ht="15.75" customHeight="1">
      <c r="A1659" s="4">
        <v>5716.0</v>
      </c>
      <c r="B1659" s="4" t="s">
        <v>2625</v>
      </c>
      <c r="C1659" s="4" t="s">
        <v>2634</v>
      </c>
      <c r="D1659" s="4" t="s">
        <v>2635</v>
      </c>
      <c r="E1659" s="4">
        <v>1.0</v>
      </c>
      <c r="F1659" s="4" t="str">
        <f>IFERROR(__xludf.DUMMYFUNCTION("GOOGLETRANSLATE(D1659)"),"皮斯加國家森林大火蔓延至 375 英畝 http://t.co/d7zxZ42QW1")</f>
        <v>皮斯加國家森林大火蔓延至 375 英畝 http://t.co/d7zxZ42QW1</v>
      </c>
      <c r="G1659" s="4" t="str">
        <f>IFERROR(__xludf.DUMMYFUNCTION("GOOGLETRANSLATE(B1659)"),"森林%20火")</f>
        <v>森林%20火</v>
      </c>
    </row>
    <row r="1660" ht="15.75" customHeight="1">
      <c r="A1660" s="4">
        <v>5717.0</v>
      </c>
      <c r="B1660" s="4" t="s">
        <v>2625</v>
      </c>
      <c r="C1660" s="4" t="s">
        <v>2636</v>
      </c>
      <c r="D1660" s="4" t="s">
        <v>2637</v>
      </c>
      <c r="E1660" s="4">
        <v>1.0</v>
      </c>
      <c r="F1660" s="4" t="str">
        <f>IFERROR(__xludf.DUMMYFUNCTION("GOOGLETRANSLATE(D1660)"),"灰森林地板燒曼薩尼塔和森林路 1 號沿山脊的約翰遜大火上的木材。#RouteComplex http://t.co/FYMP4I2Wp5")</f>
        <v>灰森林地板燒曼薩尼塔和森林路 1 號沿山脊的約翰遜大火上的木材。#RouteComplex http://t.co/FYMP4I2Wp5</v>
      </c>
      <c r="G1660" s="4" t="str">
        <f>IFERROR(__xludf.DUMMYFUNCTION("GOOGLETRANSLATE(B1660)"),"森林%20火")</f>
        <v>森林%20火</v>
      </c>
    </row>
    <row r="1661" ht="15.75" customHeight="1">
      <c r="A1661" s="4">
        <v>5719.0</v>
      </c>
      <c r="B1661" s="4" t="s">
        <v>2625</v>
      </c>
      <c r="D1661" s="4" t="s">
        <v>2638</v>
      </c>
      <c r="E1661" s="4">
        <v>1.0</v>
      </c>
      <c r="F1661" s="4" t="str">
        <f>IFERROR(__xludf.DUMMYFUNCTION("GOOGLETRANSLATE(D1661)"),"@Sweet2Young - 因為她放火燒了我的森林而向她跑去，並咬掉了她脖子上的屎 -")</f>
        <v>@Sweet2Young - 因為她放火燒了我的森林而向她跑去，並咬掉了她脖子上的屎 -</v>
      </c>
      <c r="G1661" s="4" t="str">
        <f>IFERROR(__xludf.DUMMYFUNCTION("GOOGLETRANSLATE(B1661)"),"森林%20火")</f>
        <v>森林%20火</v>
      </c>
    </row>
    <row r="1662" ht="15.75" customHeight="1">
      <c r="A1662" s="4">
        <v>5720.0</v>
      </c>
      <c r="B1662" s="4" t="s">
        <v>2625</v>
      </c>
      <c r="D1662" s="4" t="s">
        <v>2639</v>
      </c>
      <c r="E1662" s="4">
        <v>1.0</v>
      </c>
      <c r="F1662" s="4" t="str">
        <f>IFERROR(__xludf.DUMMYFUNCTION("GOOGLETRANSLATE(D1662)"),"@hornybigbadwolf -點燃森林-")</f>
        <v>@hornybigbadwolf -點燃森林-</v>
      </c>
      <c r="G1662" s="4" t="str">
        <f>IFERROR(__xludf.DUMMYFUNCTION("GOOGLETRANSLATE(B1662)"),"森林%20火")</f>
        <v>森林%20火</v>
      </c>
    </row>
    <row r="1663" ht="15.75" customHeight="1">
      <c r="A1663" s="4">
        <v>5722.0</v>
      </c>
      <c r="B1663" s="4" t="s">
        <v>2625</v>
      </c>
      <c r="C1663" s="4" t="s">
        <v>2636</v>
      </c>
      <c r="D1663" s="4" t="s">
        <v>2640</v>
      </c>
      <c r="E1663" s="4">
        <v>1.0</v>
      </c>
      <c r="F1663" s="4" t="str">
        <f>IFERROR(__xludf.DUMMYFUNCTION("GOOGLETRANSLATE(D1663)"),"沿著森林公路 1 號布萊克大火南端升起的煙柱視圖。#RouteComplex http://t.co/Yqg5Pvw5gX")</f>
        <v>沿著森林公路 1 號布萊克大火南端升起的煙柱視圖。#RouteComplex http://t.co/Yqg5Pvw5gX</v>
      </c>
      <c r="G1663" s="4" t="str">
        <f>IFERROR(__xludf.DUMMYFUNCTION("GOOGLETRANSLATE(B1663)"),"森林%20火")</f>
        <v>森林%20火</v>
      </c>
    </row>
    <row r="1664" ht="15.75" customHeight="1">
      <c r="A1664" s="4">
        <v>5724.0</v>
      </c>
      <c r="B1664" s="4" t="s">
        <v>2625</v>
      </c>
      <c r="D1664" s="4" t="s">
        <v>2641</v>
      </c>
      <c r="E1664" s="4">
        <v>1.0</v>
      </c>
      <c r="F1664" s="4" t="str">
        <f>IFERROR(__xludf.DUMMYFUNCTION("GOOGLETRANSLATE(D1664)"),"它引發了一場無法撲滅的森林大火。 http://t.co/3STfmN26r9")</f>
        <v>它引發了一場無法撲滅的森林大火。 http://t.co/3STfmN26r9</v>
      </c>
      <c r="G1664" s="4" t="str">
        <f>IFERROR(__xludf.DUMMYFUNCTION("GOOGLETRANSLATE(B1664)"),"森林%20火")</f>
        <v>森林%20火</v>
      </c>
    </row>
    <row r="1665" ht="15.75" customHeight="1">
      <c r="A1665" s="4">
        <v>5726.0</v>
      </c>
      <c r="B1665" s="4" t="s">
        <v>2625</v>
      </c>
      <c r="C1665" s="4" t="s">
        <v>2642</v>
      </c>
      <c r="D1665" s="4" t="s">
        <v>2643</v>
      </c>
      <c r="E1665" s="4">
        <v>1.0</v>
      </c>
      <c r="F1665" s="4" t="str">
        <f>IFERROR(__xludf.DUMMYFUNCTION("GOOGLETRANSLATE(D1665)"),"皮斯加國家森林大火蔓延至 375 英畝 http://t.co/dao9AZEUcr")</f>
        <v>皮斯加國家森林大火蔓延至 375 英畝 http://t.co/dao9AZEUcr</v>
      </c>
      <c r="G1665" s="4" t="str">
        <f>IFERROR(__xludf.DUMMYFUNCTION("GOOGLETRANSLATE(B1665)"),"森林%20火")</f>
        <v>森林%20火</v>
      </c>
    </row>
    <row r="1666" ht="15.75" customHeight="1">
      <c r="A1666" s="4">
        <v>5729.0</v>
      </c>
      <c r="B1666" s="4" t="s">
        <v>2625</v>
      </c>
      <c r="D1666" s="4" t="s">
        <v>2644</v>
      </c>
      <c r="E1666" s="4">
        <v>1.0</v>
      </c>
      <c r="F1666" s="4" t="str">
        <f>IFERROR(__xludf.DUMMYFUNCTION("GOOGLETRANSLATE(D1666)"),"5:15p 對於監視我的人來說，森林大火的煙霧已經消散，我可以跑向高速公路 (N) 上的寵物店。我會在晚上 7 點前回家。")</f>
        <v>5:15p 對於監視我的人來說，森林大火的煙霧已經消散，我可以跑向高速公路 (N) 上的寵物店。我會在晚上 7 點前回家。</v>
      </c>
      <c r="G1666" s="4" t="str">
        <f>IFERROR(__xludf.DUMMYFUNCTION("GOOGLETRANSLATE(B1666)"),"森林%20火")</f>
        <v>森林%20火</v>
      </c>
    </row>
    <row r="1667" ht="15.75" customHeight="1">
      <c r="A1667" s="4">
        <v>5730.0</v>
      </c>
      <c r="B1667" s="4" t="s">
        <v>2625</v>
      </c>
      <c r="C1667" s="4" t="s">
        <v>2645</v>
      </c>
      <c r="D1667" s="4" t="s">
        <v>2646</v>
      </c>
      <c r="E1667" s="4">
        <v>1.0</v>
      </c>
      <c r="F1667" s="4" t="str">
        <f>IFERROR(__xludf.DUMMYFUNCTION("GOOGLETRANSLATE(D1667)"),"我們#socal 正在發生森林火災，但您應該注意的唯一火災是@YBTheProphet #RealHiphop https://t.co/ZPSnX5iYAJ")</f>
        <v>我們#socal 正在發生森林火災，但您應該注意的唯一火災是@YBTheProphet #RealHiphop https://t.co/ZPSnX5iYAJ</v>
      </c>
      <c r="G1667" s="4" t="str">
        <f>IFERROR(__xludf.DUMMYFUNCTION("GOOGLETRANSLATE(B1667)"),"森林%20火")</f>
        <v>森林%20火</v>
      </c>
    </row>
    <row r="1668" ht="15.75" customHeight="1">
      <c r="A1668" s="4">
        <v>5732.0</v>
      </c>
      <c r="B1668" s="4" t="s">
        <v>2625</v>
      </c>
      <c r="C1668" s="4" t="s">
        <v>2647</v>
      </c>
      <c r="D1668" s="4" t="s">
        <v>2648</v>
      </c>
      <c r="E1668" s="4">
        <v>1.0</v>
      </c>
      <c r="F1668" s="4" t="str">
        <f>IFERROR(__xludf.DUMMYFUNCTION("GOOGLETRANSLATE(D1668)"),"美國林務局消防員戴維·魯爾 (David Ruhl) 在莫多克國家森林的“青蛙火災”中喪生，享年 38 歲。他被臨時調任")</f>
        <v>美國林務局消防員戴維·魯爾 (David Ruhl) 在莫多克國家森林的“青蛙火災”中喪生，享年 38 歲。他被臨時調任</v>
      </c>
      <c r="G1668" s="4" t="str">
        <f>IFERROR(__xludf.DUMMYFUNCTION("GOOGLETRANSLATE(B1668)"),"森林%20火")</f>
        <v>森林%20火</v>
      </c>
    </row>
    <row r="1669" ht="15.75" customHeight="1">
      <c r="A1669" s="4">
        <v>5736.0</v>
      </c>
      <c r="B1669" s="4" t="s">
        <v>2649</v>
      </c>
      <c r="D1669" s="4" t="s">
        <v>2650</v>
      </c>
      <c r="E1669" s="4">
        <v>1.0</v>
      </c>
      <c r="F1669" s="4" t="str">
        <f>IFERROR(__xludf.DUMMYFUNCTION("GOOGLETRANSLATE(D1669)"),"只有您才能預防森林火災。 ???? http://t.co/rGYUaKc0dR")</f>
        <v>只有您才能預防森林火災。 ???? http://t.co/rGYUaKc0dR</v>
      </c>
      <c r="G1669" s="4" t="str">
        <f>IFERROR(__xludf.DUMMYFUNCTION("GOOGLETRANSLATE(B1669)"),"森林%20火災")</f>
        <v>森林%20火災</v>
      </c>
    </row>
    <row r="1670" ht="15.75" customHeight="1">
      <c r="A1670" s="4">
        <v>5739.0</v>
      </c>
      <c r="B1670" s="4" t="s">
        <v>2649</v>
      </c>
      <c r="D1670" s="4" t="s">
        <v>2651</v>
      </c>
      <c r="E1670" s="4">
        <v>1.0</v>
      </c>
      <c r="F1670" s="4" t="str">
        <f>IFERROR(__xludf.DUMMYFUNCTION("GOOGLETRANSLATE(D1670)"),"#NaturalDisasters 隨著加州大火肆虐，林業局對野火成本上升發出警報：Û_... http://t.co/TQwrW3jQWo")</f>
        <v>#NaturalDisasters 隨著加州大火肆虐，林業局對野火成本上升發出警報：Û_... http://t.co/TQwrW3jQWo</v>
      </c>
      <c r="G1670" s="4" t="str">
        <f>IFERROR(__xludf.DUMMYFUNCTION("GOOGLETRANSLATE(B1670)"),"森林%20火災")</f>
        <v>森林%20火災</v>
      </c>
    </row>
    <row r="1671" ht="15.75" customHeight="1">
      <c r="A1671" s="4">
        <v>5741.0</v>
      </c>
      <c r="B1671" s="4" t="s">
        <v>2649</v>
      </c>
      <c r="C1671" s="4" t="s">
        <v>2652</v>
      </c>
      <c r="D1671" s="4" t="s">
        <v>2653</v>
      </c>
      <c r="E1671" s="4">
        <v>1.0</v>
      </c>
      <c r="F1671" s="4" t="str">
        <f>IFERROR(__xludf.DUMMYFUNCTION("GOOGLETRANSLATE(D1671)"),"@gilmanrocks7 哇。這是哪裡？在夏天剩下的時間裡，我通常必須擔心森林火災。距離卡加利約8小時車程。")</f>
        <v>@gilmanrocks7 哇。這是哪裡？在夏天剩下的時間裡，我通常必須擔心森林火災。距離卡加利約8小時車程。</v>
      </c>
      <c r="G1671" s="4" t="str">
        <f>IFERROR(__xludf.DUMMYFUNCTION("GOOGLETRANSLATE(B1671)"),"森林%20火災")</f>
        <v>森林%20火災</v>
      </c>
    </row>
    <row r="1672" ht="15.75" customHeight="1">
      <c r="A1672" s="4">
        <v>5743.0</v>
      </c>
      <c r="B1672" s="4" t="s">
        <v>2649</v>
      </c>
      <c r="C1672" s="4" t="s">
        <v>708</v>
      </c>
      <c r="D1672" s="4" t="s">
        <v>2654</v>
      </c>
      <c r="E1672" s="4">
        <v>1.0</v>
      </c>
      <c r="F1672" s="4" t="str">
        <f>IFERROR(__xludf.DUMMYFUNCTION("GOOGLETRANSLATE(D1672)"),"隨著加州大火肆虐，林務局對野火成本急劇上升發出警報 http://t.co/dFYrPpzkPu http://t.co/iwsdbGd1zq")</f>
        <v>隨著加州大火肆虐，林務局對野火成本急劇上升發出警報 http://t.co/dFYrPpzkPu http://t.co/iwsdbGd1zq</v>
      </c>
      <c r="G1672" s="4" t="str">
        <f>IFERROR(__xludf.DUMMYFUNCTION("GOOGLETRANSLATE(B1672)"),"森林%20火災")</f>
        <v>森林%20火災</v>
      </c>
    </row>
    <row r="1673" ht="15.75" customHeight="1">
      <c r="A1673" s="4">
        <v>5744.0</v>
      </c>
      <c r="B1673" s="4" t="s">
        <v>2649</v>
      </c>
      <c r="D1673" s="4" t="s">
        <v>2655</v>
      </c>
      <c r="E1673" s="4">
        <v>1.0</v>
      </c>
      <c r="F1673" s="4" t="str">
        <f>IFERROR(__xludf.DUMMYFUNCTION("GOOGLETRANSLATE(D1673)"),"有點擔心我將居住的地方發生森林火災的數量")</f>
        <v>有點擔心我將居住的地方發生森林火災的數量</v>
      </c>
      <c r="G1673" s="4" t="str">
        <f>IFERROR(__xludf.DUMMYFUNCTION("GOOGLETRANSLATE(B1673)"),"森林%20火災")</f>
        <v>森林%20火災</v>
      </c>
    </row>
    <row r="1674" ht="15.75" customHeight="1">
      <c r="A1674" s="4">
        <v>5745.0</v>
      </c>
      <c r="B1674" s="4" t="s">
        <v>2649</v>
      </c>
      <c r="D1674" s="4" t="s">
        <v>2656</v>
      </c>
      <c r="E1674" s="4">
        <v>1.0</v>
      </c>
      <c r="F1674" s="4" t="str">
        <f>IFERROR(__xludf.DUMMYFUNCTION("GOOGLETRANSLATE(D1674)"),"@nycdivorcelaw 川普是氣候否認者-從加州到阿爾斯卡的太平洋藻類大量繁殖-加勒比森林大火中的海草-雪球·伊霍夫")</f>
        <v>@nycdivorcelaw 川普是氣候否認者-從加州到阿爾斯卡的太平洋藻類大量繁殖-加勒比森林大火中的海草-雪球·伊霍夫</v>
      </c>
      <c r="G1674" s="4" t="str">
        <f>IFERROR(__xludf.DUMMYFUNCTION("GOOGLETRANSLATE(B1674)"),"森林%20火災")</f>
        <v>森林%20火災</v>
      </c>
    </row>
    <row r="1675" ht="15.75" customHeight="1">
      <c r="A1675" s="4">
        <v>5746.0</v>
      </c>
      <c r="B1675" s="4" t="s">
        <v>2649</v>
      </c>
      <c r="C1675" s="4" t="s">
        <v>2657</v>
      </c>
      <c r="D1675" s="4" t="s">
        <v>2658</v>
      </c>
      <c r="E1675" s="4">
        <v>1.0</v>
      </c>
      <c r="F1675" s="4" t="str">
        <f>IFERROR(__xludf.DUMMYFUNCTION("GOOGLETRANSLATE(D1675)"),"林務局現在花費超過 50% 的預算來撲滅火災 http://t.co/SrSLCxHc2T")</f>
        <v>林務局現在花費超過 50% 的預算來撲滅火災 http://t.co/SrSLCxHc2T</v>
      </c>
      <c r="G1675" s="4" t="str">
        <f>IFERROR(__xludf.DUMMYFUNCTION("GOOGLETRANSLATE(B1675)"),"森林%20火災")</f>
        <v>森林%20火災</v>
      </c>
    </row>
    <row r="1676" ht="15.75" customHeight="1">
      <c r="A1676" s="4">
        <v>5751.0</v>
      </c>
      <c r="B1676" s="4" t="s">
        <v>2649</v>
      </c>
      <c r="D1676" s="4" t="s">
        <v>2659</v>
      </c>
      <c r="E1676" s="4">
        <v>1.0</v>
      </c>
      <c r="F1676" s="4" t="str">
        <f>IFERROR(__xludf.DUMMYFUNCTION("GOOGLETRANSLATE(D1676)"),"這是林業局第一年將一半以上的年度預算用於救火。 #climatechange http://t.co/D62zfZy0Mi")</f>
        <v>這是林業局第一年將一半以上的年度預算用於救火。 #climatechange http://t.co/D62zfZy0Mi</v>
      </c>
      <c r="G1676" s="4" t="str">
        <f>IFERROR(__xludf.DUMMYFUNCTION("GOOGLETRANSLATE(B1676)"),"森林%20火災")</f>
        <v>森林%20火災</v>
      </c>
    </row>
    <row r="1677" ht="15.75" customHeight="1">
      <c r="A1677" s="4">
        <v>5752.0</v>
      </c>
      <c r="B1677" s="4" t="s">
        <v>2649</v>
      </c>
      <c r="D1677" s="4" t="s">
        <v>2660</v>
      </c>
      <c r="E1677" s="4">
        <v>1.0</v>
      </c>
      <c r="F1677" s="4" t="str">
        <f>IFERROR(__xludf.DUMMYFUNCTION("GOOGLETRANSLATE(D1677)"),"隨著加州大火肆虐，林務局對野火成本上升發出警報 http://t.co/Tft1bb4xaZ")</f>
        <v>隨著加州大火肆虐，林務局對野火成本上升發出警報 http://t.co/Tft1bb4xaZ</v>
      </c>
      <c r="G1677" s="4" t="str">
        <f>IFERROR(__xludf.DUMMYFUNCTION("GOOGLETRANSLATE(B1677)"),"森林%20火災")</f>
        <v>森林%20火災</v>
      </c>
    </row>
    <row r="1678" ht="15.75" customHeight="1">
      <c r="A1678" s="4">
        <v>5753.0</v>
      </c>
      <c r="B1678" s="4" t="s">
        <v>2649</v>
      </c>
      <c r="D1678" s="4" t="s">
        <v>2661</v>
      </c>
      <c r="E1678" s="4">
        <v>1.0</v>
      </c>
      <c r="F1678" s="4" t="str">
        <f>IFERROR(__xludf.DUMMYFUNCTION("GOOGLETRANSLATE(D1678)"),"Reddit：http://t.co/UtuMVaABz6 閃電在博伊西國家森林引發新火災 /r/StormComing")</f>
        <v>Reddit：http://t.co/UtuMVaABz6 閃電在博伊西國家森林引發新火災 /r/StormComing</v>
      </c>
      <c r="G1678" s="4" t="str">
        <f>IFERROR(__xludf.DUMMYFUNCTION("GOOGLETRANSLATE(B1678)"),"森林%20火災")</f>
        <v>森林%20火災</v>
      </c>
    </row>
    <row r="1679" ht="15.75" customHeight="1">
      <c r="A1679" s="4">
        <v>5754.0</v>
      </c>
      <c r="B1679" s="4" t="s">
        <v>2649</v>
      </c>
      <c r="C1679" s="4" t="s">
        <v>1749</v>
      </c>
      <c r="D1679" s="4" t="s">
        <v>2662</v>
      </c>
      <c r="E1679" s="4">
        <v>1.0</v>
      </c>
      <c r="F1679" s="4" t="str">
        <f>IFERROR(__xludf.DUMMYFUNCTION("GOOGLETRANSLATE(D1679)"),"衝突#PalmOil 的蔓延引發了#Indonesia 各地#森林火災的增加 http://t.co/4zn0MDsRVp")</f>
        <v>衝突#PalmOil 的蔓延引發了#Indonesia 各地#森林火災的增加 http://t.co/4zn0MDsRVp</v>
      </c>
      <c r="G1679" s="4" t="str">
        <f>IFERROR(__xludf.DUMMYFUNCTION("GOOGLETRANSLATE(B1679)"),"森林%20火災")</f>
        <v>森林%20火災</v>
      </c>
    </row>
    <row r="1680" ht="15.75" customHeight="1">
      <c r="A1680" s="4">
        <v>5757.0</v>
      </c>
      <c r="B1680" s="4" t="s">
        <v>2649</v>
      </c>
      <c r="C1680" s="4" t="s">
        <v>2663</v>
      </c>
      <c r="D1680" s="4" t="s">
        <v>2664</v>
      </c>
      <c r="E1680" s="4">
        <v>1.0</v>
      </c>
      <c r="F1680" s="4" t="str">
        <f>IFERROR(__xludf.DUMMYFUNCTION("GOOGLETRANSLATE(D1680)"),"照片：blue by @forest.fires 資料來源：http://t.co/awXR24zsqh http://t.co/o9A26Fn27y")</f>
        <v>照片：blue by @forest.fires 資料來源：http://t.co/awXR24zsqh http://t.co/o9A26Fn27y</v>
      </c>
      <c r="G1680" s="4" t="str">
        <f>IFERROR(__xludf.DUMMYFUNCTION("GOOGLETRANSLATE(B1680)"),"森林%20火災")</f>
        <v>森林%20火災</v>
      </c>
    </row>
    <row r="1681" ht="15.75" customHeight="1">
      <c r="A1681" s="4">
        <v>5759.0</v>
      </c>
      <c r="B1681" s="4" t="s">
        <v>2649</v>
      </c>
      <c r="C1681" s="4" t="s">
        <v>2665</v>
      </c>
      <c r="D1681" s="4" t="s">
        <v>2666</v>
      </c>
      <c r="E1681" s="4">
        <v>1.0</v>
      </c>
      <c r="F1681" s="4" t="str">
        <f>IFERROR(__xludf.DUMMYFUNCTION("GOOGLETRANSLATE(D1681)"),"森林火災和火災垂死的鮭魚：第二次行動而不是否認。氣候變遷惡夢在這裡 http://t.co/RBZomWGjeE #bcpoli #canpoli #vanpoli")</f>
        <v>森林火災和火災垂死的鮭魚：第二次行動而不是否認。氣候變遷惡夢在這裡 http://t.co/RBZomWGjeE #bcpoli #canpoli #vanpoli</v>
      </c>
      <c r="G1681" s="4" t="str">
        <f>IFERROR(__xludf.DUMMYFUNCTION("GOOGLETRANSLATE(B1681)"),"森林%20火災")</f>
        <v>森林%20火災</v>
      </c>
    </row>
    <row r="1682" ht="15.75" customHeight="1">
      <c r="A1682" s="4">
        <v>5763.0</v>
      </c>
      <c r="B1682" s="4" t="s">
        <v>2649</v>
      </c>
      <c r="C1682" s="4" t="s">
        <v>1630</v>
      </c>
      <c r="D1682" s="4" t="s">
        <v>2667</v>
      </c>
      <c r="E1682" s="4">
        <v>1.0</v>
      </c>
      <c r="F1682" s="4" t="str">
        <f>IFERROR(__xludf.DUMMYFUNCTION("GOOGLETRANSLATE(D1682)"),"2015 年 8 月 5 日 - 下午 4:30 - 博伊西森林大火取得進展
http://t.co/6o1mgMGHgt http://t.co/wTPO6elRZd")</f>
        <v>2015 年 8 月 5 日 - 下午 4:30 - 博伊西森林大火取得進展
http://t.co/6o1mgMGHgt http://t.co/wTPO6elRZd</v>
      </c>
      <c r="G1682" s="4" t="str">
        <f>IFERROR(__xludf.DUMMYFUNCTION("GOOGLETRANSLATE(B1682)"),"森林%20火災")</f>
        <v>森林%20火災</v>
      </c>
    </row>
    <row r="1683" ht="15.75" customHeight="1">
      <c r="A1683" s="4">
        <v>5764.0</v>
      </c>
      <c r="B1683" s="4" t="s">
        <v>2649</v>
      </c>
      <c r="D1683" s="4" t="s">
        <v>2668</v>
      </c>
      <c r="E1683" s="4">
        <v>1.0</v>
      </c>
      <c r="F1683" s="4" t="str">
        <f>IFERROR(__xludf.DUMMYFUNCTION("GOOGLETRANSLATE(D1683)"),"佛羅裡達州林務局的一群消防員可能會被部署到加州以幫助控制火災。詳情請看10點！ http://t.co/fwuP9YURzY")</f>
        <v>佛羅裡達州林務局的一群消防員可能會被部署到加州以幫助控制火災。詳情請看10點！ http://t.co/fwuP9YURzY</v>
      </c>
      <c r="G1683" s="4" t="str">
        <f>IFERROR(__xludf.DUMMYFUNCTION("GOOGLETRANSLATE(B1683)"),"森林%20火災")</f>
        <v>森林%20火災</v>
      </c>
    </row>
    <row r="1684" ht="15.75" customHeight="1">
      <c r="A1684" s="4">
        <v>5765.0</v>
      </c>
      <c r="B1684" s="4" t="s">
        <v>2649</v>
      </c>
      <c r="D1684" s="4" t="s">
        <v>2669</v>
      </c>
      <c r="E1684" s="4">
        <v>1.0</v>
      </c>
      <c r="F1684" s="4" t="str">
        <f>IFERROR(__xludf.DUMMYFUNCTION("GOOGLETRANSLATE(D1684)"),"祈禱！東海岸森林火災！祈禱！讓他們被趕出去。祈禱！為了下雨！")</f>
        <v>祈禱！東海岸森林火災！祈禱！讓他們被趕出去。祈禱！為了下雨！</v>
      </c>
      <c r="G1684" s="4" t="str">
        <f>IFERROR(__xludf.DUMMYFUNCTION("GOOGLETRANSLATE(B1684)"),"森林%20火災")</f>
        <v>森林%20火災</v>
      </c>
    </row>
    <row r="1685" ht="15.75" customHeight="1">
      <c r="A1685" s="4">
        <v>5766.0</v>
      </c>
      <c r="B1685" s="4" t="s">
        <v>2649</v>
      </c>
      <c r="C1685" s="4" t="s">
        <v>2670</v>
      </c>
      <c r="D1685" s="4" t="s">
        <v>2671</v>
      </c>
      <c r="E1685" s="4">
        <v>1.0</v>
      </c>
      <c r="F1685" s="4" t="str">
        <f>IFERROR(__xludf.DUMMYFUNCTION("GOOGLETRANSLATE(D1685)"),"@BlueJays @Braves @Angels 不要把水倒在自己身上，請把水送到不列顛哥倫比亞省來幫助撲滅森林火災")</f>
        <v>@BlueJays @Braves @Angels 不要把水倒在自己身上，請把水送到不列顛哥倫比亞省來幫助撲滅森林火災</v>
      </c>
      <c r="G1685" s="4" t="str">
        <f>IFERROR(__xludf.DUMMYFUNCTION("GOOGLETRANSLATE(B1685)"),"森林%20火災")</f>
        <v>森林%20火災</v>
      </c>
    </row>
    <row r="1686" ht="15.75" customHeight="1">
      <c r="A1686" s="4">
        <v>5769.0</v>
      </c>
      <c r="B1686" s="4" t="s">
        <v>2649</v>
      </c>
      <c r="D1686" s="4" t="s">
        <v>2672</v>
      </c>
      <c r="E1686" s="4">
        <v>1.0</v>
      </c>
      <c r="F1686" s="4" t="str">
        <f>IFERROR(__xludf.DUMMYFUNCTION("GOOGLETRANSLATE(D1686)"),"#HeartDisease 美國林業局表示，超過一半的預算都花在了火災上 http://t.co/KzfiGkEeva")</f>
        <v>#HeartDisease 美國林業局表示，超過一半的預算都花在了火災上 http://t.co/KzfiGkEeva</v>
      </c>
      <c r="G1686" s="4" t="str">
        <f>IFERROR(__xludf.DUMMYFUNCTION("GOOGLETRANSLATE(B1686)"),"森林%20火災")</f>
        <v>森林%20火災</v>
      </c>
    </row>
    <row r="1687" ht="15.75" customHeight="1">
      <c r="A1687" s="4">
        <v>5772.0</v>
      </c>
      <c r="B1687" s="4" t="s">
        <v>2649</v>
      </c>
      <c r="D1687" s="4" t="s">
        <v>2673</v>
      </c>
      <c r="E1687" s="4">
        <v>1.0</v>
      </c>
      <c r="F1687" s="4" t="str">
        <f>IFERROR(__xludf.DUMMYFUNCTION("GOOGLETRANSLATE(D1687)"),"氣候後果：美國林業局表示，超過一半的預算用於火災 http://t.co/k0QtL8aODH http://t.co/zQBXe7x9Y7")</f>
        <v>氣候後果：美國林業局表示，超過一半的預算用於火災 http://t.co/k0QtL8aODH http://t.co/zQBXe7x9Y7</v>
      </c>
      <c r="G1687" s="4" t="str">
        <f>IFERROR(__xludf.DUMMYFUNCTION("GOOGLETRANSLATE(B1687)"),"森林%20火災")</f>
        <v>森林%20火災</v>
      </c>
    </row>
    <row r="1688" ht="15.75" customHeight="1">
      <c r="A1688" s="4">
        <v>5775.0</v>
      </c>
      <c r="B1688" s="4" t="s">
        <v>2649</v>
      </c>
      <c r="D1688" s="4" t="s">
        <v>2674</v>
      </c>
      <c r="E1688" s="4">
        <v>1.0</v>
      </c>
      <c r="F1688" s="4" t="str">
        <f>IFERROR(__xludf.DUMMYFUNCTION("GOOGLETRANSLATE(D1688)"),"美國林務局表示，超過一半的預算用於火災 http://t.co/1hLVrKwgIP")</f>
        <v>美國林務局表示，超過一半的預算用於火災 http://t.co/1hLVrKwgIP</v>
      </c>
      <c r="G1688" s="4" t="str">
        <f>IFERROR(__xludf.DUMMYFUNCTION("GOOGLETRANSLATE(B1688)"),"森林%20火災")</f>
        <v>森林%20火災</v>
      </c>
    </row>
    <row r="1689" ht="15.75" customHeight="1">
      <c r="A1689" s="4">
        <v>5776.0</v>
      </c>
      <c r="B1689" s="4" t="s">
        <v>2649</v>
      </c>
      <c r="C1689" s="4" t="s">
        <v>2675</v>
      </c>
      <c r="D1689" s="4" t="s">
        <v>2676</v>
      </c>
      <c r="E1689" s="4">
        <v>1.0</v>
      </c>
      <c r="F1689" s="4" t="str">
        <f>IFERROR(__xludf.DUMMYFUNCTION("GOOGLETRANSLATE(D1689)"),"北加州野火造成的財產損失幾乎翻倍 http://t.co/oTfW5SEkD7 來自 @YahooNews")</f>
        <v>北加州野火造成的財產損失幾乎翻倍 http://t.co/oTfW5SEkD7 來自 @YahooNews</v>
      </c>
      <c r="G1689" s="4" t="str">
        <f>IFERROR(__xludf.DUMMYFUNCTION("GOOGLETRANSLATE(B1689)"),"森林%20火災")</f>
        <v>森林%20火災</v>
      </c>
    </row>
    <row r="1690" ht="15.75" customHeight="1">
      <c r="A1690" s="4">
        <v>5777.0</v>
      </c>
      <c r="B1690" s="4" t="s">
        <v>2649</v>
      </c>
      <c r="C1690" s="4" t="s">
        <v>2141</v>
      </c>
      <c r="D1690" s="4" t="s">
        <v>2677</v>
      </c>
      <c r="E1690" s="4">
        <v>1.0</v>
      </c>
      <c r="F1690" s="4" t="str">
        <f>IFERROR(__xludf.DUMMYFUNCTION("GOOGLETRANSLATE(D1690)"),"Inciweb 或更新：Rogue River-Siskiyou 國家森林火災 8/5/15 12:00 PM（Rogue River-Siskiyou NF AreaÛ_ http://t.co/LkwxU8QV7n")</f>
        <v>Inciweb 或更新：Rogue River-Siskiyou 國家森林火災 8/5/15 12:00 PM（Rogue River-Siskiyou NF AreaÛ_ http://t.co/LkwxU8QV7n</v>
      </c>
      <c r="G1690" s="4" t="str">
        <f>IFERROR(__xludf.DUMMYFUNCTION("GOOGLETRANSLATE(B1690)"),"森林%20火災")</f>
        <v>森林%20火災</v>
      </c>
    </row>
    <row r="1691" ht="15.75" customHeight="1">
      <c r="A1691" s="4">
        <v>5778.0</v>
      </c>
      <c r="B1691" s="4" t="s">
        <v>2649</v>
      </c>
      <c r="C1691" s="4" t="s">
        <v>2678</v>
      </c>
      <c r="D1691" s="4" t="s">
        <v>2679</v>
      </c>
      <c r="E1691" s="4">
        <v>1.0</v>
      </c>
      <c r="F1691" s="4" t="str">
        <f>IFERROR(__xludf.DUMMYFUNCTION("GOOGLETRANSLATE(D1691)"),"森林火災可能會延遲@AbbyAirshow，但官員表示這可能是一件好事http://t.co/Vxjcx8uKMd")</f>
        <v>森林火災可能會延遲@AbbyAirshow，但官員表示這可能是一件好事http://t.co/Vxjcx8uKMd</v>
      </c>
      <c r="G1691" s="4" t="str">
        <f>IFERROR(__xludf.DUMMYFUNCTION("GOOGLETRANSLATE(B1691)"),"森林%20火災")</f>
        <v>森林%20火災</v>
      </c>
    </row>
    <row r="1692" ht="15.75" customHeight="1">
      <c r="A1692" s="4">
        <v>5780.0</v>
      </c>
      <c r="B1692" s="4" t="s">
        <v>2649</v>
      </c>
      <c r="C1692" s="4" t="s">
        <v>2680</v>
      </c>
      <c r="D1692" s="4" t="s">
        <v>2681</v>
      </c>
      <c r="E1692" s="4">
        <v>1.0</v>
      </c>
      <c r="F1692" s="4" t="str">
        <f>IFERROR(__xludf.DUMMYFUNCTION("GOOGLETRANSLATE(D1692)"),"美國林業局表示，超過一半的預算都花在了火災上：作者：Ian SimpsonÛ_ http://t.co/UyYYrKd6q3")</f>
        <v>美國林業局表示，超過一半的預算都花在了火災上：作者：Ian SimpsonÛ_ http://t.co/UyYYrKd6q3</v>
      </c>
      <c r="G1692" s="4" t="str">
        <f>IFERROR(__xludf.DUMMYFUNCTION("GOOGLETRANSLATE(B1692)"),"森林%20火災")</f>
        <v>森林%20火災</v>
      </c>
    </row>
    <row r="1693" ht="15.75" customHeight="1">
      <c r="A1693" s="4">
        <v>5781.0</v>
      </c>
      <c r="B1693" s="4" t="s">
        <v>2649</v>
      </c>
      <c r="D1693" s="4" t="s">
        <v>2682</v>
      </c>
      <c r="E1693" s="4">
        <v>1.0</v>
      </c>
      <c r="F1693" s="4" t="str">
        <f>IFERROR(__xludf.DUMMYFUNCTION("GOOGLETRANSLATE(D1693)"),"露營地推薦
廁所/淋浴間
酒館
火災
沒有小孩
披薩店
森林
漂亮的溪流
沒有蠓
沒有蛇
謝謝 ？？")</f>
        <v>露營地推薦
廁所/淋浴間
酒館
火災
沒有小孩
披薩店
森林
漂亮的溪流
沒有蠓
沒有蛇
謝謝 ？？</v>
      </c>
      <c r="G1693" s="4" t="str">
        <f>IFERROR(__xludf.DUMMYFUNCTION("GOOGLETRANSLATE(B1693)"),"森林%20火災")</f>
        <v>森林%20火災</v>
      </c>
    </row>
    <row r="1694" ht="15.75" customHeight="1">
      <c r="A1694" s="4">
        <v>5783.0</v>
      </c>
      <c r="B1694" s="4" t="s">
        <v>2649</v>
      </c>
      <c r="D1694" s="4" t="s">
        <v>2683</v>
      </c>
      <c r="E1694" s="4">
        <v>1.0</v>
      </c>
      <c r="F1694" s="4" t="str">
        <f>IFERROR(__xludf.DUMMYFUNCTION("GOOGLETRANSLATE(D1694)"),"當你的朋友和你談論森林裡的森林火災時，他告訴你把混合磁帶扔到那裡...#straightfire")</f>
        <v>當你的朋友和你談論森林裡的森林火災時，他告訴你把混合磁帶扔到那裡...#straightfire</v>
      </c>
      <c r="G1694" s="4" t="str">
        <f>IFERROR(__xludf.DUMMYFUNCTION("GOOGLETRANSLATE(B1694)"),"森林%20火災")</f>
        <v>森林%20火災</v>
      </c>
    </row>
    <row r="1695" ht="15.75" customHeight="1">
      <c r="A1695" s="4">
        <v>5784.0</v>
      </c>
      <c r="B1695" s="4" t="s">
        <v>2649</v>
      </c>
      <c r="C1695" s="4" t="s">
        <v>790</v>
      </c>
      <c r="D1695" s="4" t="s">
        <v>2684</v>
      </c>
      <c r="E1695" s="4">
        <v>1.0</v>
      </c>
      <c r="F1695" s="4" t="str">
        <f>IFERROR(__xludf.DUMMYFUNCTION("GOOGLETRANSLATE(D1695)"),"消防消耗林務局預算引發政治衝突：林務局報告指出消防成本不斷增加 http://t.co/lSWsitnkuk")</f>
        <v>消防消耗林務局預算引發政治衝突：林務局報告指出消防成本不斷增加 http://t.co/lSWsitnkuk</v>
      </c>
      <c r="G1695" s="4" t="str">
        <f>IFERROR(__xludf.DUMMYFUNCTION("GOOGLETRANSLATE(B1695)"),"森林%20火災")</f>
        <v>森林%20火災</v>
      </c>
    </row>
    <row r="1696" ht="15.75" customHeight="1">
      <c r="A1696" s="4">
        <v>5789.0</v>
      </c>
      <c r="B1696" s="4" t="s">
        <v>2685</v>
      </c>
      <c r="C1696" s="4" t="s">
        <v>2686</v>
      </c>
      <c r="D1696" s="4" t="s">
        <v>2687</v>
      </c>
      <c r="E1696" s="4">
        <v>1.0</v>
      </c>
      <c r="F1696" s="4" t="str">
        <f>IFERROR(__xludf.DUMMYFUNCTION("GOOGLETRANSLATE(D1696)"),"偉大的密西根技術營
B1G 感謝@bmurph1019
@hail_Youtsey。 @termn8r13
#GoBlue #WrestleOn http://t.co/OasKgki6Qj")</f>
        <v>偉大的密西根技術營
B1G 感謝@bmurph1019
@hail_Youtsey。 @termn8r13
#GoBlue #WrestleOn http://t.co/OasKgki6Qj</v>
      </c>
      <c r="G1696" s="4" t="str">
        <f>IFERROR(__xludf.DUMMYFUNCTION("GOOGLETRANSLATE(B1696)"),"冰雹")</f>
        <v>冰雹</v>
      </c>
    </row>
    <row r="1697" ht="15.75" customHeight="1">
      <c r="A1697" s="4">
        <v>5791.0</v>
      </c>
      <c r="B1697" s="4" t="s">
        <v>2685</v>
      </c>
      <c r="D1697" s="4" t="s">
        <v>2688</v>
      </c>
      <c r="E1697" s="4">
        <v>1.0</v>
      </c>
      <c r="F1697" s="4" t="str">
        <f>IFERROR(__xludf.DUMMYFUNCTION("GOOGLETRANSLATE(D1697)"),"All Hail Shadow（Hybrid Mix Feat. Mike Szuter）：http://t.co/9e2f7bIvlE @youtube ##youtube")</f>
        <v>All Hail Shadow（Hybrid Mix Feat. Mike Szuter）：http://t.co/9e2f7bIvlE @youtube ##youtube</v>
      </c>
      <c r="G1697" s="4" t="str">
        <f>IFERROR(__xludf.DUMMYFUNCTION("GOOGLETRANSLATE(B1697)"),"冰雹")</f>
        <v>冰雹</v>
      </c>
    </row>
    <row r="1698" ht="15.75" customHeight="1">
      <c r="A1698" s="4">
        <v>5793.0</v>
      </c>
      <c r="B1698" s="4" t="s">
        <v>2685</v>
      </c>
      <c r="C1698" s="4" t="s">
        <v>627</v>
      </c>
      <c r="D1698" s="4" t="s">
        <v>2689</v>
      </c>
      <c r="E1698" s="4">
        <v>1.0</v>
      </c>
      <c r="F1698" s="4" t="str">
        <f>IFERROR(__xludf.DUMMYFUNCTION("GOOGLETRANSLATE(D1698)"),"LZK 向 Sharp [AR] 發布嚴重雷暴警告 [風速：60 MPH 冰雹：0.75 IN]，直至 CDT 晚上 8:15 http://t.co/AUXSMdG1uN #WX")</f>
        <v>LZK 向 Sharp [AR] 發布嚴重雷暴警告 [風速：60 MPH 冰雹：0.75 IN]，直至 CDT 晚上 8:15 http://t.co/AUXSMdG1uN #WX</v>
      </c>
      <c r="G1698" s="4" t="str">
        <f>IFERROR(__xludf.DUMMYFUNCTION("GOOGLETRANSLATE(B1698)"),"冰雹")</f>
        <v>冰雹</v>
      </c>
    </row>
    <row r="1699" ht="15.75" customHeight="1">
      <c r="A1699" s="4">
        <v>5795.0</v>
      </c>
      <c r="B1699" s="4" t="s">
        <v>2685</v>
      </c>
      <c r="C1699" s="4" t="s">
        <v>2690</v>
      </c>
      <c r="D1699" s="4" t="s">
        <v>2691</v>
      </c>
      <c r="E1699" s="4">
        <v>1.0</v>
      </c>
      <c r="F1699" s="4" t="str">
        <f>IFERROR(__xludf.DUMMYFUNCTION("GOOGLETRANSLATE(D1699)"),"傑普頓以北 4 英里處的強烈雷暴以 25 英里/小時的速度向東南移動。時速高達 50 英里的大冰雹和陣風可能... #arwx http://t.co/TIM8x9bI0f")</f>
        <v>傑普頓以北 4 英里處的強烈雷暴以 25 英里/小時的速度向東南移動。時速高達 50 英里的大冰雹和陣風可能... #arwx http://t.co/TIM8x9bI0f</v>
      </c>
      <c r="G1699" s="4" t="str">
        <f>IFERROR(__xludf.DUMMYFUNCTION("GOOGLETRANSLATE(B1699)"),"冰雹")</f>
        <v>冰雹</v>
      </c>
    </row>
    <row r="1700" ht="15.75" customHeight="1">
      <c r="A1700" s="4">
        <v>5797.0</v>
      </c>
      <c r="B1700" s="4" t="s">
        <v>2685</v>
      </c>
      <c r="C1700" s="4" t="s">
        <v>627</v>
      </c>
      <c r="D1700" s="4" t="s">
        <v>2692</v>
      </c>
      <c r="E1700" s="4">
        <v>1.0</v>
      </c>
      <c r="F1700" s="4" t="str">
        <f>IFERROR(__xludf.DUMMYFUNCTION("GOOGLETRANSLATE(D1700)"),"RNK 向羅金厄姆斯托克斯 [北卡羅來納州] 發布嚴重雷暴警報 [風速：60 英里/小時、冰雹：1.00 英寸]，截止時間為美國東部時間 8 月 5 日晚上 10:00 Û_")</f>
        <v>RNK 向羅金厄姆斯托克斯 [北卡羅來納州] 發布嚴重雷暴警報 [風速：60 英里/小時、冰雹：1.00 英寸]，截止時間為美國東部時間 8 月 5 日晚上 10:00 Û_</v>
      </c>
      <c r="G1700" s="4" t="str">
        <f>IFERROR(__xludf.DUMMYFUNCTION("GOOGLETRANSLATE(B1700)"),"冰雹")</f>
        <v>冰雹</v>
      </c>
    </row>
    <row r="1701" ht="15.75" customHeight="1">
      <c r="A1701" s="4">
        <v>5800.0</v>
      </c>
      <c r="B1701" s="4" t="s">
        <v>2685</v>
      </c>
      <c r="C1701" s="4" t="s">
        <v>2693</v>
      </c>
      <c r="D1701" s="4" t="s">
        <v>2694</v>
      </c>
      <c r="E1701" s="4">
        <v>1.0</v>
      </c>
      <c r="F1701" s="4" t="str">
        <f>IFERROR(__xludf.DUMMYFUNCTION("GOOGLETRANSLATE(D1701)"),"提示風暴伴隨著強風和冰雹！現在戴維森縣停電@WXII。")</f>
        <v>提示風暴伴隨著強風和冰雹！現在戴維森縣停電@WXII。</v>
      </c>
      <c r="G1701" s="4" t="str">
        <f>IFERROR(__xludf.DUMMYFUNCTION("GOOGLETRANSLATE(B1701)"),"冰雹")</f>
        <v>冰雹</v>
      </c>
    </row>
    <row r="1702" ht="15.75" customHeight="1">
      <c r="A1702" s="4">
        <v>5803.0</v>
      </c>
      <c r="B1702" s="4" t="s">
        <v>2685</v>
      </c>
      <c r="C1702" s="4" t="s">
        <v>38</v>
      </c>
      <c r="D1702" s="4" t="s">
        <v>2695</v>
      </c>
      <c r="E1702" s="4">
        <v>1.0</v>
      </c>
      <c r="F1702" s="4" t="str">
        <f>IFERROR(__xludf.DUMMYFUNCTION("GOOGLETRANSLATE(D1702)"),"傑普頓以北 4 英里處的強烈雷暴以 25 英里/小時的速度向東南移動。時速高達 50 英里的大冰雹和陣風可能... #arwx http://t.co/blppzAIbOE")</f>
        <v>傑普頓以北 4 英里處的強烈雷暴以 25 英里/小時的速度向東南移動。時速高達 50 英里的大冰雹和陣風可能... #arwx http://t.co/blppzAIbOE</v>
      </c>
      <c r="G1702" s="4" t="str">
        <f>IFERROR(__xludf.DUMMYFUNCTION("GOOGLETRANSLATE(B1702)"),"冰雹")</f>
        <v>冰雹</v>
      </c>
    </row>
    <row r="1703" ht="15.75" customHeight="1">
      <c r="A1703" s="4">
        <v>5812.0</v>
      </c>
      <c r="B1703" s="4" t="s">
        <v>2685</v>
      </c>
      <c r="D1703" s="4" t="s">
        <v>2696</v>
      </c>
      <c r="E1703" s="4">
        <v>1.0</v>
      </c>
      <c r="F1703" s="4" t="str">
        <f>IFERROR(__xludf.DUMMYFUNCTION("GOOGLETRANSLATE(D1703)"),"@modnao23 冰雹正在毀掉一切。加上我的車還沒拿到。又發生了致命的偏頭痛，我失去了眼鏡。 ??")</f>
        <v>@modnao23 冰雹正在毀掉一切。加上我的車還沒拿到。又發生了致命的偏頭痛，我失去了眼鏡。 ??</v>
      </c>
      <c r="G1703" s="4" t="str">
        <f>IFERROR(__xludf.DUMMYFUNCTION("GOOGLETRANSLATE(B1703)"),"冰雹")</f>
        <v>冰雹</v>
      </c>
    </row>
    <row r="1704" ht="15.75" customHeight="1">
      <c r="A1704" s="4">
        <v>5815.0</v>
      </c>
      <c r="B1704" s="4" t="s">
        <v>2685</v>
      </c>
      <c r="C1704" s="4" t="s">
        <v>2697</v>
      </c>
      <c r="D1704" s="4" t="s">
        <v>2698</v>
      </c>
      <c r="E1704" s="4">
        <v>1.0</v>
      </c>
      <c r="F1704" s="4" t="str">
        <f>IFERROR(__xludf.DUMMYFUNCTION("GOOGLETRANSLATE(D1704)"),"中央山 1 英尺冰雹、時速 60 英里/小時的新警報。不會影響斯特吉斯，但可能會影響今晚晚些時候。 #KOTAWeather http://t.co/1EPIYeNQYL")</f>
        <v>中央山 1 英尺冰雹、時速 60 英里/小時的新警報。不會影響斯特吉斯，但可能會影響今晚晚些時候。 #KOTAWeather http://t.co/1EPIYeNQYL</v>
      </c>
      <c r="G1704" s="4" t="str">
        <f>IFERROR(__xludf.DUMMYFUNCTION("GOOGLETRANSLATE(B1704)"),"冰雹")</f>
        <v>冰雹</v>
      </c>
    </row>
    <row r="1705" ht="15.75" customHeight="1">
      <c r="A1705" s="4">
        <v>5818.0</v>
      </c>
      <c r="B1705" s="4" t="s">
        <v>2685</v>
      </c>
      <c r="D1705" s="4" t="s">
        <v>2699</v>
      </c>
      <c r="E1705" s="4">
        <v>1.0</v>
      </c>
      <c r="F1705" s="4" t="str">
        <f>IFERROR(__xludf.DUMMYFUNCTION("GOOGLETRANSLATE(D1705)"),"卡加利西南部 Oakridge 頭頂有大雨和閃電 - 至少會融化冰雹...#yycstorm #ABStorm")</f>
        <v>卡加利西南部 Oakridge 頭頂有大雨和閃電 - 至少會融化冰雹...#yycstorm #ABStorm</v>
      </c>
      <c r="G1705" s="4" t="str">
        <f>IFERROR(__xludf.DUMMYFUNCTION("GOOGLETRANSLATE(B1705)"),"冰雹")</f>
        <v>冰雹</v>
      </c>
    </row>
    <row r="1706" ht="15.75" customHeight="1">
      <c r="A1706" s="4">
        <v>5819.0</v>
      </c>
      <c r="B1706" s="4" t="s">
        <v>2685</v>
      </c>
      <c r="C1706" s="4" t="s">
        <v>2023</v>
      </c>
      <c r="D1706" s="4" t="s">
        <v>2700</v>
      </c>
      <c r="E1706" s="4">
        <v>1.0</v>
      </c>
      <c r="F1706" s="4" t="str">
        <f>IFERROR(__xludf.DUMMYFUNCTION("GOOGLETRANSLATE(D1706)"),"@HeyItsEpark 大雨與冰雹")</f>
        <v>@HeyItsEpark 大雨與冰雹</v>
      </c>
      <c r="G1706" s="4" t="str">
        <f>IFERROR(__xludf.DUMMYFUNCTION("GOOGLETRANSLATE(B1706)"),"冰雹")</f>
        <v>冰雹</v>
      </c>
    </row>
    <row r="1707" ht="15.75" customHeight="1">
      <c r="A1707" s="4">
        <v>5821.0</v>
      </c>
      <c r="B1707" s="4" t="s">
        <v>2685</v>
      </c>
      <c r="C1707" s="4" t="s">
        <v>2031</v>
      </c>
      <c r="D1707" s="4" t="s">
        <v>2701</v>
      </c>
      <c r="E1707" s="4">
        <v>1.0</v>
      </c>
      <c r="F1707" s="4" t="str">
        <f>IFERROR(__xludf.DUMMYFUNCTION("GOOGLETRANSLATE(D1707)"),"@weathernetwork 冰雹來了！")</f>
        <v>@weathernetwork 冰雹來了！</v>
      </c>
      <c r="G1707" s="4" t="str">
        <f>IFERROR(__xludf.DUMMYFUNCTION("GOOGLETRANSLATE(B1707)"),"冰雹")</f>
        <v>冰雹</v>
      </c>
    </row>
    <row r="1708" ht="15.75" customHeight="1">
      <c r="A1708" s="4">
        <v>5824.0</v>
      </c>
      <c r="B1708" s="4" t="s">
        <v>2685</v>
      </c>
      <c r="C1708" s="4" t="s">
        <v>2001</v>
      </c>
      <c r="D1708" s="4" t="s">
        <v>2702</v>
      </c>
      <c r="E1708" s="4">
        <v>1.0</v>
      </c>
      <c r="F1708" s="4" t="str">
        <f>IFERROR(__xludf.DUMMYFUNCTION("GOOGLETRANSLATE(D1708)"),"麻薩諸塞州中部果樹在風雹後倖免於重創 http://t.co/VbFfodtP6M")</f>
        <v>麻薩諸塞州中部果樹在風雹後倖免於重創 http://t.co/VbFfodtP6M</v>
      </c>
      <c r="G1708" s="4" t="str">
        <f>IFERROR(__xludf.DUMMYFUNCTION("GOOGLETRANSLATE(B1708)"),"冰雹")</f>
        <v>冰雹</v>
      </c>
    </row>
    <row r="1709" ht="15.75" customHeight="1">
      <c r="A1709" s="4">
        <v>5825.0</v>
      </c>
      <c r="B1709" s="4" t="s">
        <v>2685</v>
      </c>
      <c r="D1709" s="4" t="s">
        <v>2703</v>
      </c>
      <c r="E1709" s="4">
        <v>1.0</v>
      </c>
      <c r="F1709" s="4" t="str">
        <f>IFERROR(__xludf.DUMMYFUNCTION("GOOGLETRANSLATE(D1709)"),"中央山 1 英尺冰雹、時速 60 英里/小時的新警報。不會影響斯特吉斯，但可能會影響今晚晚些時候。 #KOTAWeather http://t.co/qo3VWFelkp")</f>
        <v>中央山 1 英尺冰雹、時速 60 英里/小時的新警報。不會影響斯特吉斯，但可能會影響今晚晚些時候。 #KOTAWeather http://t.co/qo3VWFelkp</v>
      </c>
      <c r="G1709" s="4" t="str">
        <f>IFERROR(__xludf.DUMMYFUNCTION("GOOGLETRANSLATE(B1709)"),"冰雹")</f>
        <v>冰雹</v>
      </c>
    </row>
    <row r="1710" ht="15.75" customHeight="1">
      <c r="A1710" s="4">
        <v>5826.0</v>
      </c>
      <c r="B1710" s="4" t="s">
        <v>2685</v>
      </c>
      <c r="C1710" s="4" t="s">
        <v>627</v>
      </c>
      <c r="D1710" s="4" t="s">
        <v>2704</v>
      </c>
      <c r="E1710" s="4">
        <v>1.0</v>
      </c>
      <c r="F1710" s="4" t="str">
        <f>IFERROR(__xludf.DUMMYFUNCTION("GOOGLETRANSLATE(D1710)"),"UNR 繼續對韋斯頓 [懷俄明州] 和卡斯特福爾河彭寧頓 [南達科他州] 發出嚴重雷暴警告 [風速：60 英里/小時冰雹：&lt;.75 英寸]，直至 7:15 PÛ_")</f>
        <v>UNR 繼續對韋斯頓 [懷俄明州] 和卡斯特福爾河彭寧頓 [南達科他州] 發出嚴重雷暴警告 [風速：60 英里/小時冰雹：&lt;.75 英寸]，直至 7:15 PÛ_</v>
      </c>
      <c r="G1710" s="4" t="str">
        <f>IFERROR(__xludf.DUMMYFUNCTION("GOOGLETRANSLATE(B1710)"),"冰雹")</f>
        <v>冰雹</v>
      </c>
    </row>
    <row r="1711" ht="15.75" customHeight="1">
      <c r="A1711" s="4">
        <v>5829.0</v>
      </c>
      <c r="B1711" s="4" t="s">
        <v>2685</v>
      </c>
      <c r="C1711" s="4" t="s">
        <v>334</v>
      </c>
      <c r="D1711" s="4" t="s">
        <v>2705</v>
      </c>
      <c r="E1711" s="4">
        <v>1.0</v>
      </c>
      <c r="F1711" s="4" t="str">
        <f>IFERROR(__xludf.DUMMYFUNCTION("GOOGLETRANSLATE(D1711)"),"卡加利在暴風雨第二天遭遇冰雹襲擊 https://t.co/2BE7BwcMpl")</f>
        <v>卡加利在暴風雨第二天遭遇冰雹襲擊 https://t.co/2BE7BwcMpl</v>
      </c>
      <c r="G1711" s="4" t="str">
        <f>IFERROR(__xludf.DUMMYFUNCTION("GOOGLETRANSLATE(B1711)"),"冰雹")</f>
        <v>冰雹</v>
      </c>
    </row>
    <row r="1712" ht="15.75" customHeight="1">
      <c r="A1712" s="4">
        <v>5833.0</v>
      </c>
      <c r="B1712" s="4" t="s">
        <v>2685</v>
      </c>
      <c r="C1712" s="4" t="s">
        <v>718</v>
      </c>
      <c r="D1712" s="4" t="s">
        <v>2706</v>
      </c>
      <c r="E1712" s="4">
        <v>1.0</v>
      </c>
      <c r="F1712" s="4" t="str">
        <f>IFERROR(__xludf.DUMMYFUNCTION("GOOGLETRANSLATE(D1712)"),"高解析度多普勒顯示，埃德蒙東北部的風暴現在很嚴重，可能有 1.25 英尺的冰雹和 60 英里/小時的風速。 #okwx http://t.co/lrx0sDsNHM")</f>
        <v>高解析度多普勒顯示，埃德蒙東北部的風暴現在很嚴重，可能有 1.25 英尺的冰雹和 60 英里/小時的風速。 #okwx http://t.co/lrx0sDsNHM</v>
      </c>
      <c r="G1712" s="4" t="str">
        <f>IFERROR(__xludf.DUMMYFUNCTION("GOOGLETRANSLATE(B1712)"),"冰雹")</f>
        <v>冰雹</v>
      </c>
    </row>
    <row r="1713" ht="15.75" customHeight="1">
      <c r="A1713" s="4">
        <v>5834.0</v>
      </c>
      <c r="B1713" s="4" t="s">
        <v>2685</v>
      </c>
      <c r="C1713" s="4" t="s">
        <v>627</v>
      </c>
      <c r="D1713" s="4" t="s">
        <v>2707</v>
      </c>
      <c r="E1713" s="4">
        <v>1.0</v>
      </c>
      <c r="F1713" s="4" t="str">
        <f>IFERROR(__xludf.DUMMYFUNCTION("GOOGLETRANSLATE(D1713)"),"UNR 向 Weston [WY] 和 Custer Fall River Lawrence Meade Pennington [SÛ_] 發布嚴重雷暴警報 [風速：60 MPH 冰雹：0.75 IN]")</f>
        <v>UNR 向 Weston [WY] 和 Custer Fall River Lawrence Meade Pennington [SÛ_] 發布嚴重雷暴警報 [風速：60 MPH 冰雹：0.75 IN]</v>
      </c>
      <c r="G1713" s="4" t="str">
        <f>IFERROR(__xludf.DUMMYFUNCTION("GOOGLETRANSLATE(B1713)"),"冰雹")</f>
        <v>冰雹</v>
      </c>
    </row>
    <row r="1714" ht="15.75" customHeight="1">
      <c r="A1714" s="4">
        <v>5835.0</v>
      </c>
      <c r="B1714" s="4" t="s">
        <v>2708</v>
      </c>
      <c r="C1714" s="4" t="s">
        <v>2023</v>
      </c>
      <c r="D1714" s="4" t="s">
        <v>2709</v>
      </c>
      <c r="E1714" s="4">
        <v>1.0</v>
      </c>
      <c r="F1714" s="4" t="str">
        <f>IFERROR(__xludf.DUMMYFUNCTION("GOOGLETRANSLATE(D1714)"),"戶外海報就這麼多了@calgaryfringe #mothernature #hailstorm #rain #yycfringe #KILLHARD")</f>
        <v>戶外海報就這麼多了@calgaryfringe #mothernature #hailstorm #rain #yycfringe #KILLHARD</v>
      </c>
      <c r="G1714" s="4" t="str">
        <f>IFERROR(__xludf.DUMMYFUNCTION("GOOGLETRANSLATE(B1714)"),"冰雹")</f>
        <v>冰雹</v>
      </c>
    </row>
    <row r="1715" ht="15.75" customHeight="1">
      <c r="A1715" s="4">
        <v>5840.0</v>
      </c>
      <c r="B1715" s="4" t="s">
        <v>2708</v>
      </c>
      <c r="C1715" s="4" t="s">
        <v>2710</v>
      </c>
      <c r="D1715" s="4" t="s">
        <v>2711</v>
      </c>
      <c r="E1715" s="4">
        <v>1.0</v>
      </c>
      <c r="F1715" s="4" t="str">
        <f>IFERROR(__xludf.DUMMYFUNCTION("GOOGLETRANSLATE(D1715)"),"怪胎#波士頓#hailstorm 為汽車車身維修專家帶來了一場生意冰雹。 @PeterHoweNECN 今晚 6:30/8:30 @necn")</f>
        <v>怪胎#波士頓#hailstorm 為汽車車身維修專家帶來了一場生意冰雹。 @PeterHoweNECN 今晚 6:30/8:30 @necn</v>
      </c>
      <c r="G1715" s="4" t="str">
        <f>IFERROR(__xludf.DUMMYFUNCTION("GOOGLETRANSLATE(B1715)"),"冰雹")</f>
        <v>冰雹</v>
      </c>
    </row>
    <row r="1716" ht="15.75" customHeight="1">
      <c r="A1716" s="4">
        <v>5841.0</v>
      </c>
      <c r="B1716" s="4" t="s">
        <v>2708</v>
      </c>
      <c r="C1716" s="4" t="s">
        <v>2712</v>
      </c>
      <c r="D1716" s="4" t="s">
        <v>2713</v>
      </c>
      <c r="E1716" s="4">
        <v>1.0</v>
      </c>
      <c r="F1716" s="4" t="str">
        <f>IFERROR(__xludf.DUMMYFUNCTION("GOOGLETRANSLATE(D1716)"),"天哪，尼克森還活著！照片中的那個人就是理查德·M·尼克森·特里奇·迪基，不是嗎？他躲在卡加利... http://t.co/MIUsvPxQTE")</f>
        <v>天哪，尼克森還活著！照片中的那個人就是理查德·M·尼克森·特里奇·迪基，不是嗎？他躲在卡加利... http://t.co/MIUsvPxQTE</v>
      </c>
      <c r="G1716" s="4" t="str">
        <f>IFERROR(__xludf.DUMMYFUNCTION("GOOGLETRANSLATE(B1716)"),"冰雹")</f>
        <v>冰雹</v>
      </c>
    </row>
    <row r="1717" ht="15.75" customHeight="1">
      <c r="A1717" s="4">
        <v>5845.0</v>
      </c>
      <c r="B1717" s="4" t="s">
        <v>2708</v>
      </c>
      <c r="C1717" s="4" t="s">
        <v>2714</v>
      </c>
      <c r="D1717" s="4" t="s">
        <v>2715</v>
      </c>
      <c r="E1717" s="4">
        <v>1.0</v>
      </c>
      <c r="F1717" s="4" t="str">
        <f>IFERROR(__xludf.DUMMYFUNCTION("GOOGLETRANSLATE(D1717)"),"@AdriaSimon_：冰雹第 2 天......#round2 #yyc #yycstorm http://t.co/FqQI8GVLQ4")</f>
        <v>@AdriaSimon_：冰雹第 2 天......#round2 #yyc #yycstorm http://t.co/FqQI8GVLQ4</v>
      </c>
      <c r="G1717" s="4" t="str">
        <f>IFERROR(__xludf.DUMMYFUNCTION("GOOGLETRANSLATE(B1717)"),"冰雹")</f>
        <v>冰雹</v>
      </c>
    </row>
    <row r="1718" ht="15.75" customHeight="1">
      <c r="A1718" s="4">
        <v>5847.0</v>
      </c>
      <c r="B1718" s="4" t="s">
        <v>2708</v>
      </c>
      <c r="D1718" s="4" t="s">
        <v>2716</v>
      </c>
      <c r="E1718" s="4">
        <v>1.0</v>
      </c>
      <c r="F1718" s="4" t="str">
        <f>IFERROR(__xludf.DUMMYFUNCTION("GOOGLETRANSLATE(D1718)"),"~ 卡加利及週邊地區天氣更惡劣 http://t.co/SxwJyR3K3l http://t.co/aEWGlVqReH")</f>
        <v>~ 卡加利及週邊地區天氣更惡劣 http://t.co/SxwJyR3K3l http://t.co/aEWGlVqReH</v>
      </c>
      <c r="G1718" s="4" t="str">
        <f>IFERROR(__xludf.DUMMYFUNCTION("GOOGLETRANSLATE(B1718)"),"冰雹")</f>
        <v>冰雹</v>
      </c>
    </row>
    <row r="1719" ht="15.75" customHeight="1">
      <c r="A1719" s="4">
        <v>5848.0</v>
      </c>
      <c r="B1719" s="4" t="s">
        <v>2708</v>
      </c>
      <c r="C1719" s="4" t="s">
        <v>2031</v>
      </c>
      <c r="D1719" s="4" t="s">
        <v>2717</v>
      </c>
      <c r="E1719" s="4">
        <v>1.0</v>
      </c>
      <c r="F1719" s="4" t="str">
        <f>IFERROR(__xludf.DUMMYFUNCTION("GOOGLETRANSLATE(D1719)"),"一定喜歡#卡加利的#夏天。 #yyc #hailstorm #crazyweather http://t.co/xQbWnLBBIu")</f>
        <v>一定喜歡#卡加利的#夏天。 #yyc #hailstorm #crazyweather http://t.co/xQbWnLBBIu</v>
      </c>
      <c r="G1719" s="4" t="str">
        <f>IFERROR(__xludf.DUMMYFUNCTION("GOOGLETRANSLATE(B1719)"),"冰雹")</f>
        <v>冰雹</v>
      </c>
    </row>
    <row r="1720" ht="15.75" customHeight="1">
      <c r="A1720" s="4">
        <v>5849.0</v>
      </c>
      <c r="B1720" s="4" t="s">
        <v>2708</v>
      </c>
      <c r="C1720" s="4" t="s">
        <v>2718</v>
      </c>
      <c r="D1720" s="4" t="s">
        <v>2719</v>
      </c>
      <c r="E1720" s="4">
        <v>1.0</v>
      </c>
      <c r="F1720" s="4" t="str">
        <f>IFERROR(__xludf.DUMMYFUNCTION("GOOGLETRANSLATE(D1720)"),"惡劣天氣和罕見的冰雹襲擊波士頓 - http://t.co/jkYM9EdOfc")</f>
        <v>惡劣天氣和罕見的冰雹襲擊波士頓 - http://t.co/jkYM9EdOfc</v>
      </c>
      <c r="G1720" s="4" t="str">
        <f>IFERROR(__xludf.DUMMYFUNCTION("GOOGLETRANSLATE(B1720)"),"冰雹")</f>
        <v>冰雹</v>
      </c>
    </row>
    <row r="1721" ht="15.75" customHeight="1">
      <c r="A1721" s="4">
        <v>5850.0</v>
      </c>
      <c r="B1721" s="4" t="s">
        <v>2708</v>
      </c>
      <c r="C1721" s="4" t="s">
        <v>2720</v>
      </c>
      <c r="D1721" s="4" t="s">
        <v>2721</v>
      </c>
      <c r="E1721" s="4">
        <v>1.0</v>
      </c>
      <c r="F1721" s="4" t="str">
        <f>IFERROR(__xludf.DUMMYFUNCTION("GOOGLETRANSLATE(D1721)"),"我們免費冰雹馬克西 http://t.co/ERWs6IELdG")</f>
        <v>我們免費冰雹馬克西 http://t.co/ERWs6IELdG</v>
      </c>
      <c r="G1721" s="4" t="str">
        <f>IFERROR(__xludf.DUMMYFUNCTION("GOOGLETRANSLATE(B1721)"),"冰雹")</f>
        <v>冰雹</v>
      </c>
    </row>
    <row r="1722" ht="15.75" customHeight="1">
      <c r="A1722" s="4">
        <v>5854.0</v>
      </c>
      <c r="B1722" s="4" t="s">
        <v>2708</v>
      </c>
      <c r="C1722" s="4" t="s">
        <v>2306</v>
      </c>
      <c r="D1722" s="4" t="s">
        <v>2722</v>
      </c>
      <c r="E1722" s="4">
        <v>1.0</v>
      </c>
      <c r="F1722" s="4" t="str">
        <f>IFERROR(__xludf.DUMMYFUNCTION("GOOGLETRANSLATE(D1722)"),"雙風暴席捲卡加利 ~ 1 http://t.co/rzaGDnWTAH http://t.co/uqEttaGSCU")</f>
        <v>雙風暴席捲卡加利 ~ 1 http://t.co/rzaGDnWTAH http://t.co/uqEttaGSCU</v>
      </c>
      <c r="G1722" s="4" t="str">
        <f>IFERROR(__xludf.DUMMYFUNCTION("GOOGLETRANSLATE(B1722)"),"冰雹")</f>
        <v>冰雹</v>
      </c>
    </row>
    <row r="1723" ht="15.75" customHeight="1">
      <c r="A1723" s="4">
        <v>5855.0</v>
      </c>
      <c r="B1723" s="4" t="s">
        <v>2708</v>
      </c>
      <c r="C1723" s="4" t="s">
        <v>2723</v>
      </c>
      <c r="D1723" s="4" t="s">
        <v>2724</v>
      </c>
      <c r="E1723" s="4">
        <v>1.0</v>
      </c>
      <c r="F1723" s="4" t="str">
        <f>IFERROR(__xludf.DUMMYFUNCTION("GOOGLETRANSLATE(D1723)"),"夏季炎熱驅使山貓到卡加利後院~ 35 http://t.co/TmzXopVs94 http://t.co/W192Wkog1M")</f>
        <v>夏季炎熱驅使山貓到卡加利後院~ 35 http://t.co/TmzXopVs94 http://t.co/W192Wkog1M</v>
      </c>
      <c r="G1723" s="4" t="str">
        <f>IFERROR(__xludf.DUMMYFUNCTION("GOOGLETRANSLATE(B1723)"),"冰雹")</f>
        <v>冰雹</v>
      </c>
    </row>
    <row r="1724" ht="15.75" customHeight="1">
      <c r="A1724" s="4">
        <v>5856.0</v>
      </c>
      <c r="B1724" s="4" t="s">
        <v>2708</v>
      </c>
      <c r="C1724" s="4" t="s">
        <v>2714</v>
      </c>
      <c r="D1724" s="4" t="s">
        <v>2725</v>
      </c>
      <c r="E1724" s="4">
        <v>1.0</v>
      </c>
      <c r="F1724" s="4" t="str">
        <f>IFERROR(__xludf.DUMMYFUNCTION("GOOGLETRANSLATE(D1724)"),"準備好我的特寫鏡頭了...呃不！！ #notgoingoutinthat #hailstorm #alberta @HellOnWheelsAMC @HoW_fans @TalkingHell http://t.co/9gIAXD6JTY")</f>
        <v>準備好我的特寫鏡頭了...呃不！！ #notgoingoutinthat #hailstorm #alberta @HellOnWheelsAMC @HoW_fans @TalkingHell http://t.co/9gIAXD6JTY</v>
      </c>
      <c r="G1724" s="4" t="str">
        <f>IFERROR(__xludf.DUMMYFUNCTION("GOOGLETRANSLATE(B1724)"),"冰雹")</f>
        <v>冰雹</v>
      </c>
    </row>
    <row r="1725" ht="15.75" customHeight="1">
      <c r="A1725" s="4">
        <v>5858.0</v>
      </c>
      <c r="B1725" s="4" t="s">
        <v>2708</v>
      </c>
      <c r="D1725" s="4" t="s">
        <v>2726</v>
      </c>
      <c r="E1725" s="4">
        <v>1.0</v>
      </c>
      <c r="F1725" s="4" t="str">
        <f>IFERROR(__xludf.DUMMYFUNCTION("GOOGLETRANSLATE(D1725)"),"IG：http://t.co/2WBiVKzJIP '又下冰雹了！ #abstorm #yyc #hail #hailstorm #haildamage #yycweather #calgary #captureyyc #alberta #stoÛ_")</f>
        <v>IG：http://t.co/2WBiVKzJIP '又下冰雹了！ #abstorm #yyc #hail #hailstorm #haildamage #yycweather #calgary #captureyyc #alberta #stoÛ_</v>
      </c>
      <c r="G1725" s="4" t="str">
        <f>IFERROR(__xludf.DUMMYFUNCTION("GOOGLETRANSLATE(B1725)"),"冰雹")</f>
        <v>冰雹</v>
      </c>
    </row>
    <row r="1726" ht="15.75" customHeight="1">
      <c r="A1726" s="4">
        <v>5861.0</v>
      </c>
      <c r="B1726" s="4" t="s">
        <v>2708</v>
      </c>
      <c r="D1726" s="4" t="s">
        <v>2727</v>
      </c>
      <c r="E1726" s="4">
        <v>1.0</v>
      </c>
      <c r="F1726" s="4" t="str">
        <f>IFERROR(__xludf.DUMMYFUNCTION("GOOGLETRANSLATE(D1726)"),"夏季炎熱驅使山貓到卡加利後院~ 3 http://t.co/kEstuUYc4t http://t.co/PzFBb1P1mj")</f>
        <v>夏季炎熱驅使山貓到卡加利後院~ 3 http://t.co/kEstuUYc4t http://t.co/PzFBb1P1mj</v>
      </c>
      <c r="G1726" s="4" t="str">
        <f>IFERROR(__xludf.DUMMYFUNCTION("GOOGLETRANSLATE(B1726)"),"冰雹")</f>
        <v>冰雹</v>
      </c>
    </row>
    <row r="1727" ht="15.75" customHeight="1">
      <c r="A1727" s="4">
        <v>5863.0</v>
      </c>
      <c r="B1727" s="4" t="s">
        <v>2708</v>
      </c>
      <c r="C1727" s="4" t="s">
        <v>2728</v>
      </c>
      <c r="D1727" s="4" t="s">
        <v>2729</v>
      </c>
      <c r="E1727" s="4">
        <v>1.0</v>
      </c>
      <c r="F1727" s="4" t="str">
        <f>IFERROR(__xludf.DUMMYFUNCTION("GOOGLETRANSLATE(D1727)"),"可悲的是，帳篷的蒼蠅沒能在這場冰雹中倖存下來，現在我的屋頂上有淚水，帳篷裡有水。只是... http://t.co/zCt5cchOJ0")</f>
        <v>可悲的是，帳篷的蒼蠅沒能在這場冰雹中倖存下來，現在我的屋頂上有淚水，帳篷裡有水。只是... http://t.co/zCt5cchOJ0</v>
      </c>
      <c r="G1727" s="4" t="str">
        <f>IFERROR(__xludf.DUMMYFUNCTION("GOOGLETRANSLATE(B1727)"),"冰雹")</f>
        <v>冰雹</v>
      </c>
    </row>
    <row r="1728" ht="15.75" customHeight="1">
      <c r="A1728" s="4">
        <v>5864.0</v>
      </c>
      <c r="B1728" s="4" t="s">
        <v>2708</v>
      </c>
      <c r="C1728" s="4" t="s">
        <v>2730</v>
      </c>
      <c r="D1728" s="4" t="s">
        <v>2731</v>
      </c>
      <c r="E1728" s="4">
        <v>1.0</v>
      </c>
      <c r="F1728" s="4" t="str">
        <f>IFERROR(__xludf.DUMMYFUNCTION("GOOGLETRANSLATE(D1728)"),"這是昨天的波士頓，一場強烈的冰雹之後 [X-Post from /r/cityporn] [4608ÌÑ2474] (Û_ http://t.co/8E6XuhrBKh http://t.co/Qo190N8UdD")</f>
        <v>這是昨天的波士頓，一場強烈的冰雹之後 [X-Post from /r/cityporn] [4608ÌÑ2474] (Û_ http://t.co/8E6XuhrBKh http://t.co/Qo190N8UdD</v>
      </c>
      <c r="G1728" s="4" t="str">
        <f>IFERROR(__xludf.DUMMYFUNCTION("GOOGLETRANSLATE(B1728)"),"冰雹")</f>
        <v>冰雹</v>
      </c>
    </row>
    <row r="1729" ht="15.75" customHeight="1">
      <c r="A1729" s="4">
        <v>5868.0</v>
      </c>
      <c r="B1729" s="4" t="s">
        <v>2708</v>
      </c>
      <c r="C1729" s="4" t="s">
        <v>2732</v>
      </c>
      <c r="D1729" s="4" t="s">
        <v>2733</v>
      </c>
      <c r="E1729" s="4">
        <v>1.0</v>
      </c>
      <c r="F1729" s="4" t="str">
        <f>IFERROR(__xludf.DUMMYFUNCTION("GOOGLETRANSLATE(D1729)"),"加拿大：冰雹山洪襲擊卡加利，造成 2 萬名客戶斷電
http://t.co/SkY9EokgGB http://t.co/5IyZsDA6xB")</f>
        <v>加拿大：冰雹山洪襲擊卡加利，造成 2 萬名客戶斷電
http://t.co/SkY9EokgGB http://t.co/5IyZsDA6xB</v>
      </c>
      <c r="G1729" s="4" t="str">
        <f>IFERROR(__xludf.DUMMYFUNCTION("GOOGLETRANSLATE(B1729)"),"冰雹")</f>
        <v>冰雹</v>
      </c>
    </row>
    <row r="1730" ht="15.75" customHeight="1">
      <c r="A1730" s="4">
        <v>5870.0</v>
      </c>
      <c r="B1730" s="4" t="s">
        <v>2708</v>
      </c>
      <c r="C1730" s="4" t="s">
        <v>2734</v>
      </c>
      <c r="D1730" s="4" t="s">
        <v>2735</v>
      </c>
      <c r="E1730" s="4">
        <v>1.0</v>
      </c>
      <c r="F1730" s="4" t="str">
        <f>IFERROR(__xludf.DUMMYFUNCTION("GOOGLETRANSLATE(D1730)"),"東北洛根縣正在發生嚴重冰雹...#cowx http://t.co/XK9OwGV1O5")</f>
        <v>東北洛根縣正在發生嚴重冰雹...#cowx http://t.co/XK9OwGV1O5</v>
      </c>
      <c r="G1730" s="4" t="str">
        <f>IFERROR(__xludf.DUMMYFUNCTION("GOOGLETRANSLATE(B1730)"),"冰雹")</f>
        <v>冰雹</v>
      </c>
    </row>
    <row r="1731" ht="15.75" customHeight="1">
      <c r="A1731" s="4">
        <v>5873.0</v>
      </c>
      <c r="B1731" s="4" t="s">
        <v>2708</v>
      </c>
      <c r="C1731" s="4" t="s">
        <v>2736</v>
      </c>
      <c r="D1731" s="4" t="s">
        <v>2737</v>
      </c>
      <c r="E1731" s="4">
        <v>1.0</v>
      </c>
      <c r="F1731" s="4" t="str">
        <f>IFERROR(__xludf.DUMMYFUNCTION("GOOGLETRANSLATE(D1731)"),"@CouncilSCC 確實說有冰雹")</f>
        <v>@CouncilSCC 確實說有冰雹</v>
      </c>
      <c r="G1731" s="4" t="str">
        <f>IFERROR(__xludf.DUMMYFUNCTION("GOOGLETRANSLATE(B1731)"),"冰雹")</f>
        <v>冰雹</v>
      </c>
    </row>
    <row r="1732" ht="15.75" customHeight="1">
      <c r="A1732" s="4">
        <v>5874.0</v>
      </c>
      <c r="B1732" s="4" t="s">
        <v>2708</v>
      </c>
      <c r="D1732" s="4" t="s">
        <v>2738</v>
      </c>
      <c r="E1732" s="4">
        <v>1.0</v>
      </c>
      <c r="F1732" s="4" t="str">
        <f>IFERROR(__xludf.DUMMYFUNCTION("GOOGLETRANSLATE(D1732)"),"這就是為什麼我害怕在暴風雨中把車停在樹下
#jamaicaplain #波士頓 #hailstormÛ_ https://t.co/MJ8rEZOXlJ")</f>
        <v>這就是為什麼我害怕在暴風雨中把車停在樹下
#jamaicaplain #波士頓 #hailstormÛ_ https://t.co/MJ8rEZOXlJ</v>
      </c>
      <c r="G1732" s="4" t="str">
        <f>IFERROR(__xludf.DUMMYFUNCTION("GOOGLETRANSLATE(B1732)"),"冰雹")</f>
        <v>冰雹</v>
      </c>
    </row>
    <row r="1733" ht="15.75" customHeight="1">
      <c r="A1733" s="4">
        <v>5876.0</v>
      </c>
      <c r="B1733" s="4" t="s">
        <v>2708</v>
      </c>
      <c r="C1733" s="4" t="s">
        <v>2739</v>
      </c>
      <c r="D1733" s="4" t="s">
        <v>2740</v>
      </c>
      <c r="E1733" s="4">
        <v>1.0</v>
      </c>
      <c r="F1733" s="4" t="str">
        <f>IFERROR(__xludf.DUMMYFUNCTION("GOOGLETRANSLATE(D1733)"),"史蒂芬大道的花盆今天在冰雹中被撕碎了#yyc #abstorm #calgary #iamdowntown http://t.co/hBhx0dwkPC")</f>
        <v>史蒂芬大道的花盆今天在冰雹中被撕碎了#yyc #abstorm #calgary #iamdowntown http://t.co/hBhx0dwkPC</v>
      </c>
      <c r="G1733" s="4" t="str">
        <f>IFERROR(__xludf.DUMMYFUNCTION("GOOGLETRANSLATE(B1733)"),"冰雹")</f>
        <v>冰雹</v>
      </c>
    </row>
    <row r="1734" ht="15.75" customHeight="1">
      <c r="A1734" s="4">
        <v>5881.0</v>
      </c>
      <c r="B1734" s="4" t="s">
        <v>2708</v>
      </c>
      <c r="C1734" s="4" t="s">
        <v>2723</v>
      </c>
      <c r="D1734" s="4" t="s">
        <v>2741</v>
      </c>
      <c r="E1734" s="4">
        <v>1.0</v>
      </c>
      <c r="F1734" s="4" t="str">
        <f>IFERROR(__xludf.DUMMYFUNCTION("GOOGLETRANSLATE(D1734)"),"成長卡加利避免了城市最惡劣的天氣 * ~ 16 http://t.co/HLyHDfWsQB http://t.co/GwSNBMmcqF")</f>
        <v>成長卡加利避免了城市最惡劣的天氣 * ~ 16 http://t.co/HLyHDfWsQB http://t.co/GwSNBMmcqF</v>
      </c>
      <c r="G1734" s="4" t="str">
        <f>IFERROR(__xludf.DUMMYFUNCTION("GOOGLETRANSLATE(B1734)"),"冰雹")</f>
        <v>冰雹</v>
      </c>
    </row>
    <row r="1735" ht="15.75" customHeight="1">
      <c r="A1735" s="4">
        <v>5882.0</v>
      </c>
      <c r="B1735" s="4" t="s">
        <v>2708</v>
      </c>
      <c r="D1735" s="4" t="s">
        <v>2742</v>
      </c>
      <c r="E1735" s="4">
        <v>1.0</v>
      </c>
      <c r="F1735" s="4" t="str">
        <f>IFERROR(__xludf.DUMMYFUNCTION("GOOGLETRANSLATE(D1735)"),"照片：這就是為什麼我害怕在暴風雨中把車留在樹下#jamaicaplain #boston #hailstorm... http://t.co/1FHRrhciMH")</f>
        <v>照片：這就是為什麼我害怕在暴風雨中把車留在樹下#jamaicaplain #boston #hailstorm... http://t.co/1FHRrhciMH</v>
      </c>
      <c r="G1735" s="4" t="str">
        <f>IFERROR(__xludf.DUMMYFUNCTION("GOOGLETRANSLATE(B1735)"),"冰雹")</f>
        <v>冰雹</v>
      </c>
    </row>
    <row r="1736" ht="15.75" customHeight="1">
      <c r="A1736" s="4">
        <v>5883.0</v>
      </c>
      <c r="B1736" s="4" t="s">
        <v>2708</v>
      </c>
      <c r="C1736" s="4" t="s">
        <v>2714</v>
      </c>
      <c r="D1736" s="4" t="s">
        <v>2743</v>
      </c>
      <c r="E1736" s="4">
        <v>1.0</v>
      </c>
      <c r="F1736" s="4" t="str">
        <f>IFERROR(__xludf.DUMMYFUNCTION("GOOGLETRANSLATE(D1736)"),"卡加利交通局在冰雹期間導致數百名通勤者滯留後正在審查政策Û_ http://t.co/fT7OrfA52y http://t.co/Dv4MMlsO1I")</f>
        <v>卡加利交通局在冰雹期間導致數百名通勤者滯留後正在審查政策Û_ http://t.co/fT7OrfA52y http://t.co/Dv4MMlsO1I</v>
      </c>
      <c r="G1736" s="4" t="str">
        <f>IFERROR(__xludf.DUMMYFUNCTION("GOOGLETRANSLATE(B1736)"),"冰雹")</f>
        <v>冰雹</v>
      </c>
    </row>
    <row r="1737" ht="15.75" customHeight="1">
      <c r="A1737" s="4">
        <v>5884.0</v>
      </c>
      <c r="B1737" s="4" t="s">
        <v>2708</v>
      </c>
      <c r="C1737" s="4" t="s">
        <v>2744</v>
      </c>
      <c r="D1737" s="4" t="s">
        <v>2745</v>
      </c>
      <c r="E1737" s="4">
        <v>1.0</v>
      </c>
      <c r="F1737" s="4" t="str">
        <f>IFERROR(__xludf.DUMMYFUNCTION("GOOGLETRANSLATE(D1737)"),"週二的冰雹期間，600 名乘客被遺棄在輕軌站 http://t.co/vgF41IuPk​​n #yyc #yycstorm #abstorm")</f>
        <v>週二的冰雹期間，600 名乘客被遺棄在輕軌站 http://t.co/vgF41IuPk​​n #yyc #yycstorm #abstorm</v>
      </c>
      <c r="G1737" s="4" t="str">
        <f>IFERROR(__xludf.DUMMYFUNCTION("GOOGLETRANSLATE(B1737)"),"冰雹")</f>
        <v>冰雹</v>
      </c>
    </row>
    <row r="1738" ht="15.75" customHeight="1">
      <c r="A1738" s="4">
        <v>5890.0</v>
      </c>
      <c r="B1738" s="4" t="s">
        <v>2746</v>
      </c>
      <c r="C1738" s="4" t="s">
        <v>2747</v>
      </c>
      <c r="D1738" s="4" t="s">
        <v>2748</v>
      </c>
      <c r="E1738" s="4">
        <v>1.0</v>
      </c>
      <c r="F1738" s="4" t="str">
        <f>IFERROR(__xludf.DUMMYFUNCTION("GOOGLETRANSLATE(D1738)"),"@leedsrouge 喜歡你選擇的！因為有你，我們才能演奏 FIFTH HARM/KID INK 的《WORTH IT》！聽&amp;amp;投票：http://t.co/0wrATkA2jL")</f>
        <v>@leedsrouge 喜歡你選擇的！因為有你，我們才能演奏 FIFTH HARM/KID INK 的《WORTH IT》！聽&amp;amp;投票：http://t.co/0wrATkA2jL</v>
      </c>
      <c r="G1738" s="4" t="str">
        <f>IFERROR(__xludf.DUMMYFUNCTION("GOOGLETRANSLATE(B1738)"),"傷害")</f>
        <v>傷害</v>
      </c>
    </row>
    <row r="1739" ht="15.75" customHeight="1">
      <c r="A1739" s="4">
        <v>5891.0</v>
      </c>
      <c r="B1739" s="4" t="s">
        <v>2746</v>
      </c>
      <c r="C1739" s="4" t="s">
        <v>2749</v>
      </c>
      <c r="D1739" s="4" t="s">
        <v>2750</v>
      </c>
      <c r="E1739" s="4">
        <v>1.0</v>
      </c>
      <c r="F1739" s="4" t="str">
        <f>IFERROR(__xludf.DUMMYFUNCTION("GOOGLETRANSLATE(D1739)"),"想像一下，一名醫生在治療伊波拉患者時，從未將自己置於危險之中。 http://t.co/dliZfkk30Y")</f>
        <v>想像一下，一名醫生在治療伊波拉患者時，從未將自己置於危險之中。 http://t.co/dliZfkk30Y</v>
      </c>
      <c r="G1739" s="4" t="str">
        <f>IFERROR(__xludf.DUMMYFUNCTION("GOOGLETRANSLATE(B1739)"),"傷害")</f>
        <v>傷害</v>
      </c>
    </row>
    <row r="1740" ht="15.75" customHeight="1">
      <c r="A1740" s="4">
        <v>5903.0</v>
      </c>
      <c r="B1740" s="4" t="s">
        <v>2746</v>
      </c>
      <c r="C1740" s="4" t="s">
        <v>2751</v>
      </c>
      <c r="D1740" s="4" t="s">
        <v>2752</v>
      </c>
      <c r="E1740" s="4">
        <v>1.0</v>
      </c>
      <c r="F1740" s="4" t="str">
        <f>IFERROR(__xludf.DUMMYFUNCTION("GOOGLETRANSLATE(D1740)"),"你永遠無法逃過我。子彈不會傷害我。沒有什麼能傷害我。但我知道痛苦。我知道痛苦。有時我會分享。和你這樣的人在一起。")</f>
        <v>你永遠無法逃過我。子彈不會傷害我。沒有什麼能傷害我。但我知道痛苦。我知道痛苦。有時我會分享。和你這樣的人在一起。</v>
      </c>
      <c r="G1740" s="4" t="str">
        <f>IFERROR(__xludf.DUMMYFUNCTION("GOOGLETRANSLATE(B1740)"),"傷害")</f>
        <v>傷害</v>
      </c>
    </row>
    <row r="1741" ht="15.75" customHeight="1">
      <c r="A1741" s="4">
        <v>5925.0</v>
      </c>
      <c r="B1741" s="4" t="s">
        <v>2746</v>
      </c>
      <c r="C1741" s="4" t="s">
        <v>2753</v>
      </c>
      <c r="D1741" s="4" t="s">
        <v>2754</v>
      </c>
      <c r="E1741" s="4">
        <v>1.0</v>
      </c>
      <c r="F1741" s="4" t="str">
        <f>IFERROR(__xludf.DUMMYFUNCTION("GOOGLETRANSLATE(D1741)"),"@malistkiss 遜尼派繼續相信他們更加正義，並且不斷傷害什葉派。挫敗了伊斯蘭教的理想。")</f>
        <v>@malistkiss 遜尼派繼續相信他們更加正義，並且不斷傷害什葉派。挫敗了伊斯蘭教的理想。</v>
      </c>
      <c r="G1741" s="4" t="str">
        <f>IFERROR(__xludf.DUMMYFUNCTION("GOOGLETRANSLATE(B1741)"),"傷害")</f>
        <v>傷害</v>
      </c>
    </row>
    <row r="1742" ht="15.75" customHeight="1">
      <c r="A1742" s="4">
        <v>5939.0</v>
      </c>
      <c r="B1742" s="4" t="s">
        <v>2755</v>
      </c>
      <c r="C1742" s="4" t="s">
        <v>2756</v>
      </c>
      <c r="D1742" s="4" t="s">
        <v>2757</v>
      </c>
      <c r="E1742" s="4">
        <v>1.0</v>
      </c>
      <c r="F1742" s="4" t="str">
        <f>IFERROR(__xludf.DUMMYFUNCTION("GOOGLETRANSLATE(D1742)"),"窒息危險促使召回卡夫起司單品 http://t.co/nJLqRqcnL9")</f>
        <v>窒息危險促使召回卡夫起司單品 http://t.co/nJLqRqcnL9</v>
      </c>
      <c r="G1742" s="4" t="str">
        <f>IFERROR(__xludf.DUMMYFUNCTION("GOOGLETRANSLATE(B1742)"),"冒險")</f>
        <v>冒險</v>
      </c>
    </row>
    <row r="1743" ht="15.75" customHeight="1">
      <c r="A1743" s="4">
        <v>5950.0</v>
      </c>
      <c r="B1743" s="4" t="s">
        <v>2755</v>
      </c>
      <c r="C1743" s="4" t="s">
        <v>2758</v>
      </c>
      <c r="D1743" s="4" t="s">
        <v>2759</v>
      </c>
      <c r="E1743" s="4">
        <v>1.0</v>
      </c>
      <c r="F1743" s="4" t="str">
        <f>IFERROR(__xludf.DUMMYFUNCTION("GOOGLETRANSLATE(D1743)"),"由於危險樹木倒下、樹木著火和火勢上坡蔓延，道路封閉仍然有效。林務局 1 號路仍關閉")</f>
        <v>由於危險樹木倒下、樹木著火和火勢上坡蔓延，道路封閉仍然有效。林務局 1 號路仍關閉</v>
      </c>
      <c r="G1743" s="4" t="str">
        <f>IFERROR(__xludf.DUMMYFUNCTION("GOOGLETRANSLATE(B1743)"),"冒險")</f>
        <v>冒險</v>
      </c>
    </row>
    <row r="1744" ht="15.75" customHeight="1">
      <c r="A1744" s="4">
        <v>5955.0</v>
      </c>
      <c r="B1744" s="4" t="s">
        <v>2755</v>
      </c>
      <c r="C1744" s="4" t="s">
        <v>1452</v>
      </c>
      <c r="D1744" s="4" t="s">
        <v>2760</v>
      </c>
      <c r="E1744" s="4">
        <v>1.0</v>
      </c>
      <c r="F1744" s="4" t="str">
        <f>IFERROR(__xludf.DUMMYFUNCTION("GOOGLETRANSLATE(D1744)"),"確認：桑切斯·阿扎爾和博拉西將缺席本賽季剩餘的比賽。 https://t.co/7Ct01nEptL")</f>
        <v>確認：桑切斯·阿扎爾和博拉西將缺席本賽季剩餘的比賽。 https://t.co/7Ct01nEptL</v>
      </c>
      <c r="G1744" s="4" t="str">
        <f>IFERROR(__xludf.DUMMYFUNCTION("GOOGLETRANSLATE(B1744)"),"冒險")</f>
        <v>冒險</v>
      </c>
    </row>
    <row r="1745" ht="15.75" customHeight="1">
      <c r="A1745" s="4">
        <v>5966.0</v>
      </c>
      <c r="B1745" s="4" t="s">
        <v>2755</v>
      </c>
      <c r="C1745" s="4" t="s">
        <v>2761</v>
      </c>
      <c r="D1745" s="4" t="s">
        <v>2762</v>
      </c>
      <c r="E1745" s="4">
        <v>1.0</v>
      </c>
      <c r="F1745" s="4" t="str">
        <f>IFERROR(__xludf.DUMMYFUNCTION("GOOGLETRANSLATE(D1745)"),"@Dead_Dreamer15 ...因為如果著火的話就會有安全隱患")</f>
        <v>@Dead_Dreamer15 ...因為如果著火的話就會有安全隱患</v>
      </c>
      <c r="G1745" s="4" t="str">
        <f>IFERROR(__xludf.DUMMYFUNCTION("GOOGLETRANSLATE(B1745)"),"冒險")</f>
        <v>冒險</v>
      </c>
    </row>
    <row r="1746" ht="15.75" customHeight="1">
      <c r="A1746" s="4">
        <v>5975.0</v>
      </c>
      <c r="B1746" s="4" t="s">
        <v>2755</v>
      </c>
      <c r="D1746" s="4" t="s">
        <v>2763</v>
      </c>
      <c r="E1746" s="4">
        <v>1.0</v>
      </c>
      <c r="F1746" s="4" t="str">
        <f>IFERROR(__xludf.DUMMYFUNCTION("GOOGLETRANSLATE(D1746)"),"2015 年 8 月 6 日下午 1:32：5000 DEANS BRIDGE RD 交通繁忙區域存在危險 http://t.co/itZzKWfhG5")</f>
        <v>2015 年 8 月 6 日下午 1:32：5000 DEANS BRIDGE RD 交通繁忙區域存在危險 http://t.co/itZzKWfhG5</v>
      </c>
      <c r="G1746" s="4" t="str">
        <f>IFERROR(__xludf.DUMMYFUNCTION("GOOGLETRANSLATE(B1746)"),"冒險")</f>
        <v>冒險</v>
      </c>
    </row>
    <row r="1747" ht="15.75" customHeight="1">
      <c r="A1747" s="4">
        <v>5979.0</v>
      </c>
      <c r="B1747" s="4" t="s">
        <v>2755</v>
      </c>
      <c r="D1747" s="4" t="s">
        <v>2764</v>
      </c>
      <c r="E1747" s="4">
        <v>1.0</v>
      </c>
      <c r="F1747" s="4" t="str">
        <f>IFERROR(__xludf.DUMMYFUNCTION("GOOGLETRANSLATE(D1747)"),"@LondonFire 你好..人們可以用電子郵件來報告他們認為存在火災隱患/危險的事情嗎？")</f>
        <v>@LondonFire 你好..人們可以用電子郵件來報告他們認為存在火災隱患/危險的事情嗎？</v>
      </c>
      <c r="G1747" s="4" t="str">
        <f>IFERROR(__xludf.DUMMYFUNCTION("GOOGLETRANSLATE(B1747)"),"冒險")</f>
        <v>冒險</v>
      </c>
    </row>
    <row r="1748" ht="15.75" customHeight="1">
      <c r="A1748" s="4">
        <v>5983.0</v>
      </c>
      <c r="B1748" s="4" t="s">
        <v>2755</v>
      </c>
      <c r="D1748" s="4" t="s">
        <v>2765</v>
      </c>
      <c r="E1748" s="4">
        <v>1.0</v>
      </c>
      <c r="F1748" s="4" t="str">
        <f>IFERROR(__xludf.DUMMYFUNCTION("GOOGLETRANSLATE(D1748)"),"2015 年 8 月 6 日下午 1:08：1500 WRIGHTSBORO RD 交通繁忙區域有危險 http://t.co/DdUxtHvVnr")</f>
        <v>2015 年 8 月 6 日下午 1:08：1500 WRIGHTSBORO RD 交通繁忙區域有危險 http://t.co/DdUxtHvVnr</v>
      </c>
      <c r="G1748" s="4" t="str">
        <f>IFERROR(__xludf.DUMMYFUNCTION("GOOGLETRANSLATE(B1748)"),"冒險")</f>
        <v>冒險</v>
      </c>
    </row>
    <row r="1749" ht="15.75" customHeight="1">
      <c r="A1749" s="4">
        <v>5987.0</v>
      </c>
      <c r="B1749" s="4" t="s">
        <v>2766</v>
      </c>
      <c r="C1749" s="4" t="s">
        <v>2767</v>
      </c>
      <c r="D1749" s="4" t="s">
        <v>2768</v>
      </c>
      <c r="E1749" s="4">
        <v>1.0</v>
      </c>
      <c r="F1749" s="4" t="str">
        <f>IFERROR(__xludf.DUMMYFUNCTION("GOOGLETRANSLATE(D1749)"),"MS 線的 I-10 EB 更新：卸載危險材料的速度比預期慢得多。道路可能會一直封閉到明天上午。")</f>
        <v>MS 線的 I-10 EB 更新：卸載危險材料的速度比預期慢得多。道路可能會一直封閉到明天上午。</v>
      </c>
      <c r="G1749" s="4" t="str">
        <f>IFERROR(__xludf.DUMMYFUNCTION("GOOGLETRANSLATE(B1749)"),"危險的")</f>
        <v>危險的</v>
      </c>
    </row>
    <row r="1750" ht="15.75" customHeight="1">
      <c r="A1750" s="4">
        <v>5988.0</v>
      </c>
      <c r="B1750" s="4" t="s">
        <v>2766</v>
      </c>
      <c r="C1750" s="4" t="s">
        <v>38</v>
      </c>
      <c r="D1750" s="4" t="s">
        <v>2769</v>
      </c>
      <c r="E1750" s="4">
        <v>1.0</v>
      </c>
      <c r="F1750" s="4" t="str">
        <f>IFERROR(__xludf.DUMMYFUNCTION("GOOGLETRANSLATE(D1750)"),"#Taiwan Grace：預計大石頭、樹、泥、不穩定和/或飽和土地可能會滑動..在丘陵/山區非常危險...")</f>
        <v>#Taiwan Grace：預計大石頭、樹、泥、不穩定和/或飽和土地可能會滑動..在丘陵/山區非常危險...</v>
      </c>
      <c r="G1750" s="4" t="str">
        <f>IFERROR(__xludf.DUMMYFUNCTION("GOOGLETRANSLATE(B1750)"),"危險的")</f>
        <v>危險的</v>
      </c>
    </row>
    <row r="1751" ht="15.75" customHeight="1">
      <c r="A1751" s="4">
        <v>5989.0</v>
      </c>
      <c r="B1751" s="4" t="s">
        <v>2766</v>
      </c>
      <c r="D1751" s="4" t="s">
        <v>2770</v>
      </c>
      <c r="E1751" s="4">
        <v>1.0</v>
      </c>
      <c r="F1751" s="4" t="str">
        <f>IFERROR(__xludf.DUMMYFUNCTION("GOOGLETRANSLATE(D1751)"),"DLH 發布危險天氣展望 (HWO) http://t.co/WOzuBXRi2p")</f>
        <v>DLH 發布危險天氣展望 (HWO) http://t.co/WOzuBXRi2p</v>
      </c>
      <c r="G1751" s="4" t="str">
        <f>IFERROR(__xludf.DUMMYFUNCTION("GOOGLETRANSLATE(B1751)"),"危險的")</f>
        <v>危險的</v>
      </c>
    </row>
    <row r="1752" ht="15.75" customHeight="1">
      <c r="A1752" s="4">
        <v>5992.0</v>
      </c>
      <c r="B1752" s="4" t="s">
        <v>2766</v>
      </c>
      <c r="C1752" s="4" t="s">
        <v>627</v>
      </c>
      <c r="D1752" s="4" t="s">
        <v>2771</v>
      </c>
      <c r="E1752" s="4">
        <v>1.0</v>
      </c>
      <c r="F1752" s="4" t="str">
        <f>IFERROR(__xludf.DUMMYFUNCTION("GOOGLETRANSLATE(D1752)"),"JAX 發布危險天氣展望 (HWO) http://t.co/u9fCb8dz3h #WX")</f>
        <v>JAX 發布危險天氣展望 (HWO) http://t.co/u9fCb8dz3h #WX</v>
      </c>
      <c r="G1752" s="4" t="str">
        <f>IFERROR(__xludf.DUMMYFUNCTION("GOOGLETRANSLATE(B1752)"),"危險的")</f>
        <v>危險的</v>
      </c>
    </row>
    <row r="1753" ht="15.75" customHeight="1">
      <c r="A1753" s="4">
        <v>5996.0</v>
      </c>
      <c r="B1753" s="4" t="s">
        <v>2766</v>
      </c>
      <c r="D1753" s="4" t="s">
        <v>2772</v>
      </c>
      <c r="E1753" s="4">
        <v>1.0</v>
      </c>
      <c r="F1753" s="4" t="str">
        <f>IFERROR(__xludf.DUMMYFUNCTION("GOOGLETRANSLATE(D1753)"),"#foodscare #offers2go #NestleIndia 在 #Magginoodle #ban 對 # humanconspiration 不安全和危險後陷入損失")</f>
        <v>#foodscare #offers2go #NestleIndia 在 #Magginoodle #ban 對 # humanconspiration 不安全和危險後陷入損失</v>
      </c>
      <c r="G1753" s="4" t="str">
        <f>IFERROR(__xludf.DUMMYFUNCTION("GOOGLETRANSLATE(B1753)"),"危險的")</f>
        <v>危險的</v>
      </c>
    </row>
    <row r="1754" ht="15.75" customHeight="1">
      <c r="A1754" s="4">
        <v>5998.0</v>
      </c>
      <c r="B1754" s="4" t="s">
        <v>2766</v>
      </c>
      <c r="C1754" s="4" t="s">
        <v>2533</v>
      </c>
      <c r="D1754" s="4" t="s">
        <v>2773</v>
      </c>
      <c r="E1754" s="4">
        <v>1.0</v>
      </c>
      <c r="F1754" s="4" t="str">
        <f>IFERROR(__xludf.DUMMYFUNCTION("GOOGLETRANSLATE(D1754)"),"緊身牛仔褲對您的健康有害！ #socialnews http://t.co/92Pk0HujD8")</f>
        <v>緊身牛仔褲對您的健康有害！ #socialnews http://t.co/92Pk0HujD8</v>
      </c>
      <c r="G1754" s="4" t="str">
        <f>IFERROR(__xludf.DUMMYFUNCTION("GOOGLETRANSLATE(B1754)"),"危險的")</f>
        <v>危險的</v>
      </c>
    </row>
    <row r="1755" ht="15.75" customHeight="1">
      <c r="A1755" s="4">
        <v>5999.0</v>
      </c>
      <c r="B1755" s="4" t="s">
        <v>2766</v>
      </c>
      <c r="D1755" s="4" t="s">
        <v>2774</v>
      </c>
      <c r="E1755" s="4">
        <v>1.0</v>
      </c>
      <c r="F1755" s="4" t="str">
        <f>IFERROR(__xludf.DUMMYFUNCTION("GOOGLETRANSLATE(D1755)"),"從回收到僅使用無害化學品，Holland 1916 不斷努力維持生態友善的存在。")</f>
        <v>從回收到僅使用無害化學品，Holland 1916 不斷努力維持生態友善的存在。</v>
      </c>
      <c r="G1755" s="4" t="str">
        <f>IFERROR(__xludf.DUMMYFUNCTION("GOOGLETRANSLATE(B1755)"),"危險的")</f>
        <v>危險的</v>
      </c>
    </row>
    <row r="1756" ht="15.75" customHeight="1">
      <c r="A1756" s="4">
        <v>6000.0</v>
      </c>
      <c r="B1756" s="4" t="s">
        <v>2766</v>
      </c>
      <c r="D1756" s="4" t="s">
        <v>2775</v>
      </c>
      <c r="E1756" s="4">
        <v>1.0</v>
      </c>
      <c r="F1756" s="4" t="str">
        <f>IFERROR(__xludf.DUMMYFUNCTION("GOOGLETRANSLATE(D1756)"),"#dam #gms Olap #world pres：http://t.co/mIcjNPuhG0 如何辨識危險廢棄物與多維 http://t.co/Vddi5ChKTP")</f>
        <v>#dam #gms Olap #world pres：http://t.co/mIcjNPuhG0 如何辨識危險廢棄物與多維 http://t.co/Vddi5ChKTP</v>
      </c>
      <c r="G1756" s="4" t="str">
        <f>IFERROR(__xludf.DUMMYFUNCTION("GOOGLETRANSLATE(B1756)"),"危險的")</f>
        <v>危險的</v>
      </c>
    </row>
    <row r="1757" ht="15.75" customHeight="1">
      <c r="A1757" s="4">
        <v>6003.0</v>
      </c>
      <c r="B1757" s="4" t="s">
        <v>2766</v>
      </c>
      <c r="C1757" s="4" t="s">
        <v>627</v>
      </c>
      <c r="D1757" s="4" t="s">
        <v>2776</v>
      </c>
      <c r="E1757" s="4">
        <v>1.0</v>
      </c>
      <c r="F1757" s="4" t="str">
        <f>IFERROR(__xludf.DUMMYFUNCTION("GOOGLETRANSLATE(D1757)"),"JKL 發布危險天氣展望 (HWO) http://t.co/4e719w6m4V #WX")</f>
        <v>JKL 發布危險天氣展望 (HWO) http://t.co/4e719w6m4V #WX</v>
      </c>
      <c r="G1757" s="4" t="str">
        <f>IFERROR(__xludf.DUMMYFUNCTION("GOOGLETRANSLATE(B1757)"),"危險的")</f>
        <v>危險的</v>
      </c>
    </row>
    <row r="1758" ht="15.75" customHeight="1">
      <c r="A1758" s="4">
        <v>6007.0</v>
      </c>
      <c r="B1758" s="4" t="s">
        <v>2766</v>
      </c>
      <c r="C1758" s="4" t="s">
        <v>627</v>
      </c>
      <c r="D1758" s="4" t="s">
        <v>2777</v>
      </c>
      <c r="E1758" s="4">
        <v>1.0</v>
      </c>
      <c r="F1758" s="4" t="str">
        <f>IFERROR(__xludf.DUMMYFUNCTION("GOOGLETRANSLATE(D1758)"),"MEG 發布危險天氣展望 (HWO) http://t.co/gGn39m60tL #WX")</f>
        <v>MEG 發布危險天氣展望 (HWO) http://t.co/gGn39m60tL #WX</v>
      </c>
      <c r="G1758" s="4" t="str">
        <f>IFERROR(__xludf.DUMMYFUNCTION("GOOGLETRANSLATE(B1758)"),"危險的")</f>
        <v>危險的</v>
      </c>
    </row>
    <row r="1759" ht="15.75" customHeight="1">
      <c r="A1759" s="4">
        <v>6012.0</v>
      </c>
      <c r="B1759" s="4" t="s">
        <v>2766</v>
      </c>
      <c r="D1759" s="4" t="s">
        <v>2778</v>
      </c>
      <c r="E1759" s="4">
        <v>1.0</v>
      </c>
      <c r="F1759" s="4" t="str">
        <f>IFERROR(__xludf.DUMMYFUNCTION("GOOGLETRANSLATE(D1759)"),"注意：呼吸可能危害您的健康。")</f>
        <v>注意：呼吸可能危害您的健康。</v>
      </c>
      <c r="G1759" s="4" t="str">
        <f>IFERROR(__xludf.DUMMYFUNCTION("GOOGLETRANSLATE(B1759)"),"危險的")</f>
        <v>危險的</v>
      </c>
    </row>
    <row r="1760" ht="15.75" customHeight="1">
      <c r="A1760" s="4">
        <v>6015.0</v>
      </c>
      <c r="B1760" s="4" t="s">
        <v>2766</v>
      </c>
      <c r="D1760" s="4" t="s">
        <v>2779</v>
      </c>
      <c r="E1760" s="4">
        <v>1.0</v>
      </c>
      <c r="F1760" s="4" t="str">
        <f>IFERROR(__xludf.DUMMYFUNCTION("GOOGLETRANSLATE(D1760)"),"@TheBlackshag @dannyoneil 毒性太大...癌症...疾病...危險廢物...有毒...")</f>
        <v>@TheBlackshag @dannyoneil 毒性太大...癌症...疾病...危險廢物...有毒...</v>
      </c>
      <c r="G1760" s="4" t="str">
        <f>IFERROR(__xludf.DUMMYFUNCTION("GOOGLETRANSLATE(B1760)"),"危險的")</f>
        <v>危險的</v>
      </c>
    </row>
    <row r="1761" ht="15.75" customHeight="1">
      <c r="A1761" s="4">
        <v>6019.0</v>
      </c>
      <c r="B1761" s="4" t="s">
        <v>2766</v>
      </c>
      <c r="C1761" s="4" t="s">
        <v>237</v>
      </c>
      <c r="D1761" s="4" t="s">
        <v>2780</v>
      </c>
      <c r="E1761" s="4">
        <v>1.0</v>
      </c>
      <c r="F1761" s="4" t="str">
        <f>IFERROR(__xludf.DUMMYFUNCTION("GOOGLETRANSLATE(D1761)"),"MEG 發布危險天氣展望 (HWO) http://t.co/3X6RBQJHn3")</f>
        <v>MEG 發布危險天氣展望 (HWO) http://t.co/3X6RBQJHn3</v>
      </c>
      <c r="G1761" s="4" t="str">
        <f>IFERROR(__xludf.DUMMYFUNCTION("GOOGLETRANSLATE(B1761)"),"危險的")</f>
        <v>危險的</v>
      </c>
    </row>
    <row r="1762" ht="15.75" customHeight="1">
      <c r="A1762" s="4">
        <v>6020.0</v>
      </c>
      <c r="B1762" s="4" t="s">
        <v>2766</v>
      </c>
      <c r="D1762" s="4" t="s">
        <v>2781</v>
      </c>
      <c r="E1762" s="4">
        <v>1.0</v>
      </c>
      <c r="F1762" s="4" t="str">
        <f>IFERROR(__xludf.DUMMYFUNCTION("GOOGLETRANSLATE(D1762)"),"活著來到這個世界已經很危險了。 https://t.co/BJZSSw4tid")</f>
        <v>活著來到這個世界已經很危險了。 https://t.co/BJZSSw4tid</v>
      </c>
      <c r="G1762" s="4" t="str">
        <f>IFERROR(__xludf.DUMMYFUNCTION("GOOGLETRANSLATE(B1762)"),"危險的")</f>
        <v>危險的</v>
      </c>
    </row>
    <row r="1763" ht="15.75" customHeight="1">
      <c r="A1763" s="4">
        <v>6023.0</v>
      </c>
      <c r="B1763" s="4" t="s">
        <v>2766</v>
      </c>
      <c r="C1763" s="4" t="s">
        <v>2782</v>
      </c>
      <c r="D1763" s="4" t="s">
        <v>2772</v>
      </c>
      <c r="E1763" s="4">
        <v>1.0</v>
      </c>
      <c r="F1763" s="4" t="str">
        <f>IFERROR(__xludf.DUMMYFUNCTION("GOOGLETRANSLATE(D1763)"),"#foodscare #offers2go #NestleIndia 在 #Magginoodle #ban 對 # humanconspiration 不安全和危險後陷入損失")</f>
        <v>#foodscare #offers2go #NestleIndia 在 #Magginoodle #ban 對 # humanconspiration 不安全和危險後陷入損失</v>
      </c>
      <c r="G1763" s="4" t="str">
        <f>IFERROR(__xludf.DUMMYFUNCTION("GOOGLETRANSLATE(B1763)"),"危險的")</f>
        <v>危險的</v>
      </c>
    </row>
    <row r="1764" ht="15.75" customHeight="1">
      <c r="A1764" s="4">
        <v>6024.0</v>
      </c>
      <c r="B1764" s="4" t="s">
        <v>2766</v>
      </c>
      <c r="D1764" s="4" t="s">
        <v>2783</v>
      </c>
      <c r="E1764" s="4">
        <v>1.0</v>
      </c>
      <c r="F1764" s="4" t="str">
        <f>IFERROR(__xludf.DUMMYFUNCTION("GOOGLETRANSLATE(D1764)"),"http://t.co/rOdpt33XFM EverSafe 緊急汽車套件適用於全天候不安全危險尖峰時段交通擁堵跳線-caÛ_ http://t.co/0BVK5tuB4J")</f>
        <v>http://t.co/rOdpt33XFM EverSafe 緊急汽車套件適用於全天候不安全危險尖峰時段交通擁堵跳線-caÛ_ http://t.co/0BVK5tuB4J</v>
      </c>
      <c r="G1764" s="4" t="str">
        <f>IFERROR(__xludf.DUMMYFUNCTION("GOOGLETRANSLATE(B1764)"),"危險的")</f>
        <v>危險的</v>
      </c>
    </row>
    <row r="1765" ht="15.75" customHeight="1">
      <c r="A1765" s="4">
        <v>6026.0</v>
      </c>
      <c r="B1765" s="4" t="s">
        <v>2766</v>
      </c>
      <c r="D1765" s="4" t="s">
        <v>2784</v>
      </c>
      <c r="E1765" s="4">
        <v>1.0</v>
      </c>
      <c r="F1765" s="4" t="str">
        <f>IFERROR(__xludf.DUMMYFUNCTION("GOOGLETRANSLATE(D1765)"),"港鐵發出危險天氣展望 (HWO) http://t.co/tGLK2UUs2Z")</f>
        <v>港鐵發出危險天氣展望 (HWO) http://t.co/tGLK2UUs2Z</v>
      </c>
      <c r="G1765" s="4" t="str">
        <f>IFERROR(__xludf.DUMMYFUNCTION("GOOGLETRANSLATE(B1765)"),"危險的")</f>
        <v>危險的</v>
      </c>
    </row>
    <row r="1766" ht="15.75" customHeight="1">
      <c r="A1766" s="4">
        <v>6027.0</v>
      </c>
      <c r="B1766" s="4" t="s">
        <v>2766</v>
      </c>
      <c r="C1766" s="4" t="s">
        <v>955</v>
      </c>
      <c r="D1766" s="4" t="s">
        <v>2785</v>
      </c>
      <c r="E1766" s="4">
        <v>1.0</v>
      </c>
      <c r="F1766" s="4" t="str">
        <f>IFERROR(__xludf.DUMMYFUNCTION("GOOGLETRANSLATE(D1766)"),"危險 - SB I5 FWY AT / SW TERWILLIGER BLVD 波特蘭或 [波特蘭警察 #PP15000266858] 17:26 #pdx911")</f>
        <v>危險 - SB I5 FWY AT / SW TERWILLIGER BLVD 波特蘭或 [波特蘭警察 #PP15000266858] 17:26 #pdx911</v>
      </c>
      <c r="G1766" s="4" t="str">
        <f>IFERROR(__xludf.DUMMYFUNCTION("GOOGLETRANSLATE(B1766)"),"危險的")</f>
        <v>危險的</v>
      </c>
    </row>
    <row r="1767" ht="15.75" customHeight="1">
      <c r="A1767" s="4">
        <v>6030.0</v>
      </c>
      <c r="B1767" s="4" t="s">
        <v>2766</v>
      </c>
      <c r="C1767" s="4" t="s">
        <v>126</v>
      </c>
      <c r="D1767" s="4" t="s">
        <v>2786</v>
      </c>
      <c r="E1767" s="4">
        <v>1.0</v>
      </c>
      <c r="F1767" s="4" t="str">
        <f>IFERROR(__xludf.DUMMYFUNCTION("GOOGLETRANSLATE(D1767)"),"緊身牛仔褲對您的健康有害！ #socialnews http://t.co/pAQanenCeS")</f>
        <v>緊身牛仔褲對您的健康有害！ #socialnews http://t.co/pAQanenCeS</v>
      </c>
      <c r="G1767" s="4" t="str">
        <f>IFERROR(__xludf.DUMMYFUNCTION("GOOGLETRANSLATE(B1767)"),"危險的")</f>
        <v>危險的</v>
      </c>
    </row>
    <row r="1768" ht="15.75" customHeight="1">
      <c r="A1768" s="4">
        <v>6032.0</v>
      </c>
      <c r="B1768" s="4" t="s">
        <v>2766</v>
      </c>
      <c r="D1768" s="4" t="s">
        <v>2787</v>
      </c>
      <c r="E1768" s="4">
        <v>1.0</v>
      </c>
      <c r="F1768" s="4" t="str">
        <f>IFERROR(__xludf.DUMMYFUNCTION("GOOGLETRANSLATE(D1768)"),"#psd #special Olap #world pres：http://t.co/9xO9mKQqsi 如何識別危險廢棄物和多維度 http://t.co/BP03eAFEWR")</f>
        <v>#psd #special Olap #world pres：http://t.co/9xO9mKQqsi 如何識別危險廢棄物和多維度 http://t.co/BP03eAFEWR</v>
      </c>
      <c r="G1768" s="4" t="str">
        <f>IFERROR(__xludf.DUMMYFUNCTION("GOOGLETRANSLATE(B1768)"),"危險的")</f>
        <v>危險的</v>
      </c>
    </row>
    <row r="1769" ht="15.75" customHeight="1">
      <c r="A1769" s="4">
        <v>6033.0</v>
      </c>
      <c r="B1769" s="4" t="s">
        <v>2766</v>
      </c>
      <c r="C1769" s="4" t="s">
        <v>627</v>
      </c>
      <c r="D1769" s="4" t="s">
        <v>2788</v>
      </c>
      <c r="E1769" s="4">
        <v>1.0</v>
      </c>
      <c r="F1769" s="4" t="str">
        <f>IFERROR(__xludf.DUMMYFUNCTION("GOOGLETRANSLATE(D1769)"),"DLH 發布危險天氣展望 (HWO) http://t.co/a0Ad8z5Vsr #WX")</f>
        <v>DLH 發布危險天氣展望 (HWO) http://t.co/a0Ad8z5Vsr #WX</v>
      </c>
      <c r="G1769" s="4" t="str">
        <f>IFERROR(__xludf.DUMMYFUNCTION("GOOGLETRANSLATE(B1769)"),"危險的")</f>
        <v>危險的</v>
      </c>
    </row>
    <row r="1770" ht="15.75" customHeight="1">
      <c r="A1770" s="4">
        <v>6034.0</v>
      </c>
      <c r="B1770" s="4" t="s">
        <v>2766</v>
      </c>
      <c r="C1770" s="4" t="s">
        <v>2533</v>
      </c>
      <c r="D1770" s="4" t="s">
        <v>2789</v>
      </c>
      <c r="E1770" s="4">
        <v>1.0</v>
      </c>
      <c r="F1770" s="4" t="str">
        <f>IFERROR(__xludf.DUMMYFUNCTION("GOOGLETRANSLATE(D1770)"),"緊身牛仔褲對您的健康有害！ #socialnews http://t.co/LTMa9xQXpx")</f>
        <v>緊身牛仔褲對您的健康有害！ #socialnews http://t.co/LTMa9xQXpx</v>
      </c>
      <c r="G1770" s="4" t="str">
        <f>IFERROR(__xludf.DUMMYFUNCTION("GOOGLETRANSLATE(B1770)"),"危險的")</f>
        <v>危險的</v>
      </c>
    </row>
    <row r="1771" ht="15.75" customHeight="1">
      <c r="A1771" s="4">
        <v>6036.0</v>
      </c>
      <c r="B1771" s="4" t="s">
        <v>2790</v>
      </c>
      <c r="C1771" s="4" t="s">
        <v>2791</v>
      </c>
      <c r="D1771" s="4" t="s">
        <v>2792</v>
      </c>
      <c r="E1771" s="4">
        <v>1.0</v>
      </c>
      <c r="F1771" s="4" t="str">
        <f>IFERROR(__xludf.DUMMYFUNCTION("GOOGLETRANSLATE(D1771)"),"RT @startelegram：北德克薩斯熱浪期間無家可歸者易受傷害 http://t.co/k9aIrFQ3QL http://t.co/JdBTlyMEhY")</f>
        <v>RT @startelegram：北德克薩斯熱浪期間無家可歸者易受傷害 http://t.co/k9aIrFQ3QL http://t.co/JdBTlyMEhY</v>
      </c>
      <c r="G1771" s="4" t="str">
        <f>IFERROR(__xludf.DUMMYFUNCTION("GOOGLETRANSLATE(B1771)"),"熱%20波")</f>
        <v>熱%20波</v>
      </c>
    </row>
    <row r="1772" ht="15.75" customHeight="1">
      <c r="A1772" s="4">
        <v>6038.0</v>
      </c>
      <c r="B1772" s="4" t="s">
        <v>2790</v>
      </c>
      <c r="C1772" s="4" t="s">
        <v>38</v>
      </c>
      <c r="D1772" s="4" t="s">
        <v>2793</v>
      </c>
      <c r="E1772" s="4">
        <v>1.0</v>
      </c>
      <c r="F1772" s="4" t="str">
        <f>IFERROR(__xludf.DUMMYFUNCTION("GOOGLETRANSLATE(D1772)"),"高溫警告的生效時間為週四下午 1 點至晚上 7 點。熱浪不斷襲來，濕度不斷增加…#lawx http://t.co/u0SYkowVWV")</f>
        <v>高溫警告的生效時間為週四下午 1 點至晚上 7 點。熱浪不斷襲來，濕度不斷增加…#lawx http://t.co/u0SYkowVWV</v>
      </c>
      <c r="G1772" s="4" t="str">
        <f>IFERROR(__xludf.DUMMYFUNCTION("GOOGLETRANSLATE(B1772)"),"熱%20波")</f>
        <v>熱%20波</v>
      </c>
    </row>
    <row r="1773" ht="15.75" customHeight="1">
      <c r="A1773" s="4">
        <v>6041.0</v>
      </c>
      <c r="B1773" s="4" t="s">
        <v>2790</v>
      </c>
      <c r="D1773" s="4" t="s">
        <v>2794</v>
      </c>
      <c r="E1773" s="4">
        <v>1.0</v>
      </c>
      <c r="F1773" s="4" t="str">
        <f>IFERROR(__xludf.DUMMYFUNCTION("GOOGLETRANSLATE(D1773)"),"伊朗末日熱浪幾乎打破世界紀錄 http://t.co/Y8WLOcTeVC")</f>
        <v>伊朗末日熱浪幾乎打破世界紀錄 http://t.co/Y8WLOcTeVC</v>
      </c>
      <c r="G1773" s="4" t="str">
        <f>IFERROR(__xludf.DUMMYFUNCTION("GOOGLETRANSLATE(B1773)"),"熱%20波")</f>
        <v>熱%20波</v>
      </c>
    </row>
    <row r="1774" ht="15.75" customHeight="1">
      <c r="A1774" s="4">
        <v>6043.0</v>
      </c>
      <c r="B1774" s="4" t="s">
        <v>2790</v>
      </c>
      <c r="D1774" s="4" t="s">
        <v>2795</v>
      </c>
      <c r="E1774" s="4">
        <v>1.0</v>
      </c>
      <c r="F1774" s="4" t="str">
        <f>IFERROR(__xludf.DUMMYFUNCTION("GOOGLETRANSLATE(D1774)"),"日本熱浪加劇，死亡人數激增至 55 人 http://t.co/irpSSresRq")</f>
        <v>日本熱浪加劇，死亡人數激增至 55 人 http://t.co/irpSSresRq</v>
      </c>
      <c r="G1774" s="4" t="str">
        <f>IFERROR(__xludf.DUMMYFUNCTION("GOOGLETRANSLATE(B1774)"),"熱%20波")</f>
        <v>熱%20波</v>
      </c>
    </row>
    <row r="1775" ht="15.75" customHeight="1">
      <c r="A1775" s="4">
        <v>6047.0</v>
      </c>
      <c r="B1775" s="4" t="s">
        <v>2790</v>
      </c>
      <c r="C1775" s="4" t="s">
        <v>1429</v>
      </c>
      <c r="D1775" s="4" t="s">
        <v>2796</v>
      </c>
      <c r="E1775" s="4">
        <v>1.0</v>
      </c>
      <c r="F1775" s="4" t="str">
        <f>IFERROR(__xludf.DUMMYFUNCTION("GOOGLETRANSLATE(D1775)"),"@WaseemBadami 譴責卡拉奇熱浪造成 1000 多人死亡。
願真主對他們的繼承人有耐心。 http://t.co/iTG84q7vIi")</f>
        <v>@WaseemBadami 譴責卡拉奇熱浪造成 1000 多人死亡。
願真主對他們的繼承人有耐心。 http://t.co/iTG84q7vIi</v>
      </c>
      <c r="G1775" s="4" t="str">
        <f>IFERROR(__xludf.DUMMYFUNCTION("GOOGLETRANSLATE(B1775)"),"熱%20波")</f>
        <v>熱%20波</v>
      </c>
    </row>
    <row r="1776" ht="15.75" customHeight="1">
      <c r="A1776" s="4">
        <v>6048.0</v>
      </c>
      <c r="B1776" s="4" t="s">
        <v>2790</v>
      </c>
      <c r="C1776" s="4" t="s">
        <v>2797</v>
      </c>
      <c r="D1776" s="4" t="s">
        <v>2798</v>
      </c>
      <c r="E1776" s="4">
        <v>1.0</v>
      </c>
      <c r="F1776" s="4" t="str">
        <f>IFERROR(__xludf.DUMMYFUNCTION("GOOGLETRANSLATE(D1776)"),"中東的天氣正在發生一些可怕的事情 http://t.co/bDOTQ8dSlN")</f>
        <v>中東的天氣正在發生一些可怕的事情 http://t.co/bDOTQ8dSlN</v>
      </c>
      <c r="G1776" s="4" t="str">
        <f>IFERROR(__xludf.DUMMYFUNCTION("GOOGLETRANSLATE(B1776)"),"熱%20波")</f>
        <v>熱%20波</v>
      </c>
    </row>
    <row r="1777" ht="15.75" customHeight="1">
      <c r="A1777" s="4">
        <v>6049.0</v>
      </c>
      <c r="B1777" s="4" t="s">
        <v>2790</v>
      </c>
      <c r="D1777" s="4" t="s">
        <v>2799</v>
      </c>
      <c r="E1777" s="4">
        <v>1.0</v>
      </c>
      <c r="F1777" s="4" t="str">
        <f>IFERROR(__xludf.DUMMYFUNCTION("GOOGLETRANSLATE(D1777)"),"@creationsbykole 愛爾蘭科克市...今天氣溫達到 17 度...這對我們來說是熱浪哈哈")</f>
        <v>@creationsbykole 愛爾蘭科克市...今天氣溫達到 17 度...這對我們來說是熱浪哈哈</v>
      </c>
      <c r="G1777" s="4" t="str">
        <f>IFERROR(__xludf.DUMMYFUNCTION("GOOGLETRANSLATE(B1777)"),"熱%20波")</f>
        <v>熱%20波</v>
      </c>
    </row>
    <row r="1778" ht="15.75" customHeight="1">
      <c r="A1778" s="4">
        <v>6050.0</v>
      </c>
      <c r="B1778" s="4" t="s">
        <v>2790</v>
      </c>
      <c r="C1778" s="4" t="s">
        <v>2800</v>
      </c>
      <c r="D1778" s="4" t="s">
        <v>2801</v>
      </c>
      <c r="E1778" s="4">
        <v>1.0</v>
      </c>
      <c r="F1778" s="4" t="str">
        <f>IFERROR(__xludf.DUMMYFUNCTION("GOOGLETRANSLATE(D1778)"),"@hollywarnexx 迷你熱浪 apaz")</f>
        <v>@hollywarnexx 迷你熱浪 apaz</v>
      </c>
      <c r="G1778" s="4" t="str">
        <f>IFERROR(__xludf.DUMMYFUNCTION("GOOGLETRANSLATE(B1778)"),"熱%20波")</f>
        <v>熱%20波</v>
      </c>
    </row>
    <row r="1779" ht="15.75" customHeight="1">
      <c r="A1779" s="4">
        <v>6051.0</v>
      </c>
      <c r="B1779" s="4" t="s">
        <v>2790</v>
      </c>
      <c r="C1779" s="4" t="s">
        <v>2802</v>
      </c>
      <c r="D1779" s="4" t="s">
        <v>2803</v>
      </c>
      <c r="E1779" s="4">
        <v>1.0</v>
      </c>
      <c r="F1779" s="4" t="str">
        <f>IFERROR(__xludf.DUMMYFUNCTION("GOOGLETRANSLATE(D1779)"),"阿納姆天氣 - &amp;lt;p&amp;gt;無情且危險的熱浪將席捲美國中南部Û_ http://t.co/yhAqa5WXoK")</f>
        <v>阿納姆天氣 - &amp;lt;p&amp;gt;無情且危險的熱浪將席捲美國中南部Û_ http://t.co/yhAqa5WXoK</v>
      </c>
      <c r="G1779" s="4" t="str">
        <f>IFERROR(__xludf.DUMMYFUNCTION("GOOGLETRANSLATE(B1779)"),"熱%20波")</f>
        <v>熱%20波</v>
      </c>
    </row>
    <row r="1780" ht="15.75" customHeight="1">
      <c r="A1780" s="4">
        <v>6053.0</v>
      </c>
      <c r="B1780" s="4" t="s">
        <v>2790</v>
      </c>
      <c r="C1780" s="4" t="s">
        <v>2804</v>
      </c>
      <c r="D1780" s="4" t="s">
        <v>2805</v>
      </c>
      <c r="E1780" s="4">
        <v>1.0</v>
      </c>
      <c r="F1780" s="4" t="str">
        <f>IFERROR(__xludf.DUMMYFUNCTION("GOOGLETRANSLATE(D1780)"),"阿聯酋涼爽至中東熱浪；雨看最新[影片]
NCMS 發出雷雨能見度低的警告... http://t.co/Tk65sKe0zm")</f>
        <v>阿聯酋涼爽至中東熱浪；雨看最新[影片]
NCMS 發出雷雨能見度低的警告... http://t.co/Tk65sKe0zm</v>
      </c>
      <c r="G1780" s="4" t="str">
        <f>IFERROR(__xludf.DUMMYFUNCTION("GOOGLETRANSLATE(B1780)"),"熱%20波")</f>
        <v>熱%20波</v>
      </c>
    </row>
    <row r="1781" ht="15.75" customHeight="1">
      <c r="A1781" s="4">
        <v>6055.0</v>
      </c>
      <c r="B1781" s="4" t="s">
        <v>2790</v>
      </c>
      <c r="C1781" s="4" t="s">
        <v>2806</v>
      </c>
      <c r="D1781" s="4" t="s">
        <v>2807</v>
      </c>
      <c r="E1781" s="4">
        <v>1.0</v>
      </c>
      <c r="F1781" s="4" t="str">
        <f>IFERROR(__xludf.DUMMYFUNCTION("GOOGLETRANSLATE(D1781)"),"@KlaraJoelsson 好吧，我現在已經看到了！真是太糟糕了。我們經歷過這股熱浪…43'c！我比較喜歡下雨...:P")</f>
        <v>@KlaraJoelsson 好吧，我現在已經看到了！真是太糟糕了。我們經歷過這股熱浪…43'c！我比較喜歡下雨...:P</v>
      </c>
      <c r="G1781" s="4" t="str">
        <f>IFERROR(__xludf.DUMMYFUNCTION("GOOGLETRANSLATE(B1781)"),"熱%20波")</f>
        <v>熱%20波</v>
      </c>
    </row>
    <row r="1782" ht="15.75" customHeight="1">
      <c r="A1782" s="4">
        <v>6056.0</v>
      </c>
      <c r="B1782" s="4" t="s">
        <v>2790</v>
      </c>
      <c r="D1782" s="4" t="s">
        <v>2808</v>
      </c>
      <c r="E1782" s="4">
        <v>1.0</v>
      </c>
      <c r="F1782" s="4" t="str">
        <f>IFERROR(__xludf.DUMMYFUNCTION("GOOGLETRANSLATE(D1782)"),"這是一股熱浪。 #Squad #RevItUp #PizzaRev http://t.co/bp8bm8xSXw")</f>
        <v>這是一股熱浪。 #Squad #RevItUp #PizzaRev http://t.co/bp8bm8xSXw</v>
      </c>
      <c r="G1782" s="4" t="str">
        <f>IFERROR(__xludf.DUMMYFUNCTION("GOOGLETRANSLATE(B1782)"),"熱%20波")</f>
        <v>熱%20波</v>
      </c>
    </row>
    <row r="1783" ht="15.75" customHeight="1">
      <c r="A1783" s="4">
        <v>6057.0</v>
      </c>
      <c r="B1783" s="4" t="s">
        <v>2790</v>
      </c>
      <c r="C1783" s="4" t="s">
        <v>2809</v>
      </c>
      <c r="D1783" s="4" t="s">
        <v>2810</v>
      </c>
      <c r="E1783" s="4">
        <v>1.0</v>
      </c>
      <c r="F1783" s="4" t="str">
        <f>IFERROR(__xludf.DUMMYFUNCTION("GOOGLETRANSLATE(D1783)"),"#Jackson #ms 達拉斯自 2013 年天氣預報以來最長連續三位數高溫 http://t.co/Ih0Awv3L1O")</f>
        <v>#Jackson #ms 達拉斯自 2013 年天氣預報以來最長連續三位數高溫 http://t.co/Ih0Awv3L1O</v>
      </c>
      <c r="G1783" s="4" t="str">
        <f>IFERROR(__xludf.DUMMYFUNCTION("GOOGLETRANSLATE(B1783)"),"熱%20波")</f>
        <v>熱%20波</v>
      </c>
    </row>
    <row r="1784" ht="15.75" customHeight="1">
      <c r="A1784" s="4">
        <v>6058.0</v>
      </c>
      <c r="B1784" s="4" t="s">
        <v>2790</v>
      </c>
      <c r="C1784" s="4" t="s">
        <v>2811</v>
      </c>
      <c r="D1784" s="4" t="s">
        <v>2812</v>
      </c>
      <c r="E1784" s="4">
        <v>1.0</v>
      </c>
      <c r="F1784" s="4" t="str">
        <f>IFERROR(__xludf.DUMMYFUNCTION("GOOGLETRANSLATE(D1784)"),"必讀預測！自 2013 年以來最長連續三位數高溫 接下來會發生什麼事？ http://t.co/xXOuPfy8nQ http://t.co/A3BJabHQhe")</f>
        <v>必讀預測！自 2013 年以來最長連續三位數高溫 接下來會發生什麼事？ http://t.co/xXOuPfy8nQ http://t.co/A3BJabHQhe</v>
      </c>
      <c r="G1784" s="4" t="str">
        <f>IFERROR(__xludf.DUMMYFUNCTION("GOOGLETRANSLATE(B1784)"),"熱%20波")</f>
        <v>熱%20波</v>
      </c>
    </row>
    <row r="1785" ht="15.75" customHeight="1">
      <c r="A1785" s="4">
        <v>6059.0</v>
      </c>
      <c r="B1785" s="4" t="s">
        <v>2790</v>
      </c>
      <c r="C1785" s="4" t="s">
        <v>2813</v>
      </c>
      <c r="D1785" s="4" t="s">
        <v>2814</v>
      </c>
      <c r="E1785" s="4">
        <v>1.0</v>
      </c>
      <c r="F1785" s="4" t="str">
        <f>IFERROR(__xludf.DUMMYFUNCTION("GOOGLETRANSLATE(D1785)"),"@wfaaweather Pete 熱浪什麼時候過去？真的要到月中了嗎？弗里斯科童子軍在俄克拉荷馬州進行獨木舟之旅。")</f>
        <v>@wfaaweather Pete 熱浪什麼時候過去？真的要到月中了嗎？弗里斯科童子軍在俄克拉荷馬州進行獨木舟之旅。</v>
      </c>
      <c r="G1785" s="4" t="str">
        <f>IFERROR(__xludf.DUMMYFUNCTION("GOOGLETRANSLATE(B1785)"),"熱%20波")</f>
        <v>熱%20波</v>
      </c>
    </row>
    <row r="1786" ht="15.75" customHeight="1">
      <c r="A1786" s="4">
        <v>6060.0</v>
      </c>
      <c r="B1786" s="4" t="s">
        <v>2790</v>
      </c>
      <c r="D1786" s="4" t="s">
        <v>2815</v>
      </c>
      <c r="E1786" s="4">
        <v>1.0</v>
      </c>
      <c r="F1786" s="4" t="str">
        <f>IFERROR(__xludf.DUMMYFUNCTION("GOOGLETRANSLATE(D1786)"),"不..準備好應對這股熱浪..我不想讓太陽出來..我正在享受這涼爽的時光..")</f>
        <v>不..準備好應對這股熱浪..我不想讓太陽出來..我正在享受這涼爽的時光..</v>
      </c>
      <c r="G1786" s="4" t="str">
        <f>IFERROR(__xludf.DUMMYFUNCTION("GOOGLETRANSLATE(B1786)"),"熱%20波")</f>
        <v>熱%20波</v>
      </c>
    </row>
    <row r="1787" ht="15.75" customHeight="1">
      <c r="A1787" s="4">
        <v>6061.0</v>
      </c>
      <c r="B1787" s="4" t="s">
        <v>2790</v>
      </c>
      <c r="C1787" s="4" t="s">
        <v>2816</v>
      </c>
      <c r="D1787" s="4" t="s">
        <v>2817</v>
      </c>
      <c r="E1787" s="4">
        <v>1.0</v>
      </c>
      <c r="F1787" s="4" t="str">
        <f>IFERROR(__xludf.DUMMYFUNCTION("GOOGLETRANSLATE(D1787)"),"今晚有點涼爽。熱浪終於結束了嗎？？ ???? 7amdollela 3la kulli 7aal")</f>
        <v>今晚有點涼爽。熱浪終於結束了嗎？？ ???? 7amdollela 3la kulli 7aal</v>
      </c>
      <c r="G1787" s="4" t="str">
        <f>IFERROR(__xludf.DUMMYFUNCTION("GOOGLETRANSLATE(B1787)"),"熱%20波")</f>
        <v>熱%20波</v>
      </c>
    </row>
    <row r="1788" ht="15.75" customHeight="1">
      <c r="A1788" s="4">
        <v>6064.0</v>
      </c>
      <c r="B1788" s="4" t="s">
        <v>2790</v>
      </c>
      <c r="D1788" s="4" t="s">
        <v>2818</v>
      </c>
      <c r="E1788" s="4">
        <v>1.0</v>
      </c>
      <c r="F1788" s="4" t="str">
        <f>IFERROR(__xludf.DUMMYFUNCTION("GOOGLETRANSLATE(D1788)"),"熱浪即將結束！不過，大面積的降雨會影響部分地區。詳細資訊現在 NBC10 下午 5 點播出")</f>
        <v>熱浪即將結束！不過，大面積的降雨會影響部分地區。詳細資訊現在 NBC10 下午 5 點播出</v>
      </c>
      <c r="G1788" s="4" t="str">
        <f>IFERROR(__xludf.DUMMYFUNCTION("GOOGLETRANSLATE(B1788)"),"熱%20波")</f>
        <v>熱%20波</v>
      </c>
    </row>
    <row r="1789" ht="15.75" customHeight="1">
      <c r="A1789" s="4">
        <v>6065.0</v>
      </c>
      <c r="B1789" s="4" t="s">
        <v>2790</v>
      </c>
      <c r="C1789" s="4" t="s">
        <v>2819</v>
      </c>
      <c r="D1789" s="4" t="s">
        <v>2820</v>
      </c>
      <c r="E1789" s="4">
        <v>1.0</v>
      </c>
      <c r="F1789" s="4" t="str">
        <f>IFERROR(__xludf.DUMMYFUNCTION("GOOGLETRANSLATE(D1789)"),"@rachelcaine 天氣需要讓它清醒過來。第一場雪龍捲風現在你會說熱浪嗎？")</f>
        <v>@rachelcaine 天氣需要讓它清醒過來。第一場雪龍捲風現在你會說熱浪嗎？</v>
      </c>
      <c r="G1789" s="4" t="str">
        <f>IFERROR(__xludf.DUMMYFUNCTION("GOOGLETRANSLATE(B1789)"),"熱%20波")</f>
        <v>熱%20波</v>
      </c>
    </row>
    <row r="1790" ht="15.75" customHeight="1">
      <c r="A1790" s="4">
        <v>6069.0</v>
      </c>
      <c r="B1790" s="4" t="s">
        <v>2790</v>
      </c>
      <c r="C1790" s="4" t="s">
        <v>38</v>
      </c>
      <c r="D1790" s="4" t="s">
        <v>2821</v>
      </c>
      <c r="E1790" s="4">
        <v>1.0</v>
      </c>
      <c r="F1790" s="4" t="str">
        <f>IFERROR(__xludf.DUMMYFUNCTION("GOOGLETRANSLATE(D1790)"),"西伯利亞熱浪造成嚴重損失且沒有賠償（報告） - http://t.co/wMDihdiz1r（來自 PalinfoEn）#Palestine")</f>
        <v>西伯利亞熱浪造成嚴重損失且沒有賠償（報告） - http://t.co/wMDihdiz1r（來自 PalinfoEn）#Palestine</v>
      </c>
      <c r="G1790" s="4" t="str">
        <f>IFERROR(__xludf.DUMMYFUNCTION("GOOGLETRANSLATE(B1790)"),"熱%20波")</f>
        <v>熱%20波</v>
      </c>
    </row>
    <row r="1791" ht="15.75" customHeight="1">
      <c r="A1791" s="4">
        <v>6070.0</v>
      </c>
      <c r="B1791" s="4" t="s">
        <v>2790</v>
      </c>
      <c r="C1791" s="4" t="s">
        <v>2822</v>
      </c>
      <c r="D1791" s="4" t="s">
        <v>2823</v>
      </c>
      <c r="E1791" s="4">
        <v>1.0</v>
      </c>
      <c r="F1791" s="4" t="str">
        <f>IFERROR(__xludf.DUMMYFUNCTION("GOOGLETRANSLATE(D1791)"),"熱浪加劇了國內流離失所的加沙人的痛苦 http://t.co/jW3hN9ewFT 來自 @PressTV http://t.co/NYWrkRQ7Kn")</f>
        <v>熱浪加劇了國內流離失所的加沙人的痛苦 http://t.co/jW3hN9ewFT 來自 @PressTV http://t.co/NYWrkRQ7Kn</v>
      </c>
      <c r="G1791" s="4" t="str">
        <f>IFERROR(__xludf.DUMMYFUNCTION("GOOGLETRANSLATE(B1791)"),"熱%20波")</f>
        <v>熱%20波</v>
      </c>
    </row>
    <row r="1792" ht="15.75" customHeight="1">
      <c r="A1792" s="4">
        <v>6072.0</v>
      </c>
      <c r="B1792" s="4" t="s">
        <v>2790</v>
      </c>
      <c r="C1792" s="4" t="s">
        <v>756</v>
      </c>
      <c r="D1792" s="4" t="s">
        <v>2824</v>
      </c>
      <c r="E1792" s="4">
        <v>1.0</v>
      </c>
      <c r="F1792" s="4" t="str">
        <f>IFERROR(__xludf.DUMMYFUNCTION("GOOGLETRANSLATE(D1792)"),"達拉斯自 2013 年以來最長的三位數高溫預報：無情且危險的熱浪將... http://t.co/s4Srgrmqcz")</f>
        <v>達拉斯自 2013 年以來最長的三位數高溫預報：無情且危險的熱浪將... http://t.co/s4Srgrmqcz</v>
      </c>
      <c r="G1792" s="4" t="str">
        <f>IFERROR(__xludf.DUMMYFUNCTION("GOOGLETRANSLATE(B1792)"),"熱%20波")</f>
        <v>熱%20波</v>
      </c>
    </row>
    <row r="1793" ht="15.75" customHeight="1">
      <c r="A1793" s="4">
        <v>6073.0</v>
      </c>
      <c r="B1793" s="4" t="s">
        <v>2790</v>
      </c>
      <c r="C1793" s="4" t="s">
        <v>2825</v>
      </c>
      <c r="D1793" s="4" t="s">
        <v>2826</v>
      </c>
      <c r="E1793" s="4">
        <v>1.0</v>
      </c>
      <c r="F1793" s="4" t="str">
        <f>IFERROR(__xludf.DUMMYFUNCTION("GOOGLETRANSLATE(D1793)"),"今天熱浪肯定超過9000度")</f>
        <v>今天熱浪肯定超過9000度</v>
      </c>
      <c r="G1793" s="4" t="str">
        <f>IFERROR(__xludf.DUMMYFUNCTION("GOOGLETRANSLATE(B1793)"),"熱%20波")</f>
        <v>熱%20波</v>
      </c>
    </row>
    <row r="1794" ht="15.75" customHeight="1">
      <c r="A1794" s="4">
        <v>6078.0</v>
      </c>
      <c r="B1794" s="4" t="s">
        <v>2790</v>
      </c>
      <c r="D1794" s="4" t="s">
        <v>2827</v>
      </c>
      <c r="E1794" s="4">
        <v>1.0</v>
      </c>
      <c r="F1794" s="4" t="str">
        <f>IFERROR(__xludf.DUMMYFUNCTION("GOOGLETRANSLATE(D1794)"),"達拉斯自 2013 年預報以來最長連續三位數高溫 http://t.co/xc96rWUSZb http://t.co/XM9stfzcpV")</f>
        <v>達拉斯自 2013 年預報以來最長連續三位數高溫 http://t.co/xc96rWUSZb http://t.co/XM9stfzcpV</v>
      </c>
      <c r="G1794" s="4" t="str">
        <f>IFERROR(__xludf.DUMMYFUNCTION("GOOGLETRANSLATE(B1794)"),"熱%20波")</f>
        <v>熱%20波</v>
      </c>
    </row>
    <row r="1795" ht="15.75" customHeight="1">
      <c r="A1795" s="4">
        <v>6084.0</v>
      </c>
      <c r="B1795" s="4" t="s">
        <v>2790</v>
      </c>
      <c r="C1795" s="4" t="s">
        <v>2828</v>
      </c>
      <c r="D1795" s="4" t="s">
        <v>2829</v>
      </c>
      <c r="E1795" s="4">
        <v>1.0</v>
      </c>
      <c r="F1795" s="4" t="str">
        <f>IFERROR(__xludf.DUMMYFUNCTION("GOOGLETRANSLATE(D1795)"),"天氣戰 跟著錢走 這個政府就是我們的開國元勳就天氣向我們發出的警告...... http://t.co/TgtCRU8jiO")</f>
        <v>天氣戰 跟著錢走 這個政府就是我們的開國元勳就天氣向我們發出的警告...... http://t.co/TgtCRU8jiO</v>
      </c>
      <c r="G1795" s="4" t="str">
        <f>IFERROR(__xludf.DUMMYFUNCTION("GOOGLETRANSLATE(B1795)"),"熱%20波")</f>
        <v>熱%20波</v>
      </c>
    </row>
    <row r="1796" ht="15.75" customHeight="1">
      <c r="A1796" s="4">
        <v>6097.0</v>
      </c>
      <c r="B1796" s="4" t="s">
        <v>2830</v>
      </c>
      <c r="D1796" s="4" t="s">
        <v>2831</v>
      </c>
      <c r="E1796" s="4">
        <v>1.0</v>
      </c>
      <c r="F1796" s="4" t="str">
        <f>IFERROR(__xludf.DUMMYFUNCTION("GOOGLETRANSLATE(D1796)"),"先知（願主福安之）說：“即使是通過施捨半顆棗子，也能將自己從地獄之火中拯救出來。”")</f>
        <v>先知（願主福安之）說：“即使是通過施捨半顆棗子，也能將自己從地獄之火中拯救出來。”</v>
      </c>
      <c r="G1796" s="4" t="str">
        <f>IFERROR(__xludf.DUMMYFUNCTION("GOOGLETRANSLATE(B1796)"),"地獄火")</f>
        <v>地獄火</v>
      </c>
    </row>
    <row r="1797" ht="15.75" customHeight="1">
      <c r="A1797" s="4">
        <v>6112.0</v>
      </c>
      <c r="B1797" s="4" t="s">
        <v>2830</v>
      </c>
      <c r="D1797" s="4" t="s">
        <v>2832</v>
      </c>
      <c r="E1797" s="4">
        <v>1.0</v>
      </c>
      <c r="F1797" s="4" t="str">
        <f>IFERROR(__xludf.DUMMYFUNCTION("GOOGLETRANSLATE(D1797)"),"地獄之火被慾望包圍，所以要小心，不要讓你的慾望控制你！ #來世")</f>
        <v>地獄之火被慾望包圍，所以要小心，不要讓你的慾望控制你！ #來世</v>
      </c>
      <c r="G1797" s="4" t="str">
        <f>IFERROR(__xludf.DUMMYFUNCTION("GOOGLETRANSLATE(B1797)"),"地獄火")</f>
        <v>地獄火</v>
      </c>
    </row>
    <row r="1798" ht="15.75" customHeight="1">
      <c r="A1798" s="4">
        <v>6120.0</v>
      </c>
      <c r="B1798" s="4" t="s">
        <v>2830</v>
      </c>
      <c r="C1798" s="4" t="s">
        <v>679</v>
      </c>
      <c r="D1798" s="4" t="s">
        <v>2833</v>
      </c>
      <c r="E1798" s="4">
        <v>1.0</v>
      </c>
      <c r="F1798" s="4" t="str">
        <f>IFERROR(__xludf.DUMMYFUNCTION("GOOGLETRANSLATE(D1798)"),"@gg_keeponrockin @StrawberrySoryu 哦，好吧，我剛收到兩次訊息，就開始懷疑了。對不起。我會檢查一下！")</f>
        <v>@gg_keeponrockin @StrawberrySoryu 哦，好吧，我剛收到兩次訊息，就開始懷疑了。對不起。我會檢查一下！</v>
      </c>
      <c r="G1798" s="4" t="str">
        <f>IFERROR(__xludf.DUMMYFUNCTION("GOOGLETRANSLATE(B1798)"),"地獄火")</f>
        <v>地獄火</v>
      </c>
    </row>
    <row r="1799" ht="15.75" customHeight="1">
      <c r="A1799" s="4">
        <v>6123.0</v>
      </c>
      <c r="B1799" s="4" t="s">
        <v>2830</v>
      </c>
      <c r="C1799" s="4" t="s">
        <v>2834</v>
      </c>
      <c r="D1799" s="4" t="s">
        <v>2835</v>
      </c>
      <c r="E1799" s="4">
        <v>1.0</v>
      </c>
      <c r="F1799" s="4" t="str">
        <f>IFERROR(__xludf.DUMMYFUNCTION("GOOGLETRANSLATE(D1799)"),"#Allah 描述了堆積 #wealth 並認為它會持續#forever，就像 Surah Humaza 中對 #Hellfire 人民的描述一樣。 ＃反映")</f>
        <v>#Allah 描述了堆積 #wealth 並認為它會持續#forever，就像 Surah Humaza 中對 #Hellfire 人民的描述一樣。 ＃反映</v>
      </c>
      <c r="G1799" s="4" t="str">
        <f>IFERROR(__xludf.DUMMYFUNCTION("GOOGLETRANSLATE(B1799)"),"地獄火")</f>
        <v>地獄火</v>
      </c>
    </row>
    <row r="1800" ht="15.75" customHeight="1">
      <c r="A1800" s="4">
        <v>6126.0</v>
      </c>
      <c r="B1800" s="4" t="s">
        <v>2830</v>
      </c>
      <c r="C1800" s="4" t="s">
        <v>2836</v>
      </c>
      <c r="D1800" s="4" t="s">
        <v>2837</v>
      </c>
      <c r="E1800" s="4">
        <v>1.0</v>
      </c>
      <c r="F1800" s="4" t="str">
        <f>IFERROR(__xludf.DUMMYFUNCTION("GOOGLETRANSLATE(D1800)"),"邪能領主札庫恩即將死去！ #Hellfire #WOD http://t.co/x1oNV3d5uX")</f>
        <v>邪能領主札庫恩即將死去！ #Hellfire #WOD http://t.co/x1oNV3d5uX</v>
      </c>
      <c r="G1800" s="4" t="str">
        <f>IFERROR(__xludf.DUMMYFUNCTION("GOOGLETRANSLATE(B1800)"),"地獄火")</f>
        <v>地獄火</v>
      </c>
    </row>
    <row r="1801" ht="15.75" customHeight="1">
      <c r="A1801" s="4">
        <v>6132.0</v>
      </c>
      <c r="B1801" s="4" t="s">
        <v>2830</v>
      </c>
      <c r="D1801" s="4" t="s">
        <v>2831</v>
      </c>
      <c r="E1801" s="4">
        <v>1.0</v>
      </c>
      <c r="F1801" s="4" t="str">
        <f>IFERROR(__xludf.DUMMYFUNCTION("GOOGLETRANSLATE(D1801)"),"先知（願主福安之）說：“即使是通過施捨半顆棗子，也能將自己從地獄之火中拯救出來。”")</f>
        <v>先知（願主福安之）說：“即使是通過施捨半顆棗子，也能將自己從地獄之火中拯救出來。”</v>
      </c>
      <c r="G1801" s="4" t="str">
        <f>IFERROR(__xludf.DUMMYFUNCTION("GOOGLETRANSLATE(B1801)"),"地獄火")</f>
        <v>地獄火</v>
      </c>
    </row>
    <row r="1802" ht="15.75" customHeight="1">
      <c r="A1802" s="4">
        <v>6134.0</v>
      </c>
      <c r="B1802" s="4" t="s">
        <v>2830</v>
      </c>
      <c r="C1802" s="4" t="s">
        <v>2838</v>
      </c>
      <c r="D1802" s="4" t="s">
        <v>2839</v>
      </c>
      <c r="E1802" s="4">
        <v>1.0</v>
      </c>
      <c r="F1802" s="4" t="str">
        <f>IFERROR(__xludf.DUMMYFUNCTION("GOOGLETRANSLATE(D1802)"),"地獄火！我們甚至不想考慮它或提及它，所以我們不要做任何導致它的事情#islam！")</f>
        <v>地獄火！我們甚至不想考慮它或提及它，所以我們不要做任何導致它的事情#islam！</v>
      </c>
      <c r="G1802" s="4" t="str">
        <f>IFERROR(__xludf.DUMMYFUNCTION("GOOGLETRANSLATE(B1802)"),"地獄火")</f>
        <v>地獄火</v>
      </c>
    </row>
    <row r="1803" ht="15.75" customHeight="1">
      <c r="A1803" s="4">
        <v>6135.0</v>
      </c>
      <c r="B1803" s="4" t="s">
        <v>2840</v>
      </c>
      <c r="C1803" s="4" t="s">
        <v>2841</v>
      </c>
      <c r="D1803" s="4" t="s">
        <v>2842</v>
      </c>
      <c r="E1803" s="4">
        <v>1.0</v>
      </c>
      <c r="F1803" s="4" t="str">
        <f>IFERROR(__xludf.DUMMYFUNCTION("GOOGLETRANSLATE(D1803)"),"巴耶爾薩局勢緊張，喬納森計劃劫持 APC PDP - http://t.co/ComLG0VdbV")</f>
        <v>巴耶爾薩局勢緊張，喬納森計劃劫持 APC PDP - http://t.co/ComLG0VdbV</v>
      </c>
      <c r="G1803" s="4" t="str">
        <f>IFERROR(__xludf.DUMMYFUNCTION("GOOGLETRANSLATE(B1803)"),"劫持")</f>
        <v>劫持</v>
      </c>
    </row>
    <row r="1804" ht="15.75" customHeight="1">
      <c r="A1804" s="4">
        <v>6138.0</v>
      </c>
      <c r="B1804" s="4" t="s">
        <v>2840</v>
      </c>
      <c r="D1804" s="4" t="s">
        <v>2843</v>
      </c>
      <c r="E1804" s="4">
        <v>1.0</v>
      </c>
      <c r="F1804" s="4" t="str">
        <f>IFERROR(__xludf.DUMMYFUNCTION("GOOGLETRANSLATE(D1804)"),"巴耶爾薩民意調查：巴耶爾薩局勢緊張，因為耐心喬納森計劃劫持 APC PDP：前第一夫人的計劃和... http://t.co/86RSYy2tng")</f>
        <v>巴耶爾薩民意調查：巴耶爾薩局勢緊張，因為耐心喬納森計劃劫持 APC PDP：前第一夫人的計劃和... http://t.co/86RSYy2tng</v>
      </c>
      <c r="G1804" s="4" t="str">
        <f>IFERROR(__xludf.DUMMYFUNCTION("GOOGLETRANSLATE(B1804)"),"劫持")</f>
        <v>劫持</v>
      </c>
    </row>
    <row r="1805" ht="15.75" customHeight="1">
      <c r="A1805" s="4">
        <v>6140.0</v>
      </c>
      <c r="B1805" s="4" t="s">
        <v>2840</v>
      </c>
      <c r="C1805" s="4" t="s">
        <v>942</v>
      </c>
      <c r="D1805" s="4" t="s">
        <v>2844</v>
      </c>
      <c r="E1805" s="4">
        <v>1.0</v>
      </c>
      <c r="F1805" s="4" t="str">
        <f>IFERROR(__xludf.DUMMYFUNCTION("GOOGLETRANSLATE(D1805)"),"@dreamoforgonon @TeeEss 不是要劫持，但作為一個真正的順女士，我可以確認這是真的；偶然的同性戀 =/= 女性同性戀/雙性戀。")</f>
        <v>@dreamoforgonon @TeeEss 不是要劫持，但作為一個真正的順女士，我可以確認這是真的；偶然的同性戀 =/= 女性同性戀/雙性戀。</v>
      </c>
      <c r="G1805" s="4" t="str">
        <f>IFERROR(__xludf.DUMMYFUNCTION("GOOGLETRANSLATE(B1805)"),"劫持")</f>
        <v>劫持</v>
      </c>
    </row>
    <row r="1806" ht="15.75" customHeight="1">
      <c r="A1806" s="4">
        <v>6147.0</v>
      </c>
      <c r="B1806" s="4" t="s">
        <v>2840</v>
      </c>
      <c r="D1806" s="4" t="s">
        <v>2845</v>
      </c>
      <c r="E1806" s="4">
        <v>1.0</v>
      </c>
      <c r="F1806" s="4" t="str">
        <f>IFERROR(__xludf.DUMMYFUNCTION("GOOGLETRANSLATE(D1806)"),"我剛剛在我的部落格上發布了有關：劫持卡車和巴士的罪犯在埃努古被捕（照片）http://t.co/5ytIeX55lh")</f>
        <v>我剛剛在我的部落格上發布了有關：劫持卡車和巴士的罪犯在埃努古被捕（照片）http://t.co/5ytIeX55lh</v>
      </c>
      <c r="G1806" s="4" t="str">
        <f>IFERROR(__xludf.DUMMYFUNCTION("GOOGLETRANSLATE(B1806)"),"劫持")</f>
        <v>劫持</v>
      </c>
    </row>
    <row r="1807" ht="15.75" customHeight="1">
      <c r="A1807" s="4">
        <v>6148.0</v>
      </c>
      <c r="B1807" s="4" t="s">
        <v>2840</v>
      </c>
      <c r="C1807" s="4" t="s">
        <v>656</v>
      </c>
      <c r="D1807" s="4" t="s">
        <v>2846</v>
      </c>
      <c r="E1807" s="4">
        <v>1.0</v>
      </c>
      <c r="F1807" s="4" t="str">
        <f>IFERROR(__xludf.DUMMYFUNCTION("GOOGLETRANSLATE(D1807)"),"劫持卡車和巴士的罪犯在埃努古被捕（照片）@DONJAZZY @PoliceNG #HumanRights https://t.co/XyFl8wy62g")</f>
        <v>劫持卡車和巴士的罪犯在埃努古被捕（照片）@DONJAZZY @PoliceNG #HumanRights https://t.co/XyFl8wy62g</v>
      </c>
      <c r="G1807" s="4" t="str">
        <f>IFERROR(__xludf.DUMMYFUNCTION("GOOGLETRANSLATE(B1807)"),"劫持")</f>
        <v>劫持</v>
      </c>
    </row>
    <row r="1808" ht="15.75" customHeight="1">
      <c r="A1808" s="4">
        <v>6150.0</v>
      </c>
      <c r="B1808" s="4" t="s">
        <v>2840</v>
      </c>
      <c r="C1808" s="4" t="s">
        <v>1013</v>
      </c>
      <c r="D1808" s="4" t="s">
        <v>2847</v>
      </c>
      <c r="E1808" s="4">
        <v>1.0</v>
      </c>
      <c r="F1808" s="4" t="str">
        <f>IFERROR(__xludf.DUMMYFUNCTION("GOOGLETRANSLATE(D1808)"),"劫持卡車和巴士的罪犯在埃努古被捕（照片）http://t.co/LRTU8Rwn2f")</f>
        <v>劫持卡車和巴士的罪犯在埃努古被捕（照片）http://t.co/LRTU8Rwn2f</v>
      </c>
      <c r="G1808" s="4" t="str">
        <f>IFERROR(__xludf.DUMMYFUNCTION("GOOGLETRANSLATE(B1808)"),"劫持")</f>
        <v>劫持</v>
      </c>
    </row>
    <row r="1809" ht="15.75" customHeight="1">
      <c r="A1809" s="4">
        <v>6151.0</v>
      </c>
      <c r="B1809" s="4" t="s">
        <v>2840</v>
      </c>
      <c r="D1809" s="4" t="s">
        <v>2848</v>
      </c>
      <c r="E1809" s="4">
        <v>1.0</v>
      </c>
      <c r="F1809" s="4" t="str">
        <f>IFERROR(__xludf.DUMMYFUNCTION("GOOGLETRANSLATE(D1809)"),"巴耶爾薩局勢緊張，喬納森計畫劫持 APC PDP http://t.co/epABiNcZmJ http://t.co/1SgzGtgfw9")</f>
        <v>巴耶爾薩局勢緊張，喬納森計畫劫持 APC PDP http://t.co/epABiNcZmJ http://t.co/1SgzGtgfw9</v>
      </c>
      <c r="G1809" s="4" t="str">
        <f>IFERROR(__xludf.DUMMYFUNCTION("GOOGLETRANSLATE(B1809)"),"劫持")</f>
        <v>劫持</v>
      </c>
    </row>
    <row r="1810" ht="15.75" customHeight="1">
      <c r="A1810" s="4">
        <v>6152.0</v>
      </c>
      <c r="B1810" s="4" t="s">
        <v>2840</v>
      </c>
      <c r="C1810" s="4" t="s">
        <v>1441</v>
      </c>
      <c r="D1810" s="4" t="s">
        <v>2849</v>
      </c>
      <c r="E1810" s="4">
        <v>1.0</v>
      </c>
      <c r="F1810" s="4" t="str">
        <f>IFERROR(__xludf.DUMMYFUNCTION("GOOGLETRANSLATE(D1810)"),"前第一夫人和前總統古德勒克·喬納森（Goodluck Jonathan）的妻子·戴姆·佩蒂斯·喬納森（Dame Patience Jonathan）計劃劫持所有...... http://t.co/ HaShGQAFic")</f>
        <v>前第一夫人和前總統古德勒克·喬納森（Goodluck Jonathan）的妻子·戴姆·佩蒂斯·喬納森（Dame Patience Jonathan）計劃劫持所有...... http://t.co/ HaShGQAFic</v>
      </c>
      <c r="G1810" s="4" t="str">
        <f>IFERROR(__xludf.DUMMYFUNCTION("GOOGLETRANSLATE(B1810)"),"劫持")</f>
        <v>劫持</v>
      </c>
    </row>
    <row r="1811" ht="15.75" customHeight="1">
      <c r="A1811" s="4">
        <v>6154.0</v>
      </c>
      <c r="B1811" s="4" t="s">
        <v>2840</v>
      </c>
      <c r="C1811" s="4" t="s">
        <v>2850</v>
      </c>
      <c r="D1811" s="4" t="s">
        <v>2851</v>
      </c>
      <c r="E1811" s="4">
        <v>1.0</v>
      </c>
      <c r="F1811" s="4" t="str">
        <f>IFERROR(__xludf.DUMMYFUNCTION("GOOGLETRANSLATE(D1811)"),"耐心喬納森正在巴耶爾薩州劫持 APC http://t.co/rJac5sItEp http://t.co/Plqf1bikS4")</f>
        <v>耐心喬納森正在巴耶爾薩州劫持 APC http://t.co/rJac5sItEp http://t.co/Plqf1bikS4</v>
      </c>
      <c r="G1811" s="4" t="str">
        <f>IFERROR(__xludf.DUMMYFUNCTION("GOOGLETRANSLATE(B1811)"),"劫持")</f>
        <v>劫持</v>
      </c>
    </row>
    <row r="1812" ht="15.75" customHeight="1">
      <c r="A1812" s="4">
        <v>6156.0</v>
      </c>
      <c r="B1812" s="4" t="s">
        <v>2840</v>
      </c>
      <c r="D1812" s="4" t="s">
        <v>2852</v>
      </c>
      <c r="E1812" s="4">
        <v>1.0</v>
      </c>
      <c r="F1812" s="4" t="str">
        <f>IFERROR(__xludf.DUMMYFUNCTION("GOOGLETRANSLATE(D1812)"),"劫持卡車和巴士的罪犯在埃努古被捕：根據尼日利亞警察部隊的說法...http://t.co/FfKcj8pfj2 Via @Music212")</f>
        <v>劫持卡車和巴士的罪犯在埃努古被捕：根據尼日利亞警察部隊的說法...http://t.co/FfKcj8pfj2 Via @Music212</v>
      </c>
      <c r="G1812" s="4" t="str">
        <f>IFERROR(__xludf.DUMMYFUNCTION("GOOGLETRANSLATE(B1812)"),"劫持")</f>
        <v>劫持</v>
      </c>
    </row>
    <row r="1813" ht="15.75" customHeight="1">
      <c r="A1813" s="4">
        <v>6164.0</v>
      </c>
      <c r="B1813" s="4" t="s">
        <v>2840</v>
      </c>
      <c r="C1813" s="4" t="s">
        <v>997</v>
      </c>
      <c r="D1813" s="4" t="s">
        <v>2853</v>
      </c>
      <c r="E1813" s="4">
        <v>1.0</v>
      </c>
      <c r="F1813" s="4" t="str">
        <f>IFERROR(__xludf.DUMMYFUNCTION("GOOGLETRANSLATE(D1813)"),"{:en}巴耶爾薩局勢緊張，喬納森計畫劫持 APCåÊPDP{:} http://t.co/W1ufeibALa http://t.co/bIULQpRxke")</f>
        <v>{:en}巴耶爾薩局勢緊張，喬納森計畫劫持 APCåÊPDP{:} http://t.co/W1ufeibALa http://t.co/bIULQpRxke</v>
      </c>
      <c r="G1813" s="4" t="str">
        <f>IFERROR(__xludf.DUMMYFUNCTION("GOOGLETRANSLATE(B1813)"),"劫持")</f>
        <v>劫持</v>
      </c>
    </row>
    <row r="1814" ht="15.75" customHeight="1">
      <c r="A1814" s="4">
        <v>6165.0</v>
      </c>
      <c r="B1814" s="4" t="s">
        <v>2840</v>
      </c>
      <c r="D1814" s="4" t="s">
        <v>2854</v>
      </c>
      <c r="E1814" s="4">
        <v>1.0</v>
      </c>
      <c r="F1814" s="4" t="str">
        <f>IFERROR(__xludf.DUMMYFUNCTION("GOOGLETRANSLATE(D1814)"),"斯旺西為南安普敦目標維吉爾範戴克策劃劫持轉會舉動 http://t.co/PVmr38LnvA")</f>
        <v>斯旺西為南安普敦目標維吉爾範戴克策劃劫持轉會舉動 http://t.co/PVmr38LnvA</v>
      </c>
      <c r="G1814" s="4" t="str">
        <f>IFERROR(__xludf.DUMMYFUNCTION("GOOGLETRANSLATE(B1814)"),"劫持")</f>
        <v>劫持</v>
      </c>
    </row>
    <row r="1815" ht="15.75" customHeight="1">
      <c r="A1815" s="4">
        <v>6170.0</v>
      </c>
      <c r="B1815" s="4" t="s">
        <v>2840</v>
      </c>
      <c r="C1815" s="4" t="s">
        <v>283</v>
      </c>
      <c r="D1815" s="4" t="s">
        <v>2855</v>
      </c>
      <c r="E1815" s="4">
        <v>1.0</v>
      </c>
      <c r="F1815" s="4" t="str">
        <f>IFERROR(__xludf.DUMMYFUNCTION("GOOGLETRANSLATE(D1815)"),"#LatestNews：巴耶爾薩局勢緊張，喬納森計劃劫持 APC PDP")</f>
        <v>#LatestNews：巴耶爾薩局勢緊張，喬納森計劃劫持 APC PDP</v>
      </c>
      <c r="G1815" s="4" t="str">
        <f>IFERROR(__xludf.DUMMYFUNCTION("GOOGLETRANSLATE(B1815)"),"劫持")</f>
        <v>劫持</v>
      </c>
    </row>
    <row r="1816" ht="15.75" customHeight="1">
      <c r="A1816" s="4">
        <v>6171.0</v>
      </c>
      <c r="B1816" s="4" t="s">
        <v>2840</v>
      </c>
      <c r="C1816" s="4" t="s">
        <v>656</v>
      </c>
      <c r="D1816" s="4" t="s">
        <v>2856</v>
      </c>
      <c r="E1816" s="4">
        <v>1.0</v>
      </c>
      <c r="F1816" s="4" t="str">
        <f>IFERROR(__xludf.DUMMYFUNCTION("GOOGLETRANSLATE(D1816)"),"巴耶爾薩局勢緊張，喬納森計畫劫持 APC PDP http://t.co/qxXN6RKsp6 http://t.co/B3X1wqzAoR")</f>
        <v>巴耶爾薩局勢緊張，喬納森計畫劫持 APC PDP http://t.co/qxXN6RKsp6 http://t.co/B3X1wqzAoR</v>
      </c>
      <c r="G1816" s="4" t="str">
        <f>IFERROR(__xludf.DUMMYFUNCTION("GOOGLETRANSLATE(B1816)"),"劫持")</f>
        <v>劫持</v>
      </c>
    </row>
    <row r="1817" ht="15.75" customHeight="1">
      <c r="A1817" s="4">
        <v>6178.0</v>
      </c>
      <c r="B1817" s="4" t="s">
        <v>2840</v>
      </c>
      <c r="C1817" s="4" t="s">
        <v>2857</v>
      </c>
      <c r="D1817" s="4" t="s">
        <v>2858</v>
      </c>
      <c r="E1817" s="4">
        <v>1.0</v>
      </c>
      <c r="F1817" s="4" t="str">
        <f>IFERROR(__xludf.DUMMYFUNCTION("GOOGLETRANSLATE(D1817)"),"巴耶爾薩局勢緊張，喬納森計劃劫持 APC PDP - http://t.co/NIpZmfLiBD")</f>
        <v>巴耶爾薩局勢緊張，喬納森計劃劫持 APC PDP - http://t.co/NIpZmfLiBD</v>
      </c>
      <c r="G1817" s="4" t="str">
        <f>IFERROR(__xludf.DUMMYFUNCTION("GOOGLETRANSLATE(B1817)"),"劫持")</f>
        <v>劫持</v>
      </c>
    </row>
    <row r="1818" ht="15.75" customHeight="1">
      <c r="A1818" s="4">
        <v>6181.0</v>
      </c>
      <c r="B1818" s="4" t="s">
        <v>2840</v>
      </c>
      <c r="D1818" s="4" t="s">
        <v>2854</v>
      </c>
      <c r="E1818" s="4">
        <v>1.0</v>
      </c>
      <c r="F1818" s="4" t="str">
        <f>IFERROR(__xludf.DUMMYFUNCTION("GOOGLETRANSLATE(D1818)"),"斯旺西為南安普敦目標維吉爾範戴克策劃劫持轉會舉動 http://t.co/PVmr38LnvA")</f>
        <v>斯旺西為南安普敦目標維吉爾範戴克策劃劫持轉會舉動 http://t.co/PVmr38LnvA</v>
      </c>
      <c r="G1818" s="4" t="str">
        <f>IFERROR(__xludf.DUMMYFUNCTION("GOOGLETRANSLATE(B1818)"),"劫持")</f>
        <v>劫持</v>
      </c>
    </row>
    <row r="1819" ht="15.75" customHeight="1">
      <c r="A1819" s="4">
        <v>6185.0</v>
      </c>
      <c r="B1819" s="4" t="s">
        <v>2859</v>
      </c>
      <c r="D1819" s="4" t="s">
        <v>2860</v>
      </c>
      <c r="E1819" s="4">
        <v>1.0</v>
      </c>
      <c r="F1819" s="4" t="str">
        <f>IFERROR(__xludf.DUMMYFUNCTION("GOOGLETRANSLATE(D1819)"),"州長允許校車劫持者假釋 http://t.co/JwfiiLJ8Wr liveleakfun ? http://t.co/IONWARVRFy")</f>
        <v>州長允許校車劫持者假釋 http://t.co/JwfiiLJ8Wr liveleakfun ? http://t.co/IONWARVRFy</v>
      </c>
      <c r="G1819" s="4" t="str">
        <f>IFERROR(__xludf.DUMMYFUNCTION("GOOGLETRANSLATE(B1819)"),"劫機者")</f>
        <v>劫機者</v>
      </c>
    </row>
    <row r="1820" ht="15.75" customHeight="1">
      <c r="A1820" s="4">
        <v>6187.0</v>
      </c>
      <c r="B1820" s="4" t="s">
        <v>2859</v>
      </c>
      <c r="C1820" s="4" t="s">
        <v>1749</v>
      </c>
      <c r="D1820" s="4" t="s">
        <v>2861</v>
      </c>
      <c r="E1820" s="4">
        <v>1.0</v>
      </c>
      <c r="F1820" s="4" t="str">
        <f>IFERROR(__xludf.DUMMYFUNCTION("GOOGLETRANSLATE(D1820)"),"州長允許 1976 年綁架 26 名兒童的加州校車劫持者假釋。http://t.co/hdAhLgrprl http://t.co/Z1s3T77P3L")</f>
        <v>州長允許 1976 年綁架 26 名兒童的加州校車劫持者假釋。http://t.co/hdAhLgrprl http://t.co/Z1s3T77P3L</v>
      </c>
      <c r="G1820" s="4" t="str">
        <f>IFERROR(__xludf.DUMMYFUNCTION("GOOGLETRANSLATE(B1820)"),"劫機者")</f>
        <v>劫機者</v>
      </c>
    </row>
    <row r="1821" ht="15.75" customHeight="1">
      <c r="A1821" s="4">
        <v>6191.0</v>
      </c>
      <c r="B1821" s="4" t="s">
        <v>2859</v>
      </c>
      <c r="C1821" s="4" t="s">
        <v>2862</v>
      </c>
      <c r="D1821" s="4" t="s">
        <v>2863</v>
      </c>
      <c r="E1821" s="4">
        <v>1.0</v>
      </c>
      <c r="F1821" s="4" t="str">
        <f>IFERROR(__xludf.DUMMYFUNCTION("GOOGLETRANSLATE(D1821)"),"刪除 http://t.co/VbqmZ5aPwj 和 Linkury 瀏覽器劫持者 http://t.co/C2EyjNyBfN http://t.co/gt7gf0fSeX")</f>
        <v>刪除 http://t.co/VbqmZ5aPwj 和 Linkury 瀏覽器劫持者 http://t.co/C2EyjNyBfN http://t.co/gt7gf0fSeX</v>
      </c>
      <c r="G1821" s="4" t="str">
        <f>IFERROR(__xludf.DUMMYFUNCTION("GOOGLETRANSLATE(B1821)"),"劫機者")</f>
        <v>劫機者</v>
      </c>
    </row>
    <row r="1822" ht="15.75" customHeight="1">
      <c r="A1822" s="4">
        <v>6195.0</v>
      </c>
      <c r="B1822" s="4" t="s">
        <v>2859</v>
      </c>
      <c r="D1822" s="4" t="s">
        <v>2864</v>
      </c>
      <c r="E1822" s="4">
        <v>1.0</v>
      </c>
      <c r="F1822" s="4" t="str">
        <f>IFERROR(__xludf.DUMMYFUNCTION("GOOGLETRANSLATE(D1822)"),"劫機者變身 SAT 導師，逃避當局長達三十年 http://t.co/cSXvwXUZ6t 來自 @slate")</f>
        <v>劫機者變身 SAT 導師，逃避當局長達三十年 http://t.co/cSXvwXUZ6t 來自 @slate</v>
      </c>
      <c r="G1822" s="4" t="str">
        <f>IFERROR(__xludf.DUMMYFUNCTION("GOOGLETRANSLATE(B1822)"),"劫機者")</f>
        <v>劫機者</v>
      </c>
    </row>
    <row r="1823" ht="15.75" customHeight="1">
      <c r="A1823" s="4">
        <v>6196.0</v>
      </c>
      <c r="B1823" s="4" t="s">
        <v>2859</v>
      </c>
      <c r="D1823" s="4" t="s">
        <v>2865</v>
      </c>
      <c r="E1823" s="4">
        <v>1.0</v>
      </c>
      <c r="F1823" s="4" t="str">
        <f>IFERROR(__xludf.DUMMYFUNCTION("GOOGLETRANSLATE(D1823)"),"州長允許校車劫持者假釋 http://t.co/DzlPNP399x")</f>
        <v>州長允許校車劫持者假釋 http://t.co/DzlPNP399x</v>
      </c>
      <c r="G1823" s="4" t="str">
        <f>IFERROR(__xludf.DUMMYFUNCTION("GOOGLETRANSLATE(B1823)"),"劫機者")</f>
        <v>劫機者</v>
      </c>
    </row>
    <row r="1824" ht="15.75" customHeight="1">
      <c r="A1824" s="4">
        <v>6197.0</v>
      </c>
      <c r="B1824" s="4" t="s">
        <v>2859</v>
      </c>
      <c r="C1824" s="4" t="s">
        <v>2866</v>
      </c>
      <c r="D1824" s="4" t="s">
        <v>2867</v>
      </c>
      <c r="E1824" s="4">
        <v>1.0</v>
      </c>
      <c r="F1824" s="4" t="str">
        <f>IFERROR(__xludf.DUMMYFUNCTION("GOOGLETRANSLATE(D1824)"),"州長允許校車劫持者假釋 http://t.co/liKWQhSHHX 來自 @nbcnews 我記得這起罪行讓家長們感到不寒而栗")</f>
        <v>州長允許校車劫持者假釋 http://t.co/liKWQhSHHX 來自 @nbcnews 我記得這起罪行讓家長們感到不寒而栗</v>
      </c>
      <c r="G1824" s="4" t="str">
        <f>IFERROR(__xludf.DUMMYFUNCTION("GOOGLETRANSLATE(B1824)"),"劫機者")</f>
        <v>劫機者</v>
      </c>
    </row>
    <row r="1825" ht="15.75" customHeight="1">
      <c r="A1825" s="4">
        <v>6198.0</v>
      </c>
      <c r="B1825" s="4" t="s">
        <v>2859</v>
      </c>
      <c r="D1825" s="4" t="s">
        <v>2868</v>
      </c>
      <c r="E1825" s="4">
        <v>1.0</v>
      </c>
      <c r="F1825" s="4" t="str">
        <f>IFERROR(__xludf.DUMMYFUNCTION("GOOGLETRANSLATE(D1825)"),"校車劫持者 39 年後獲假釋 http://t.co/HmRt98OydJ")</f>
        <v>校車劫持者 39 年後獲假釋 http://t.co/HmRt98OydJ</v>
      </c>
      <c r="G1825" s="4" t="str">
        <f>IFERROR(__xludf.DUMMYFUNCTION("GOOGLETRANSLATE(B1825)"),"劫機者")</f>
        <v>劫機者</v>
      </c>
    </row>
    <row r="1826" ht="15.75" customHeight="1">
      <c r="A1826" s="4">
        <v>6199.0</v>
      </c>
      <c r="B1826" s="4" t="s">
        <v>2859</v>
      </c>
      <c r="C1826" s="4" t="s">
        <v>2869</v>
      </c>
      <c r="D1826" s="4" t="s">
        <v>2870</v>
      </c>
      <c r="E1826" s="4">
        <v>1.0</v>
      </c>
      <c r="F1826" s="4" t="str">
        <f>IFERROR(__xludf.DUMMYFUNCTION("GOOGLETRANSLATE(D1826)"),"刪除 http://t.co/JAb541hHk0 和 Linkury 瀏覽器劫持者 http://t.co/Je6Zjwh5uB http://t.co/fDxgmiwAEh")</f>
        <v>刪除 http://t.co/JAb541hHk0 和 Linkury 瀏覽器劫持者 http://t.co/Je6Zjwh5uB http://t.co/fDxgmiwAEh</v>
      </c>
      <c r="G1826" s="4" t="str">
        <f>IFERROR(__xludf.DUMMYFUNCTION("GOOGLETRANSLATE(B1826)"),"劫機者")</f>
        <v>劫機者</v>
      </c>
    </row>
    <row r="1827" ht="15.75" customHeight="1">
      <c r="A1827" s="4">
        <v>6201.0</v>
      </c>
      <c r="B1827" s="4" t="s">
        <v>2859</v>
      </c>
      <c r="D1827" s="4" t="s">
        <v>2871</v>
      </c>
      <c r="E1827" s="4">
        <v>1.0</v>
      </c>
      <c r="F1827" s="4" t="str">
        <f>IFERROR(__xludf.DUMMYFUNCTION("GOOGLETRANSLATE(D1827)"),"州長允許校車劫持者假釋 http://t.co/u4bdy1W7d4")</f>
        <v>州長允許校車劫持者假釋 http://t.co/u4bdy1W7d4</v>
      </c>
      <c r="G1827" s="4" t="str">
        <f>IFERROR(__xludf.DUMMYFUNCTION("GOOGLETRANSLATE(B1827)"),"劫機者")</f>
        <v>劫機者</v>
      </c>
    </row>
    <row r="1828" ht="15.75" customHeight="1">
      <c r="A1828" s="4">
        <v>6208.0</v>
      </c>
      <c r="B1828" s="4" t="s">
        <v>2859</v>
      </c>
      <c r="D1828" s="4" t="s">
        <v>2872</v>
      </c>
      <c r="E1828" s="4">
        <v>1.0</v>
      </c>
      <c r="F1828" s="4" t="str">
        <f>IFERROR(__xludf.DUMMYFUNCTION("GOOGLETRANSLATE(D1828)"),"中世紀飛機劫機者測試：贏得傑出潛水員：HtaRvrGLY")</f>
        <v>中世紀飛機劫機者測試：贏得傑出潛水員：HtaRvrGLY</v>
      </c>
      <c r="G1828" s="4" t="str">
        <f>IFERROR(__xludf.DUMMYFUNCTION("GOOGLETRANSLATE(B1828)"),"劫機者")</f>
        <v>劫機者</v>
      </c>
    </row>
    <row r="1829" ht="15.75" customHeight="1">
      <c r="A1829" s="4">
        <v>6213.0</v>
      </c>
      <c r="B1829" s="4" t="s">
        <v>2859</v>
      </c>
      <c r="C1829" s="4" t="s">
        <v>790</v>
      </c>
      <c r="D1829" s="4" t="s">
        <v>2873</v>
      </c>
      <c r="E1829" s="4">
        <v>1.0</v>
      </c>
      <c r="F1829" s="4" t="str">
        <f>IFERROR(__xludf.DUMMYFUNCTION("GOOGLETRANSLATE(D1829)"),"加州校車劫持者假釋站 http://t.co/kPIVXGjNqt #sacramento")</f>
        <v>加州校車劫持者假釋站 http://t.co/kPIVXGjNqt #sacramento</v>
      </c>
      <c r="G1829" s="4" t="str">
        <f>IFERROR(__xludf.DUMMYFUNCTION("GOOGLETRANSLATE(B1829)"),"劫機者")</f>
        <v>劫機者</v>
      </c>
    </row>
    <row r="1830" ht="15.75" customHeight="1">
      <c r="A1830" s="4">
        <v>6215.0</v>
      </c>
      <c r="B1830" s="4" t="s">
        <v>2859</v>
      </c>
      <c r="D1830" s="4" t="s">
        <v>2874</v>
      </c>
      <c r="E1830" s="4">
        <v>1.0</v>
      </c>
      <c r="F1830" s="4" t="str">
        <f>IFERROR(__xludf.DUMMYFUNCTION("GOOGLETRANSLATE(D1830)"),"州長允許加州校車劫持者假釋：當地... http://t.co/tAM6aoskoJ http://t.co/eL24mnFcHw")</f>
        <v>州長允許加州校車劫持者假釋：當地... http://t.co/tAM6aoskoJ http://t.co/eL24mnFcHw</v>
      </c>
      <c r="G1830" s="4" t="str">
        <f>IFERROR(__xludf.DUMMYFUNCTION("GOOGLETRANSLATE(B1830)"),"劫機者")</f>
        <v>劫機者</v>
      </c>
    </row>
    <row r="1831" ht="15.75" customHeight="1">
      <c r="A1831" s="4">
        <v>6216.0</v>
      </c>
      <c r="B1831" s="4" t="s">
        <v>2859</v>
      </c>
      <c r="C1831" s="4" t="s">
        <v>2875</v>
      </c>
      <c r="D1831" s="4" t="s">
        <v>2876</v>
      </c>
      <c r="E1831" s="4">
        <v>1.0</v>
      </c>
      <c r="F1831" s="4" t="str">
        <f>IFERROR(__xludf.DUMMYFUNCTION("GOOGLETRANSLATE(D1831)"),"劫機者警察回到被告席 - http://t.co/9I5cczD5S0 http://t.co/WEaTrRihE1")</f>
        <v>劫機者警察回到被告席 - http://t.co/9I5cczD5S0 http://t.co/WEaTrRihE1</v>
      </c>
      <c r="G1831" s="4" t="str">
        <f>IFERROR(__xludf.DUMMYFUNCTION("GOOGLETRANSLATE(B1831)"),"劫機者")</f>
        <v>劫機者</v>
      </c>
    </row>
    <row r="1832" ht="15.75" customHeight="1">
      <c r="A1832" s="4">
        <v>6218.0</v>
      </c>
      <c r="B1832" s="4" t="s">
        <v>2859</v>
      </c>
      <c r="D1832" s="4" t="s">
        <v>2877</v>
      </c>
      <c r="E1832" s="4">
        <v>1.0</v>
      </c>
      <c r="F1832" s="4" t="str">
        <f>IFERROR(__xludf.DUMMYFUNCTION("GOOGLETRANSLATE(D1832)"),"州長允許校車劫持者假釋 http://t.co/N71hMveRvv")</f>
        <v>州長允許校車劫持者假釋 http://t.co/N71hMveRvv</v>
      </c>
      <c r="G1832" s="4" t="str">
        <f>IFERROR(__xludf.DUMMYFUNCTION("GOOGLETRANSLATE(B1832)"),"劫機者")</f>
        <v>劫機者</v>
      </c>
    </row>
    <row r="1833" ht="15.75" customHeight="1">
      <c r="A1833" s="4">
        <v>6219.0</v>
      </c>
      <c r="B1833" s="4" t="s">
        <v>2859</v>
      </c>
      <c r="C1833" s="4" t="s">
        <v>1089</v>
      </c>
      <c r="D1833" s="4" t="s">
        <v>2878</v>
      </c>
      <c r="E1833" s="4">
        <v>1.0</v>
      </c>
      <c r="F1833" s="4" t="str">
        <f>IFERROR(__xludf.DUMMYFUNCTION("GOOGLETRANSLATE(D1833)"),"州長考慮假釋加州校車劫持者 http://t.co/yFPpIFDkQO http://t.co/aJYUlMFTIF")</f>
        <v>州長考慮假釋加州校車劫持者 http://t.co/yFPpIFDkQO http://t.co/aJYUlMFTIF</v>
      </c>
      <c r="G1833" s="4" t="str">
        <f>IFERROR(__xludf.DUMMYFUNCTION("GOOGLETRANSLATE(B1833)"),"劫機者")</f>
        <v>劫機者</v>
      </c>
    </row>
    <row r="1834" ht="15.75" customHeight="1">
      <c r="A1834" s="4">
        <v>6222.0</v>
      </c>
      <c r="B1834" s="4" t="s">
        <v>2859</v>
      </c>
      <c r="C1834" s="4" t="s">
        <v>2879</v>
      </c>
      <c r="D1834" s="4" t="s">
        <v>2880</v>
      </c>
      <c r="E1834" s="4">
        <v>1.0</v>
      </c>
      <c r="F1834" s="4" t="str">
        <f>IFERROR(__xludf.DUMMYFUNCTION("GOOGLETRANSLATE(D1834)"),"州長允許加州校車劫持者假釋 http://t.co/FZ8YtWQkwV #fresno")</f>
        <v>州長允許加州校車劫持者假釋 http://t.co/FZ8YtWQkwV #fresno</v>
      </c>
      <c r="G1834" s="4" t="str">
        <f>IFERROR(__xludf.DUMMYFUNCTION("GOOGLETRANSLATE(B1834)"),"劫機者")</f>
        <v>劫機者</v>
      </c>
    </row>
    <row r="1835" ht="15.75" customHeight="1">
      <c r="A1835" s="4">
        <v>6223.0</v>
      </c>
      <c r="B1835" s="4" t="s">
        <v>2859</v>
      </c>
      <c r="C1835" s="4" t="s">
        <v>2881</v>
      </c>
      <c r="D1835" s="4" t="s">
        <v>2882</v>
      </c>
      <c r="E1835" s="4">
        <v>1.0</v>
      </c>
      <c r="F1835" s="4" t="str">
        <f>IFERROR(__xludf.DUMMYFUNCTION("GOOGLETRANSLATE(D1835)"),"RT 未解釋：臭名昭著的劫機者 D.B. 的唯一已知圖像庫柏. http://t.co/JlzK2HdeTG")</f>
        <v>RT 未解釋：臭名昭著的劫機者 D.B. 的唯一已知圖像庫柏. http://t.co/JlzK2HdeTG</v>
      </c>
      <c r="G1835" s="4" t="str">
        <f>IFERROR(__xludf.DUMMYFUNCTION("GOOGLETRANSLATE(B1835)"),"劫機者")</f>
        <v>劫機者</v>
      </c>
    </row>
    <row r="1836" ht="15.75" customHeight="1">
      <c r="A1836" s="4">
        <v>6230.0</v>
      </c>
      <c r="B1836" s="4" t="s">
        <v>2859</v>
      </c>
      <c r="D1836" s="4" t="s">
        <v>2883</v>
      </c>
      <c r="E1836" s="4">
        <v>1.0</v>
      </c>
      <c r="F1836" s="4" t="str">
        <f>IFERROR(__xludf.DUMMYFUNCTION("GOOGLETRANSLATE(D1836)"),"中世紀飛機劫機硬殼：鑄造星偏：dYxTmrYDu")</f>
        <v>中世紀飛機劫機硬殼：鑄造星偏：dYxTmrYDu</v>
      </c>
      <c r="G1836" s="4" t="str">
        <f>IFERROR(__xludf.DUMMYFUNCTION("GOOGLETRANSLATE(B1836)"),"劫機者")</f>
        <v>劫機者</v>
      </c>
    </row>
    <row r="1837" ht="15.75" customHeight="1">
      <c r="A1837" s="4">
        <v>6234.0</v>
      </c>
      <c r="B1837" s="4" t="s">
        <v>2859</v>
      </c>
      <c r="D1837" s="4" t="s">
        <v>2884</v>
      </c>
      <c r="E1837" s="4">
        <v>1.0</v>
      </c>
      <c r="F1837" s="4" t="str">
        <f>IFERROR(__xludf.DUMMYFUNCTION("GOOGLETRANSLATE(D1837)"),"州長允許加州校車劫持者假釋 - Santa Cruz Sentinel http://t.co/TaXUxp9QA2")</f>
        <v>州長允許加州校車劫持者假釋 - Santa Cruz Sentinel http://t.co/TaXUxp9QA2</v>
      </c>
      <c r="G1837" s="4" t="str">
        <f>IFERROR(__xludf.DUMMYFUNCTION("GOOGLETRANSLATE(B1837)"),"劫機者")</f>
        <v>劫機者</v>
      </c>
    </row>
    <row r="1838" ht="15.75" customHeight="1">
      <c r="A1838" s="4">
        <v>6240.0</v>
      </c>
      <c r="B1838" s="4" t="s">
        <v>2885</v>
      </c>
      <c r="D1838" s="4" t="s">
        <v>2886</v>
      </c>
      <c r="E1838" s="4">
        <v>1.0</v>
      </c>
      <c r="F1838" s="4" t="str">
        <f>IFERROR(__xludf.DUMMYFUNCTION("GOOGLETRANSLATE(D1838)"),"美國第一次劫機的兇殘故事 http://t.co/cbPs1gskvO")</f>
        <v>美國第一次劫機的兇殘故事 http://t.co/cbPs1gskvO</v>
      </c>
      <c r="G1838" s="4" t="str">
        <f>IFERROR(__xludf.DUMMYFUNCTION("GOOGLETRANSLATE(B1838)"),"劫持")</f>
        <v>劫持</v>
      </c>
    </row>
    <row r="1839" ht="15.75" customHeight="1">
      <c r="A1839" s="4">
        <v>6244.0</v>
      </c>
      <c r="B1839" s="4" t="s">
        <v>2885</v>
      </c>
      <c r="C1839" s="4" t="s">
        <v>2887</v>
      </c>
      <c r="D1839" s="4" t="s">
        <v>2888</v>
      </c>
      <c r="E1839" s="4">
        <v>1.0</v>
      </c>
      <c r="F1839" s="4" t="str">
        <f>IFERROR(__xludf.DUMMYFUNCTION("GOOGLETRANSLATE(D1839)"),"#hot Funtenna：劫持電腦以聲波形式傳送資料 [Black Hat 2015] http://t.co/J2aQs5loxu #prebreak #best")</f>
        <v>#hot Funtenna：劫持電腦以聲波形式傳送資料 [Black Hat 2015] http://t.co/J2aQs5loxu #prebreak #best</v>
      </c>
      <c r="G1839" s="4" t="str">
        <f>IFERROR(__xludf.DUMMYFUNCTION("GOOGLETRANSLATE(B1839)"),"劫持")</f>
        <v>劫持</v>
      </c>
    </row>
    <row r="1840" ht="15.75" customHeight="1">
      <c r="A1840" s="4">
        <v>6247.0</v>
      </c>
      <c r="B1840" s="4" t="s">
        <v>2885</v>
      </c>
      <c r="C1840" s="4" t="s">
        <v>376</v>
      </c>
      <c r="D1840" s="4" t="s">
        <v>2889</v>
      </c>
      <c r="E1840" s="4">
        <v>1.0</v>
      </c>
      <c r="F1840" s="4" t="str">
        <f>IFERROR(__xludf.DUMMYFUNCTION("GOOGLETRANSLATE(D1840)"),"美國第一次劫機的兇殘故事：歐尼斯特普萊奇 (Earnest Pletch) 冷血殺害了 ¤_ http://t.co/B9JAxx0vCf")</f>
        <v>美國第一次劫機的兇殘故事：歐尼斯特普萊奇 (Earnest Pletch) 冷血殺害了 ¤_ http://t.co/B9JAxx0vCf</v>
      </c>
      <c r="G1840" s="4" t="str">
        <f>IFERROR(__xludf.DUMMYFUNCTION("GOOGLETRANSLATE(B1840)"),"劫持")</f>
        <v>劫持</v>
      </c>
    </row>
    <row r="1841" ht="15.75" customHeight="1">
      <c r="A1841" s="4">
        <v>6254.0</v>
      </c>
      <c r="B1841" s="4" t="s">
        <v>2885</v>
      </c>
      <c r="C1841" s="4" t="s">
        <v>2890</v>
      </c>
      <c r="D1841" s="4" t="s">
        <v>2891</v>
      </c>
      <c r="E1841" s="4">
        <v>1.0</v>
      </c>
      <c r="F1841" s="4" t="str">
        <f>IFERROR(__xludf.DUMMYFUNCTION("GOOGLETRANSLATE(D1841)"),"美國第一次劫機的兇殘故事 http://t.co/EYUGk6byxr")</f>
        <v>美國第一次劫機的兇殘故事 http://t.co/EYUGk6byxr</v>
      </c>
      <c r="G1841" s="4" t="str">
        <f>IFERROR(__xludf.DUMMYFUNCTION("GOOGLETRANSLATE(B1841)"),"劫持")</f>
        <v>劫持</v>
      </c>
    </row>
    <row r="1842" ht="15.75" customHeight="1">
      <c r="A1842" s="4">
        <v>6258.0</v>
      </c>
      <c r="B1842" s="4" t="s">
        <v>2885</v>
      </c>
      <c r="D1842" s="4" t="s">
        <v>2892</v>
      </c>
      <c r="E1842" s="4">
        <v>1.0</v>
      </c>
      <c r="F1842" s="4" t="str">
        <f>IFERROR(__xludf.DUMMYFUNCTION("GOOGLETRANSLATE(D1842)"),"好心的撒瑪利亞人在劫持約翰尼斯堡時被恐怖槍擊。 &amp;mdash;四名男子在布朗維爾自由州被槍殺Û_ http://t.co/6jjvCDN4TI")</f>
        <v>好心的撒瑪利亞人在劫持約翰尼斯堡時被恐怖槍擊。 &amp;mdash;四名男子在布朗維爾自由州被槍殺Û_ http://t.co/6jjvCDN4TI</v>
      </c>
      <c r="G1842" s="4" t="str">
        <f>IFERROR(__xludf.DUMMYFUNCTION("GOOGLETRANSLATE(B1842)"),"劫持")</f>
        <v>劫持</v>
      </c>
    </row>
    <row r="1843" ht="15.75" customHeight="1">
      <c r="A1843" s="4">
        <v>6259.0</v>
      </c>
      <c r="B1843" s="4" t="s">
        <v>2885</v>
      </c>
      <c r="D1843" s="4" t="s">
        <v>2893</v>
      </c>
      <c r="E1843" s="4">
        <v>1.0</v>
      </c>
      <c r="F1843" s="4" t="str">
        <f>IFERROR(__xludf.DUMMYFUNCTION("GOOGLETRANSLATE(D1843)"),"#hot Funtenna：劫持電腦以聲波形式傳送資料 [Black Hat 2015] http://t.co/qj3PVgaVN7 #prebreak #best")</f>
        <v>#hot Funtenna：劫持電腦以聲波形式傳送資料 [Black Hat 2015] http://t.co/qj3PVgaVN7 #prebreak #best</v>
      </c>
      <c r="G1843" s="4" t="str">
        <f>IFERROR(__xludf.DUMMYFUNCTION("GOOGLETRANSLATE(B1843)"),"劫持")</f>
        <v>劫持</v>
      </c>
    </row>
    <row r="1844" ht="15.75" customHeight="1">
      <c r="A1844" s="4">
        <v>6268.0</v>
      </c>
      <c r="B1844" s="4" t="s">
        <v>2885</v>
      </c>
      <c r="D1844" s="4" t="s">
        <v>2894</v>
      </c>
      <c r="E1844" s="4">
        <v>1.0</v>
      </c>
      <c r="F1844" s="4" t="str">
        <f>IFERROR(__xludf.DUMMYFUNCTION("GOOGLETRANSLATE(D1844)"),"@USAgov韓國人正在劫持東京奧運。 https://t.co/APkSnpLXZj")</f>
        <v>@USAgov韓國人正在劫持東京奧運。 https://t.co/APkSnpLXZj</v>
      </c>
      <c r="G1844" s="4" t="str">
        <f>IFERROR(__xludf.DUMMYFUNCTION("GOOGLETRANSLATE(B1844)"),"劫持")</f>
        <v>劫持</v>
      </c>
    </row>
    <row r="1845" ht="15.75" customHeight="1">
      <c r="A1845" s="4">
        <v>6269.0</v>
      </c>
      <c r="B1845" s="4" t="s">
        <v>2885</v>
      </c>
      <c r="D1845" s="4" t="s">
        <v>2895</v>
      </c>
      <c r="E1845" s="4">
        <v>1.0</v>
      </c>
      <c r="F1845" s="4" t="str">
        <f>IFERROR(__xludf.DUMMYFUNCTION("GOOGLETRANSLATE(D1845)"),"2015年8月5日23:00在沃斯洛魯斯豪登省發生的車輛劫持事件白色豐田Conquest BKB066GP http://t.co/odmP01eyZU")</f>
        <v>2015年8月5日23:00在沃斯洛魯斯豪登省發生的車輛劫持事件白色豐田Conquest BKB066GP http://t.co/odmP01eyZU</v>
      </c>
      <c r="G1845" s="4" t="str">
        <f>IFERROR(__xludf.DUMMYFUNCTION("GOOGLETRANSLATE(B1845)"),"劫持")</f>
        <v>劫持</v>
      </c>
    </row>
    <row r="1846" ht="15.75" customHeight="1">
      <c r="A1846" s="4">
        <v>6271.0</v>
      </c>
      <c r="B1846" s="4" t="s">
        <v>2885</v>
      </c>
      <c r="D1846" s="4" t="s">
        <v>2896</v>
      </c>
      <c r="E1846" s="4">
        <v>1.0</v>
      </c>
      <c r="F1846" s="4" t="str">
        <f>IFERROR(__xludf.DUMMYFUNCTION("GOOGLETRANSLATE(D1846)"),"@Drsarwatzaib070 來吧。 IK 將因攻擊議會和劫持電視台而面臨 MCourt 審判。")</f>
        <v>@Drsarwatzaib070 來吧。 IK 將因攻擊議會和劫持電視台而面臨 MCourt 審判。</v>
      </c>
      <c r="G1846" s="4" t="str">
        <f>IFERROR(__xludf.DUMMYFUNCTION("GOOGLETRANSLATE(B1846)"),"劫持")</f>
        <v>劫持</v>
      </c>
    </row>
    <row r="1847" ht="15.75" customHeight="1">
      <c r="A1847" s="4">
        <v>6274.0</v>
      </c>
      <c r="B1847" s="4" t="s">
        <v>2885</v>
      </c>
      <c r="D1847" s="4" t="s">
        <v>2897</v>
      </c>
      <c r="E1847" s="4">
        <v>1.0</v>
      </c>
      <c r="F1847" s="4" t="str">
        <f>IFERROR(__xludf.DUMMYFUNCTION("GOOGLETRANSLATE(D1847)"),"#hot Funtenna：劫持電腦以聲波形式傳送資料 [Black Hat 2015] http://t.co/cOMuiOk3mP #prebreak #best")</f>
        <v>#hot Funtenna：劫持電腦以聲波形式傳送資料 [Black Hat 2015] http://t.co/cOMuiOk3mP #prebreak #best</v>
      </c>
      <c r="G1847" s="4" t="str">
        <f>IFERROR(__xludf.DUMMYFUNCTION("GOOGLETRANSLATE(B1847)"),"劫持")</f>
        <v>劫持</v>
      </c>
    </row>
    <row r="1848" ht="15.75" customHeight="1">
      <c r="A1848" s="4">
        <v>6276.0</v>
      </c>
      <c r="B1848" s="4" t="s">
        <v>2885</v>
      </c>
      <c r="C1848" s="4" t="s">
        <v>2898</v>
      </c>
      <c r="D1848" s="4" t="s">
        <v>2899</v>
      </c>
      <c r="E1848" s="4">
        <v>1.0</v>
      </c>
      <c r="F1848" s="4" t="str">
        <f>IFERROR(__xludf.DUMMYFUNCTION("GOOGLETRANSLATE(D1848)"),"#hot Funtenna：劫持電腦以聲波形式發送資料 [Black Hat 2015] http://t.co/xV3D9bPjHi #prebreak #best")</f>
        <v>#hot Funtenna：劫持電腦以聲波形式發送資料 [Black Hat 2015] http://t.co/xV3D9bPjHi #prebreak #best</v>
      </c>
      <c r="G1848" s="4" t="str">
        <f>IFERROR(__xludf.DUMMYFUNCTION("GOOGLETRANSLATE(B1848)"),"劫持")</f>
        <v>劫持</v>
      </c>
    </row>
    <row r="1849" ht="15.75" customHeight="1">
      <c r="A1849" s="4">
        <v>6277.0</v>
      </c>
      <c r="B1849" s="4" t="s">
        <v>2885</v>
      </c>
      <c r="C1849" s="4" t="s">
        <v>2900</v>
      </c>
      <c r="D1849" s="4" t="s">
        <v>2901</v>
      </c>
      <c r="E1849" s="4">
        <v>1.0</v>
      </c>
      <c r="F1849" s="4" t="str">
        <f>IFERROR(__xludf.DUMMYFUNCTION("GOOGLETRANSLATE(D1849)"),"美國第一次劫機的兇殘故事 http://t.co/jmAwRLt7HB")</f>
        <v>美國第一次劫機的兇殘故事 http://t.co/jmAwRLt7HB</v>
      </c>
      <c r="G1849" s="4" t="str">
        <f>IFERROR(__xludf.DUMMYFUNCTION("GOOGLETRANSLATE(B1849)"),"劫持")</f>
        <v>劫持</v>
      </c>
    </row>
    <row r="1850" ht="15.75" customHeight="1">
      <c r="A1850" s="4">
        <v>6278.0</v>
      </c>
      <c r="B1850" s="4" t="s">
        <v>2885</v>
      </c>
      <c r="C1850" s="4" t="s">
        <v>2902</v>
      </c>
      <c r="D1850" s="4" t="s">
        <v>2903</v>
      </c>
      <c r="E1850" s="4">
        <v>1.0</v>
      </c>
      <c r="F1850" s="4" t="str">
        <f>IFERROR(__xludf.DUMMYFUNCTION("GOOGLETRANSLATE(D1850)"),"好撒瑪利亞人 Ûª 在恐怖劫持中被槍殺 http://t.co/V5yUUALoqw #263Chat #Twimbos ZimpapersViews")</f>
        <v>好撒瑪利亞人 Ûª 在恐怖劫持中被槍殺 http://t.co/V5yUUALoqw #263Chat #Twimbos ZimpapersViews</v>
      </c>
      <c r="G1850" s="4" t="str">
        <f>IFERROR(__xludf.DUMMYFUNCTION("GOOGLETRANSLATE(B1850)"),"劫持")</f>
        <v>劫持</v>
      </c>
    </row>
    <row r="1851" ht="15.75" customHeight="1">
      <c r="A1851" s="4">
        <v>6281.0</v>
      </c>
      <c r="B1851" s="4" t="s">
        <v>2885</v>
      </c>
      <c r="D1851" s="4" t="s">
        <v>2904</v>
      </c>
      <c r="E1851" s="4">
        <v>1.0</v>
      </c>
      <c r="F1851" s="4" t="str">
        <f>IFERROR(__xludf.DUMMYFUNCTION("GOOGLETRANSLATE(D1851)"),"美國第一次劫機的兇殘故事 http://t.co/LK5uqKOP1e")</f>
        <v>美國第一次劫機的兇殘故事 http://t.co/LK5uqKOP1e</v>
      </c>
      <c r="G1851" s="4" t="str">
        <f>IFERROR(__xludf.DUMMYFUNCTION("GOOGLETRANSLATE(B1851)"),"劫持")</f>
        <v>劫持</v>
      </c>
    </row>
    <row r="1852" ht="15.75" customHeight="1">
      <c r="A1852" s="4">
        <v>6283.0</v>
      </c>
      <c r="B1852" s="4" t="s">
        <v>2885</v>
      </c>
      <c r="D1852" s="4" t="s">
        <v>2905</v>
      </c>
      <c r="E1852" s="4">
        <v>1.0</v>
      </c>
      <c r="F1852" s="4" t="str">
        <f>IFERROR(__xludf.DUMMYFUNCTION("GOOGLETRANSLATE(D1852)"),"#hot Funtenna：劫持電腦以聲波形式傳送資料 [Black Hat 2015] http://t.co/UMgD92wLjA #prebreak #best")</f>
        <v>#hot Funtenna：劫持電腦以聲波形式傳送資料 [Black Hat 2015] http://t.co/UMgD92wLjA #prebreak #best</v>
      </c>
      <c r="G1852" s="4" t="str">
        <f>IFERROR(__xludf.DUMMYFUNCTION("GOOGLETRANSLATE(B1852)"),"劫持")</f>
        <v>劫持</v>
      </c>
    </row>
    <row r="1853" ht="15.75" customHeight="1">
      <c r="A1853" s="4">
        <v>6292.0</v>
      </c>
      <c r="B1853" s="4" t="s">
        <v>2906</v>
      </c>
      <c r="D1853" s="4" t="s">
        <v>2907</v>
      </c>
      <c r="E1853" s="4">
        <v>1.0</v>
      </c>
      <c r="F1853" s="4" t="str">
        <f>IFERROR(__xludf.DUMMYFUNCTION("GOOGLETRANSLATE(D1853)"),"與 ISIS 有聯繫的埃及武裝分子威脅要殺死克羅埃西亞人質（紐約時報）http://t.co/GTXndnJRrl（1717 GMT）")</f>
        <v>與 ISIS 有聯繫的埃及武裝分子威脅要殺死克羅埃西亞人質（紐約時報）http://t.co/GTXndnJRrl（1717 GMT）</v>
      </c>
      <c r="G1853" s="4" t="str">
        <f>IFERROR(__xludf.DUMMYFUNCTION("GOOGLETRANSLATE(B1853)"),"人質")</f>
        <v>人質</v>
      </c>
    </row>
    <row r="1854" ht="15.75" customHeight="1">
      <c r="A1854" s="4">
        <v>6297.0</v>
      </c>
      <c r="B1854" s="4" t="s">
        <v>2906</v>
      </c>
      <c r="C1854" s="4" t="s">
        <v>2908</v>
      </c>
      <c r="D1854" s="4" t="s">
        <v>2909</v>
      </c>
      <c r="E1854" s="4">
        <v>1.0</v>
      </c>
      <c r="F1854" s="4" t="str">
        <f>IFERROR(__xludf.DUMMYFUNCTION("GOOGLETRANSLATE(D1854)"),"伊斯蘭國組織威脅稱，如果不釋放穆斯林婦女，就會殺死人質 - http://t.co/48Zg5ynebn...")</f>
        <v>伊斯蘭國組織威脅稱，如果不釋放穆斯林婦女，就會殺死人質 - http://t.co/48Zg5ynebn...</v>
      </c>
      <c r="G1854" s="4" t="str">
        <f>IFERROR(__xludf.DUMMYFUNCTION("GOOGLETRANSLATE(B1854)"),"人質")</f>
        <v>人質</v>
      </c>
    </row>
    <row r="1855" ht="15.75" customHeight="1">
      <c r="A1855" s="4">
        <v>6299.0</v>
      </c>
      <c r="B1855" s="4" t="s">
        <v>2906</v>
      </c>
      <c r="D1855" s="4" t="s">
        <v>2910</v>
      </c>
      <c r="E1855" s="4">
        <v>1.0</v>
      </c>
      <c r="F1855" s="4" t="str">
        <f>IFERROR(__xludf.DUMMYFUNCTION("GOOGLETRANSLATE(D1855)"),"此處引用--&gt;CNN：據稱 ISIS 影片威脅克羅埃西亞人質 http://t.co/swVuZxi6gT")</f>
        <v>此處引用--&gt;CNN：據稱 ISIS 影片威脅克羅埃西亞人質 http://t.co/swVuZxi6gT</v>
      </c>
      <c r="G1855" s="4" t="str">
        <f>IFERROR(__xludf.DUMMYFUNCTION("GOOGLETRANSLATE(B1855)"),"人質")</f>
        <v>人質</v>
      </c>
    </row>
    <row r="1856" ht="15.75" customHeight="1">
      <c r="A1856" s="4">
        <v>6303.0</v>
      </c>
      <c r="B1856" s="4" t="s">
        <v>2906</v>
      </c>
      <c r="C1856" s="4" t="s">
        <v>2911</v>
      </c>
      <c r="D1856" s="4" t="s">
        <v>2912</v>
      </c>
      <c r="E1856" s="4">
        <v>1.0</v>
      </c>
      <c r="F1856" s="4" t="str">
        <f>IFERROR(__xludf.DUMMYFUNCTION("GOOGLETRANSLATE(D1856)"),"埃及伊斯蘭國組織威脅殺死克羅埃西亞人質 http://t.co/NzIfztCUGL")</f>
        <v>埃及伊斯蘭國組織威脅殺死克羅埃西亞人質 http://t.co/NzIfztCUGL</v>
      </c>
      <c r="G1856" s="4" t="str">
        <f>IFERROR(__xludf.DUMMYFUNCTION("GOOGLETRANSLATE(B1856)"),"人質")</f>
        <v>人質</v>
      </c>
    </row>
    <row r="1857" ht="15.75" customHeight="1">
      <c r="A1857" s="4">
        <v>6310.0</v>
      </c>
      <c r="B1857" s="4" t="s">
        <v>2906</v>
      </c>
      <c r="D1857" s="4" t="s">
        <v>2913</v>
      </c>
      <c r="E1857" s="4">
        <v>1.0</v>
      </c>
      <c r="F1857" s="4" t="str">
        <f>IFERROR(__xludf.DUMMYFUNCTION("GOOGLETRANSLATE(D1857)"),"相關新聞：「伊斯蘭國影片」威脅人質 - 歐洲 - CNN | http://t.co/Wk6B5z803o")</f>
        <v>相關新聞：「伊斯蘭國影片」威脅人質 - 歐洲 - CNN | http://t.co/Wk6B5z803o</v>
      </c>
      <c r="G1857" s="4" t="str">
        <f>IFERROR(__xludf.DUMMYFUNCTION("GOOGLETRANSLATE(B1857)"),"人質")</f>
        <v>人質</v>
      </c>
    </row>
    <row r="1858" ht="15.75" customHeight="1">
      <c r="A1858" s="4">
        <v>6311.0</v>
      </c>
      <c r="B1858" s="4" t="s">
        <v>2906</v>
      </c>
      <c r="C1858" s="4" t="s">
        <v>2914</v>
      </c>
      <c r="D1858" s="4" t="s">
        <v>2915</v>
      </c>
      <c r="E1858" s="4">
        <v>1.0</v>
      </c>
      <c r="F1858" s="4" t="str">
        <f>IFERROR(__xludf.DUMMYFUNCTION("GOOGLETRANSLATE(D1858)"),"@EvaHanderek @MarleyKnysh 美好時光，直到巴士司機在商場停車場將我們扣為人質 lmfao")</f>
        <v>@EvaHanderek @MarleyKnysh 美好時光，直到巴士司機在商場停車場將我們扣為人質 lmfao</v>
      </c>
      <c r="G1858" s="4" t="str">
        <f>IFERROR(__xludf.DUMMYFUNCTION("GOOGLETRANSLATE(B1858)"),"人質")</f>
        <v>人質</v>
      </c>
    </row>
    <row r="1859" ht="15.75" customHeight="1">
      <c r="A1859" s="4">
        <v>6312.0</v>
      </c>
      <c r="B1859" s="4" t="s">
        <v>2906</v>
      </c>
      <c r="C1859" s="4" t="s">
        <v>334</v>
      </c>
      <c r="D1859" s="4" t="s">
        <v>2916</v>
      </c>
      <c r="E1859" s="4">
        <v>1.0</v>
      </c>
      <c r="F1859" s="4" t="str">
        <f>IFERROR(__xludf.DUMMYFUNCTION("GOOGLETRANSLATE(D1859)"),"成為人質的可怕故事 - 成為人質的可怕故事 這是 1974 年，發生在英國...... http://t.co/XcQ48OuRvL")</f>
        <v>成為人質的可怕故事 - 成為人質的可怕故事 這是 1974 年，發生在英國...... http://t.co/XcQ48OuRvL</v>
      </c>
      <c r="G1859" s="4" t="str">
        <f>IFERROR(__xludf.DUMMYFUNCTION("GOOGLETRANSLATE(B1859)"),"人質")</f>
        <v>人質</v>
      </c>
    </row>
    <row r="1860" ht="15.75" customHeight="1">
      <c r="A1860" s="4">
        <v>6314.0</v>
      </c>
      <c r="B1860" s="4" t="s">
        <v>2906</v>
      </c>
      <c r="C1860" s="4" t="s">
        <v>2917</v>
      </c>
      <c r="D1860" s="4" t="s">
        <v>2918</v>
      </c>
      <c r="E1860" s="4">
        <v>1.0</v>
      </c>
      <c r="F1860" s="4" t="str">
        <f>IFERROR(__xludf.DUMMYFUNCTION("GOOGLETRANSLATE(D1860)"),"埃及伊斯蘭國組織威脅殺死克羅埃西亞人質 http://t.co/VdgfXYX3bw")</f>
        <v>埃及伊斯蘭國組織威脅殺死克羅埃西亞人質 http://t.co/VdgfXYX3bw</v>
      </c>
      <c r="G1860" s="4" t="str">
        <f>IFERROR(__xludf.DUMMYFUNCTION("GOOGLETRANSLATE(B1860)"),"人質")</f>
        <v>人質</v>
      </c>
    </row>
    <row r="1861" ht="15.75" customHeight="1">
      <c r="A1861" s="4">
        <v>6315.0</v>
      </c>
      <c r="B1861" s="4" t="s">
        <v>2906</v>
      </c>
      <c r="C1861" s="4" t="s">
        <v>2919</v>
      </c>
      <c r="D1861" s="4" t="s">
        <v>2920</v>
      </c>
      <c r="E1861" s="4">
        <v>1.0</v>
      </c>
      <c r="F1861" s="4" t="str">
        <f>IFERROR(__xludf.DUMMYFUNCTION("GOOGLETRANSLATE(D1861)"),"默弗里斯伯勒窺視 - 我聽說南盧瑟福的沃爾瑪因人質被封鎖，這是真的還是謠言？")</f>
        <v>默弗里斯伯勒窺視 - 我聽說南盧瑟福的沃爾瑪因人質被封鎖，這是真的還是謠言？</v>
      </c>
      <c r="G1861" s="4" t="str">
        <f>IFERROR(__xludf.DUMMYFUNCTION("GOOGLETRANSLATE(B1861)"),"人質")</f>
        <v>人質</v>
      </c>
    </row>
    <row r="1862" ht="15.75" customHeight="1">
      <c r="A1862" s="4">
        <v>6317.0</v>
      </c>
      <c r="B1862" s="4" t="s">
        <v>2906</v>
      </c>
      <c r="C1862" s="4" t="s">
        <v>2911</v>
      </c>
      <c r="D1862" s="4" t="s">
        <v>2921</v>
      </c>
      <c r="E1862" s="4">
        <v>1.0</v>
      </c>
      <c r="F1862" s="4" t="str">
        <f>IFERROR(__xludf.DUMMYFUNCTION("GOOGLETRANSLATE(D1862)"),"埃及伊斯蘭國組織威脅殺死克羅埃西亞人質 http://t.co/eIoQJWgEiX")</f>
        <v>埃及伊斯蘭國組織威脅殺死克羅埃西亞人質 http://t.co/eIoQJWgEiX</v>
      </c>
      <c r="G1862" s="4" t="str">
        <f>IFERROR(__xludf.DUMMYFUNCTION("GOOGLETRANSLATE(B1862)"),"人質")</f>
        <v>人質</v>
      </c>
    </row>
    <row r="1863" ht="15.75" customHeight="1">
      <c r="A1863" s="4">
        <v>6322.0</v>
      </c>
      <c r="B1863" s="4" t="s">
        <v>2906</v>
      </c>
      <c r="C1863" s="4" t="s">
        <v>2922</v>
      </c>
      <c r="D1863" s="4" t="s">
        <v>2923</v>
      </c>
      <c r="E1863" s="4">
        <v>1.0</v>
      </c>
      <c r="F1863" s="4" t="str">
        <f>IFERROR(__xludf.DUMMYFUNCTION("GOOGLETRANSLATE(D1863)"),"@mylittlepwnies3 @Early__May @AnathemaZhiv @TonySandos 其中大部分與黎巴嫩 80 年代襲擊/伊朗人質危機/利比亞泛美航空有關")</f>
        <v>@mylittlepwnies3 @Early__May @AnathemaZhiv @TonySandos 其中大部分與黎巴嫩 80 年代襲擊/伊朗人質危機/利比亞泛美航空有關</v>
      </c>
      <c r="G1863" s="4" t="str">
        <f>IFERROR(__xludf.DUMMYFUNCTION("GOOGLETRANSLATE(B1863)"),"人質")</f>
        <v>人質</v>
      </c>
    </row>
    <row r="1864" ht="15.75" customHeight="1">
      <c r="A1864" s="4">
        <v>6325.0</v>
      </c>
      <c r="B1864" s="4" t="s">
        <v>2906</v>
      </c>
      <c r="D1864" s="4" t="s">
        <v>2924</v>
      </c>
      <c r="E1864" s="4">
        <v>1.0</v>
      </c>
      <c r="F1864" s="4" t="str">
        <f>IFERROR(__xludf.DUMMYFUNCTION("GOOGLETRANSLATE(D1864)"),"今天我去拿午餐，調酒師扣留了我的零錢，因為他想要我的電話號碼。 ??")</f>
        <v>今天我去拿午餐，調酒師扣留了我的零錢，因為他想要我的電話號碼。 ??</v>
      </c>
      <c r="G1864" s="4" t="str">
        <f>IFERROR(__xludf.DUMMYFUNCTION("GOOGLETRANSLATE(B1864)"),"人質")</f>
        <v>人質</v>
      </c>
    </row>
    <row r="1865" ht="15.75" customHeight="1">
      <c r="A1865" s="4">
        <v>6326.0</v>
      </c>
      <c r="B1865" s="4" t="s">
        <v>2906</v>
      </c>
      <c r="C1865" s="4" t="s">
        <v>2925</v>
      </c>
      <c r="D1865" s="4" t="s">
        <v>2926</v>
      </c>
      <c r="E1865" s="4">
        <v>1.0</v>
      </c>
      <c r="F1865" s="4" t="str">
        <f>IFERROR(__xludf.DUMMYFUNCTION("GOOGLETRANSLATE(D1865)"),"@pmarca 內容因附屬費用而被網路劫持。")</f>
        <v>@pmarca 內容因附屬費用而被網路劫持。</v>
      </c>
      <c r="G1865" s="4" t="str">
        <f>IFERROR(__xludf.DUMMYFUNCTION("GOOGLETRANSLATE(B1865)"),"人質")</f>
        <v>人質</v>
      </c>
    </row>
    <row r="1866" ht="15.75" customHeight="1">
      <c r="A1866" s="4">
        <v>6328.0</v>
      </c>
      <c r="B1866" s="4" t="s">
        <v>2906</v>
      </c>
      <c r="C1866" s="4" t="s">
        <v>2927</v>
      </c>
      <c r="D1866" s="4" t="s">
        <v>2928</v>
      </c>
      <c r="E1866" s="4">
        <v>1.0</v>
      </c>
      <c r="F1866" s="4" t="str">
        <f>IFERROR(__xludf.DUMMYFUNCTION("GOOGLETRANSLATE(D1866)"),"新 ISIS 影片：ISIS 威脅在 48 小時內斬首克羅埃西亞人質 - TLVFaces - TLVFaces#auspol http://t.co/a6PPEgeLOX")</f>
        <v>新 ISIS 影片：ISIS 威脅在 48 小時內斬首克羅埃西亞人質 - TLVFaces - TLVFaces#auspol http://t.co/a6PPEgeLOX</v>
      </c>
      <c r="G1866" s="4" t="str">
        <f>IFERROR(__xludf.DUMMYFUNCTION("GOOGLETRANSLATE(B1866)"),"人質")</f>
        <v>人質</v>
      </c>
    </row>
    <row r="1867" ht="15.75" customHeight="1">
      <c r="A1867" s="4">
        <v>6329.0</v>
      </c>
      <c r="B1867" s="4" t="s">
        <v>2906</v>
      </c>
      <c r="D1867" s="4" t="s">
        <v>2929</v>
      </c>
      <c r="E1867" s="4">
        <v>1.0</v>
      </c>
      <c r="F1867" s="4" t="str">
        <f>IFERROR(__xludf.DUMMYFUNCTION("GOOGLETRANSLATE(D1867)"),"雪梨人質危機現已從亞洲航空殘骸中打撈出來。")</f>
        <v>雪梨人質危機現已從亞洲航空殘骸中打撈出來。</v>
      </c>
      <c r="G1867" s="4" t="str">
        <f>IFERROR(__xludf.DUMMYFUNCTION("GOOGLETRANSLATE(B1867)"),"人質")</f>
        <v>人質</v>
      </c>
    </row>
    <row r="1868" ht="15.75" customHeight="1">
      <c r="A1868" s="4">
        <v>6335.0</v>
      </c>
      <c r="B1868" s="4" t="s">
        <v>2930</v>
      </c>
      <c r="C1868" s="4" t="s">
        <v>2931</v>
      </c>
      <c r="D1868" s="4" t="s">
        <v>2932</v>
      </c>
      <c r="E1868" s="4">
        <v>1.0</v>
      </c>
      <c r="F1868" s="4" t="str">
        <f>IFERROR(__xludf.DUMMYFUNCTION("GOOGLETRANSLATE(D1868)"),"利比亞的 2 名人質仍未受傷：政府消息人士周三否認了有關兩名印度國民襲擊的報道 http://t.co/EX4FnJjL6H")</f>
        <v>利比亞的 2 名人質仍未受傷：政府消息人士周三否認了有關兩名印度國民襲擊的報道 http://t.co/EX4FnJjL6H</v>
      </c>
      <c r="G1868" s="4" t="str">
        <f>IFERROR(__xludf.DUMMYFUNCTION("GOOGLETRANSLATE(B1868)"),"人質")</f>
        <v>人質</v>
      </c>
    </row>
    <row r="1869" ht="15.75" customHeight="1">
      <c r="A1869" s="4">
        <v>6336.0</v>
      </c>
      <c r="B1869" s="4" t="s">
        <v>2930</v>
      </c>
      <c r="C1869" s="4" t="s">
        <v>2898</v>
      </c>
      <c r="D1869" s="4" t="s">
        <v>2933</v>
      </c>
      <c r="E1869" s="4">
        <v>1.0</v>
      </c>
      <c r="F1869" s="4" t="str">
        <f>IFERROR(__xludf.DUMMYFUNCTION("GOOGLETRANSLATE(D1869)"),"#hot C-130 經過專門改裝，於 1980 年在伊朗的體育場著陸並解救人質 http://t.co/wpGvAyfkBQ #prebreak #best")</f>
        <v>#hot C-130 經過專門改裝，於 1980 年在伊朗的體育場著陸並解救人質 http://t.co/wpGvAyfkBQ #prebreak #best</v>
      </c>
      <c r="G1869" s="4" t="str">
        <f>IFERROR(__xludf.DUMMYFUNCTION("GOOGLETRANSLATE(B1869)"),"人質")</f>
        <v>人質</v>
      </c>
    </row>
    <row r="1870" ht="15.75" customHeight="1">
      <c r="A1870" s="4">
        <v>6337.0</v>
      </c>
      <c r="B1870" s="4" t="s">
        <v>2930</v>
      </c>
      <c r="C1870" s="4" t="s">
        <v>2934</v>
      </c>
      <c r="D1870" s="4" t="s">
        <v>2935</v>
      </c>
      <c r="E1870" s="4">
        <v>1.0</v>
      </c>
      <c r="F1870" s="4" t="str">
        <f>IFERROR(__xludf.DUMMYFUNCTION("GOOGLETRANSLATE(D1870)"),"#hot C-130 經過專門改裝，於 1980 年在伊朗的體育場著陸並解救人質 http://t.co/6ioaBSl6I7 #prebreak #best")</f>
        <v>#hot C-130 經過專門改裝，於 1980 年在伊朗的體育場著陸並解救人質 http://t.co/6ioaBSl6I7 #prebreak #best</v>
      </c>
      <c r="G1870" s="4" t="str">
        <f>IFERROR(__xludf.DUMMYFUNCTION("GOOGLETRANSLATE(B1870)"),"人質")</f>
        <v>人質</v>
      </c>
    </row>
    <row r="1871" ht="15.75" customHeight="1">
      <c r="A1871" s="4">
        <v>6338.0</v>
      </c>
      <c r="B1871" s="4" t="s">
        <v>2930</v>
      </c>
      <c r="D1871" s="4" t="s">
        <v>2936</v>
      </c>
      <c r="E1871" s="4">
        <v>1.0</v>
      </c>
      <c r="F1871" s="4" t="str">
        <f>IFERROR(__xludf.DUMMYFUNCTION("GOOGLETRANSLATE(D1871)"),"@hannahkauthor 閱讀：美國人生活第一 |編年史#FreeAmirNow #FreeALLFour #Hostages 由#Iran #IranDeal 持有 http://t.co/gWnLHNeKu9")</f>
        <v>@hannahkauthor 閱讀：美國人生活第一 |編年史#FreeAmirNow #FreeALLFour #Hostages 由#Iran #IranDeal 持有 http://t.co/gWnLHNeKu9</v>
      </c>
      <c r="G1871" s="4" t="str">
        <f>IFERROR(__xludf.DUMMYFUNCTION("GOOGLETRANSLATE(B1871)"),"人質")</f>
        <v>人質</v>
      </c>
    </row>
    <row r="1872" ht="15.75" customHeight="1">
      <c r="A1872" s="4">
        <v>6339.0</v>
      </c>
      <c r="B1872" s="4" t="s">
        <v>2930</v>
      </c>
      <c r="C1872" s="4" t="s">
        <v>2937</v>
      </c>
      <c r="D1872" s="4" t="s">
        <v>2938</v>
      </c>
      <c r="E1872" s="4">
        <v>1.0</v>
      </c>
      <c r="F1872" s="4" t="str">
        <f>IFERROR(__xludf.DUMMYFUNCTION("GOOGLETRANSLATE(D1872)"),"C-130 經過特別改裝，於 1980 年在伊朗體育場著陸並解救人質 http://t.co/jkD7CTi2iW http://t.co/LAjN2n5e2d")</f>
        <v>C-130 經過特別改裝，於 1980 年在伊朗體育場著陸並解救人質 http://t.co/jkD7CTi2iW http://t.co/LAjN2n5e2d</v>
      </c>
      <c r="G1872" s="4" t="str">
        <f>IFERROR(__xludf.DUMMYFUNCTION("GOOGLETRANSLATE(B1872)"),"人質")</f>
        <v>人質</v>
      </c>
    </row>
    <row r="1873" ht="15.75" customHeight="1">
      <c r="A1873" s="4">
        <v>6340.0</v>
      </c>
      <c r="B1873" s="4" t="s">
        <v>2930</v>
      </c>
      <c r="C1873" s="4" t="s">
        <v>2939</v>
      </c>
      <c r="D1873" s="4" t="s">
        <v>2940</v>
      </c>
      <c r="E1873" s="4">
        <v>1.0</v>
      </c>
      <c r="F1873" s="4" t="str">
        <f>IFERROR(__xludf.DUMMYFUNCTION("GOOGLETRANSLATE(D1873)"),"俄羅斯取消冷戰時期核禁令或面臨海洋優勢
下屆普丁無條件投降
遊戲設定匹配
釋放人質")</f>
        <v>俄羅斯取消冷戰時期核禁令或面臨海洋優勢
下屆普丁無條件投降
遊戲設定匹配
釋放人質</v>
      </c>
      <c r="G1873" s="4" t="str">
        <f>IFERROR(__xludf.DUMMYFUNCTION("GOOGLETRANSLATE(B1873)"),"人質")</f>
        <v>人質</v>
      </c>
    </row>
    <row r="1874" ht="15.75" customHeight="1">
      <c r="A1874" s="4">
        <v>6342.0</v>
      </c>
      <c r="B1874" s="4" t="s">
        <v>2930</v>
      </c>
      <c r="C1874" s="4" t="s">
        <v>2153</v>
      </c>
      <c r="D1874" s="4" t="s">
        <v>2941</v>
      </c>
      <c r="E1874" s="4">
        <v>1.0</v>
      </c>
      <c r="F1874" s="4" t="str">
        <f>IFERROR(__xludf.DUMMYFUNCTION("GOOGLETRANSLATE(D1874)"),"辛賈爾大屠殺 雅茲迪人爆炸 缺乏針對人質的行動 http://t.co/Carvv6gsRb http://t.co/lAn76ZqKxG")</f>
        <v>辛賈爾大屠殺 雅茲迪人爆炸 缺乏針對人質的行動 http://t.co/Carvv6gsRb http://t.co/lAn76ZqKxG</v>
      </c>
      <c r="G1874" s="4" t="str">
        <f>IFERROR(__xludf.DUMMYFUNCTION("GOOGLETRANSLATE(B1874)"),"人質")</f>
        <v>人質</v>
      </c>
    </row>
    <row r="1875" ht="15.75" customHeight="1">
      <c r="A1875" s="4">
        <v>6344.0</v>
      </c>
      <c r="B1875" s="4" t="s">
        <v>2930</v>
      </c>
      <c r="C1875" s="4" t="s">
        <v>1276</v>
      </c>
      <c r="D1875" s="4" t="s">
        <v>2942</v>
      </c>
      <c r="E1875" s="4">
        <v>1.0</v>
      </c>
      <c r="F1875" s="4" t="str">
        <f>IFERROR(__xludf.DUMMYFUNCTION("GOOGLETRANSLATE(D1875)"),"#hot C-130 經過專門改裝，於 1980 年在伊朗的體育場著陸並解救人質 http://t.co/zLco4UE5OQ #prebreak #best")</f>
        <v>#hot C-130 經過專門改裝，於 1980 年在伊朗的體育場著陸並解救人質 http://t.co/zLco4UE5OQ #prebreak #best</v>
      </c>
      <c r="G1875" s="4" t="str">
        <f>IFERROR(__xludf.DUMMYFUNCTION("GOOGLETRANSLATE(B1875)"),"人質")</f>
        <v>人質</v>
      </c>
    </row>
    <row r="1876" ht="15.75" customHeight="1">
      <c r="A1876" s="4">
        <v>6345.0</v>
      </c>
      <c r="B1876" s="4" t="s">
        <v>2930</v>
      </c>
      <c r="D1876" s="4" t="s">
        <v>2943</v>
      </c>
      <c r="E1876" s="4">
        <v>1.0</v>
      </c>
      <c r="F1876" s="4" t="str">
        <f>IFERROR(__xludf.DUMMYFUNCTION("GOOGLETRANSLATE(D1876)"),"#hot C-130 經過專門改裝，於 1980 年在伊朗的體育場著陸並解救人質 http://t.co/W0EXzAD5Gc #prebreak #best")</f>
        <v>#hot C-130 經過專門改裝，於 1980 年在伊朗的體育場著陸並解救人質 http://t.co/W0EXzAD5Gc #prebreak #best</v>
      </c>
      <c r="G1876" s="4" t="str">
        <f>IFERROR(__xludf.DUMMYFUNCTION("GOOGLETRANSLATE(B1876)"),"人質")</f>
        <v>人質</v>
      </c>
    </row>
    <row r="1877" ht="15.75" customHeight="1">
      <c r="A1877" s="4">
        <v>6348.0</v>
      </c>
      <c r="B1877" s="4" t="s">
        <v>2930</v>
      </c>
      <c r="C1877" s="4" t="s">
        <v>2944</v>
      </c>
      <c r="D1877" s="4" t="s">
        <v>2945</v>
      </c>
      <c r="E1877" s="4">
        <v>1.0</v>
      </c>
      <c r="F1877" s="4" t="str">
        <f>IFERROR(__xludf.DUMMYFUNCTION("GOOGLETRANSLATE(D1877)"),"C-130 經過專門改裝，於 1980 年在伊朗的體育場著陸並解救人質... http://t.co/tNI92fea3u http://t.co/czBaMzq3gL")</f>
        <v>C-130 經過專門改裝，於 1980 年在伊朗的體育場著陸並解救人質... http://t.co/tNI92fea3u http://t.co/czBaMzq3gL</v>
      </c>
      <c r="G1877" s="4" t="str">
        <f>IFERROR(__xludf.DUMMYFUNCTION("GOOGLETRANSLATE(B1877)"),"人質")</f>
        <v>人質</v>
      </c>
    </row>
    <row r="1878" ht="15.75" customHeight="1">
      <c r="A1878" s="4">
        <v>6354.0</v>
      </c>
      <c r="B1878" s="4" t="s">
        <v>2930</v>
      </c>
      <c r="D1878" s="4" t="s">
        <v>2946</v>
      </c>
      <c r="E1878" s="4">
        <v>1.0</v>
      </c>
      <c r="F1878" s="4" t="str">
        <f>IFERROR(__xludf.DUMMYFUNCTION("GOOGLETRANSLATE(D1878)"),"#Libya 沒有#hostages 的#news
http://t.co/eXil1bKzmP
#印度 #恐怖主義 #非洲 #AP #TS #NRI #News #TRS #TDP #BJP http://t.co/ehomn68oJB")</f>
        <v>#Libya 沒有#hostages 的#news
http://t.co/eXil1bKzmP
#印度 #恐怖主義 #非洲 #AP #TS #NRI #News #TRS #TDP #BJP http://t.co/ehomn68oJB</v>
      </c>
      <c r="G1878" s="4" t="str">
        <f>IFERROR(__xludf.DUMMYFUNCTION("GOOGLETRANSLATE(B1878)"),"人質")</f>
        <v>人質</v>
      </c>
    </row>
    <row r="1879" ht="15.75" customHeight="1">
      <c r="A1879" s="4">
        <v>6356.0</v>
      </c>
      <c r="B1879" s="4" t="s">
        <v>2930</v>
      </c>
      <c r="D1879" s="4" t="s">
        <v>2947</v>
      </c>
      <c r="E1879" s="4">
        <v>1.0</v>
      </c>
      <c r="F1879" s="4" t="str">
        <f>IFERROR(__xludf.DUMMYFUNCTION("GOOGLETRANSLATE(D1879)"),"辛賈爾大屠殺雅茲迪人爆炸，對人質缺乏行動 http://t.co/q4Q8XsYZOB")</f>
        <v>辛賈爾大屠殺雅茲迪人爆炸，對人質缺乏行動 http://t.co/q4Q8XsYZOB</v>
      </c>
      <c r="G1879" s="4" t="str">
        <f>IFERROR(__xludf.DUMMYFUNCTION("GOOGLETRANSLATE(B1879)"),"人質")</f>
        <v>人質</v>
      </c>
    </row>
    <row r="1880" ht="15.75" customHeight="1">
      <c r="A1880" s="4">
        <v>6358.0</v>
      </c>
      <c r="B1880" s="4" t="s">
        <v>2930</v>
      </c>
      <c r="C1880" s="4" t="s">
        <v>2948</v>
      </c>
      <c r="D1880" s="4" t="s">
        <v>2949</v>
      </c>
      <c r="E1880" s="4">
        <v>1.0</v>
      </c>
      <c r="F1880" s="4" t="str">
        <f>IFERROR(__xludf.DUMMYFUNCTION("GOOGLETRANSLATE(D1880)"),"C-130 經過專門改裝，可於 1980 年在伊朗的體育場著陸並解救人質：提交... http://t.co/nbugSMqLRG #aviationaddicts")</f>
        <v>C-130 經過專門改裝，可於 1980 年在伊朗的體育場著陸並解救人質：提交... http://t.co/nbugSMqLRG #aviationaddicts</v>
      </c>
      <c r="G1880" s="4" t="str">
        <f>IFERROR(__xludf.DUMMYFUNCTION("GOOGLETRANSLATE(B1880)"),"人質")</f>
        <v>人質</v>
      </c>
    </row>
    <row r="1881" ht="15.75" customHeight="1">
      <c r="A1881" s="4">
        <v>6361.0</v>
      </c>
      <c r="B1881" s="4" t="s">
        <v>2930</v>
      </c>
      <c r="C1881" s="4" t="s">
        <v>2950</v>
      </c>
      <c r="D1881" s="4" t="s">
        <v>2951</v>
      </c>
      <c r="E1881" s="4">
        <v>1.0</v>
      </c>
      <c r="F1881" s="4" t="str">
        <f>IFERROR(__xludf.DUMMYFUNCTION("GOOGLETRANSLATE(D1881)"),"Holmgren：我們將這 35 天稱為「人質事件」。我們是盧的「人質」。")</f>
        <v>Holmgren：我們將這 35 天稱為「人質事件」。我們是盧的「人質」。</v>
      </c>
      <c r="G1881" s="4" t="str">
        <f>IFERROR(__xludf.DUMMYFUNCTION("GOOGLETRANSLATE(B1881)"),"人質")</f>
        <v>人質</v>
      </c>
    </row>
    <row r="1882" ht="15.75" customHeight="1">
      <c r="A1882" s="4">
        <v>6362.0</v>
      </c>
      <c r="B1882" s="4" t="s">
        <v>2930</v>
      </c>
      <c r="C1882" s="4" t="s">
        <v>2952</v>
      </c>
      <c r="D1882" s="4" t="s">
        <v>2953</v>
      </c>
      <c r="E1882" s="4">
        <v>1.0</v>
      </c>
      <c r="F1882" s="4" t="str">
        <f>IFERROR(__xludf.DUMMYFUNCTION("GOOGLETRANSLATE(D1882)"),"巴拉克將告訴美國人民，伊朗人質的生命取決於國會投票是否向恐怖分子提供核武以換取人質。")</f>
        <v>巴拉克將告訴美國人民，伊朗人質的生命取決於國會投票是否向恐怖分子提供核武以換取人質。</v>
      </c>
      <c r="G1882" s="4" t="str">
        <f>IFERROR(__xludf.DUMMYFUNCTION("GOOGLETRANSLATE(B1882)"),"人質")</f>
        <v>人質</v>
      </c>
    </row>
    <row r="1883" ht="15.75" customHeight="1">
      <c r="A1883" s="4">
        <v>6363.0</v>
      </c>
      <c r="B1883" s="4" t="s">
        <v>2930</v>
      </c>
      <c r="C1883" s="4" t="s">
        <v>2954</v>
      </c>
      <c r="D1883" s="4" t="s">
        <v>2955</v>
      </c>
      <c r="E1883" s="4">
        <v>1.0</v>
      </c>
      <c r="F1883" s="4" t="str">
        <f>IFERROR(__xludf.DUMMYFUNCTION("GOOGLETRANSLATE(D1883)"),"@minhazmerchant 村莊人質乾得很好")</f>
        <v>@minhazmerchant 村莊人質乾得很好</v>
      </c>
      <c r="G1883" s="4" t="str">
        <f>IFERROR(__xludf.DUMMYFUNCTION("GOOGLETRANSLATE(B1883)"),"人質")</f>
        <v>人質</v>
      </c>
    </row>
    <row r="1884" ht="15.75" customHeight="1">
      <c r="A1884" s="4">
        <v>6365.0</v>
      </c>
      <c r="B1884" s="4" t="s">
        <v>2930</v>
      </c>
      <c r="C1884" s="4" t="s">
        <v>2956</v>
      </c>
      <c r="D1884" s="4" t="s">
        <v>2957</v>
      </c>
      <c r="E1884" s="4">
        <v>1.0</v>
      </c>
      <c r="F1884" s="4" t="str">
        <f>IFERROR(__xludf.DUMMYFUNCTION("GOOGLETRANSLATE(D1884)"),"#hot C-130 經過專門改裝，於 1980 年在伊朗的體育場著陸並解救人質 http://t.co/fQWTSxLkrZ #prebreak #best")</f>
        <v>#hot C-130 經過專門改裝，於 1980 年在伊朗的體育場著陸並解救人質 http://t.co/fQWTSxLkrZ #prebreak #best</v>
      </c>
      <c r="G1884" s="4" t="str">
        <f>IFERROR(__xludf.DUMMYFUNCTION("GOOGLETRANSLATE(B1884)"),"人質")</f>
        <v>人質</v>
      </c>
    </row>
    <row r="1885" ht="15.75" customHeight="1">
      <c r="A1885" s="4">
        <v>6369.0</v>
      </c>
      <c r="B1885" s="4" t="s">
        <v>2930</v>
      </c>
      <c r="C1885" s="4" t="s">
        <v>2958</v>
      </c>
      <c r="D1885" s="4" t="s">
        <v>2959</v>
      </c>
      <c r="E1885" s="4">
        <v>1.0</v>
      </c>
      <c r="F1885" s="4" t="str">
        <f>IFERROR(__xludf.DUMMYFUNCTION("GOOGLETRANSLATE(D1885)"),"#Sinjar Massacre #Yazidis Blast 缺乏對人質的行動 http://t.co/JhOaHpbpQ4 Portland #Phoenix #Newyork #Miami #Atlanta #Casper #Iraq")</f>
        <v>#Sinjar Massacre #Yazidis Blast 缺乏對人質的行動 http://t.co/JhOaHpbpQ4 Portland #Phoenix #Newyork #Miami #Atlanta #Casper #Iraq</v>
      </c>
      <c r="G1885" s="4" t="str">
        <f>IFERROR(__xludf.DUMMYFUNCTION("GOOGLETRANSLATE(B1885)"),"人質")</f>
        <v>人質</v>
      </c>
    </row>
    <row r="1886" ht="15.75" customHeight="1">
      <c r="A1886" s="4">
        <v>6372.0</v>
      </c>
      <c r="B1886" s="4" t="s">
        <v>2930</v>
      </c>
      <c r="D1886" s="4" t="s">
        <v>2960</v>
      </c>
      <c r="E1886" s="4">
        <v>1.0</v>
      </c>
      <c r="F1886" s="4" t="str">
        <f>IFERROR(__xludf.DUMMYFUNCTION("GOOGLETRANSLATE(D1886)"),"#Libya 沒有#hostages 的#news
http://t.co/bjjOIfzUhL
#印度 #恐怖主義 #非洲 #AP #TS #NRI #News #TRS #TDP #BJP http://t.co/IywZAlLsN4")</f>
        <v>#Libya 沒有#hostages 的#news
http://t.co/bjjOIfzUhL
#印度 #恐怖主義 #非洲 #AP #TS #NRI #News #TRS #TDP #BJP http://t.co/IywZAlLsN4</v>
      </c>
      <c r="G1886" s="4" t="str">
        <f>IFERROR(__xludf.DUMMYFUNCTION("GOOGLETRANSLATE(B1886)"),"人質")</f>
        <v>人質</v>
      </c>
    </row>
    <row r="1887" ht="15.75" customHeight="1">
      <c r="A1887" s="4">
        <v>6373.0</v>
      </c>
      <c r="B1887" s="4" t="s">
        <v>2930</v>
      </c>
      <c r="C1887" s="4" t="s">
        <v>2961</v>
      </c>
      <c r="D1887" s="4" t="s">
        <v>2962</v>
      </c>
      <c r="E1887" s="4">
        <v>1.0</v>
      </c>
      <c r="F1887" s="4" t="str">
        <f>IFERROR(__xludf.DUMMYFUNCTION("GOOGLETRANSLATE(D1887)"),"克魯茲：伊朗協議導致 4 名人質在伊朗受苦受難 http://t.co/EXsQIJF4nY - #NoIranDeal #TedCruz2016 http://t.co/y7sIPKB1kd")</f>
        <v>克魯茲：伊朗協議導致 4 名人質在伊朗受苦受難 http://t.co/EXsQIJF4nY - #NoIranDeal #TedCruz2016 http://t.co/y7sIPKB1kd</v>
      </c>
      <c r="G1887" s="4" t="str">
        <f>IFERROR(__xludf.DUMMYFUNCTION("GOOGLETRANSLATE(B1887)"),"人質")</f>
        <v>人質</v>
      </c>
    </row>
    <row r="1888" ht="15.75" customHeight="1">
      <c r="A1888" s="4">
        <v>6374.0</v>
      </c>
      <c r="B1888" s="4" t="s">
        <v>2930</v>
      </c>
      <c r="D1888" s="4" t="s">
        <v>2963</v>
      </c>
      <c r="E1888" s="4">
        <v>1.0</v>
      </c>
      <c r="F1888" s="4" t="str">
        <f>IFERROR(__xludf.DUMMYFUNCTION("GOOGLETRANSLATE(D1888)"),"尼日利亞軍隊從博科聖地營救 178 名人質​​ - 佛羅裡達哨兵公告：佛羅裡達州... http://t.co/KcTiGYMahl #security #errorist")</f>
        <v>尼日利亞軍隊從博科聖地營救 178 名人質​​ - 佛羅裡達哨兵公告：佛羅裡達州... http://t.co/KcTiGYMahl #security #errorist</v>
      </c>
      <c r="G1888" s="4" t="str">
        <f>IFERROR(__xludf.DUMMYFUNCTION("GOOGLETRANSLATE(B1888)"),"人質")</f>
        <v>人質</v>
      </c>
    </row>
    <row r="1889" ht="15.75" customHeight="1">
      <c r="A1889" s="4">
        <v>6375.0</v>
      </c>
      <c r="B1889" s="4" t="s">
        <v>2930</v>
      </c>
      <c r="D1889" s="4" t="s">
        <v>2964</v>
      </c>
      <c r="E1889" s="4">
        <v>1.0</v>
      </c>
      <c r="F1889" s="4" t="str">
        <f>IFERROR(__xludf.DUMMYFUNCTION("GOOGLETRANSLATE(D1889)"),"#Libya 沒有#hostages 的#news
http://t.co/k9FBtcCU58
#印度 #恐怖主義 #非洲 #AP #TS #NRI #News #TRS #TDP #BJP http://t.co/XYj0rPsAI2")</f>
        <v>#Libya 沒有#hostages 的#news
http://t.co/k9FBtcCU58
#印度 #恐怖主義 #非洲 #AP #TS #NRI #News #TRS #TDP #BJP http://t.co/XYj0rPsAI2</v>
      </c>
      <c r="G1889" s="4" t="str">
        <f>IFERROR(__xludf.DUMMYFUNCTION("GOOGLETRANSLATE(B1889)"),"人質")</f>
        <v>人質</v>
      </c>
    </row>
    <row r="1890" ht="15.75" customHeight="1">
      <c r="A1890" s="4">
        <v>6376.0</v>
      </c>
      <c r="B1890" s="4" t="s">
        <v>2930</v>
      </c>
      <c r="D1890" s="4" t="s">
        <v>2965</v>
      </c>
      <c r="E1890" s="4">
        <v>1.0</v>
      </c>
      <c r="F1890" s="4" t="str">
        <f>IFERROR(__xludf.DUMMYFUNCTION("GOOGLETRANSLATE(D1890)"),"辛賈爾大屠殺一年後#Yazidis 爆炸事件缺乏對人質的行動
http://t.co/BAqOcMcJqc")</f>
        <v>辛賈爾大屠殺一年後#Yazidis 爆炸事件缺乏對人質的行動
http://t.co/BAqOcMcJqc</v>
      </c>
      <c r="G1890" s="4" t="str">
        <f>IFERROR(__xludf.DUMMYFUNCTION("GOOGLETRANSLATE(B1890)"),"人質")</f>
        <v>人質</v>
      </c>
    </row>
    <row r="1891" ht="15.75" customHeight="1">
      <c r="A1891" s="4">
        <v>6380.0</v>
      </c>
      <c r="B1891" s="4" t="s">
        <v>2930</v>
      </c>
      <c r="C1891" s="4" t="s">
        <v>2966</v>
      </c>
      <c r="D1891" s="4" t="s">
        <v>2967</v>
      </c>
      <c r="E1891" s="4">
        <v>1.0</v>
      </c>
      <c r="F1891" s="4" t="str">
        <f>IFERROR(__xludf.DUMMYFUNCTION("GOOGLETRANSLATE(D1891)"),"#hot C-130 經過專門改裝，於 1980 年在伊朗的體育場著陸並解救人質 http://t.co/FLqxd3q5pY #prebreak #best")</f>
        <v>#hot C-130 經過專門改裝，於 1980 年在伊朗的體育場著陸並解救人質 http://t.co/FLqxd3q5pY #prebreak #best</v>
      </c>
      <c r="G1891" s="4" t="str">
        <f>IFERROR(__xludf.DUMMYFUNCTION("GOOGLETRANSLATE(B1891)"),"人質")</f>
        <v>人質</v>
      </c>
    </row>
    <row r="1892" ht="15.75" customHeight="1">
      <c r="A1892" s="4">
        <v>6382.0</v>
      </c>
      <c r="B1892" s="4" t="s">
        <v>2930</v>
      </c>
      <c r="C1892" s="4" t="s">
        <v>2968</v>
      </c>
      <c r="D1892" s="4" t="s">
        <v>2969</v>
      </c>
      <c r="E1892" s="4">
        <v>1.0</v>
      </c>
      <c r="F1892" s="4" t="str">
        <f>IFERROR(__xludf.DUMMYFUNCTION("GOOGLETRANSLATE(D1892)"),"#hot C-130 經過專門改裝，於 1980 年在伊朗的體育場著陸並解救人質 http://t.co/OnvD9D4NKg #prebreak #best")</f>
        <v>#hot C-130 經過專門改裝，於 1980 年在伊朗的體育場著陸並解救人質 http://t.co/OnvD9D4NKg #prebreak #best</v>
      </c>
      <c r="G1892" s="4" t="str">
        <f>IFERROR(__xludf.DUMMYFUNCTION("GOOGLETRANSLATE(B1892)"),"人質")</f>
        <v>人質</v>
      </c>
    </row>
    <row r="1893" ht="15.75" customHeight="1">
      <c r="A1893" s="4">
        <v>6383.0</v>
      </c>
      <c r="B1893" s="4" t="s">
        <v>2930</v>
      </c>
      <c r="C1893" s="4" t="s">
        <v>2970</v>
      </c>
      <c r="D1893" s="4" t="s">
        <v>2971</v>
      </c>
      <c r="E1893" s="4">
        <v>1.0</v>
      </c>
      <c r="F1893" s="4" t="str">
        <f>IFERROR(__xludf.DUMMYFUNCTION("GOOGLETRANSLATE(D1893)"),"續 - #Sinjar：指的是該組織針對 #IS 大屠殺後幾天內 #Yazidi 人質事件整理的一份 40 頁的文件 [2]")</f>
        <v>續 - #Sinjar：指的是該組織針對 #IS 大屠殺後幾天內 #Yazidi 人質事件整理的一份 40 頁的文件 [2]</v>
      </c>
      <c r="G1893" s="4" t="str">
        <f>IFERROR(__xludf.DUMMYFUNCTION("GOOGLETRANSLATE(B1893)"),"人質")</f>
        <v>人質</v>
      </c>
    </row>
    <row r="1894" ht="15.75" customHeight="1">
      <c r="A1894" s="4">
        <v>6384.0</v>
      </c>
      <c r="B1894" s="4" t="s">
        <v>2930</v>
      </c>
      <c r="D1894" s="4" t="s">
        <v>2972</v>
      </c>
      <c r="E1894" s="4">
        <v>1.0</v>
      </c>
      <c r="F1894" s="4" t="str">
        <f>IFERROR(__xludf.DUMMYFUNCTION("GOOGLETRANSLATE(D1894)"),"@Nervana_1
根據先前的行為，如果第 30 分隊與 JAN/AQ 作戰，JAN/AQ 會不太愉快地處理被綁架的人質。")</f>
        <v>@Nervana_1
根據先前的行為，如果第 30 分隊與 JAN/AQ 作戰，JAN/AQ 會不太愉快地處理被綁架的人質。</v>
      </c>
      <c r="G1894" s="4" t="str">
        <f>IFERROR(__xludf.DUMMYFUNCTION("GOOGLETRANSLATE(B1894)"),"人質")</f>
        <v>人質</v>
      </c>
    </row>
    <row r="1895" ht="15.75" customHeight="1">
      <c r="A1895" s="4">
        <v>6386.0</v>
      </c>
      <c r="B1895" s="4" t="s">
        <v>2973</v>
      </c>
      <c r="C1895" s="4" t="s">
        <v>2974</v>
      </c>
      <c r="D1895" s="4" t="s">
        <v>2975</v>
      </c>
      <c r="E1895" s="4">
        <v>1.0</v>
      </c>
      <c r="F1895" s="4" t="str">
        <f>IFERROR(__xludf.DUMMYFUNCTION("GOOGLETRANSLATE(D1895)"),"@zaynmaIikist 聽聽颶風")</f>
        <v>@zaynmaIikist 聽聽颶風</v>
      </c>
      <c r="G1895" s="4" t="str">
        <f>IFERROR(__xludf.DUMMYFUNCTION("GOOGLETRANSLATE(B1895)"),"颶風")</f>
        <v>颶風</v>
      </c>
    </row>
    <row r="1896" ht="15.75" customHeight="1">
      <c r="A1896" s="4">
        <v>6388.0</v>
      </c>
      <c r="B1896" s="4" t="s">
        <v>2973</v>
      </c>
      <c r="C1896" s="4" t="s">
        <v>2976</v>
      </c>
      <c r="D1896" s="4" t="s">
        <v>2977</v>
      </c>
      <c r="E1896" s="4">
        <v>1.0</v>
      </c>
      <c r="F1896" s="4" t="str">
        <f>IFERROR(__xludf.DUMMYFUNCTION("GOOGLETRANSLATE(D1896)"),"颶風吉列爾莫諾阿即時追蹤/循環 8 月 5 日星期三 ~ http://t.co/RjopJKbydR ~ http://t.co/NUFDgw9YEv http://t.co/2oKSCwYoHC")</f>
        <v>颶風吉列爾莫諾阿即時追蹤/循環 8 月 5 日星期三 ~ http://t.co/RjopJKbydR ~ http://t.co/NUFDgw9YEv http://t.co/2oKSCwYoHC</v>
      </c>
      <c r="G1896" s="4" t="str">
        <f>IFERROR(__xludf.DUMMYFUNCTION("GOOGLETRANSLATE(B1896)"),"颶風")</f>
        <v>颶風</v>
      </c>
    </row>
    <row r="1897" ht="15.75" customHeight="1">
      <c r="A1897" s="4">
        <v>6391.0</v>
      </c>
      <c r="B1897" s="4" t="s">
        <v>2973</v>
      </c>
      <c r="C1897" s="4" t="s">
        <v>2978</v>
      </c>
      <c r="D1897" s="4" t="s">
        <v>2979</v>
      </c>
      <c r="E1897" s="4">
        <v>1.0</v>
      </c>
      <c r="F1897" s="4" t="str">
        <f>IFERROR(__xludf.DUMMYFUNCTION("GOOGLETRANSLATE(D1897)"),"颶風吉勒莫諾阿即時追蹤/循環 8 月 5 日星期三 ~ http://t.co/ut7R2ixRjQ ~ http://t.co/v3z96YDMvD http://t.co/kxSLfTZ2I5")</f>
        <v>颶風吉勒莫諾阿即時追蹤/循環 8 月 5 日星期三 ~ http://t.co/ut7R2ixRjQ ~ http://t.co/v3z96YDMvD http://t.co/kxSLfTZ2I5</v>
      </c>
      <c r="G1897" s="4" t="str">
        <f>IFERROR(__xludf.DUMMYFUNCTION("GOOGLETRANSLATE(B1897)"),"颶風")</f>
        <v>颶風</v>
      </c>
    </row>
    <row r="1898" ht="15.75" customHeight="1">
      <c r="A1898" s="4">
        <v>6394.0</v>
      </c>
      <c r="B1898" s="4" t="s">
        <v>2973</v>
      </c>
      <c r="C1898" s="4" t="s">
        <v>2980</v>
      </c>
      <c r="D1898" s="4" t="s">
        <v>2981</v>
      </c>
      <c r="E1898" s="4">
        <v>1.0</v>
      </c>
      <c r="F1898" s="4" t="str">
        <f>IFERROR(__xludf.DUMMYFUNCTION("GOOGLETRANSLATE(D1898)"),"@Hurricane_Dame ?????????我沒有，他們在這裡")</f>
        <v>@Hurricane_Dame ?????????我沒有，他們在這裡</v>
      </c>
      <c r="G1898" s="4" t="str">
        <f>IFERROR(__xludf.DUMMYFUNCTION("GOOGLETRANSLATE(B1898)"),"颶風")</f>
        <v>颶風</v>
      </c>
    </row>
    <row r="1899" ht="15.75" customHeight="1">
      <c r="A1899" s="4">
        <v>6396.0</v>
      </c>
      <c r="B1899" s="4" t="s">
        <v>2973</v>
      </c>
      <c r="C1899" s="4" t="s">
        <v>2982</v>
      </c>
      <c r="D1899" s="4" t="s">
        <v>2983</v>
      </c>
      <c r="E1899" s="4">
        <v>1.0</v>
      </c>
      <c r="F1899" s="4" t="str">
        <f>IFERROR(__xludf.DUMMYFUNCTION("GOOGLETRANSLATE(D1899)"),"@lavapixcom 你看到 #hurricane #guillermo 和 #MeteoEarth 了嗎？ http://t.co/mfckpVzfV8")</f>
        <v>@lavapixcom 你看到 #hurricane #guillermo 和 #MeteoEarth 了嗎？ http://t.co/mfckpVzfV8</v>
      </c>
      <c r="G1899" s="4" t="str">
        <f>IFERROR(__xludf.DUMMYFUNCTION("GOOGLETRANSLATE(B1899)"),"颶風")</f>
        <v>颶風</v>
      </c>
    </row>
    <row r="1900" ht="15.75" customHeight="1">
      <c r="A1900" s="4">
        <v>6397.0</v>
      </c>
      <c r="B1900" s="4" t="s">
        <v>2973</v>
      </c>
      <c r="C1900" s="4" t="s">
        <v>2984</v>
      </c>
      <c r="D1900" s="4" t="s">
        <v>2985</v>
      </c>
      <c r="E1900" s="4">
        <v>1.0</v>
      </c>
      <c r="F1900" s="4" t="str">
        <f>IFERROR(__xludf.DUMMYFUNCTION("GOOGLETRANSLATE(D1900)"),"@ChubbySquirrel_ @Hurricane_Surge 這裡是非常正確的&gt;：33333")</f>
        <v>@ChubbySquirrel_ @Hurricane_Surge 這裡是非常正確的&gt;：33333</v>
      </c>
      <c r="G1900" s="4" t="str">
        <f>IFERROR(__xludf.DUMMYFUNCTION("GOOGLETRANSLATE(B1900)"),"颶風")</f>
        <v>颶風</v>
      </c>
    </row>
    <row r="1901" ht="15.75" customHeight="1">
      <c r="A1901" s="4">
        <v>6400.0</v>
      </c>
      <c r="B1901" s="4" t="s">
        <v>2973</v>
      </c>
      <c r="C1901" s="4" t="s">
        <v>2986</v>
      </c>
      <c r="D1901" s="4" t="s">
        <v>2987</v>
      </c>
      <c r="E1901" s="4">
        <v>1.0</v>
      </c>
      <c r="F1901" s="4" t="str">
        <f>IFERROR(__xludf.DUMMYFUNCTION("GOOGLETRANSLATE(D1901)"),"颶風30STM誰還記得")</f>
        <v>颶風30STM誰還記得</v>
      </c>
      <c r="G1901" s="4" t="str">
        <f>IFERROR(__xludf.DUMMYFUNCTION("GOOGLETRANSLATE(B1901)"),"颶風")</f>
        <v>颶風</v>
      </c>
    </row>
    <row r="1902" ht="15.75" customHeight="1">
      <c r="A1902" s="4">
        <v>6402.0</v>
      </c>
      <c r="B1902" s="4" t="s">
        <v>2973</v>
      </c>
      <c r="C1902" s="4" t="s">
        <v>2988</v>
      </c>
      <c r="D1902" s="4" t="s">
        <v>2989</v>
      </c>
      <c r="E1902" s="4">
        <v>1.0</v>
      </c>
      <c r="F1902" s="4" t="str">
        <f>IFERROR(__xludf.DUMMYFUNCTION("GOOGLETRANSLATE(D1902)"),"颶風？？生病的！")</f>
        <v>颶風？？生病的！</v>
      </c>
      <c r="G1902" s="4" t="str">
        <f>IFERROR(__xludf.DUMMYFUNCTION("GOOGLETRANSLATE(B1902)"),"颶風")</f>
        <v>颶風</v>
      </c>
    </row>
    <row r="1903" ht="15.75" customHeight="1">
      <c r="A1903" s="4">
        <v>6405.0</v>
      </c>
      <c r="B1903" s="4" t="s">
        <v>2973</v>
      </c>
      <c r="D1903" s="4" t="s">
        <v>2990</v>
      </c>
      <c r="E1903" s="4">
        <v>1.0</v>
      </c>
      <c r="F1903" s="4" t="str">
        <f>IFERROR(__xludf.DUMMYFUNCTION("GOOGLETRANSLATE(D1903)"),"珊瑚角市領導參與模擬颶風訓練 http://t.co/gtYCQyFuam http://t.co/qwd5PvGjbO")</f>
        <v>珊瑚角市領導參與模擬颶風訓練 http://t.co/gtYCQyFuam http://t.co/qwd5PvGjbO</v>
      </c>
      <c r="G1903" s="4" t="str">
        <f>IFERROR(__xludf.DUMMYFUNCTION("GOOGLETRANSLATE(B1903)"),"颶風")</f>
        <v>颶風</v>
      </c>
    </row>
    <row r="1904" ht="15.75" customHeight="1">
      <c r="A1904" s="4">
        <v>6406.0</v>
      </c>
      <c r="B1904" s="4" t="s">
        <v>2973</v>
      </c>
      <c r="C1904" s="4" t="s">
        <v>2991</v>
      </c>
      <c r="D1904" s="4" t="s">
        <v>2992</v>
      </c>
      <c r="E1904" s="4">
        <v>1.0</v>
      </c>
      <c r="F1904" s="4" t="str">
        <f>IFERROR(__xludf.DUMMYFUNCTION("GOOGLETRANSLATE(D1904)"),"颶風季節要小心？？？ https://t.co/bFtOU2nybW")</f>
        <v>颶風季節要小心？？？ https://t.co/bFtOU2nybW</v>
      </c>
      <c r="G1904" s="4" t="str">
        <f>IFERROR(__xludf.DUMMYFUNCTION("GOOGLETRANSLATE(B1904)"),"颶風")</f>
        <v>颶風</v>
      </c>
    </row>
    <row r="1905" ht="15.75" customHeight="1">
      <c r="A1905" s="4">
        <v>6407.0</v>
      </c>
      <c r="B1905" s="4" t="s">
        <v>2973</v>
      </c>
      <c r="D1905" s="4" t="s">
        <v>2993</v>
      </c>
      <c r="E1905" s="4">
        <v>1.0</v>
      </c>
      <c r="F1905" s="4" t="str">
        <f>IFERROR(__xludf.DUMMYFUNCTION("GOOGLETRANSLATE(D1905)"),"我的背被曬傷了:(")</f>
        <v>我的背被曬傷了:(</v>
      </c>
      <c r="G1905" s="4" t="str">
        <f>IFERROR(__xludf.DUMMYFUNCTION("GOOGLETRANSLATE(B1905)"),"颶風")</f>
        <v>颶風</v>
      </c>
    </row>
    <row r="1906" ht="15.75" customHeight="1">
      <c r="A1906" s="4">
        <v>6415.0</v>
      </c>
      <c r="B1906" s="4" t="s">
        <v>2973</v>
      </c>
      <c r="C1906" s="4" t="s">
        <v>2982</v>
      </c>
      <c r="D1906" s="4" t="s">
        <v>2994</v>
      </c>
      <c r="E1906" s="4">
        <v>1.0</v>
      </c>
      <c r="F1906" s="4" t="str">
        <f>IFERROR(__xludf.DUMMYFUNCTION("GOOGLETRANSLATE(D1906)"),"@VinusTrip 你看到 #hurricane #guillermo 和 #MeteoEarth 了嗎？ http://t.co/mfckpVzfV8")</f>
        <v>@VinusTrip 你看到 #hurricane #guillermo 和 #MeteoEarth 了嗎？ http://t.co/mfckpVzfV8</v>
      </c>
      <c r="G1906" s="4" t="str">
        <f>IFERROR(__xludf.DUMMYFUNCTION("GOOGLETRANSLATE(B1906)"),"颶風")</f>
        <v>颶風</v>
      </c>
    </row>
    <row r="1907" ht="15.75" customHeight="1">
      <c r="A1907" s="4">
        <v>6416.0</v>
      </c>
      <c r="B1907" s="4" t="s">
        <v>2973</v>
      </c>
      <c r="C1907" s="4" t="s">
        <v>38</v>
      </c>
      <c r="D1907" s="4" t="s">
        <v>2995</v>
      </c>
      <c r="E1907" s="4">
        <v>1.0</v>
      </c>
      <c r="F1907" s="4" t="str">
        <f>IFERROR(__xludf.DUMMYFUNCTION("GOOGLETRANSLATE(D1907)"),"格蕾絲：這是美國風格的損害等級..#Taiwan #China #world hurricane/typhoon ratings/categories再次定義http://t.co/OdYdT9QPk1")</f>
        <v>格蕾絲：這是美國風格的損害等級..#Taiwan #China #world hurricane/typhoon ratings/categories再次定義http://t.co/OdYdT9QPk1</v>
      </c>
      <c r="G1907" s="4" t="str">
        <f>IFERROR(__xludf.DUMMYFUNCTION("GOOGLETRANSLATE(B1907)"),"颶風")</f>
        <v>颶風</v>
      </c>
    </row>
    <row r="1908" ht="15.75" customHeight="1">
      <c r="A1908" s="4">
        <v>6417.0</v>
      </c>
      <c r="B1908" s="4" t="s">
        <v>2973</v>
      </c>
      <c r="D1908" s="4" t="s">
        <v>2996</v>
      </c>
      <c r="E1908" s="4">
        <v>1.0</v>
      </c>
      <c r="F1908" s="4" t="str">
        <f>IFERROR(__xludf.DUMMYFUNCTION("GOOGLETRANSLATE(D1908)"),"AngelRiveraLibÛ_ #斯諾登「可能」違反了法律？卡崔娜颶風可能造成了一些損失。 http://t.co/jAaWuiOvdc 沒有斯諾登 hÛ_")</f>
        <v>AngelRiveraLibÛ_ #斯諾登「可能」違反了法律？卡崔娜颶風可能造成了一些損失。 http://t.co/jAaWuiOvdc 沒有斯諾登 hÛ_</v>
      </c>
      <c r="G1908" s="4" t="str">
        <f>IFERROR(__xludf.DUMMYFUNCTION("GOOGLETRANSLATE(B1908)"),"颶風")</f>
        <v>颶風</v>
      </c>
    </row>
    <row r="1909" ht="15.75" customHeight="1">
      <c r="A1909" s="4">
        <v>6418.0</v>
      </c>
      <c r="B1909" s="4" t="s">
        <v>2973</v>
      </c>
      <c r="D1909" s="4" t="s">
        <v>2997</v>
      </c>
      <c r="E1909" s="4">
        <v>1.0</v>
      </c>
      <c r="F1909" s="4" t="str">
        <f>IFERROR(__xludf.DUMMYFUNCTION("GOOGLETRANSLATE(D1909)"),"HWRF 絕對會以颶風、高風暴潮和 20 英尺的降雨襲擊台北。根本不是好消息！！！ http://t.co/CNkvILe7bE")</f>
        <v>HWRF 絕對會以颶風、高風暴潮和 20 英尺的降雨襲擊台北。根本不是好消息！！！ http://t.co/CNkvILe7bE</v>
      </c>
      <c r="G1909" s="4" t="str">
        <f>IFERROR(__xludf.DUMMYFUNCTION("GOOGLETRANSLATE(B1909)"),"颶風")</f>
        <v>颶風</v>
      </c>
    </row>
    <row r="1910" ht="15.75" customHeight="1">
      <c r="A1910" s="4">
        <v>6420.0</v>
      </c>
      <c r="B1910" s="4" t="s">
        <v>2973</v>
      </c>
      <c r="D1910" s="4" t="s">
        <v>2998</v>
      </c>
      <c r="E1910" s="4">
        <v>1.0</v>
      </c>
      <c r="F1910" s="4" t="str">
        <f>IFERROR(__xludf.DUMMYFUNCTION("GOOGLETRANSLATE(D1910)"),"@pattonoswalt @FoxNews 等等，我以為糞便颶風出現在科幻片中？也許那是turdnado。最近一場大風暴讓我忘了。")</f>
        <v>@pattonoswalt @FoxNews 等等，我以為糞便颶風出現在科幻片中？也許那是turdnado。最近一場大風暴讓我忘了。</v>
      </c>
      <c r="G1910" s="4" t="str">
        <f>IFERROR(__xludf.DUMMYFUNCTION("GOOGLETRANSLATE(B1910)"),"颶風")</f>
        <v>颶風</v>
      </c>
    </row>
    <row r="1911" ht="15.75" customHeight="1">
      <c r="A1911" s="4">
        <v>6421.0</v>
      </c>
      <c r="B1911" s="4" t="s">
        <v>2973</v>
      </c>
      <c r="C1911" s="4" t="s">
        <v>2999</v>
      </c>
      <c r="D1911" s="4" t="s">
        <v>3000</v>
      </c>
      <c r="E1911" s="4">
        <v>1.0</v>
      </c>
      <c r="F1911" s="4" t="str">
        <f>IFERROR(__xludf.DUMMYFUNCTION("GOOGLETRANSLATE(D1911)"),"颶風吉勒莫諾阿即時追蹤/循環 8 月 5 日星期三 ~ http://t.co/AuruGJEGIQ ~ http://t.co/L3w8miPvnT http://t.co/O85M1bJFRW")</f>
        <v>颶風吉勒莫諾阿即時追蹤/循環 8 月 5 日星期三 ~ http://t.co/AuruGJEGIQ ~ http://t.co/L3w8miPvnT http://t.co/O85M1bJFRW</v>
      </c>
      <c r="G1911" s="4" t="str">
        <f>IFERROR(__xludf.DUMMYFUNCTION("GOOGLETRANSLATE(B1911)"),"颶風")</f>
        <v>颶風</v>
      </c>
    </row>
    <row r="1912" ht="15.75" customHeight="1">
      <c r="A1912" s="4">
        <v>6427.0</v>
      </c>
      <c r="B1912" s="4" t="s">
        <v>2973</v>
      </c>
      <c r="D1912" s="4" t="s">
        <v>3001</v>
      </c>
      <c r="E1912" s="4">
        <v>1.0</v>
      </c>
      <c r="F1912" s="4" t="str">
        <f>IFERROR(__xludf.DUMMYFUNCTION("GOOGLETRANSLATE(D1912)"),"#kick #hurricane 認真#simple 網站：http://t.co/x8W7tF6FHg 尋找一個非常簡單的程式 http://t.co/9NZ9zFM93i")</f>
        <v>#kick #hurricane 認真#simple 網站：http://t.co/x8W7tF6FHg 尋找一個非常簡單的程式 http://t.co/9NZ9zFM93i</v>
      </c>
      <c r="G1912" s="4" t="str">
        <f>IFERROR(__xludf.DUMMYFUNCTION("GOOGLETRANSLATE(B1912)"),"颶風")</f>
        <v>颶風</v>
      </c>
    </row>
    <row r="1913" ht="15.75" customHeight="1">
      <c r="A1913" s="4">
        <v>6429.0</v>
      </c>
      <c r="B1913" s="4" t="s">
        <v>2973</v>
      </c>
      <c r="D1913" s="4" t="s">
        <v>3002</v>
      </c>
      <c r="E1913" s="4">
        <v>1.0</v>
      </c>
      <c r="F1913" s="4" t="str">
        <f>IFERROR(__xludf.DUMMYFUNCTION("GOOGLETRANSLATE(D1913)"),"@Hurricane_Dolce 沒問題")</f>
        <v>@Hurricane_Dolce 沒問題</v>
      </c>
      <c r="G1913" s="4" t="str">
        <f>IFERROR(__xludf.DUMMYFUNCTION("GOOGLETRANSLATE(B1913)"),"颶風")</f>
        <v>颶風</v>
      </c>
    </row>
    <row r="1914" ht="15.75" customHeight="1">
      <c r="A1914" s="4">
        <v>6434.0</v>
      </c>
      <c r="B1914" s="4" t="s">
        <v>2973</v>
      </c>
      <c r="D1914" s="4" t="s">
        <v>3003</v>
      </c>
      <c r="E1914" s="4">
        <v>1.0</v>
      </c>
      <c r="F1914" s="4" t="str">
        <f>IFERROR(__xludf.DUMMYFUNCTION("GOOGLETRANSLATE(D1914)"),"我和艾希莉星期五要去颶風港。 ?? http://t.co/ScEfPFvAEU")</f>
        <v>我和艾希莉星期五要去颶風港。 ?? http://t.co/ScEfPFvAEU</v>
      </c>
      <c r="G1914" s="4" t="str">
        <f>IFERROR(__xludf.DUMMYFUNCTION("GOOGLETRANSLATE(B1914)"),"颶風")</f>
        <v>颶風</v>
      </c>
    </row>
    <row r="1915" ht="15.75" customHeight="1">
      <c r="A1915" s="4">
        <v>6436.0</v>
      </c>
      <c r="B1915" s="4" t="s">
        <v>3004</v>
      </c>
      <c r="C1915" s="4" t="s">
        <v>3005</v>
      </c>
      <c r="D1915" s="4" t="s">
        <v>3006</v>
      </c>
      <c r="E1915" s="4">
        <v>1.0</v>
      </c>
      <c r="F1915" s="4" t="str">
        <f>IFERROR(__xludf.DUMMYFUNCTION("GOOGLETRANSLATE(D1915)"),"武裝份子襲擊了烏德姆普爾的警察哨所； 2名SPO受傷
疑似武裝分子週四襲擊了... http://t.co/1o0j9FCPBi")</f>
        <v>武裝份子襲擊了烏德姆普爾的警察哨所； 2名SPO受傷
疑似武裝分子週四襲擊了... http://t.co/1o0j9FCPBi</v>
      </c>
      <c r="G1915" s="4" t="str">
        <f>IFERROR(__xludf.DUMMYFUNCTION("GOOGLETRANSLATE(B1915)"),"受傷")</f>
        <v>受傷</v>
      </c>
    </row>
    <row r="1916" ht="15.75" customHeight="1">
      <c r="A1916" s="4">
        <v>6438.0</v>
      </c>
      <c r="B1916" s="4" t="s">
        <v>3004</v>
      </c>
      <c r="C1916" s="4" t="s">
        <v>3007</v>
      </c>
      <c r="D1916" s="4" t="s">
        <v>3008</v>
      </c>
      <c r="E1916" s="4">
        <v>1.0</v>
      </c>
      <c r="F1916" s="4" t="str">
        <f>IFERROR(__xludf.DUMMYFUNCTION("GOOGLETRANSLATE(D1916)"),"告訴我。確認上週五從起火房屋救出的兩名婦女死亡。 91 歲埃德娜·傑斐遜和多麗絲·謝菲爾德72。 http://t.co/L6nSLzl7mI")</f>
        <v>告訴我。確認上週五從起火房屋救出的兩名婦女死亡。 91 歲埃德娜·傑斐遜和多麗絲·謝菲爾德72。 http://t.co/L6nSLzl7mI</v>
      </c>
      <c r="G1916" s="4" t="str">
        <f>IFERROR(__xludf.DUMMYFUNCTION("GOOGLETRANSLATE(B1916)"),"受傷")</f>
        <v>受傷</v>
      </c>
    </row>
    <row r="1917" ht="15.75" customHeight="1">
      <c r="A1917" s="4">
        <v>6440.0</v>
      </c>
      <c r="B1917" s="4" t="s">
        <v>3004</v>
      </c>
      <c r="C1917" s="4" t="s">
        <v>3009</v>
      </c>
      <c r="D1917" s="4" t="s">
        <v>3010</v>
      </c>
      <c r="E1917" s="4">
        <v>1.0</v>
      </c>
      <c r="F1917" s="4" t="str">
        <f>IFERROR(__xludf.DUMMYFUNCTION("GOOGLETRANSLATE(D1917)"),"北卡羅來納州撞車事故中，兩名無證青少年司機喪生 http://t.co/Woc6AkEHYX")</f>
        <v>北卡羅來納州撞車事故中，兩名無證青少年司機喪生 http://t.co/Woc6AkEHYX</v>
      </c>
      <c r="G1917" s="4" t="str">
        <f>IFERROR(__xludf.DUMMYFUNCTION("GOOGLETRANSLATE(B1917)"),"受傷")</f>
        <v>受傷</v>
      </c>
    </row>
    <row r="1918" ht="15.75" customHeight="1">
      <c r="A1918" s="4">
        <v>6443.0</v>
      </c>
      <c r="B1918" s="4" t="s">
        <v>3004</v>
      </c>
      <c r="C1918" s="4" t="s">
        <v>2145</v>
      </c>
      <c r="D1918" s="4" t="s">
        <v>3011</v>
      </c>
      <c r="E1918" s="4">
        <v>1.0</v>
      </c>
      <c r="F1918" s="4" t="str">
        <f>IFERROR(__xludf.DUMMYFUNCTION("GOOGLETRANSLATE(D1918)"),"經驗豐富的泌尿科醫生試圖幫助受傷的婦女談論最嚴重的罪犯。 http://t.co/NpOQLkqUP9 @meshnewsdesk")</f>
        <v>經驗豐富的泌尿科醫生試圖幫助受傷的婦女談論最嚴重的罪犯。 http://t.co/NpOQLkqUP9 @meshnewsdesk</v>
      </c>
      <c r="G1918" s="4" t="str">
        <f>IFERROR(__xludf.DUMMYFUNCTION("GOOGLETRANSLATE(B1918)"),"受傷")</f>
        <v>受傷</v>
      </c>
    </row>
    <row r="1919" ht="15.75" customHeight="1">
      <c r="A1919" s="4">
        <v>6445.0</v>
      </c>
      <c r="B1919" s="4" t="s">
        <v>3004</v>
      </c>
      <c r="C1919" s="4" t="s">
        <v>1458</v>
      </c>
      <c r="D1919" s="4" t="s">
        <v>3012</v>
      </c>
      <c r="E1919" s="4">
        <v>1.0</v>
      </c>
      <c r="F1919" s="4" t="str">
        <f>IFERROR(__xludf.DUMMYFUNCTION("GOOGLETRANSLATE(D1919)"),"Yelp 透過調查性新聞支持醫療保健評論：當地急診室的患病和受傷患者正在接受... http://t.co/E8aEGOFDY2")</f>
        <v>Yelp 透過調查性新聞支持醫療保健評論：當地急診室的患病和受傷患者正在接受... http://t.co/E8aEGOFDY2</v>
      </c>
      <c r="G1919" s="4" t="str">
        <f>IFERROR(__xludf.DUMMYFUNCTION("GOOGLETRANSLATE(B1919)"),"受傷")</f>
        <v>受傷</v>
      </c>
    </row>
    <row r="1920" ht="15.75" customHeight="1">
      <c r="A1920" s="4">
        <v>6446.0</v>
      </c>
      <c r="B1920" s="4" t="s">
        <v>3004</v>
      </c>
      <c r="C1920" s="4" t="s">
        <v>3013</v>
      </c>
      <c r="D1920" s="4" t="s">
        <v>3014</v>
      </c>
      <c r="E1920" s="4">
        <v>1.0</v>
      </c>
      <c r="F1920" s="4" t="str">
        <f>IFERROR(__xludf.DUMMYFUNCTION("GOOGLETRANSLATE(D1920)"),"恐怖分子攻擊警察哨所； 2 次 SPO 受傷 http://t.co/lXMdiseUCn #YUG")</f>
        <v>恐怖分子攻擊警察哨所； 2 次 SPO 受傷 http://t.co/lXMdiseUCn #YUG</v>
      </c>
      <c r="G1920" s="4" t="str">
        <f>IFERROR(__xludf.DUMMYFUNCTION("GOOGLETRANSLATE(B1920)"),"受傷")</f>
        <v>受傷</v>
      </c>
    </row>
    <row r="1921" ht="15.75" customHeight="1">
      <c r="A1921" s="4">
        <v>6448.0</v>
      </c>
      <c r="B1921" s="4" t="s">
        <v>3004</v>
      </c>
      <c r="D1921" s="4" t="s">
        <v>3015</v>
      </c>
      <c r="E1921" s="4">
        <v>1.0</v>
      </c>
      <c r="F1921" s="4" t="str">
        <f>IFERROR(__xludf.DUMMYFUNCTION("GOOGLETRANSLATE(D1921)"),"檢查@SuryaRay Udhampur 恐怖攻擊：武裝分子攻擊警察哨所，2 個 SPO 受傷：Û_ http://t.co/ptq3zMgncK #SuryaRay #India")</f>
        <v>檢查@SuryaRay Udhampur 恐怖攻擊：武裝分子攻擊警察哨所，2 個 SPO 受傷：Û_ http://t.co/ptq3zMgncK #SuryaRay #India</v>
      </c>
      <c r="G1921" s="4" t="str">
        <f>IFERROR(__xludf.DUMMYFUNCTION("GOOGLETRANSLATE(B1921)"),"受傷")</f>
        <v>受傷</v>
      </c>
    </row>
    <row r="1922" ht="15.75" customHeight="1">
      <c r="A1922" s="4">
        <v>6453.0</v>
      </c>
      <c r="B1922" s="4" t="s">
        <v>3004</v>
      </c>
      <c r="C1922" s="4" t="s">
        <v>283</v>
      </c>
      <c r="D1922" s="4" t="s">
        <v>3016</v>
      </c>
      <c r="E1922" s="4">
        <v>1.0</v>
      </c>
      <c r="F1922" s="4" t="str">
        <f>IFERROR(__xludf.DUMMYFUNCTION("GOOGLETRANSLATE(D1922)"),"頭條新聞 - Google 4 在夏季戰爭中被夷為平地的加沙爆炸中造成數十人受傷Û_ http://t.co/P3o71DZ992")</f>
        <v>頭條新聞 - Google 4 在夏季戰爭中被夷為平地的加沙爆炸中造成數十人受傷Û_ http://t.co/P3o71DZ992</v>
      </c>
      <c r="G1922" s="4" t="str">
        <f>IFERROR(__xludf.DUMMYFUNCTION("GOOGLETRANSLATE(B1922)"),"受傷")</f>
        <v>受傷</v>
      </c>
    </row>
    <row r="1923" ht="15.75" customHeight="1">
      <c r="A1923" s="4">
        <v>6454.0</v>
      </c>
      <c r="B1923" s="4" t="s">
        <v>3004</v>
      </c>
      <c r="C1923" s="4" t="s">
        <v>3017</v>
      </c>
      <c r="D1923" s="4" t="s">
        <v>3018</v>
      </c>
      <c r="E1923" s="4">
        <v>1.0</v>
      </c>
      <c r="F1923" s="4" t="str">
        <f>IFERROR(__xludf.DUMMYFUNCTION("GOOGLETRANSLATE(D1923)"),"照片：沙烏地阿拉伯清真寺致命自殺式攻擊造成 17 人死亡、25 人以上受傷 http://t.co/geEKnwJJSz")</f>
        <v>照片：沙烏地阿拉伯清真寺致命自殺式攻擊造成 17 人死亡、25 人以上受傷 http://t.co/geEKnwJJSz</v>
      </c>
      <c r="G1923" s="4" t="str">
        <f>IFERROR(__xludf.DUMMYFUNCTION("GOOGLETRANSLATE(B1923)"),"受傷")</f>
        <v>受傷</v>
      </c>
    </row>
    <row r="1924" ht="15.75" customHeight="1">
      <c r="A1924" s="4">
        <v>6455.0</v>
      </c>
      <c r="B1924" s="4" t="s">
        <v>3004</v>
      </c>
      <c r="C1924" s="4" t="s">
        <v>3019</v>
      </c>
      <c r="D1924" s="4" t="s">
        <v>3020</v>
      </c>
      <c r="E1924" s="4">
        <v>1.0</v>
      </c>
      <c r="F1924" s="4" t="str">
        <f>IFERROR(__xludf.DUMMYFUNCTION("GOOGLETRANSLATE(D1924)"),"http://t.co/qr3YPEkfOe
看來他們向政府宣戰了..")</f>
        <v>http://t.co/qr3YPEkfOe
看來他們向政府宣戰了..</v>
      </c>
      <c r="G1924" s="4" t="str">
        <f>IFERROR(__xludf.DUMMYFUNCTION("GOOGLETRANSLATE(B1924)"),"受傷")</f>
        <v>受傷</v>
      </c>
    </row>
    <row r="1925" ht="15.75" customHeight="1">
      <c r="A1925" s="4">
        <v>6458.0</v>
      </c>
      <c r="B1925" s="4" t="s">
        <v>3004</v>
      </c>
      <c r="C1925" s="4" t="s">
        <v>3021</v>
      </c>
      <c r="D1925" s="4" t="s">
        <v>3022</v>
      </c>
      <c r="E1925" s="4">
        <v>1.0</v>
      </c>
      <c r="F1925" s="4" t="str">
        <f>IFERROR(__xludf.DUMMYFUNCTION("GOOGLETRANSLATE(D1925)"),"烏德漢普爾恐怖攻擊：武裝份子襲擊警察哨所，造成 2 名 SPO 受傷 http://t.co/zMWeCBWVaO")</f>
        <v>烏德漢普爾恐怖攻擊：武裝份子襲擊警察哨所，造成 2 名 SPO 受傷 http://t.co/zMWeCBWVaO</v>
      </c>
      <c r="G1925" s="4" t="str">
        <f>IFERROR(__xludf.DUMMYFUNCTION("GOOGLETRANSLATE(B1925)"),"受傷")</f>
        <v>受傷</v>
      </c>
    </row>
    <row r="1926" ht="15.75" customHeight="1">
      <c r="A1926" s="4">
        <v>6461.0</v>
      </c>
      <c r="B1926" s="4" t="s">
        <v>3004</v>
      </c>
      <c r="D1926" s="4" t="s">
        <v>3023</v>
      </c>
      <c r="E1926" s="4">
        <v>1.0</v>
      </c>
      <c r="F1926" s="4" t="str">
        <f>IFERROR(__xludf.DUMMYFUNCTION("GOOGLETRANSLATE(D1926)"),"我不敢相信布萊文斯從路邊摔下來受傷了。這是職業選手從未想過的事情會發生在我身上")</f>
        <v>我不敢相信布萊文斯從路邊摔下來受傷了。這是職業選手從未想過的事情會發生在我身上</v>
      </c>
      <c r="G1926" s="4" t="str">
        <f>IFERROR(__xludf.DUMMYFUNCTION("GOOGLETRANSLATE(B1926)"),"受傷")</f>
        <v>受傷</v>
      </c>
    </row>
    <row r="1927" ht="15.75" customHeight="1">
      <c r="A1927" s="4">
        <v>6464.0</v>
      </c>
      <c r="B1927" s="4" t="s">
        <v>3004</v>
      </c>
      <c r="C1927" s="4" t="s">
        <v>323</v>
      </c>
      <c r="D1927" s="4" t="s">
        <v>3024</v>
      </c>
      <c r="E1927" s="4">
        <v>1.0</v>
      </c>
      <c r="F1927" s="4" t="str">
        <f>IFERROR(__xludf.DUMMYFUNCTION("GOOGLETRANSLATE(D1927)"),"烏德漢普爾恐怖攻擊：武裝分子襲擊警察崗哨 2 名 SPO 受傷：疑似武裝分子今晚襲擊了警察哨所... http://t.co/FPhFESemyJ")</f>
        <v>烏德漢普爾恐怖攻擊：武裝分子襲擊警察崗哨 2 名 SPO 受傷：疑似武裝分子今晚襲擊了警察哨所... http://t.co/FPhFESemyJ</v>
      </c>
      <c r="G1927" s="4" t="str">
        <f>IFERROR(__xludf.DUMMYFUNCTION("GOOGLETRANSLATE(B1927)"),"受傷")</f>
        <v>受傷</v>
      </c>
    </row>
    <row r="1928" ht="15.75" customHeight="1">
      <c r="A1928" s="4">
        <v>6466.0</v>
      </c>
      <c r="B1928" s="4" t="s">
        <v>3004</v>
      </c>
      <c r="C1928" s="4" t="s">
        <v>38</v>
      </c>
      <c r="D1928" s="4" t="s">
        <v>3025</v>
      </c>
      <c r="E1928" s="4">
        <v>1.0</v>
      </c>
      <c r="F1928" s="4" t="str">
        <f>IFERROR(__xludf.DUMMYFUNCTION("GOOGLETRANSLATE(D1928)"),"優惠：http://t.co/Gl3C1vc88P #8392 豪華廁所安全支援/Health/Home/Bathroom/Support/Elderly/Injured/SÛ_ http://t.co/vihdoKScCC")</f>
        <v>優惠：http://t.co/Gl3C1vc88P #8392 豪華廁所安全支援/Health/Home/Bathroom/Support/Elderly/Injured/SÛ_ http://t.co/vihdoKScCC</v>
      </c>
      <c r="G1928" s="4" t="str">
        <f>IFERROR(__xludf.DUMMYFUNCTION("GOOGLETRANSLATE(B1928)"),"受傷")</f>
        <v>受傷</v>
      </c>
    </row>
    <row r="1929" ht="15.75" customHeight="1">
      <c r="A1929" s="4">
        <v>6467.0</v>
      </c>
      <c r="B1929" s="4" t="s">
        <v>3004</v>
      </c>
      <c r="D1929" s="4" t="s">
        <v>3026</v>
      </c>
      <c r="E1929" s="4">
        <v>1.0</v>
      </c>
      <c r="F1929" s="4" t="str">
        <f>IFERROR(__xludf.DUMMYFUNCTION("GOOGLETRANSLATE(D1929)"),"《華盛頓郵報》- 夏季戰爭中被夷為平地的加薩房屋附近發生爆炸，造成 4 人死亡、數十人受傷 http://t.co/VjXa13n8Ap")</f>
        <v>《華盛頓郵報》- 夏季戰爭中被夷為平地的加薩房屋附近發生爆炸，造成 4 人死亡、數十人受傷 http://t.co/VjXa13n8Ap</v>
      </c>
      <c r="G1929" s="4" t="str">
        <f>IFERROR(__xludf.DUMMYFUNCTION("GOOGLETRANSLATE(B1929)"),"受傷")</f>
        <v>受傷</v>
      </c>
    </row>
    <row r="1930" ht="15.75" customHeight="1">
      <c r="A1930" s="4">
        <v>6469.0</v>
      </c>
      <c r="B1930" s="4" t="s">
        <v>3004</v>
      </c>
      <c r="C1930" s="4" t="s">
        <v>656</v>
      </c>
      <c r="D1930" s="4" t="s">
        <v>3027</v>
      </c>
      <c r="E1930" s="4">
        <v>1.0</v>
      </c>
      <c r="F1930" s="4" t="str">
        <f>IFERROR(__xludf.DUMMYFUNCTION("GOOGLETRANSLATE(D1930)"),"奧貢走私者與海關發生槍戰：據稱週三，當男子走私時，數人受傷... http://t.co/pUXBC2LoYK #RT")</f>
        <v>奧貢走私者與海關發生槍戰：據稱週三，當男子走私時，數人受傷... http://t.co/pUXBC2LoYK #RT</v>
      </c>
      <c r="G1930" s="4" t="str">
        <f>IFERROR(__xludf.DUMMYFUNCTION("GOOGLETRANSLATE(B1930)"),"受傷")</f>
        <v>受傷</v>
      </c>
    </row>
    <row r="1931" ht="15.75" customHeight="1">
      <c r="A1931" s="4">
        <v>6470.0</v>
      </c>
      <c r="B1931" s="4" t="s">
        <v>3004</v>
      </c>
      <c r="C1931" s="4" t="s">
        <v>3028</v>
      </c>
      <c r="D1931" s="4" t="s">
        <v>3029</v>
      </c>
      <c r="E1931" s="4">
        <v>1.0</v>
      </c>
      <c r="F1931" s="4" t="str">
        <f>IFERROR(__xludf.DUMMYFUNCTION("GOOGLETRANSLATE(D1931)"),"@ChristieC733 請支持此 請共同贊助 S.928 並支持為生病和受傷的 9/11 響應者提供援助！ #renew911health")</f>
        <v>@ChristieC733 請支持此 請共同贊助 S.928 並支持為生病和受傷的 9/11 響應者提供援助！ #renew911health</v>
      </c>
      <c r="G1931" s="4" t="str">
        <f>IFERROR(__xludf.DUMMYFUNCTION("GOOGLETRANSLATE(B1931)"),"受傷")</f>
        <v>受傷</v>
      </c>
    </row>
    <row r="1932" ht="15.75" customHeight="1">
      <c r="A1932" s="4">
        <v>6472.0</v>
      </c>
      <c r="B1932" s="4" t="s">
        <v>3004</v>
      </c>
      <c r="C1932" s="4" t="s">
        <v>3030</v>
      </c>
      <c r="D1932" s="4" t="s">
        <v>3031</v>
      </c>
      <c r="E1932" s="4">
        <v>1.0</v>
      </c>
      <c r="F1932" s="4" t="str">
        <f>IFERROR(__xludf.DUMMYFUNCTION("GOOGLETRANSLATE(D1932)"),"夏季戰爭中被夷為平地的加薩房屋附近發生爆炸，造成 4 人死亡、數十人受傷 - 華盛頓郵報 http://t.co/AXXDCaKzTY #World")</f>
        <v>夏季戰爭中被夷為平地的加薩房屋附近發生爆炸，造成 4 人死亡、數十人受傷 - 華盛頓郵報 http://t.co/AXXDCaKzTY #World</v>
      </c>
      <c r="G1932" s="4" t="str">
        <f>IFERROR(__xludf.DUMMYFUNCTION("GOOGLETRANSLATE(B1932)"),"受傷")</f>
        <v>受傷</v>
      </c>
    </row>
    <row r="1933" ht="15.75" customHeight="1">
      <c r="A1933" s="4">
        <v>6473.0</v>
      </c>
      <c r="B1933" s="4" t="s">
        <v>3004</v>
      </c>
      <c r="C1933" s="4" t="s">
        <v>3032</v>
      </c>
      <c r="D1933" s="4" t="s">
        <v>3033</v>
      </c>
      <c r="E1933" s="4">
        <v>1.0</v>
      </c>
      <c r="F1933" s="4" t="str">
        <f>IFERROR(__xludf.DUMMYFUNCTION("GOOGLETRANSLATE(D1933)"),"夏季戰爭中被夷為平地的加薩房屋附近爆炸造成 4 人死亡，數十人受傷 - http://t.co/L53OABEqc9 via http://t.co/q3Izqdk1n0")</f>
        <v>夏季戰爭中被夷為平地的加薩房屋附近爆炸造成 4 人死亡，數十人受傷 - http://t.co/L53OABEqc9 via http://t.co/q3Izqdk1n0</v>
      </c>
      <c r="G1933" s="4" t="str">
        <f>IFERROR(__xludf.DUMMYFUNCTION("GOOGLETRANSLATE(B1933)"),"受傷")</f>
        <v>受傷</v>
      </c>
    </row>
    <row r="1934" ht="15.75" customHeight="1">
      <c r="A1934" s="4">
        <v>6474.0</v>
      </c>
      <c r="B1934" s="4" t="s">
        <v>3004</v>
      </c>
      <c r="D1934" s="4" t="s">
        <v>3034</v>
      </c>
      <c r="E1934" s="4">
        <v>1.0</v>
      </c>
      <c r="F1934" s="4" t="str">
        <f>IFERROR(__xludf.DUMMYFUNCTION("GOOGLETRANSLATE(D1934)"),"@TheHammers_ @tonycottee1986 另外，如果第一隊的一些球員受傷了怎麼辦？然後比利奇將因與他們比賽而被安排他無法獲勝")</f>
        <v>@TheHammers_ @tonycottee1986 另外，如果第一隊的一些球員受傷了怎麼辦？然後比利奇將因與他們比賽而被安排他無法獲勝</v>
      </c>
      <c r="G1934" s="4" t="str">
        <f>IFERROR(__xludf.DUMMYFUNCTION("GOOGLETRANSLATE(B1934)"),"受傷")</f>
        <v>受傷</v>
      </c>
    </row>
    <row r="1935" ht="15.75" customHeight="1">
      <c r="A1935" s="4">
        <v>6477.0</v>
      </c>
      <c r="B1935" s="4" t="s">
        <v>3004</v>
      </c>
      <c r="D1935" s="4" t="s">
        <v>3035</v>
      </c>
      <c r="E1935" s="4">
        <v>1.0</v>
      </c>
      <c r="F1935" s="4" t="str">
        <f>IFERROR(__xludf.DUMMYFUNCTION("GOOGLETRANSLATE(D1935)"),"烏達姆普爾恐怖攻擊：武裝分子襲擊警察崗哨 2 名 SPO 受傷：疑似武裝分子今晚襲擊了警察哨所... http://t.co/cEKbxJmPBj")</f>
        <v>烏達姆普爾恐怖攻擊：武裝分子襲擊警察崗哨 2 名 SPO 受傷：疑似武裝分子今晚襲擊了警察哨所... http://t.co/cEKbxJmPBj</v>
      </c>
      <c r="G1935" s="4" t="str">
        <f>IFERROR(__xludf.DUMMYFUNCTION("GOOGLETRANSLATE(B1935)"),"受傷")</f>
        <v>受傷</v>
      </c>
    </row>
    <row r="1936" ht="15.75" customHeight="1">
      <c r="A1936" s="4">
        <v>6480.0</v>
      </c>
      <c r="B1936" s="4" t="s">
        <v>3004</v>
      </c>
      <c r="C1936" s="4" t="s">
        <v>34</v>
      </c>
      <c r="D1936" s="4" t="s">
        <v>3036</v>
      </c>
      <c r="E1936" s="4">
        <v>1.0</v>
      </c>
      <c r="F1936" s="4" t="str">
        <f>IFERROR(__xludf.DUMMYFUNCTION("GOOGLETRANSLATE(D1936)"),"#BreakingNews 武裝份子襲擊烏德漢普爾警察哨所； 2 次 SPO 受傷 http://t.co/EqCCrTlnbd")</f>
        <v>#BreakingNews 武裝份子襲擊烏德漢普爾警察哨所； 2 次 SPO 受傷 http://t.co/EqCCrTlnbd</v>
      </c>
      <c r="G1936" s="4" t="str">
        <f>IFERROR(__xludf.DUMMYFUNCTION("GOOGLETRANSLATE(B1936)"),"受傷")</f>
        <v>受傷</v>
      </c>
    </row>
    <row r="1937" ht="15.75" customHeight="1">
      <c r="A1937" s="4">
        <v>6481.0</v>
      </c>
      <c r="B1937" s="4" t="s">
        <v>3004</v>
      </c>
      <c r="C1937" s="4" t="s">
        <v>3028</v>
      </c>
      <c r="D1937" s="4" t="s">
        <v>3037</v>
      </c>
      <c r="E1937" s="4">
        <v>1.0</v>
      </c>
      <c r="F1937" s="4" t="str">
        <f>IFERROR(__xludf.DUMMYFUNCTION("GOOGLETRANSLATE(D1937)"),"@WeAreTheNews 請支持此 請共同贊助 S.928 並支持對生病和受傷的 9/11 救援人員的援助！ #renew911health")</f>
        <v>@WeAreTheNews 請支持此 請共同贊助 S.928 並支持對生病和受傷的 9/11 救援人員的援助！ #renew911health</v>
      </c>
      <c r="G1937" s="4" t="str">
        <f>IFERROR(__xludf.DUMMYFUNCTION("GOOGLETRANSLATE(B1937)"),"受傷")</f>
        <v>受傷</v>
      </c>
    </row>
    <row r="1938" ht="15.75" customHeight="1">
      <c r="A1938" s="4">
        <v>6484.0</v>
      </c>
      <c r="B1938" s="4" t="s">
        <v>3004</v>
      </c>
      <c r="C1938" s="4" t="s">
        <v>34</v>
      </c>
      <c r="D1938" s="4" t="s">
        <v>3038</v>
      </c>
      <c r="E1938" s="4">
        <v>1.0</v>
      </c>
      <c r="F1938" s="4" t="str">
        <f>IFERROR(__xludf.DUMMYFUNCTION("GOOGLETRANSLATE(D1938)"),"烏達姆普爾恐怖攻擊：武裝分子襲擊警察崗哨 2 名 SPO 受傷：疑似武裝分子今晚襲擊了警察哨所... http://t.co/Cwm0ULqu3E")</f>
        <v>烏達姆普爾恐怖攻擊：武裝分子襲擊警察崗哨 2 名 SPO 受傷：疑似武裝分子今晚襲擊了警察哨所... http://t.co/Cwm0ULqu3E</v>
      </c>
      <c r="G1938" s="4" t="str">
        <f>IFERROR(__xludf.DUMMYFUNCTION("GOOGLETRANSLATE(B1938)"),"受傷")</f>
        <v>受傷</v>
      </c>
    </row>
    <row r="1939" ht="15.75" customHeight="1">
      <c r="A1939" s="4">
        <v>6495.0</v>
      </c>
      <c r="B1939" s="4" t="s">
        <v>3039</v>
      </c>
      <c r="C1939" s="4" t="s">
        <v>1276</v>
      </c>
      <c r="D1939" s="4" t="s">
        <v>3040</v>
      </c>
      <c r="E1939" s="4">
        <v>1.0</v>
      </c>
      <c r="F1939" s="4" t="str">
        <f>IFERROR(__xludf.DUMMYFUNCTION("GOOGLETRANSLATE(D1939)"),"我的寶貝女兒今天下午出了車禍，感謝上帝沒有受重傷，而且她繫了安全帶！！！...http://t.co/NJQV45ndS2")</f>
        <v>我的寶貝女兒今天下午出了車禍，感謝上帝沒有受重傷，而且她繫了安全帶！！！...http://t.co/NJQV45ndS2</v>
      </c>
      <c r="G1939" s="4" t="str">
        <f>IFERROR(__xludf.DUMMYFUNCTION("GOOGLETRANSLATE(B1939)"),"受傷")</f>
        <v>受傷</v>
      </c>
    </row>
    <row r="1940" ht="15.75" customHeight="1">
      <c r="A1940" s="4">
        <v>6500.0</v>
      </c>
      <c r="B1940" s="4" t="s">
        <v>3039</v>
      </c>
      <c r="D1940" s="4" t="s">
        <v>3041</v>
      </c>
      <c r="E1940" s="4">
        <v>1.0</v>
      </c>
      <c r="F1940" s="4" t="str">
        <f>IFERROR(__xludf.DUMMYFUNCTION("GOOGLETRANSLATE(D1940)"),"今晚我們和 @LondonFire 一起參加了羅姆福德的一場火災，幸好沒有受傷 http://t.co/iyjeJop2WI")</f>
        <v>今晚我們和 @LondonFire 一起參加了羅姆福德的一場火災，幸好沒有受傷 http://t.co/iyjeJop2WI</v>
      </c>
      <c r="G1940" s="4" t="str">
        <f>IFERROR(__xludf.DUMMYFUNCTION("GOOGLETRANSLATE(B1940)"),"受傷")</f>
        <v>受傷</v>
      </c>
    </row>
    <row r="1941" ht="15.75" customHeight="1">
      <c r="A1941" s="4">
        <v>6501.0</v>
      </c>
      <c r="B1941" s="4" t="s">
        <v>3039</v>
      </c>
      <c r="C1941" s="4" t="s">
        <v>142</v>
      </c>
      <c r="D1941" s="4" t="s">
        <v>3042</v>
      </c>
      <c r="E1941" s="4">
        <v>1.0</v>
      </c>
      <c r="F1941" s="4" t="str">
        <f>IFERROR(__xludf.DUMMYFUNCTION("GOOGLETRANSLATE(D1941)"),"皮爾警方表示，一名男性騎自行車者在密西沙加的 Southdown Road 和 Royal Windsor Drive 附近發生車禍。嚴重但不危及生命的傷害。")</f>
        <v>皮爾警方表示，一名男性騎自行車者在密西沙加的 Southdown Road 和 Royal Windsor Drive 附近發生車禍。嚴重但不危及生命的傷害。</v>
      </c>
      <c r="G1941" s="4" t="str">
        <f>IFERROR(__xludf.DUMMYFUNCTION("GOOGLETRANSLATE(B1941)"),"受傷")</f>
        <v>受傷</v>
      </c>
    </row>
    <row r="1942" ht="15.75" customHeight="1">
      <c r="A1942" s="4">
        <v>6506.0</v>
      </c>
      <c r="B1942" s="4" t="s">
        <v>3039</v>
      </c>
      <c r="C1942" s="4" t="s">
        <v>3043</v>
      </c>
      <c r="D1942" s="4" t="s">
        <v>3044</v>
      </c>
      <c r="E1942" s="4">
        <v>1.0</v>
      </c>
      <c r="F1942" s="4" t="str">
        <f>IFERROR(__xludf.DUMMYFUNCTION("GOOGLETRANSLATE(D1942)"),"西尼亞克松景路鐵路與西部高速公路交叉。 CSX 火車與卡車現場的單位沒有受傷。")</f>
        <v>西尼亞克松景路鐵路與西部高速公路交叉。 CSX 火車與卡車現場的單位沒有受傷。</v>
      </c>
      <c r="G1942" s="4" t="str">
        <f>IFERROR(__xludf.DUMMYFUNCTION("GOOGLETRANSLATE(B1942)"),"受傷")</f>
        <v>受傷</v>
      </c>
    </row>
    <row r="1943" ht="15.75" customHeight="1">
      <c r="A1943" s="4">
        <v>6510.0</v>
      </c>
      <c r="B1943" s="4" t="s">
        <v>3039</v>
      </c>
      <c r="C1943" s="4" t="s">
        <v>3045</v>
      </c>
      <c r="D1943" s="4" t="s">
        <v>3046</v>
      </c>
      <c r="E1943" s="4">
        <v>1.0</v>
      </c>
      <c r="F1943" s="4" t="str">
        <f>IFERROR(__xludf.DUMMYFUNCTION("GOOGLETRANSLATE(D1943)"),"CR 516/Leonardville Rd #NJ36 SB 發生事故受傷 http://t.co/2xwIHy2wsg")</f>
        <v>CR 516/Leonardville Rd #NJ36 SB 發生事故受傷 http://t.co/2xwIHy2wsg</v>
      </c>
      <c r="G1943" s="4" t="str">
        <f>IFERROR(__xludf.DUMMYFUNCTION("GOOGLETRANSLATE(B1943)"),"受傷")</f>
        <v>受傷</v>
      </c>
    </row>
    <row r="1944" ht="15.75" customHeight="1">
      <c r="A1944" s="4">
        <v>6519.0</v>
      </c>
      <c r="B1944" s="4" t="s">
        <v>3039</v>
      </c>
      <c r="C1944" s="4" t="s">
        <v>3047</v>
      </c>
      <c r="D1944" s="4" t="s">
        <v>3048</v>
      </c>
      <c r="E1944" s="4">
        <v>1.0</v>
      </c>
      <c r="F1944" s="4" t="str">
        <f>IFERROR(__xludf.DUMMYFUNCTION("GOOGLETRANSLATE(D1944)"),"卡特維爾高中教練為比賽日受傷做準備 http://t.co/kKiMMBUe04")</f>
        <v>卡特維爾高中教練為比賽日受傷做準備 http://t.co/kKiMMBUe04</v>
      </c>
      <c r="G1944" s="4" t="str">
        <f>IFERROR(__xludf.DUMMYFUNCTION("GOOGLETRANSLATE(B1944)"),"受傷")</f>
        <v>受傷</v>
      </c>
    </row>
    <row r="1945" ht="15.75" customHeight="1">
      <c r="A1945" s="4">
        <v>6527.0</v>
      </c>
      <c r="B1945" s="4" t="s">
        <v>3039</v>
      </c>
      <c r="C1945" s="4" t="s">
        <v>3049</v>
      </c>
      <c r="D1945" s="4" t="s">
        <v>3050</v>
      </c>
      <c r="E1945" s="4">
        <v>1.0</v>
      </c>
      <c r="F1945" s="4" t="str">
        <f>IFERROR(__xludf.DUMMYFUNCTION("GOOGLETRANSLATE(D1945)"),"@msnbc 真是個白痴。他有一把槍&amp;amp;一把斧子，但仍沒有造成嚴重傷害。很高興警察終止了他。")</f>
        <v>@msnbc 真是個白痴。他有一把槍&amp;amp;一把斧子，但仍沒有造成嚴重傷害。很高興警察終止了他。</v>
      </c>
      <c r="G1945" s="4" t="str">
        <f>IFERROR(__xludf.DUMMYFUNCTION("GOOGLETRANSLATE(B1945)"),"受傷")</f>
        <v>受傷</v>
      </c>
    </row>
    <row r="1946" ht="15.75" customHeight="1">
      <c r="A1946" s="4">
        <v>6528.0</v>
      </c>
      <c r="B1946" s="4" t="s">
        <v>3039</v>
      </c>
      <c r="C1946" s="4" t="s">
        <v>2223</v>
      </c>
      <c r="D1946" s="4" t="s">
        <v>3051</v>
      </c>
      <c r="E1946" s="4">
        <v>1.0</v>
      </c>
      <c r="F1946" s="4" t="str">
        <f>IFERROR(__xludf.DUMMYFUNCTION("GOOGLETRANSLATE(D1946)"),"涉及兒童和運動的創傷通常與自行車相關：創傷 NS 總監 http://t.co/8DdijZyNkf #NS http://t.co/52Uus4TFN3")</f>
        <v>涉及兒童和運動的創傷通常與自行車相關：創傷 NS 總監 http://t.co/8DdijZyNkf #NS http://t.co/52Uus4TFN3</v>
      </c>
      <c r="G1946" s="4" t="str">
        <f>IFERROR(__xludf.DUMMYFUNCTION("GOOGLETRANSLATE(B1946)"),"受傷")</f>
        <v>受傷</v>
      </c>
    </row>
    <row r="1947" ht="15.75" customHeight="1">
      <c r="A1947" s="4">
        <v>6534.0</v>
      </c>
      <c r="B1947" s="4" t="s">
        <v>3039</v>
      </c>
      <c r="C1947" s="4" t="s">
        <v>289</v>
      </c>
      <c r="D1947" s="4" t="s">
        <v>3052</v>
      </c>
      <c r="E1947" s="4">
        <v>1.0</v>
      </c>
      <c r="F1947" s="4" t="str">
        <f>IFERROR(__xludf.DUMMYFUNCTION("GOOGLETRANSLATE(D1947)"),"今年夏天想打一場高爾夫球嗎？小心避免受傷－背部和肩部受傷可能很快就會發生 http://t.co/f1R5ISBVks")</f>
        <v>今年夏天想打一場高爾夫球嗎？小心避免受傷－背部和肩部受傷可能很快就會發生 http://t.co/f1R5ISBVks</v>
      </c>
      <c r="G1947" s="4" t="str">
        <f>IFERROR(__xludf.DUMMYFUNCTION("GOOGLETRANSLATE(B1947)"),"受傷")</f>
        <v>受傷</v>
      </c>
    </row>
    <row r="1948" ht="15.75" customHeight="1">
      <c r="A1948" s="4">
        <v>6537.0</v>
      </c>
      <c r="B1948" s="4" t="s">
        <v>3053</v>
      </c>
      <c r="D1948" s="4" t="s">
        <v>3054</v>
      </c>
      <c r="E1948" s="4">
        <v>1.0</v>
      </c>
      <c r="F1948" s="4" t="str">
        <f>IFERROR(__xludf.DUMMYFUNCTION("GOOGLETRANSLATE(D1948)"),"已清除：受傷事故：I-495 內環路 31 號出口 - MD 97/Georgia Ave Silver Spring")</f>
        <v>已清除：受傷事故：I-495 內環路 31 號出口 - MD 97/Georgia Ave Silver Spring</v>
      </c>
      <c r="G1948" s="4" t="str">
        <f>IFERROR(__xludf.DUMMYFUNCTION("GOOGLETRANSLATE(B1948)"),"受傷")</f>
        <v>受傷</v>
      </c>
    </row>
    <row r="1949" ht="15.75" customHeight="1">
      <c r="A1949" s="4">
        <v>6541.0</v>
      </c>
      <c r="B1949" s="4" t="s">
        <v>3053</v>
      </c>
      <c r="C1949" s="4" t="s">
        <v>3055</v>
      </c>
      <c r="D1949" s="4" t="s">
        <v>3056</v>
      </c>
      <c r="E1949" s="4">
        <v>1.0</v>
      </c>
      <c r="F1949" s="4" t="str">
        <f>IFERROR(__xludf.DUMMYFUNCTION("GOOGLETRANSLATE(D1949)"),"傑克·威爾謝爾的傷病記錄很差，他的場外行為也無濟於事。#Arsenal")</f>
        <v>傑克·威爾謝爾的傷病記錄很差，他的場外行為也無濟於事。#Arsenal</v>
      </c>
      <c r="G1949" s="4" t="str">
        <f>IFERROR(__xludf.DUMMYFUNCTION("GOOGLETRANSLATE(B1949)"),"受傷")</f>
        <v>受傷</v>
      </c>
    </row>
    <row r="1950" ht="15.75" customHeight="1">
      <c r="A1950" s="4">
        <v>6543.0</v>
      </c>
      <c r="B1950" s="4" t="s">
        <v>3053</v>
      </c>
      <c r="C1950" s="4" t="s">
        <v>790</v>
      </c>
      <c r="D1950" s="4" t="s">
        <v>1132</v>
      </c>
      <c r="E1950" s="4">
        <v>1.0</v>
      </c>
      <c r="F1950" s="4" t="str">
        <f>IFERROR(__xludf.DUMMYFUNCTION("GOOGLETRANSLATE(D1950)"),"交通碰撞 - 無傷害：I5 S 位於 I5 S 43rd Ave 出口南 Sac http://t.co/cT9ejXoLpu")</f>
        <v>交通碰撞 - 無傷害：I5 S 位於 I5 S 43rd Ave 出口南 Sac http://t.co/cT9ejXoLpu</v>
      </c>
      <c r="G1950" s="4" t="str">
        <f>IFERROR(__xludf.DUMMYFUNCTION("GOOGLETRANSLATE(B1950)"),"受傷")</f>
        <v>受傷</v>
      </c>
    </row>
    <row r="1951" ht="15.75" customHeight="1">
      <c r="A1951" s="4">
        <v>6547.0</v>
      </c>
      <c r="B1951" s="4" t="s">
        <v>3053</v>
      </c>
      <c r="C1951" s="4" t="s">
        <v>3057</v>
      </c>
      <c r="D1951" s="4" t="s">
        <v>3058</v>
      </c>
      <c r="E1951" s="4">
        <v>1.0</v>
      </c>
      <c r="F1951" s="4" t="str">
        <f>IFERROR(__xludf.DUMMYFUNCTION("GOOGLETRANSLATE(D1951)"),"加州法律《疏忽與煙火爆炸事件》http://t.co/d5w2zynP7b")</f>
        <v>加州法律《疏忽與煙火爆炸事件》http://t.co/d5w2zynP7b</v>
      </c>
      <c r="G1951" s="4" t="str">
        <f>IFERROR(__xludf.DUMMYFUNCTION("GOOGLETRANSLATE(B1951)"),"受傷")</f>
        <v>受傷</v>
      </c>
    </row>
    <row r="1952" ht="15.75" customHeight="1">
      <c r="A1952" s="4">
        <v>6548.0</v>
      </c>
      <c r="B1952" s="4" t="s">
        <v>3053</v>
      </c>
      <c r="D1952" s="4" t="s">
        <v>3054</v>
      </c>
      <c r="E1952" s="4">
        <v>1.0</v>
      </c>
      <c r="F1952" s="4" t="str">
        <f>IFERROR(__xludf.DUMMYFUNCTION("GOOGLETRANSLATE(D1952)"),"已清除：受傷事故：I-495 內環路 31 號出口 - MD 97/Georgia Ave Silver Spring")</f>
        <v>已清除：受傷事故：I-495 內環路 31 號出口 - MD 97/Georgia Ave Silver Spring</v>
      </c>
      <c r="G1952" s="4" t="str">
        <f>IFERROR(__xludf.DUMMYFUNCTION("GOOGLETRANSLATE(B1952)"),"受傷")</f>
        <v>受傷</v>
      </c>
    </row>
    <row r="1953" ht="15.75" customHeight="1">
      <c r="A1953" s="4">
        <v>6552.0</v>
      </c>
      <c r="B1953" s="4" t="s">
        <v>3053</v>
      </c>
      <c r="C1953" s="4" t="s">
        <v>3059</v>
      </c>
      <c r="D1953" s="4" t="s">
        <v>3060</v>
      </c>
      <c r="E1953" s="4">
        <v>1.0</v>
      </c>
      <c r="F1953" s="4" t="str">
        <f>IFERROR(__xludf.DUMMYFUNCTION("GOOGLETRANSLATE(D1953)"),"我對本週日維京人隊比賽的預測......不要期待太多。事實上，我認為齊默的目標是...第一場比賽沒有受傷")</f>
        <v>我對本週日維京人隊比賽的預測......不要期待太多。事實上，我認為齊默的目標是...第一場比賽沒有受傷</v>
      </c>
      <c r="G1953" s="4" t="str">
        <f>IFERROR(__xludf.DUMMYFUNCTION("GOOGLETRANSLATE(B1953)"),"受傷")</f>
        <v>受傷</v>
      </c>
    </row>
    <row r="1954" ht="15.75" customHeight="1">
      <c r="A1954" s="4">
        <v>6554.0</v>
      </c>
      <c r="B1954" s="4" t="s">
        <v>3053</v>
      </c>
      <c r="D1954" s="4" t="s">
        <v>3061</v>
      </c>
      <c r="E1954" s="4">
        <v>1.0</v>
      </c>
      <c r="F1954" s="4" t="str">
        <f>IFERROR(__xludf.DUMMYFUNCTION("GOOGLETRANSLATE(D1954)"),"但丁·埃克薩姆的膝蓋受傷可能會阻止爵士隊希望的飆升…http://t.co/8PIFutrB5U")</f>
        <v>但丁·埃克薩姆的膝蓋受傷可能會阻止爵士隊希望的飆升…http://t.co/8PIFutrB5U</v>
      </c>
      <c r="G1954" s="4" t="str">
        <f>IFERROR(__xludf.DUMMYFUNCTION("GOOGLETRANSLATE(B1954)"),"受傷")</f>
        <v>受傷</v>
      </c>
    </row>
    <row r="1955" ht="15.75" customHeight="1">
      <c r="A1955" s="4">
        <v>6555.0</v>
      </c>
      <c r="B1955" s="4" t="s">
        <v>3053</v>
      </c>
      <c r="D1955" s="4" t="s">
        <v>3062</v>
      </c>
      <c r="E1955" s="4">
        <v>1.0</v>
      </c>
      <c r="F1955" s="4" t="str">
        <f>IFERROR(__xludf.DUMMYFUNCTION("GOOGLETRANSLATE(D1955)"),"@AdamRubinESPN Familia：手臂受傷還是頭部受傷？")</f>
        <v>@AdamRubinESPN Familia：手臂受傷還是頭部受傷？</v>
      </c>
      <c r="G1955" s="4" t="str">
        <f>IFERROR(__xludf.DUMMYFUNCTION("GOOGLETRANSLATE(B1955)"),"受傷")</f>
        <v>受傷</v>
      </c>
    </row>
    <row r="1956" ht="15.75" customHeight="1">
      <c r="A1956" s="4">
        <v>6570.0</v>
      </c>
      <c r="B1956" s="4" t="s">
        <v>3053</v>
      </c>
      <c r="D1956" s="4" t="s">
        <v>3063</v>
      </c>
      <c r="E1956" s="4">
        <v>1.0</v>
      </c>
      <c r="F1956" s="4" t="str">
        <f>IFERROR(__xludf.DUMMYFUNCTION("GOOGLETRANSLATE(D1956)"),"@Sport_EN 僅僅與阿森納有聯繫就會造成傷害。")</f>
        <v>@Sport_EN 僅僅與阿森納有聯繫就會造成傷害。</v>
      </c>
      <c r="G1956" s="4" t="str">
        <f>IFERROR(__xludf.DUMMYFUNCTION("GOOGLETRANSLATE(B1956)"),"受傷")</f>
        <v>受傷</v>
      </c>
    </row>
    <row r="1957" ht="15.75" customHeight="1">
      <c r="A1957" s="4">
        <v>6571.0</v>
      </c>
      <c r="B1957" s="4" t="s">
        <v>3053</v>
      </c>
      <c r="D1957" s="4" t="s">
        <v>3064</v>
      </c>
      <c r="E1957" s="4">
        <v>1.0</v>
      </c>
      <c r="F1957" s="4" t="str">
        <f>IFERROR(__xludf.DUMMYFUNCTION("GOOGLETRANSLATE(D1957)"),"受傷事故：I-495 內環路 31 號出口 - MD 97/Georgia Ave Silver Spring")</f>
        <v>受傷事故：I-495 內環路 31 號出口 - MD 97/Georgia Ave Silver Spring</v>
      </c>
      <c r="G1957" s="4" t="str">
        <f>IFERROR(__xludf.DUMMYFUNCTION("GOOGLETRANSLATE(B1957)"),"受傷")</f>
        <v>受傷</v>
      </c>
    </row>
    <row r="1958" ht="15.75" customHeight="1">
      <c r="A1958" s="4">
        <v>6582.0</v>
      </c>
      <c r="B1958" s="4" t="s">
        <v>3053</v>
      </c>
      <c r="D1958" s="4" t="s">
        <v>3064</v>
      </c>
      <c r="E1958" s="4">
        <v>1.0</v>
      </c>
      <c r="F1958" s="4" t="str">
        <f>IFERROR(__xludf.DUMMYFUNCTION("GOOGLETRANSLATE(D1958)"),"受傷事故：I-495 內環路 31 號出口 - MD 97/Georgia Ave Silver Spring")</f>
        <v>受傷事故：I-495 內環路 31 號出口 - MD 97/Georgia Ave Silver Spring</v>
      </c>
      <c r="G1958" s="4" t="str">
        <f>IFERROR(__xludf.DUMMYFUNCTION("GOOGLETRANSLATE(B1958)"),"受傷")</f>
        <v>受傷</v>
      </c>
    </row>
    <row r="1959" ht="15.75" customHeight="1">
      <c r="A1959" s="4">
        <v>6593.0</v>
      </c>
      <c r="B1959" s="4" t="s">
        <v>3065</v>
      </c>
      <c r="C1959" s="4" t="s">
        <v>3066</v>
      </c>
      <c r="D1959" s="4" t="s">
        <v>3067</v>
      </c>
      <c r="E1959" s="4">
        <v>1.0</v>
      </c>
      <c r="F1959" s="4" t="str">
        <f>IFERROR(__xludf.DUMMYFUNCTION("GOOGLETRANSLATE(D1959)"),"車身維修店裡擠滿了被冰雹砸壞的汽車...好消息是保險賠償...壞消息：您必須支付免賠額！
#wcvb")</f>
        <v>車身維修店裡擠滿了被冰雹砸壞的汽車...好消息是保險賠償...壞消息：您必須支付免賠額！
#wcvb</v>
      </c>
      <c r="G1959" s="4" t="str">
        <f>IFERROR(__xludf.DUMMYFUNCTION("GOOGLETRANSLATE(B1959)"),"被淹沒")</f>
        <v>被淹沒</v>
      </c>
    </row>
    <row r="1960" ht="15.75" customHeight="1">
      <c r="A1960" s="4">
        <v>6614.0</v>
      </c>
      <c r="B1960" s="4" t="s">
        <v>3065</v>
      </c>
      <c r="C1960" s="4" t="s">
        <v>3068</v>
      </c>
      <c r="D1960" s="4" t="s">
        <v>3069</v>
      </c>
      <c r="E1960" s="4">
        <v>1.0</v>
      </c>
      <c r="F1960" s="4" t="str">
        <f>IFERROR(__xludf.DUMMYFUNCTION("GOOGLETRANSLATE(D1960)"),"由於 #Bangladeshaffected 的大雨，受影響的土地被洪水淹沒 - 土地看起來就像漲潮時的河流#BangladeshFlood")</f>
        <v>由於 #Bangladeshaffected 的大雨，受影響的土地被洪水淹沒 - 土地看起來就像漲潮時的河流#BangladeshFlood</v>
      </c>
      <c r="G1960" s="4" t="str">
        <f>IFERROR(__xludf.DUMMYFUNCTION("GOOGLETRANSLATE(B1960)"),"被淹沒")</f>
        <v>被淹沒</v>
      </c>
    </row>
    <row r="1961" ht="15.75" customHeight="1">
      <c r="A1961" s="4">
        <v>6621.0</v>
      </c>
      <c r="B1961" s="4" t="s">
        <v>3065</v>
      </c>
      <c r="C1961" s="4" t="s">
        <v>625</v>
      </c>
      <c r="D1961" s="4" t="s">
        <v>3070</v>
      </c>
      <c r="E1961" s="4">
        <v>1.0</v>
      </c>
      <c r="F1961" s="4" t="str">
        <f>IFERROR(__xludf.DUMMYFUNCTION("GOOGLETRANSLATE(D1961)"),"週四，緬甸總統敦促人們離開地勢低窪的南部三角洲地區，該地區的雨水已淹沒了該國大部分地區。")</f>
        <v>週四，緬甸總統敦促人們離開地勢低窪的南部三角洲地區，該地區的雨水已淹沒了該國大部分地區。</v>
      </c>
      <c r="G1961" s="4" t="str">
        <f>IFERROR(__xludf.DUMMYFUNCTION("GOOGLETRANSLATE(B1961)"),"被淹沒")</f>
        <v>被淹沒</v>
      </c>
    </row>
    <row r="1962" ht="15.75" customHeight="1">
      <c r="A1962" s="4">
        <v>6624.0</v>
      </c>
      <c r="B1962" s="4" t="s">
        <v>3065</v>
      </c>
      <c r="C1962" s="4" t="s">
        <v>3071</v>
      </c>
      <c r="D1962" s="4" t="s">
        <v>3072</v>
      </c>
      <c r="E1962" s="4">
        <v>1.0</v>
      </c>
      <c r="F1962" s="4" t="str">
        <f>IFERROR(__xludf.DUMMYFUNCTION("GOOGLETRANSLATE(D1962)"),"這將成為一個月的巨大奇蹟。 （然後 Pornhub 將被淹沒......）http://t.co/gghfx8PzMh")</f>
        <v>這將成為一個月的巨大奇蹟。 （然後 Pornhub 將被淹沒......）http://t.co/gghfx8PzMh</v>
      </c>
      <c r="G1962" s="4" t="str">
        <f>IFERROR(__xludf.DUMMYFUNCTION("GOOGLETRANSLATE(B1962)"),"被淹沒")</f>
        <v>被淹沒</v>
      </c>
    </row>
    <row r="1963" ht="15.75" customHeight="1">
      <c r="A1963" s="4">
        <v>6627.0</v>
      </c>
      <c r="B1963" s="4" t="s">
        <v>3065</v>
      </c>
      <c r="C1963" s="4" t="s">
        <v>3073</v>
      </c>
      <c r="D1963" s="4" t="s">
        <v>3074</v>
      </c>
      <c r="E1963" s="4">
        <v>1.0</v>
      </c>
      <c r="F1963" s="4" t="str">
        <f>IFERROR(__xludf.DUMMYFUNCTION("GOOGLETRANSLATE(D1963)"),"@LEDofficial1 正如您可以想像的那樣，我們每週都會收到大量樣品和產品的請求。我們希望能夠送出糖果 1/2")</f>
        <v>@LEDofficial1 正如您可以想像的那樣，我們每週都會收到大量樣品和產品的請求。我們希望能夠送出糖果 1/2</v>
      </c>
      <c r="G1963" s="4" t="str">
        <f>IFERROR(__xludf.DUMMYFUNCTION("GOOGLETRANSLATE(B1963)"),"被淹沒")</f>
        <v>被淹沒</v>
      </c>
    </row>
    <row r="1964" ht="15.75" customHeight="1">
      <c r="A1964" s="4">
        <v>6631.0</v>
      </c>
      <c r="B1964" s="4" t="s">
        <v>3065</v>
      </c>
      <c r="C1964" s="4" t="s">
        <v>3075</v>
      </c>
      <c r="D1964" s="4" t="s">
        <v>3076</v>
      </c>
      <c r="E1964" s="4">
        <v>1.0</v>
      </c>
      <c r="F1964" s="4" t="str">
        <f>IFERROR(__xludf.DUMMYFUNCTION("GOOGLETRANSLATE(D1964)"),"@Bilsko，突然間我被研究淹沒了。 @humofthecity")</f>
        <v>@Bilsko，突然間我被研究淹沒了。 @humofthecity</v>
      </c>
      <c r="G1964" s="4" t="str">
        <f>IFERROR(__xludf.DUMMYFUNCTION("GOOGLETRANSLATE(B1964)"),"被淹沒")</f>
        <v>被淹沒</v>
      </c>
    </row>
    <row r="1965" ht="15.75" customHeight="1">
      <c r="A1965" s="4">
        <v>6638.0</v>
      </c>
      <c r="B1965" s="4" t="s">
        <v>3077</v>
      </c>
      <c r="C1965" s="4" t="s">
        <v>3078</v>
      </c>
      <c r="D1965" s="4" t="s">
        <v>3079</v>
      </c>
      <c r="E1965" s="4">
        <v>1.0</v>
      </c>
      <c r="F1965" s="4" t="str">
        <f>IFERROR(__xludf.DUMMYFUNCTION("GOOGLETRANSLATE(D1965)"),"國家颶風中心繪製的潛在風暴潮洪水地圖 http://t.co/JZWRWlVlSj
http://t.co/oT3bjjhH8s")</f>
        <v>國家颶風中心繪製的潛在風暴潮洪水地圖 http://t.co/JZWRWlVlSj
http://t.co/oT3bjjhH8s</v>
      </c>
      <c r="G1965" s="4" t="str">
        <f>IFERROR(__xludf.DUMMYFUNCTION("GOOGLETRANSLATE(B1965)"),"淹沒")</f>
        <v>淹沒</v>
      </c>
    </row>
    <row r="1966" ht="15.75" customHeight="1">
      <c r="A1966" s="4">
        <v>6642.0</v>
      </c>
      <c r="B1966" s="4" t="s">
        <v>3077</v>
      </c>
      <c r="D1966" s="4" t="s">
        <v>3080</v>
      </c>
      <c r="E1966" s="4">
        <v>1.0</v>
      </c>
      <c r="F1966" s="4" t="str">
        <f>IFERROR(__xludf.DUMMYFUNCTION("GOOGLETRANSLATE(D1966)"),"旁遮普邦政府防洪救災平台：http://t.co/vULrClw7Bd 有關洪水損失救援工作和資訊的即時訊息旅行提醒")</f>
        <v>旁遮普邦政府防洪救災平台：http://t.co/vULrClw7Bd 有關洪水損失救援工作和資訊的即時訊息旅行提醒</v>
      </c>
      <c r="G1966" s="4" t="str">
        <f>IFERROR(__xludf.DUMMYFUNCTION("GOOGLETRANSLATE(B1966)"),"淹沒")</f>
        <v>淹沒</v>
      </c>
    </row>
    <row r="1967" ht="15.75" customHeight="1">
      <c r="A1967" s="4">
        <v>6649.0</v>
      </c>
      <c r="B1967" s="4" t="s">
        <v>3081</v>
      </c>
      <c r="C1967" s="4" t="s">
        <v>1145</v>
      </c>
      <c r="D1967" s="4" t="s">
        <v>3082</v>
      </c>
      <c r="E1967" s="4">
        <v>1.0</v>
      </c>
      <c r="F1967" s="4" t="str">
        <f>IFERROR(__xludf.DUMMYFUNCTION("GOOGLETRANSLATE(D1967)"),"@kemal_atlay 遭遇山體滑坡")</f>
        <v>@kemal_atlay 遭遇山體滑坡</v>
      </c>
      <c r="G1967" s="4" t="str">
        <f>IFERROR(__xludf.DUMMYFUNCTION("GOOGLETRANSLATE(B1967)"),"土石流")</f>
        <v>土石流</v>
      </c>
    </row>
    <row r="1968" ht="15.75" customHeight="1">
      <c r="A1968" s="4">
        <v>6653.0</v>
      </c>
      <c r="B1968" s="4" t="s">
        <v>3081</v>
      </c>
      <c r="D1968" s="4" t="s">
        <v>3083</v>
      </c>
      <c r="E1968" s="4">
        <v>1.0</v>
      </c>
      <c r="F1968" s="4" t="str">
        <f>IFERROR(__xludf.DUMMYFUNCTION("GOOGLETRANSLATE(D1968)"),".天坑地球滑坡和雪崩&gt;&gt;https://t.co/XrRLnheLaP
#Allah #Islam #sinkhole #landslide #avalanche #USA #France #UK #usgs #emsc")</f>
        <v>.天坑地球滑坡和雪崩&gt;&gt;https://t.co/XrRLnheLaP
#Allah #Islam #sinkhole #landslide #avalanche #USA #France #UK #usgs #emsc</v>
      </c>
      <c r="G1968" s="4" t="str">
        <f>IFERROR(__xludf.DUMMYFUNCTION("GOOGLETRANSLATE(B1968)"),"土石流")</f>
        <v>土石流</v>
      </c>
    </row>
    <row r="1969" ht="15.75" customHeight="1">
      <c r="A1969" s="4">
        <v>6654.0</v>
      </c>
      <c r="B1969" s="4" t="s">
        <v>3081</v>
      </c>
      <c r="D1969" s="4" t="s">
        <v>3084</v>
      </c>
      <c r="E1969" s="4">
        <v>1.0</v>
      </c>
      <c r="F1969" s="4" t="str">
        <f>IFERROR(__xludf.DUMMYFUNCTION("GOOGLETRANSLATE(D1969)"),"@MartinMJ22 @YouGov 什麼時候以 36% 的選票獲得 12 個席位的多數席位成為壓倒性勝利？")</f>
        <v>@MartinMJ22 @YouGov 什麼時候以 36% 的選票獲得 12 個席位的多數席位成為壓倒性勝利？</v>
      </c>
      <c r="G1969" s="4" t="str">
        <f>IFERROR(__xludf.DUMMYFUNCTION("GOOGLETRANSLATE(B1969)"),"土石流")</f>
        <v>土石流</v>
      </c>
    </row>
    <row r="1970" ht="15.75" customHeight="1">
      <c r="A1970" s="4">
        <v>6658.0</v>
      </c>
      <c r="B1970" s="4" t="s">
        <v>3081</v>
      </c>
      <c r="C1970" s="4" t="s">
        <v>3085</v>
      </c>
      <c r="D1970" s="4" t="s">
        <v>3086</v>
      </c>
      <c r="E1970" s="4">
        <v>1.0</v>
      </c>
      <c r="F1970" s="4" t="str">
        <f>IFERROR(__xludf.DUMMYFUNCTION("GOOGLETRANSLATE(D1970)"),"退伍軍人擔心鄧迪山體滑坡造成的鬆動岩石可能隨時殺死他：他面臨槍林彈雨¤_ http://t.co/sxmLg3XdvX")</f>
        <v>退伍軍人擔心鄧迪山體滑坡造成的鬆動岩石可能隨時殺死他：他面臨槍林彈雨¤_ http://t.co/sxmLg3XdvX</v>
      </c>
      <c r="G1970" s="4" t="str">
        <f>IFERROR(__xludf.DUMMYFUNCTION("GOOGLETRANSLATE(B1970)"),"土石流")</f>
        <v>土石流</v>
      </c>
    </row>
    <row r="1971" ht="15.75" customHeight="1">
      <c r="A1971" s="4">
        <v>6661.0</v>
      </c>
      <c r="B1971" s="4" t="s">
        <v>3081</v>
      </c>
      <c r="C1971" s="4" t="s">
        <v>434</v>
      </c>
      <c r="D1971" s="4" t="s">
        <v>3087</v>
      </c>
      <c r="E1971" s="4">
        <v>1.0</v>
      </c>
      <c r="F1971" s="4" t="str">
        <f>IFERROR(__xludf.DUMMYFUNCTION("GOOGLETRANSLATE(D1971)"),"界內/界外：
雖然許多人選擇國民隊以壓倒性優勢贏得國聯東區，但他們目前排名第二... http://t.co/l0dEoCxU6o")</f>
        <v>界內/界外：
雖然許多人選擇國民隊以壓倒性優勢贏得國聯東區，但他們目前排名第二... http://t.co/l0dEoCxU6o</v>
      </c>
      <c r="G1971" s="4" t="str">
        <f>IFERROR(__xludf.DUMMYFUNCTION("GOOGLETRANSLATE(B1971)"),"土石流")</f>
        <v>土石流</v>
      </c>
    </row>
    <row r="1972" ht="15.75" customHeight="1">
      <c r="A1972" s="4">
        <v>6663.0</v>
      </c>
      <c r="B1972" s="4" t="s">
        <v>3081</v>
      </c>
      <c r="C1972" s="4" t="s">
        <v>183</v>
      </c>
      <c r="D1972" s="4" t="s">
        <v>3088</v>
      </c>
      <c r="E1972" s="4">
        <v>1.0</v>
      </c>
      <c r="F1972" s="4" t="str">
        <f>IFERROR(__xludf.DUMMYFUNCTION("GOOGLETRANSLATE(D1972)"),"11:30BST 交通：A10&gt;巴黎 A40 日內瓦 A7 蒙斯 A1 漢堡 A2&gt;漢諾威 A5 卡爾斯魯厄聖哥達 n/b http://t.co/yoi9tOCxiQ")</f>
        <v>11:30BST 交通：A10&gt;巴黎 A40 日內瓦 A7 蒙斯 A1 漢堡 A2&gt;漢諾威 A5 卡爾斯魯厄聖哥達 n/b http://t.co/yoi9tOCxiQ</v>
      </c>
      <c r="G1972" s="4" t="str">
        <f>IFERROR(__xludf.DUMMYFUNCTION("GOOGLETRANSLATE(B1972)"),"土石流")</f>
        <v>土石流</v>
      </c>
    </row>
    <row r="1973" ht="15.75" customHeight="1">
      <c r="A1973" s="4">
        <v>6668.0</v>
      </c>
      <c r="B1973" s="4" t="s">
        <v>3081</v>
      </c>
      <c r="C1973" s="4" t="s">
        <v>1017</v>
      </c>
      <c r="D1973" s="4" t="s">
        <v>3089</v>
      </c>
      <c r="E1973" s="4">
        <v>1.0</v>
      </c>
      <c r="F1973" s="4" t="str">
        <f>IFERROR(__xludf.DUMMYFUNCTION("GOOGLETRANSLATE(D1973)"),"最新消息：大雨過後，威尼斯附近發生山體滑坡，造成三人死亡 http://t.co/BcCcA4VY9R")</f>
        <v>最新消息：大雨過後，威尼斯附近發生山體滑坡，造成三人死亡 http://t.co/BcCcA4VY9R</v>
      </c>
      <c r="G1973" s="4" t="str">
        <f>IFERROR(__xludf.DUMMYFUNCTION("GOOGLETRANSLATE(B1973)"),"土石流")</f>
        <v>土石流</v>
      </c>
    </row>
    <row r="1974" ht="15.75" customHeight="1">
      <c r="A1974" s="4">
        <v>6669.0</v>
      </c>
      <c r="B1974" s="4" t="s">
        <v>3081</v>
      </c>
      <c r="C1974" s="4" t="s">
        <v>1002</v>
      </c>
      <c r="D1974" s="4" t="s">
        <v>3090</v>
      </c>
      <c r="E1974" s="4">
        <v>1.0</v>
      </c>
      <c r="F1974" s="4" t="str">
        <f>IFERROR(__xludf.DUMMYFUNCTION("GOOGLETRANSLATE(D1974)"),"FreeBesieged: .MartinMJ22 YouGov 這是「#Tory 壓倒性勝利」…你不可能指的是 #GÛ_ 的微弱多數 http://t.co/2q3fuEReY5")</f>
        <v>FreeBesieged: .MartinMJ22 YouGov 這是「#Tory 壓倒性勝利」…你不可能指的是 #GÛ_ 的微弱多數 http://t.co/2q3fuEReY5</v>
      </c>
      <c r="G1974" s="4" t="str">
        <f>IFERROR(__xludf.DUMMYFUNCTION("GOOGLETRANSLATE(B1974)"),"土石流")</f>
        <v>土石流</v>
      </c>
    </row>
    <row r="1975" ht="15.75" customHeight="1">
      <c r="A1975" s="4">
        <v>6675.0</v>
      </c>
      <c r="B1975" s="4" t="s">
        <v>3081</v>
      </c>
      <c r="C1975" s="4" t="s">
        <v>3091</v>
      </c>
      <c r="D1975" s="4" t="s">
        <v>3092</v>
      </c>
      <c r="E1975" s="4">
        <v>1.0</v>
      </c>
      <c r="F1975" s="4" t="str">
        <f>IFERROR(__xludf.DUMMYFUNCTION("GOOGLETRANSLATE(D1975)"),"鄧迪新聞：退伍軍人擔心鄧迪山體滑坡鬆動的岩石可能隨時殺死他 http://t.co/y7Rv0tiL1w")</f>
        <v>鄧迪新聞：退伍軍人擔心鄧迪山體滑坡鬆動的岩石可能隨時殺死他 http://t.co/y7Rv0tiL1w</v>
      </c>
      <c r="G1975" s="4" t="str">
        <f>IFERROR(__xludf.DUMMYFUNCTION("GOOGLETRANSLATE(B1975)"),"土石流")</f>
        <v>土石流</v>
      </c>
    </row>
    <row r="1976" ht="15.75" customHeight="1">
      <c r="A1976" s="4">
        <v>6679.0</v>
      </c>
      <c r="B1976" s="4" t="s">
        <v>3081</v>
      </c>
      <c r="D1976" s="4" t="s">
        <v>3093</v>
      </c>
      <c r="E1976" s="4">
        <v>1.0</v>
      </c>
      <c r="F1976" s="4" t="str">
        <f>IFERROR(__xludf.DUMMYFUNCTION("GOOGLETRANSLATE(D1976)"),"考慮導致新娘滑坡事件的方法：wiWNpFXA http://t.co/xysNXUM29T")</f>
        <v>考慮導致新娘滑坡事件的方法：wiWNpFXA http://t.co/xysNXUM29T</v>
      </c>
      <c r="G1976" s="4" t="str">
        <f>IFERROR(__xludf.DUMMYFUNCTION("GOOGLETRANSLATE(B1976)"),"土石流")</f>
        <v>土石流</v>
      </c>
    </row>
    <row r="1977" ht="15.75" customHeight="1">
      <c r="A1977" s="4">
        <v>6681.0</v>
      </c>
      <c r="B1977" s="4" t="s">
        <v>3081</v>
      </c>
      <c r="D1977" s="4" t="s">
        <v>3094</v>
      </c>
      <c r="E1977" s="4">
        <v>1.0</v>
      </c>
      <c r="F1977" s="4" t="str">
        <f>IFERROR(__xludf.DUMMYFUNCTION("GOOGLETRANSLATE(D1977)"),"因山體滑坡脫軌後被困在臥舖火車上24小時絕對是這趟旅程的坑")</f>
        <v>因山體滑坡脫軌後被困在臥舖火車上24小時絕對是這趟旅程的坑</v>
      </c>
      <c r="G1977" s="4" t="str">
        <f>IFERROR(__xludf.DUMMYFUNCTION("GOOGLETRANSLATE(B1977)"),"土石流")</f>
        <v>土石流</v>
      </c>
    </row>
    <row r="1978" ht="15.75" customHeight="1">
      <c r="A1978" s="4">
        <v>6683.0</v>
      </c>
      <c r="B1978" s="4" t="s">
        <v>3081</v>
      </c>
      <c r="C1978" s="4" t="s">
        <v>89</v>
      </c>
      <c r="D1978" s="4" t="s">
        <v>3095</v>
      </c>
      <c r="E1978" s="4">
        <v>1.0</v>
      </c>
      <c r="F1978" s="4" t="str">
        <f>IFERROR(__xludf.DUMMYFUNCTION("GOOGLETRANSLATE(D1978)"),"#山洪導致吉爾吉特#山體滑坡 #巴基斯坦 20 棟房屋農田道路和橋樑受損 #365disasters http://t.co/911F3IXRH0")</f>
        <v>#山洪導致吉爾吉特#山體滑坡 #巴基斯坦 20 棟房屋農田道路和橋樑受損 #365disasters http://t.co/911F3IXRH0</v>
      </c>
      <c r="G1978" s="4" t="str">
        <f>IFERROR(__xludf.DUMMYFUNCTION("GOOGLETRANSLATE(B1978)"),"土石流")</f>
        <v>土石流</v>
      </c>
    </row>
    <row r="1979" ht="15.75" customHeight="1">
      <c r="A1979" s="4">
        <v>6686.0</v>
      </c>
      <c r="B1979" s="4" t="s">
        <v>3081</v>
      </c>
      <c r="C1979" s="4" t="s">
        <v>3096</v>
      </c>
      <c r="D1979" s="4" t="s">
        <v>3097</v>
      </c>
      <c r="E1979" s="4">
        <v>1.0</v>
      </c>
      <c r="F1979" s="4" t="str">
        <f>IFERROR(__xludf.DUMMYFUNCTION("GOOGLETRANSLATE(D1979)"),"義大利：義大利阿爾卑斯山山體滑坡造成三人死亡：http://t.co/42MawZb8T9 來自 @YouTube")</f>
        <v>義大利：義大利阿爾卑斯山山體滑坡造成三人死亡：http://t.co/42MawZb8T9 來自 @YouTube</v>
      </c>
      <c r="G1979" s="4" t="str">
        <f>IFERROR(__xludf.DUMMYFUNCTION("GOOGLETRANSLATE(B1979)"),"土石流")</f>
        <v>土石流</v>
      </c>
    </row>
    <row r="1980" ht="15.75" customHeight="1">
      <c r="A1980" s="4">
        <v>6695.0</v>
      </c>
      <c r="B1980" s="4" t="s">
        <v>3081</v>
      </c>
      <c r="D1980" s="4" t="s">
        <v>3098</v>
      </c>
      <c r="E1980" s="4">
        <v>1.0</v>
      </c>
      <c r="F1980" s="4" t="str">
        <f>IFERROR(__xludf.DUMMYFUNCTION("GOOGLETRANSLATE(D1980)"),"大雨過後，威尼斯附近發生山體滑坡，造成三人死亡 http://t.co/q3Xq8R658r")</f>
        <v>大雨過後，威尼斯附近發生山體滑坡，造成三人死亡 http://t.co/q3Xq8R658r</v>
      </c>
      <c r="G1980" s="4" t="str">
        <f>IFERROR(__xludf.DUMMYFUNCTION("GOOGLETRANSLATE(B1980)"),"土石流")</f>
        <v>土石流</v>
      </c>
    </row>
    <row r="1981" ht="15.75" customHeight="1">
      <c r="A1981" s="4">
        <v>6701.0</v>
      </c>
      <c r="B1981" s="4" t="s">
        <v>3099</v>
      </c>
      <c r="C1981" s="4" t="s">
        <v>48</v>
      </c>
      <c r="D1981" s="4" t="s">
        <v>3100</v>
      </c>
      <c r="E1981" s="4">
        <v>1.0</v>
      </c>
      <c r="F1981" s="4" t="str">
        <f>IFERROR(__xludf.DUMMYFUNCTION("GOOGLETRANSLATE(D1981)"),"想像一個房間的牆壁是熔岩燈。")</f>
        <v>想像一個房間的牆壁是熔岩燈。</v>
      </c>
      <c r="G1981" s="4" t="str">
        <f>IFERROR(__xludf.DUMMYFUNCTION("GOOGLETRANSLATE(B1981)"),"足夠的")</f>
        <v>足夠的</v>
      </c>
    </row>
    <row r="1982" ht="15.75" customHeight="1">
      <c r="A1982" s="4">
        <v>6702.0</v>
      </c>
      <c r="B1982" s="4" t="s">
        <v>3099</v>
      </c>
      <c r="C1982" s="4" t="s">
        <v>3101</v>
      </c>
      <c r="D1982" s="4" t="s">
        <v>3102</v>
      </c>
      <c r="E1982" s="4">
        <v>1.0</v>
      </c>
      <c r="F1982" s="4" t="str">
        <f>IFERROR(__xludf.DUMMYFUNCTION("GOOGLETRANSLATE(D1982)"),"日落看起來像一座正在噴發的火山......我最初的想法是皮克斯短片《熔岩》http://t.co/g4sChqFEsT")</f>
        <v>日落看起來像一座正在噴發的火山......我最初的想法是皮克斯短片《熔岩》http://t.co/g4sChqFEsT</v>
      </c>
      <c r="G1982" s="4" t="str">
        <f>IFERROR(__xludf.DUMMYFUNCTION("GOOGLETRANSLATE(B1982)"),"足夠的")</f>
        <v>足夠的</v>
      </c>
    </row>
    <row r="1983" ht="15.75" customHeight="1">
      <c r="A1983" s="4">
        <v>6729.0</v>
      </c>
      <c r="B1983" s="4" t="s">
        <v>3099</v>
      </c>
      <c r="C1983" s="4" t="s">
        <v>3103</v>
      </c>
      <c r="D1983" s="4" t="s">
        <v>3104</v>
      </c>
      <c r="E1983" s="4">
        <v>1.0</v>
      </c>
      <c r="F1983" s="4" t="str">
        <f>IFERROR(__xludf.DUMMYFUNCTION("GOOGLETRANSLATE(D1983)"),"看看我的熔岩燈老兄？？？ http://t.co/To9ViqooFv")</f>
        <v>看看我的熔岩燈老兄？？？ http://t.co/To9ViqooFv</v>
      </c>
      <c r="G1983" s="4" t="str">
        <f>IFERROR(__xludf.DUMMYFUNCTION("GOOGLETRANSLATE(B1983)"),"足夠的")</f>
        <v>足夠的</v>
      </c>
    </row>
    <row r="1984" ht="15.75" customHeight="1">
      <c r="A1984" s="4">
        <v>6731.0</v>
      </c>
      <c r="B1984" s="4" t="s">
        <v>3099</v>
      </c>
      <c r="C1984" s="4" t="s">
        <v>3105</v>
      </c>
      <c r="D1984" s="4" t="s">
        <v>3106</v>
      </c>
      <c r="E1984" s="4">
        <v>1.0</v>
      </c>
      <c r="F1984" s="4" t="str">
        <f>IFERROR(__xludf.DUMMYFUNCTION("GOOGLETRANSLATE(D1984)"),"@YoungHeroesID Lava Blast 和 Power Red #PantherAttack @CunayyH @TaufikCJ")</f>
        <v>@YoungHeroesID Lava Blast 和 Power Red #PantherAttack @CunayyH @TaufikCJ</v>
      </c>
      <c r="G1984" s="4" t="str">
        <f>IFERROR(__xludf.DUMMYFUNCTION("GOOGLETRANSLATE(B1984)"),"足夠的")</f>
        <v>足夠的</v>
      </c>
    </row>
    <row r="1985" ht="15.75" customHeight="1">
      <c r="A1985" s="4">
        <v>6745.0</v>
      </c>
      <c r="B1985" s="4" t="s">
        <v>3099</v>
      </c>
      <c r="C1985" s="4" t="s">
        <v>3107</v>
      </c>
      <c r="D1985" s="4" t="s">
        <v>3108</v>
      </c>
      <c r="E1985" s="4">
        <v>1.0</v>
      </c>
      <c r="F1985" s="4" t="str">
        <f>IFERROR(__xludf.DUMMYFUNCTION("GOOGLETRANSLATE(D1985)"),"@YoungHeroesID LAVA BLAST 和 POWER RED #PantherAttack @Mirmanda11 @evaaaSR")</f>
        <v>@YoungHeroesID LAVA BLAST 和 POWER RED #PantherAttack @Mirmanda11 @evaaaSR</v>
      </c>
      <c r="G1985" s="4" t="str">
        <f>IFERROR(__xludf.DUMMYFUNCTION("GOOGLETRANSLATE(B1985)"),"足夠的")</f>
        <v>足夠的</v>
      </c>
    </row>
    <row r="1986" ht="15.75" customHeight="1">
      <c r="A1986" s="4">
        <v>6749.0</v>
      </c>
      <c r="B1986" s="4" t="s">
        <v>3109</v>
      </c>
      <c r="D1986" s="4" t="s">
        <v>3110</v>
      </c>
      <c r="E1986" s="4">
        <v>1.0</v>
      </c>
      <c r="F1986" s="4" t="str">
        <f>IFERROR(__xludf.DUMMYFUNCTION("GOOGLETRANSLATE(D1986)"),"精確山麓預報中可能會出現雷電。 http://t.co/CtIjdPXABk")</f>
        <v>精確山麓預報中可能會出現雷電。 http://t.co/CtIjdPXABk</v>
      </c>
      <c r="G1986" s="4" t="str">
        <f>IFERROR(__xludf.DUMMYFUNCTION("GOOGLETRANSLATE(B1986)"),"閃電")</f>
        <v>閃電</v>
      </c>
    </row>
    <row r="1987" ht="15.75" customHeight="1">
      <c r="A1987" s="4">
        <v>6756.0</v>
      </c>
      <c r="B1987" s="4" t="s">
        <v>3109</v>
      </c>
      <c r="C1987" s="4" t="s">
        <v>3111</v>
      </c>
      <c r="D1987" s="4" t="s">
        <v>3112</v>
      </c>
      <c r="E1987" s="4">
        <v>1.0</v>
      </c>
      <c r="F1987" s="4" t="str">
        <f>IFERROR(__xludf.DUMMYFUNCTION("GOOGLETRANSLATE(D1987)"),"這裡的閃電是很嚴重的事！")</f>
        <v>這裡的閃電是很嚴重的事！</v>
      </c>
      <c r="G1987" s="4" t="str">
        <f>IFERROR(__xludf.DUMMYFUNCTION("GOOGLETRANSLATE(B1987)"),"閃電")</f>
        <v>閃電</v>
      </c>
    </row>
    <row r="1988" ht="15.75" customHeight="1">
      <c r="A1988" s="4">
        <v>6757.0</v>
      </c>
      <c r="B1988" s="4" t="s">
        <v>3109</v>
      </c>
      <c r="C1988" s="4" t="s">
        <v>3113</v>
      </c>
      <c r="D1988" s="4" t="s">
        <v>3114</v>
      </c>
      <c r="E1988" s="4">
        <v>1.0</v>
      </c>
      <c r="F1988" s="4" t="str">
        <f>IFERROR(__xludf.DUMMYFUNCTION("GOOGLETRANSLATE(D1988)"),"好吧，格思裡附近有幾場暴風雨。離開諾曼去參加晚上的閃電行動。 #okwx http://t.co/HcwrK81p71")</f>
        <v>好吧，格思裡附近有幾場暴風雨。離開諾曼去參加晚上的閃電行動。 #okwx http://t.co/HcwrK81p71</v>
      </c>
      <c r="G1988" s="4" t="str">
        <f>IFERROR(__xludf.DUMMYFUNCTION("GOOGLETRANSLATE(B1988)"),"閃電")</f>
        <v>閃電</v>
      </c>
    </row>
    <row r="1989" ht="15.75" customHeight="1">
      <c r="A1989" s="4">
        <v>6758.0</v>
      </c>
      <c r="B1989" s="4" t="s">
        <v>3109</v>
      </c>
      <c r="C1989" s="4" t="s">
        <v>3115</v>
      </c>
      <c r="D1989" s="4" t="s">
        <v>3116</v>
      </c>
      <c r="E1989" s="4">
        <v>1.0</v>
      </c>
      <c r="F1989" s="4" t="str">
        <f>IFERROR(__xludf.DUMMYFUNCTION("GOOGLETRANSLATE(D1989)"),"國家氣象局表示，今晚，帶有致命閃電的雷暴將穿越布萊克山。假設有一個安全類型。唔？")</f>
        <v>國家氣象局表示，今晚，帶有致命閃電的雷暴將穿越布萊克山。假設有一個安全類型。唔？</v>
      </c>
      <c r="G1989" s="4" t="str">
        <f>IFERROR(__xludf.DUMMYFUNCTION("GOOGLETRANSLATE(B1989)"),"閃電")</f>
        <v>閃電</v>
      </c>
    </row>
    <row r="1990" ht="15.75" customHeight="1">
      <c r="A1990" s="4">
        <v>6760.0</v>
      </c>
      <c r="B1990" s="4" t="s">
        <v>3109</v>
      </c>
      <c r="C1990" s="4" t="s">
        <v>3117</v>
      </c>
      <c r="D1990" s="4" t="s">
        <v>3118</v>
      </c>
      <c r="E1990" s="4">
        <v>1.0</v>
      </c>
      <c r="F1990" s="4" t="str">
        <f>IFERROR(__xludf.DUMMYFUNCTION("GOOGLETRANSLATE(D1990)"),"@random_tourist 下雨了。有些人在樹上被閃電擊中，有些人則開車衝進了被洪水淹沒的街道。")</f>
        <v>@random_tourist 下雨了。有些人在樹上被閃電擊中，有些人則開車衝進了被洪水淹沒的街道。</v>
      </c>
      <c r="G1990" s="4" t="str">
        <f>IFERROR(__xludf.DUMMYFUNCTION("GOOGLETRANSLATE(B1990)"),"閃電")</f>
        <v>閃電</v>
      </c>
    </row>
    <row r="1991" ht="15.75" customHeight="1">
      <c r="A1991" s="4">
        <v>6762.0</v>
      </c>
      <c r="B1991" s="4" t="s">
        <v>3109</v>
      </c>
      <c r="C1991" s="4" t="s">
        <v>3119</v>
      </c>
      <c r="D1991" s="4" t="s">
        <v>3120</v>
      </c>
      <c r="E1991" s="4">
        <v>1.0</v>
      </c>
      <c r="F1991" s="4" t="str">
        <f>IFERROR(__xludf.DUMMYFUNCTION("GOOGLETRANSLATE(D1991)"),"預計現在將有陣風、傾盆大雨和閃電向東北方向移向維吉尼亞州。 http://t.co/jyxafD4knK")</f>
        <v>預計現在將有陣風、傾盆大雨和閃電向東北方向移向維吉尼亞州。 http://t.co/jyxafD4knK</v>
      </c>
      <c r="G1991" s="4" t="str">
        <f>IFERROR(__xludf.DUMMYFUNCTION("GOOGLETRANSLATE(B1991)"),"閃電")</f>
        <v>閃電</v>
      </c>
    </row>
    <row r="1992" ht="15.75" customHeight="1">
      <c r="A1992" s="4">
        <v>6764.0</v>
      </c>
      <c r="B1992" s="4" t="s">
        <v>3109</v>
      </c>
      <c r="D1992" s="4" t="s">
        <v>3121</v>
      </c>
      <c r="E1992" s="4">
        <v>1.0</v>
      </c>
      <c r="F1992" s="4" t="str">
        <f>IFERROR(__xludf.DUMMYFUNCTION("GOOGLETRANSLATE(D1992)"),"《科學日報》：閃電在原子層級重塑岩石 - 雷擊可以重塑礦物的晶體... http://t.co/TEZLTqeyw2")</f>
        <v>《科學日報》：閃電在原子層級重塑岩石 - 雷擊可以重塑礦物的晶體... http://t.co/TEZLTqeyw2</v>
      </c>
      <c r="G1992" s="4" t="str">
        <f>IFERROR(__xludf.DUMMYFUNCTION("GOOGLETRANSLATE(B1992)"),"閃電")</f>
        <v>閃電</v>
      </c>
    </row>
    <row r="1993" ht="15.75" customHeight="1">
      <c r="A1993" s="4">
        <v>6766.0</v>
      </c>
      <c r="B1993" s="4" t="s">
        <v>3109</v>
      </c>
      <c r="D1993" s="4" t="s">
        <v>3122</v>
      </c>
      <c r="E1993" s="4">
        <v>1.0</v>
      </c>
      <c r="F1993" s="4" t="str">
        <f>IFERROR(__xludf.DUMMYFUNCTION("GOOGLETRANSLATE(D1993)"),"不眨眼？？不會看到閃電拿下W嗎？ http://t.co/D4c2iqiRnU")</f>
        <v>不眨眼？？不會看到閃電拿下W嗎？ http://t.co/D4c2iqiRnU</v>
      </c>
      <c r="G1993" s="4" t="str">
        <f>IFERROR(__xludf.DUMMYFUNCTION("GOOGLETRANSLATE(B1993)"),"閃電")</f>
        <v>閃電</v>
      </c>
    </row>
    <row r="1994" ht="15.75" customHeight="1">
      <c r="A1994" s="4">
        <v>6772.0</v>
      </c>
      <c r="B1994" s="4" t="s">
        <v>3109</v>
      </c>
      <c r="C1994" s="4" t="s">
        <v>3119</v>
      </c>
      <c r="D1994" s="4" t="s">
        <v>3123</v>
      </c>
      <c r="E1994" s="4">
        <v>1.0</v>
      </c>
      <c r="F1994" s="4" t="str">
        <f>IFERROR(__xludf.DUMMYFUNCTION("GOOGLETRANSLATE(D1994)"),"大雨、陣風和清晰的閃電現在正穿過三合會向東移動。 http://t.co/JMu5uyamdu")</f>
        <v>大雨、陣風和清晰的閃電現在正穿過三合會向東移動。 http://t.co/JMu5uyamdu</v>
      </c>
      <c r="G1994" s="4" t="str">
        <f>IFERROR(__xludf.DUMMYFUNCTION("GOOGLETRANSLATE(B1994)"),"閃電")</f>
        <v>閃電</v>
      </c>
    </row>
    <row r="1995" ht="15.75" customHeight="1">
      <c r="A1995" s="4">
        <v>6773.0</v>
      </c>
      <c r="B1995" s="4" t="s">
        <v>3109</v>
      </c>
      <c r="C1995" s="4" t="s">
        <v>3124</v>
      </c>
      <c r="D1995" s="4" t="s">
        <v>3125</v>
      </c>
      <c r="E1995" s="4">
        <v>1.0</v>
      </c>
      <c r="F1995" s="4" t="str">
        <f>IFERROR(__xludf.DUMMYFUNCTION("GOOGLETRANSLATE(D1995)"),"閃電在溫哥華島引發六起新火災 http://t.co/VdILiiCyR5")</f>
        <v>閃電在溫哥華島引發六起新火災 http://t.co/VdILiiCyR5</v>
      </c>
      <c r="G1995" s="4" t="str">
        <f>IFERROR(__xludf.DUMMYFUNCTION("GOOGLETRANSLATE(B1995)"),"閃電")</f>
        <v>閃電</v>
      </c>
    </row>
    <row r="1996" ht="15.75" customHeight="1">
      <c r="A1996" s="4">
        <v>6774.0</v>
      </c>
      <c r="B1996" s="4" t="s">
        <v>3109</v>
      </c>
      <c r="C1996" s="4" t="s">
        <v>3126</v>
      </c>
      <c r="D1996" s="4" t="s">
        <v>3127</v>
      </c>
      <c r="E1996" s="4">
        <v>1.0</v>
      </c>
      <c r="F1996" s="4" t="str">
        <f>IFERROR(__xludf.DUMMYFUNCTION("GOOGLETRANSLATE(D1996)"),"預計現在將有陣風、傾盆大雨和閃電向東北方向移向維吉尼亞州。 http://t.co/Z5cfrWado6")</f>
        <v>預計現在將有陣風、傾盆大雨和閃電向東北方向移向維吉尼亞州。 http://t.co/Z5cfrWado6</v>
      </c>
      <c r="G1996" s="4" t="str">
        <f>IFERROR(__xludf.DUMMYFUNCTION("GOOGLETRANSLATE(B1996)"),"閃電")</f>
        <v>閃電</v>
      </c>
    </row>
    <row r="1997" ht="15.75" customHeight="1">
      <c r="A1997" s="4">
        <v>6776.0</v>
      </c>
      <c r="B1997" s="4" t="s">
        <v>3109</v>
      </c>
      <c r="D1997" s="4" t="s">
        <v>3128</v>
      </c>
      <c r="E1997" s="4">
        <v>1.0</v>
      </c>
      <c r="F1997" s="4" t="str">
        <f>IFERROR(__xludf.DUMMYFUNCTION("GOOGLETRANSLATE(D1997)"),"Pinpoint Valley 預報中可能出現乾燥雷暴和閃電。 http://t.co/IdASYJybrO http://t.co/gdoAOLPq91")</f>
        <v>Pinpoint Valley 預報中可能出現乾燥雷暴和閃電。 http://t.co/IdASYJybrO http://t.co/gdoAOLPq91</v>
      </c>
      <c r="G1997" s="4" t="str">
        <f>IFERROR(__xludf.DUMMYFUNCTION("GOOGLETRANSLATE(B1997)"),"閃電")</f>
        <v>閃電</v>
      </c>
    </row>
    <row r="1998" ht="15.75" customHeight="1">
      <c r="A1998" s="4">
        <v>6787.0</v>
      </c>
      <c r="B1998" s="4" t="s">
        <v>3109</v>
      </c>
      <c r="C1998" s="4" t="s">
        <v>38</v>
      </c>
      <c r="D1998" s="4" t="s">
        <v>3129</v>
      </c>
      <c r="E1998" s="4">
        <v>1.0</v>
      </c>
      <c r="F1998" s="4" t="str">
        <f>IFERROR(__xludf.DUMMYFUNCTION("GOOGLETRANSLATE(D1998)"),"手機商店：http://t.co/iOq051t5te #629 8 針閃電連接器 2.1A 車用充電器適用於 Apple 5 5S 5C 6 6+ iÛ_ http://t.co/klxAUcNP5I")</f>
        <v>手機商店：http://t.co/iOq051t5te #629 8 針閃電連接器 2.1A 車用充電器適用於 Apple 5 5S 5C 6 6+ iÛ_ http://t.co/klxAUcNP5I</v>
      </c>
      <c r="G1998" s="4" t="str">
        <f>IFERROR(__xludf.DUMMYFUNCTION("GOOGLETRANSLATE(B1998)"),"閃電")</f>
        <v>閃電</v>
      </c>
    </row>
    <row r="1999" ht="15.75" customHeight="1">
      <c r="A1999" s="4">
        <v>6788.0</v>
      </c>
      <c r="B1999" s="4" t="s">
        <v>3109</v>
      </c>
      <c r="D1999" s="4" t="s">
        <v>3130</v>
      </c>
      <c r="E1999" s="4">
        <v>1.0</v>
      </c>
      <c r="F1999" s="4" t="str">
        <f>IFERROR(__xludf.DUMMYFUNCTION("GOOGLETRANSLATE(D1999)"),"二戰書籍《閃電喬》，J. Lawton Collins 將軍的自傳 http://t.co/R4khEH7iaf http://t.co/qSZgJfUutu")</f>
        <v>二戰書籍《閃電喬》，J. Lawton Collins 將軍的自傳 http://t.co/R4khEH7iaf http://t.co/qSZgJfUutu</v>
      </c>
      <c r="G1999" s="4" t="str">
        <f>IFERROR(__xludf.DUMMYFUNCTION("GOOGLETRANSLATE(B1999)"),"閃電")</f>
        <v>閃電</v>
      </c>
    </row>
    <row r="2000" ht="15.75" customHeight="1">
      <c r="A2000" s="4">
        <v>6789.0</v>
      </c>
      <c r="B2000" s="4" t="s">
        <v>3109</v>
      </c>
      <c r="C2000" s="4" t="s">
        <v>3131</v>
      </c>
      <c r="D2000" s="4" t="s">
        <v>3132</v>
      </c>
      <c r="E2000" s="4">
        <v>1.0</v>
      </c>
      <c r="F2000" s="4" t="str">
        <f>IFERROR(__xludf.DUMMYFUNCTION("GOOGLETRANSLATE(D2000)"),"遠處的閃電來自 /r/pics http://t.co/iDmhSwewQw #pics")</f>
        <v>遠處的閃電來自 /r/pics http://t.co/iDmhSwewQw #pics</v>
      </c>
      <c r="G2000" s="4" t="str">
        <f>IFERROR(__xludf.DUMMYFUNCTION("GOOGLETRANSLATE(B2000)"),"閃電")</f>
        <v>閃電</v>
      </c>
    </row>
    <row r="2001" ht="15.75" customHeight="1">
      <c r="A2001" s="4">
        <v>6793.0</v>
      </c>
      <c r="B2001" s="4" t="s">
        <v>3109</v>
      </c>
      <c r="C2001" s="4" t="s">
        <v>3131</v>
      </c>
      <c r="D2001" s="4" t="s">
        <v>3133</v>
      </c>
      <c r="E2001" s="4">
        <v>1.0</v>
      </c>
      <c r="F2001" s="4" t="str">
        <f>IFERROR(__xludf.DUMMYFUNCTION("GOOGLETRANSLATE(D2001)"),"遠處的閃電來自/r/pics http://t.co/iDmhSwewQw #pics http://t.co/wwxcOB52zI")</f>
        <v>遠處的閃電來自/r/pics http://t.co/iDmhSwewQw #pics http://t.co/wwxcOB52zI</v>
      </c>
      <c r="G2001" s="4" t="str">
        <f>IFERROR(__xludf.DUMMYFUNCTION("GOOGLETRANSLATE(B2001)"),"閃電")</f>
        <v>閃電</v>
      </c>
    </row>
    <row r="2002" ht="15.75" customHeight="1">
      <c r="A2002" s="4">
        <v>6795.0</v>
      </c>
      <c r="B2002" s="4" t="s">
        <v>3109</v>
      </c>
      <c r="C2002" s="4" t="s">
        <v>3134</v>
      </c>
      <c r="D2002" s="4" t="s">
        <v>3135</v>
      </c>
      <c r="E2002" s="4">
        <v>1.0</v>
      </c>
      <c r="F2002" s="4" t="str">
        <f>IFERROR(__xludf.DUMMYFUNCTION("GOOGLETRANSLATE(D2002)"),"看一下這個！閃電在原子層面重塑岩石 http://t.co/l1gH8064YV #scichat #science")</f>
        <v>看一下這個！閃電在原子層面重塑岩石 http://t.co/l1gH8064YV #scichat #science</v>
      </c>
      <c r="G2002" s="4" t="str">
        <f>IFERROR(__xludf.DUMMYFUNCTION("GOOGLETRANSLATE(B2002)"),"閃電")</f>
        <v>閃電</v>
      </c>
    </row>
    <row r="2003" ht="15.75" customHeight="1">
      <c r="A2003" s="4">
        <v>6806.0</v>
      </c>
      <c r="B2003" s="4" t="s">
        <v>3136</v>
      </c>
      <c r="C2003" s="4" t="s">
        <v>3137</v>
      </c>
      <c r="D2003" s="4" t="s">
        <v>3138</v>
      </c>
      <c r="E2003" s="4">
        <v>1.0</v>
      </c>
      <c r="F2003" s="4" t="str">
        <f>IFERROR(__xludf.DUMMYFUNCTION("GOOGLETRANSLATE(D2003)"),"@Chibi877——頭。撞在他身後的牆上，發出一聲巨響。 '語言！'德雷克在站起來之前對他喊道。 「我要出去呆——")</f>
        <v>@Chibi877——頭。撞在他身後的牆上，發出一聲巨響。 '語言！'德雷克在站起來之前對他喊道。 「我要出去呆——</v>
      </c>
      <c r="G2003" s="4" t="str">
        <f>IFERROR(__xludf.DUMMYFUNCTION("GOOGLETRANSLATE(B2003)"),"大聲%20bang")</f>
        <v>大聲%20bang</v>
      </c>
    </row>
    <row r="2004" ht="15.75" customHeight="1">
      <c r="A2004" s="4">
        <v>6813.0</v>
      </c>
      <c r="B2004" s="4" t="s">
        <v>3136</v>
      </c>
      <c r="C2004" s="4" t="s">
        <v>900</v>
      </c>
      <c r="D2004" s="4" t="s">
        <v>3139</v>
      </c>
      <c r="E2004" s="4">
        <v>1.0</v>
      </c>
      <c r="F2004" s="4" t="str">
        <f>IFERROR(__xludf.DUMMYFUNCTION("GOOGLETRANSLATE(D2004)"),"tianta_：突發新聞！未經證實！我剛剛聽到附近傳來一聲巨響。似乎是從我鄰居的屁股吹來的一陣風。")</f>
        <v>tianta_：突發新聞！未經證實！我剛剛聽到附近傳來一聲巨響。似乎是從我鄰居的屁股吹來的一陣風。</v>
      </c>
      <c r="G2004" s="4" t="str">
        <f>IFERROR(__xludf.DUMMYFUNCTION("GOOGLETRANSLATE(B2004)"),"大聲%20bang")</f>
        <v>大聲%20bang</v>
      </c>
    </row>
    <row r="2005" ht="15.75" customHeight="1">
      <c r="A2005" s="4">
        <v>6814.0</v>
      </c>
      <c r="B2005" s="4" t="s">
        <v>3136</v>
      </c>
      <c r="C2005" s="4" t="s">
        <v>3140</v>
      </c>
      <c r="D2005" s="4" t="s">
        <v>3141</v>
      </c>
      <c r="E2005" s="4">
        <v>1.0</v>
      </c>
      <c r="F2005" s="4" t="str">
        <f>IFERROR(__xludf.DUMMYFUNCTION("GOOGLETRANSLATE(D2005)"),"剛才心臟病差點發作；我旁邊的窗戶發出巨響，原來是兩隻鳥飛進玻璃了。")</f>
        <v>剛才心臟病差點發作；我旁邊的窗戶發出巨響，原來是兩隻鳥飛進玻璃了。</v>
      </c>
      <c r="G2005" s="4" t="str">
        <f>IFERROR(__xludf.DUMMYFUNCTION("GOOGLETRANSLATE(B2005)"),"大聲%20bang")</f>
        <v>大聲%20bang</v>
      </c>
    </row>
    <row r="2006" ht="15.75" customHeight="1">
      <c r="A2006" s="4">
        <v>6823.0</v>
      </c>
      <c r="B2006" s="4" t="s">
        <v>3136</v>
      </c>
      <c r="C2006" s="4" t="s">
        <v>900</v>
      </c>
      <c r="D2006" s="4" t="s">
        <v>3142</v>
      </c>
      <c r="E2006" s="4">
        <v>1.0</v>
      </c>
      <c r="F2006" s="4" t="str">
        <f>IFERROR(__xludf.DUMMYFUNCTION("GOOGLETRANSLATE(D2006)"),"朱羅：突發新聞！未經證實！我剛剛聽到附近傳來一聲巨響。似乎是從我鄰居的屁股吹來的一陣風。")</f>
        <v>朱羅：突發新聞！未經證實！我剛剛聽到附近傳來一聲巨響。似乎是從我鄰居的屁股吹來的一陣風。</v>
      </c>
      <c r="G2006" s="4" t="str">
        <f>IFERROR(__xludf.DUMMYFUNCTION("GOOGLETRANSLATE(B2006)"),"大聲%20bang")</f>
        <v>大聲%20bang</v>
      </c>
    </row>
    <row r="2007" ht="15.75" customHeight="1">
      <c r="A2007" s="4">
        <v>6828.0</v>
      </c>
      <c r="B2007" s="4" t="s">
        <v>3136</v>
      </c>
      <c r="C2007" s="4" t="s">
        <v>3143</v>
      </c>
      <c r="D2007" s="4" t="s">
        <v>3144</v>
      </c>
      <c r="E2007" s="4">
        <v>1.0</v>
      </c>
      <c r="F2007" s="4" t="str">
        <f>IFERROR(__xludf.DUMMYFUNCTION("GOOGLETRANSLATE(D2007)"),"我平靜地坐在房間裡，聽到有東西掉下來的巨響")</f>
        <v>我平靜地坐在房間裡，聽到有東西掉下來的巨響</v>
      </c>
      <c r="G2007" s="4" t="str">
        <f>IFERROR(__xludf.DUMMYFUNCTION("GOOGLETRANSLATE(B2007)"),"大聲%20bang")</f>
        <v>大聲%20bang</v>
      </c>
    </row>
    <row r="2008" ht="15.75" customHeight="1">
      <c r="A2008" s="4">
        <v>6837.0</v>
      </c>
      <c r="B2008" s="4" t="s">
        <v>3136</v>
      </c>
      <c r="C2008" s="4" t="s">
        <v>900</v>
      </c>
      <c r="D2008" s="4" t="s">
        <v>3145</v>
      </c>
      <c r="E2008" s="4">
        <v>1.0</v>
      </c>
      <c r="F2008" s="4" t="str">
        <f>IFERROR(__xludf.DUMMYFUNCTION("GOOGLETRANSLATE(D2008)"),"戴維斯穆蒂亞：突發新聞！未經證實！我剛剛聽到附近傳來一聲巨響。似乎是從我鄰居的屁股吹來的一陣風。")</f>
        <v>戴維斯穆蒂亞：突發新聞！未經證實！我剛剛聽到附近傳來一聲巨響。似乎是從我鄰居的屁股吹來的一陣風。</v>
      </c>
      <c r="G2008" s="4" t="str">
        <f>IFERROR(__xludf.DUMMYFUNCTION("GOOGLETRANSLATE(B2008)"),"大聲%20bang")</f>
        <v>大聲%20bang</v>
      </c>
    </row>
    <row r="2009" ht="15.75" customHeight="1">
      <c r="A2009" s="4">
        <v>6843.0</v>
      </c>
      <c r="B2009" s="4" t="s">
        <v>3136</v>
      </c>
      <c r="C2009" s="4" t="s">
        <v>3146</v>
      </c>
      <c r="D2009" s="4" t="s">
        <v>3147</v>
      </c>
      <c r="E2009" s="4">
        <v>1.0</v>
      </c>
      <c r="F2009" s="4" t="str">
        <f>IFERROR(__xludf.DUMMYFUNCTION("GOOGLETRANSLATE(D2009)"),"聖鋼咖啡廳今天上午爆炸了，熱咖啡和咖啡都爆炸了。桌上的地面 乾淨的陶器 電話
藥片。如何？")</f>
        <v>聖鋼咖啡廳今天上午爆炸了，熱咖啡和咖啡都爆炸了。桌上的地面 乾淨的陶器 電話
藥片。如何？</v>
      </c>
      <c r="G2009" s="4" t="str">
        <f>IFERROR(__xludf.DUMMYFUNCTION("GOOGLETRANSLATE(B2009)"),"大聲%20bang")</f>
        <v>大聲%20bang</v>
      </c>
    </row>
    <row r="2010" ht="15.75" customHeight="1">
      <c r="A2010" s="4">
        <v>6849.0</v>
      </c>
      <c r="B2010" s="4" t="s">
        <v>3148</v>
      </c>
      <c r="C2010" s="4" t="s">
        <v>3149</v>
      </c>
      <c r="D2010" s="4" t="s">
        <v>3150</v>
      </c>
      <c r="E2010" s="4">
        <v>1.0</v>
      </c>
      <c r="F2010" s="4" t="str">
        <f>IFERROR(__xludf.DUMMYFUNCTION("GOOGLETRANSLATE(D2010)"),"@samanthaturne19 這是......納加斯基另一次大規模謀殺行為被批准和寬恕，因為盟軍獲勝......不是我。")</f>
        <v>@samanthaturne19 這是......納加斯基另一次大規模謀殺行為被批准和寬恕，因為盟軍獲勝......不是我。</v>
      </c>
      <c r="G2010" s="4" t="str">
        <f>IFERROR(__xludf.DUMMYFUNCTION("GOOGLETRANSLATE(B2010)"),"質量%20謀殺")</f>
        <v>質量%20謀殺</v>
      </c>
    </row>
    <row r="2011" ht="15.75" customHeight="1">
      <c r="A2011" s="4">
        <v>6850.0</v>
      </c>
      <c r="B2011" s="4" t="s">
        <v>3148</v>
      </c>
      <c r="C2011" s="4" t="s">
        <v>3151</v>
      </c>
      <c r="D2011" s="4" t="s">
        <v>3152</v>
      </c>
      <c r="E2011" s="4">
        <v>1.0</v>
      </c>
      <c r="F2011" s="4" t="str">
        <f>IFERROR(__xludf.DUMMYFUNCTION("GOOGLETRANSLATE(D2011)"),"@TANSTAAFL23 這不是“衝動”，也不會以大規模謀殺告終。相關性並不意味著因果關係。")</f>
        <v>@TANSTAAFL23 這不是“衝動”，也不會以大規模謀殺告終。相關性並不意味著因果關係。</v>
      </c>
      <c r="G2011" s="4" t="str">
        <f>IFERROR(__xludf.DUMMYFUNCTION("GOOGLETRANSLATE(B2011)"),"質量%20謀殺")</f>
        <v>質量%20謀殺</v>
      </c>
    </row>
    <row r="2012" ht="15.75" customHeight="1">
      <c r="A2012" s="4">
        <v>6852.0</v>
      </c>
      <c r="B2012" s="4" t="s">
        <v>3148</v>
      </c>
      <c r="C2012" s="4" t="s">
        <v>3153</v>
      </c>
      <c r="D2012" s="4" t="s">
        <v>3154</v>
      </c>
      <c r="E2012" s="4">
        <v>1.0</v>
      </c>
      <c r="F2012" s="4" t="str">
        <f>IFERROR(__xludf.DUMMYFUNCTION("GOOGLETRANSLATE(D2012)"),"@ColdMpress 你今晚準備進行大規模謀殺嗎？")</f>
        <v>@ColdMpress 你今晚準備進行大規模謀殺嗎？</v>
      </c>
      <c r="G2012" s="4" t="str">
        <f>IFERROR(__xludf.DUMMYFUNCTION("GOOGLETRANSLATE(B2012)"),"質量%20謀殺")</f>
        <v>質量%20謀殺</v>
      </c>
    </row>
    <row r="2013" ht="15.75" customHeight="1">
      <c r="A2013" s="4">
        <v>6854.0</v>
      </c>
      <c r="B2013" s="4" t="s">
        <v>3148</v>
      </c>
      <c r="C2013" s="4" t="s">
        <v>3155</v>
      </c>
      <c r="D2013" s="4" t="s">
        <v>3156</v>
      </c>
      <c r="E2013" s="4">
        <v>1.0</v>
      </c>
      <c r="F2013" s="4" t="str">
        <f>IFERROR(__xludf.DUMMYFUNCTION("GOOGLETRANSLATE(D2013)"),"媒體需要停止宣傳大規模謀殺。許多病人為了世人的眼睛而做這些事情媒體沒有幫助。")</f>
        <v>媒體需要停止宣傳大規模謀殺。許多病人為了世人的眼睛而做這些事情媒體沒有幫助。</v>
      </c>
      <c r="G2013" s="4" t="str">
        <f>IFERROR(__xludf.DUMMYFUNCTION("GOOGLETRANSLATE(B2013)"),"質量%20謀殺")</f>
        <v>質量%20謀殺</v>
      </c>
    </row>
    <row r="2014" ht="15.75" customHeight="1">
      <c r="A2014" s="4">
        <v>6855.0</v>
      </c>
      <c r="B2014" s="4" t="s">
        <v>3148</v>
      </c>
      <c r="C2014" s="4" t="s">
        <v>3149</v>
      </c>
      <c r="D2014" s="4" t="s">
        <v>3157</v>
      </c>
      <c r="E2014" s="4">
        <v>1.0</v>
      </c>
      <c r="F2014" s="4" t="str">
        <f>IFERROR(__xludf.DUMMYFUNCTION("GOOGLETRANSLATE(D2014)"),"@samanthaturne19 從邏輯上講，這可能是正確的決定……也許……但這是大規模謀殺行為，我無法批准它。")</f>
        <v>@samanthaturne19 從邏輯上講，這可能是正確的決定……也許……但這是大規模謀殺行為，我無法批准它。</v>
      </c>
      <c r="G2014" s="4" t="str">
        <f>IFERROR(__xludf.DUMMYFUNCTION("GOOGLETRANSLATE(B2014)"),"質量%20謀殺")</f>
        <v>質量%20謀殺</v>
      </c>
    </row>
    <row r="2015" ht="15.75" customHeight="1">
      <c r="A2015" s="4">
        <v>6857.0</v>
      </c>
      <c r="B2015" s="4" t="s">
        <v>3148</v>
      </c>
      <c r="C2015" s="4" t="s">
        <v>291</v>
      </c>
      <c r="D2015" s="4" t="s">
        <v>3158</v>
      </c>
      <c r="E2015" s="4">
        <v>1.0</v>
      </c>
      <c r="F2015" s="4" t="str">
        <f>IFERROR(__xludf.DUMMYFUNCTION("GOOGLETRANSLATE(D2015)"),"我們有不同的道德體系。我的國家拒絕大規模屠殺無辜者，而你的國家則明確支持這種行為。 https://t.co/qadRKEJZ9T")</f>
        <v>我們有不同的道德體系。我的國家拒絕大規模屠殺無辜者，而你的國家則明確支持這種行為。 https://t.co/qadRKEJZ9T</v>
      </c>
      <c r="G2015" s="4" t="str">
        <f>IFERROR(__xludf.DUMMYFUNCTION("GOOGLETRANSLATE(B2015)"),"質量%20謀殺")</f>
        <v>質量%20謀殺</v>
      </c>
    </row>
    <row r="2016" ht="15.75" customHeight="1">
      <c r="A2016" s="4">
        <v>6858.0</v>
      </c>
      <c r="B2016" s="4" t="s">
        <v>3148</v>
      </c>
      <c r="C2016" s="4" t="s">
        <v>3159</v>
      </c>
      <c r="D2016" s="4" t="s">
        <v>3160</v>
      </c>
      <c r="E2016" s="4">
        <v>1.0</v>
      </c>
      <c r="F2016" s="4" t="str">
        <f>IFERROR(__xludf.DUMMYFUNCTION("GOOGLETRANSLATE(D2016)"),"@DoctorDryadma 大屠殺我們來了")</f>
        <v>@DoctorDryadma 大屠殺我們來了</v>
      </c>
      <c r="G2016" s="4" t="str">
        <f>IFERROR(__xludf.DUMMYFUNCTION("GOOGLETRANSLATE(B2016)"),"質量%20謀殺")</f>
        <v>質量%20謀殺</v>
      </c>
    </row>
    <row r="2017" ht="15.75" customHeight="1">
      <c r="A2017" s="4">
        <v>6860.0</v>
      </c>
      <c r="B2017" s="4" t="s">
        <v>3148</v>
      </c>
      <c r="C2017" s="4" t="s">
        <v>512</v>
      </c>
      <c r="D2017" s="4" t="s">
        <v>3161</v>
      </c>
      <c r="E2017" s="4">
        <v>1.0</v>
      </c>
      <c r="F2017" s="4" t="str">
        <f>IFERROR(__xludf.DUMMYFUNCTION("GOOGLETRANSLATE(D2017)"),"RT 歐文布羅德赫斯特 RT 胡安湯普森：70 年前的這個時刻，這是世界歷史上最嚴重的大規模謀殺行為之一 http://t.co/ODWs0waW9Q")</f>
        <v>RT 歐文布羅德赫斯特 RT 胡安湯普森：70 年前的這個時刻，這是世界歷史上最嚴重的大規模謀殺行為之一 http://t.co/ODWs0waW9Q</v>
      </c>
      <c r="G2017" s="4" t="str">
        <f>IFERROR(__xludf.DUMMYFUNCTION("GOOGLETRANSLATE(B2017)"),"質量%20謀殺")</f>
        <v>質量%20謀殺</v>
      </c>
    </row>
    <row r="2018" ht="15.75" customHeight="1">
      <c r="A2018" s="4">
        <v>6861.0</v>
      </c>
      <c r="B2018" s="4" t="s">
        <v>3148</v>
      </c>
      <c r="C2018" s="4" t="s">
        <v>3162</v>
      </c>
      <c r="D2018" s="4" t="s">
        <v>3163</v>
      </c>
      <c r="E2018" s="4">
        <v>1.0</v>
      </c>
      <c r="F2018" s="4" t="str">
        <f>IFERROR(__xludf.DUMMYFUNCTION("GOOGLETRANSLATE(D2018)"),"如果墮胎是謀殺，那麼口交就是同類相食，自慰就是大規模種族滅絕。")</f>
        <v>如果墮胎是謀殺，那麼口交就是同類相食，自慰就是大規模種族滅絕。</v>
      </c>
      <c r="G2018" s="4" t="str">
        <f>IFERROR(__xludf.DUMMYFUNCTION("GOOGLETRANSLATE(B2018)"),"質量%20謀殺")</f>
        <v>質量%20謀殺</v>
      </c>
    </row>
    <row r="2019" ht="15.75" customHeight="1">
      <c r="A2019" s="4">
        <v>6863.0</v>
      </c>
      <c r="B2019" s="4" t="s">
        <v>3148</v>
      </c>
      <c r="C2019" s="4" t="s">
        <v>3164</v>
      </c>
      <c r="D2019" s="4" t="s">
        <v>3165</v>
      </c>
      <c r="E2019" s="4">
        <v>1.0</v>
      </c>
      <c r="F2019" s="4" t="str">
        <f>IFERROR(__xludf.DUMMYFUNCTION("GOOGLETRANSLATE(D2019)"),"@D1ff3r3nt1sG00d @RiceeChrispies 如果他犯了大規模謀殺案怎麼辦？")</f>
        <v>@D1ff3r3nt1sG00d @RiceeChrispies 如果他犯了大規模謀殺案怎麼辦？</v>
      </c>
      <c r="G2019" s="4" t="str">
        <f>IFERROR(__xludf.DUMMYFUNCTION("GOOGLETRANSLATE(B2019)"),"質量%20謀殺")</f>
        <v>質量%20謀殺</v>
      </c>
    </row>
    <row r="2020" ht="15.75" customHeight="1">
      <c r="A2020" s="4">
        <v>6864.0</v>
      </c>
      <c r="B2020" s="4" t="s">
        <v>3148</v>
      </c>
      <c r="D2020" s="4" t="s">
        <v>3166</v>
      </c>
      <c r="E2020" s="4">
        <v>1.0</v>
      </c>
      <c r="F2020" s="4" t="str">
        <f>IFERROR(__xludf.DUMMYFUNCTION("GOOGLETRANSLATE(D2020)"),"@tuicruises @aida_de 遊輪業支持#法羅群島大規模屠殺鯨魚！！ '一切（續）http://t.co/3a3FGZFmzh")</f>
        <v>@tuicruises @aida_de 遊輪業支持#法羅群島大規模屠殺鯨魚！！ '一切（續）http://t.co/3a3FGZFmzh</v>
      </c>
      <c r="G2020" s="4" t="str">
        <f>IFERROR(__xludf.DUMMYFUNCTION("GOOGLETRANSLATE(B2020)"),"質量%20謀殺")</f>
        <v>質量%20謀殺</v>
      </c>
    </row>
    <row r="2021" ht="15.75" customHeight="1">
      <c r="A2021" s="4">
        <v>6867.0</v>
      </c>
      <c r="B2021" s="4" t="s">
        <v>3148</v>
      </c>
      <c r="C2021" s="4" t="s">
        <v>1145</v>
      </c>
      <c r="D2021" s="4" t="s">
        <v>3167</v>
      </c>
      <c r="E2021" s="4">
        <v>1.0</v>
      </c>
      <c r="F2021" s="4" t="str">
        <f>IFERROR(__xludf.DUMMYFUNCTION("GOOGLETRANSLATE(D2021)"),"廣島 - 史上最嚴重的大規模謀殺例子之一 http://t.co/TmogTi6FB4 #hiroshima #war #atombomb #japan")</f>
        <v>廣島 - 史上最嚴重的大規模謀殺例子之一 http://t.co/TmogTi6FB4 #hiroshima #war #atombomb #japan</v>
      </c>
      <c r="G2021" s="4" t="str">
        <f>IFERROR(__xludf.DUMMYFUNCTION("GOOGLETRANSLATE(B2021)"),"質量%20謀殺")</f>
        <v>質量%20謀殺</v>
      </c>
    </row>
    <row r="2022" ht="15.75" customHeight="1">
      <c r="A2022" s="4">
        <v>6870.0</v>
      </c>
      <c r="B2022" s="4" t="s">
        <v>3148</v>
      </c>
      <c r="D2022" s="4" t="s">
        <v>3168</v>
      </c>
      <c r="E2022" s="4">
        <v>1.0</v>
      </c>
      <c r="F2022" s="4" t="str">
        <f>IFERROR(__xludf.DUMMYFUNCTION("GOOGLETRANSLATE(D2022)"),"@guardian 日本是否真正接受過用傳統武器對數百萬中國人和其他國家進行的破壞和大規模屠殺？")</f>
        <v>@guardian 日本是否真正接受過用傳統武器對數百萬中國人和其他國家進行的破壞和大規模屠殺？</v>
      </c>
      <c r="G2022" s="4" t="str">
        <f>IFERROR(__xludf.DUMMYFUNCTION("GOOGLETRANSLATE(B2022)"),"質量%20謀殺")</f>
        <v>質量%20謀殺</v>
      </c>
    </row>
    <row r="2023" ht="15.75" customHeight="1">
      <c r="A2023" s="4">
        <v>6872.0</v>
      </c>
      <c r="B2023" s="4" t="s">
        <v>3148</v>
      </c>
      <c r="D2023" s="4" t="s">
        <v>3169</v>
      </c>
      <c r="E2023" s="4">
        <v>1.0</v>
      </c>
      <c r="F2023" s="4" t="str">
        <f>IFERROR(__xludf.DUMMYFUNCTION("GOOGLETRANSLATE(D2023)"),"哦，平常的。透過咖啡進行大規模謀殺和統治世界的計劃。你今天過得怎樣？")</f>
        <v>哦，平常的。透過咖啡進行大規模謀殺和統治世界的計劃。你今天過得怎樣？</v>
      </c>
      <c r="G2023" s="4" t="str">
        <f>IFERROR(__xludf.DUMMYFUNCTION("GOOGLETRANSLATE(B2023)"),"質量%20謀殺")</f>
        <v>質量%20謀殺</v>
      </c>
    </row>
    <row r="2024" ht="15.75" customHeight="1">
      <c r="A2024" s="4">
        <v>6874.0</v>
      </c>
      <c r="B2024" s="4" t="s">
        <v>3148</v>
      </c>
      <c r="C2024" s="4" t="s">
        <v>3170</v>
      </c>
      <c r="D2024" s="4" t="s">
        <v>3171</v>
      </c>
      <c r="E2024" s="4">
        <v>1.0</v>
      </c>
      <c r="F2024" s="4" t="str">
        <f>IFERROR(__xludf.DUMMYFUNCTION("GOOGLETRANSLATE(D2024)"),"http://t.co/c1H7JECFrV @RoyalCarribean 你們的乘客知道每年在 #FaroeIslands 發生的大規模謀殺嗎？")</f>
        <v>http://t.co/c1H7JECFrV @RoyalCarribean 你們的乘客知道每年在 #FaroeIslands 發生的大規模謀殺嗎？</v>
      </c>
      <c r="G2024" s="4" t="str">
        <f>IFERROR(__xludf.DUMMYFUNCTION("GOOGLETRANSLATE(B2024)"),"質量%20謀殺")</f>
        <v>質量%20謀殺</v>
      </c>
    </row>
    <row r="2025" ht="15.75" customHeight="1">
      <c r="A2025" s="4">
        <v>6875.0</v>
      </c>
      <c r="B2025" s="4" t="s">
        <v>3148</v>
      </c>
      <c r="D2025" s="4" t="s">
        <v>3172</v>
      </c>
      <c r="E2025" s="4">
        <v>1.0</v>
      </c>
      <c r="F2025" s="4" t="str">
        <f>IFERROR(__xludf.DUMMYFUNCTION("GOOGLETRANSLATE(D2025)"),"@noah_anyname 烏托邦衝動不可避免地以古拉格和大規模謀殺告終。")</f>
        <v>@noah_anyname 烏托邦衝動不可避免地以古拉格和大規模謀殺告終。</v>
      </c>
      <c r="G2025" s="4" t="str">
        <f>IFERROR(__xludf.DUMMYFUNCTION("GOOGLETRANSLATE(B2025)"),"質量%20謀殺")</f>
        <v>質量%20謀殺</v>
      </c>
    </row>
    <row r="2026" ht="15.75" customHeight="1">
      <c r="A2026" s="4">
        <v>6876.0</v>
      </c>
      <c r="B2026" s="4" t="s">
        <v>3148</v>
      </c>
      <c r="C2026" s="4" t="s">
        <v>3173</v>
      </c>
      <c r="D2026" s="4" t="s">
        <v>3174</v>
      </c>
      <c r="E2026" s="4">
        <v>1.0</v>
      </c>
      <c r="F2026" s="4" t="str">
        <f>IFERROR(__xludf.DUMMYFUNCTION("GOOGLETRANSLATE(D2026)"),"緊迫的！拯救鹽河#WildHorses！正是那些本應保護他們的人所進行的大規模謀殺？ --&gt; http://t.co/14wH0pJJ2C @CNN @CBC")</f>
        <v>緊迫的！拯救鹽河#WildHorses！正是那些本應保護他們的人所進行的大規模謀殺？ --&gt; http://t.co/14wH0pJJ2C @CNN @CBC</v>
      </c>
      <c r="G2026" s="4" t="str">
        <f>IFERROR(__xludf.DUMMYFUNCTION("GOOGLETRANSLATE(B2026)"),"質量%20謀殺")</f>
        <v>質量%20謀殺</v>
      </c>
    </row>
    <row r="2027" ht="15.75" customHeight="1">
      <c r="A2027" s="4">
        <v>6880.0</v>
      </c>
      <c r="B2027" s="4" t="s">
        <v>3148</v>
      </c>
      <c r="C2027" s="4" t="s">
        <v>3175</v>
      </c>
      <c r="D2027" s="4" t="s">
        <v>3176</v>
      </c>
      <c r="E2027" s="4">
        <v>1.0</v>
      </c>
      <c r="F2027" s="4" t="str">
        <f>IFERROR(__xludf.DUMMYFUNCTION("GOOGLETRANSLATE(D2027)"),"@FLGovScott 我們允許 Farrakhan 挑戰 10000 名男性奮起反抗。像他剛剛在邁阿密所做的那樣犯下大規模謀殺嗎？ http://t.co/gV84WNhB7S")</f>
        <v>@FLGovScott 我們允許 Farrakhan 挑戰 10000 名男性奮起反抗。像他剛剛在邁阿密所做的那樣犯下大規模謀殺嗎？ http://t.co/gV84WNhB7S</v>
      </c>
      <c r="G2027" s="4" t="str">
        <f>IFERROR(__xludf.DUMMYFUNCTION("GOOGLETRANSLATE(B2027)"),"質量%20謀殺")</f>
        <v>質量%20謀殺</v>
      </c>
    </row>
    <row r="2028" ht="15.75" customHeight="1">
      <c r="A2028" s="4">
        <v>6881.0</v>
      </c>
      <c r="B2028" s="4" t="s">
        <v>3148</v>
      </c>
      <c r="C2028" s="4" t="s">
        <v>3170</v>
      </c>
      <c r="D2028" s="4" t="s">
        <v>3171</v>
      </c>
      <c r="E2028" s="4">
        <v>1.0</v>
      </c>
      <c r="F2028" s="4" t="str">
        <f>IFERROR(__xludf.DUMMYFUNCTION("GOOGLETRANSLATE(D2028)"),"http://t.co/c1H7JECFrV @RoyalCarribean 你們的乘客知道每年在 #FaroeIslands 發生的大規模謀殺嗎？")</f>
        <v>http://t.co/c1H7JECFrV @RoyalCarribean 你們的乘客知道每年在 #FaroeIslands 發生的大規模謀殺嗎？</v>
      </c>
      <c r="G2028" s="4" t="str">
        <f>IFERROR(__xludf.DUMMYFUNCTION("GOOGLETRANSLATE(B2028)"),"質量%20謀殺")</f>
        <v>質量%20謀殺</v>
      </c>
    </row>
    <row r="2029" ht="15.75" customHeight="1">
      <c r="A2029" s="4">
        <v>6883.0</v>
      </c>
      <c r="B2029" s="4" t="s">
        <v>3148</v>
      </c>
      <c r="C2029" s="4" t="s">
        <v>3177</v>
      </c>
      <c r="D2029" s="4" t="s">
        <v>3178</v>
      </c>
      <c r="E2029" s="4">
        <v>1.0</v>
      </c>
      <c r="F2029" s="4" t="str">
        <f>IFERROR(__xludf.DUMMYFUNCTION("GOOGLETRANSLATE(D2029)"),"@yelllowheather 控制謀殺沒問題。對一群不值得的人進行大規模謀殺則不然。案件結案。")</f>
        <v>@yelllowheather 控制謀殺沒問題。對一群不值得的人進行大規模謀殺則不然。案件結案。</v>
      </c>
      <c r="G2029" s="4" t="str">
        <f>IFERROR(__xludf.DUMMYFUNCTION("GOOGLETRANSLATE(B2029)"),"質量%20謀殺")</f>
        <v>質量%20謀殺</v>
      </c>
    </row>
    <row r="2030" ht="15.75" customHeight="1">
      <c r="A2030" s="4">
        <v>6884.0</v>
      </c>
      <c r="B2030" s="4" t="s">
        <v>3148</v>
      </c>
      <c r="C2030" s="4" t="s">
        <v>3179</v>
      </c>
      <c r="D2030" s="4" t="s">
        <v>3180</v>
      </c>
      <c r="E2030" s="4">
        <v>1.0</v>
      </c>
      <c r="F2030" s="4" t="str">
        <f>IFERROR(__xludf.DUMMYFUNCTION("GOOGLETRANSLATE(D2030)"),"@Re_ShrimpLevy 我總是準備進行大規模謀殺")</f>
        <v>@Re_ShrimpLevy 我總是準備進行大規模謀殺</v>
      </c>
      <c r="G2030" s="4" t="str">
        <f>IFERROR(__xludf.DUMMYFUNCTION("GOOGLETRANSLATE(B2030)"),"質量%20謀殺")</f>
        <v>質量%20謀殺</v>
      </c>
    </row>
    <row r="2031" ht="15.75" customHeight="1">
      <c r="A2031" s="4">
        <v>6885.0</v>
      </c>
      <c r="B2031" s="4" t="s">
        <v>3148</v>
      </c>
      <c r="D2031" s="4" t="s">
        <v>3181</v>
      </c>
      <c r="E2031" s="4">
        <v>1.0</v>
      </c>
      <c r="F2031" s="4" t="str">
        <f>IFERROR(__xludf.DUMMYFUNCTION("GOOGLETRANSLATE(D2031)"),"@JakeGint 大屠殺讓她感到憤怒和困擾，但她內心始終是個傳統主義者。")</f>
        <v>@JakeGint 大屠殺讓她感到憤怒和困擾，但她內心始終是個傳統主義者。</v>
      </c>
      <c r="G2031" s="4" t="str">
        <f>IFERROR(__xludf.DUMMYFUNCTION("GOOGLETRANSLATE(B2031)"),"質量%20謀殺")</f>
        <v>質量%20謀殺</v>
      </c>
    </row>
    <row r="2032" ht="15.75" customHeight="1">
      <c r="A2032" s="4">
        <v>6890.0</v>
      </c>
      <c r="B2032" s="4" t="s">
        <v>3148</v>
      </c>
      <c r="C2032" s="4" t="s">
        <v>3182</v>
      </c>
      <c r="D2032" s="4" t="s">
        <v>3183</v>
      </c>
      <c r="E2032" s="4">
        <v>1.0</v>
      </c>
      <c r="F2032" s="4" t="str">
        <f>IFERROR(__xludf.DUMMYFUNCTION("GOOGLETRANSLATE(D2032)"),"@MNPDNashville @MontalbanoNY 可悲的是警察自殺了。週三下午 2 點@Dollar 電影並不是一場大規模謀殺。")</f>
        <v>@MNPDNashville @MontalbanoNY 可悲的是警察自殺了。週三下午 2 點@Dollar 電影並不是一場大規模謀殺。</v>
      </c>
      <c r="G2032" s="4" t="str">
        <f>IFERROR(__xludf.DUMMYFUNCTION("GOOGLETRANSLATE(B2032)"),"質量%20謀殺")</f>
        <v>質量%20謀殺</v>
      </c>
    </row>
    <row r="2033" ht="15.75" customHeight="1">
      <c r="A2033" s="4">
        <v>6892.0</v>
      </c>
      <c r="B2033" s="4" t="s">
        <v>3148</v>
      </c>
      <c r="C2033" s="4" t="s">
        <v>48</v>
      </c>
      <c r="D2033" s="4" t="s">
        <v>3184</v>
      </c>
      <c r="E2033" s="4">
        <v>1.0</v>
      </c>
      <c r="F2033" s="4" t="str">
        <f>IFERROR(__xludf.DUMMYFUNCTION("GOOGLETRANSLATE(D2033)"),"@billy_hodge 奧羅拉劇院槍擊案審判：槍手預計會因大規模謀殺而臭名昭著 http://t.co/1RPCHRu72C")</f>
        <v>@billy_hodge 奧羅拉劇院槍擊案審判：槍手預計會因大規模謀殺而臭名昭著 http://t.co/1RPCHRu72C</v>
      </c>
      <c r="G2033" s="4" t="str">
        <f>IFERROR(__xludf.DUMMYFUNCTION("GOOGLETRANSLATE(B2033)"),"質量%20謀殺")</f>
        <v>質量%20謀殺</v>
      </c>
    </row>
    <row r="2034" ht="15.75" customHeight="1">
      <c r="A2034" s="4">
        <v>6893.0</v>
      </c>
      <c r="B2034" s="4" t="s">
        <v>3148</v>
      </c>
      <c r="C2034" s="4" t="s">
        <v>3185</v>
      </c>
      <c r="D2034" s="4" t="s">
        <v>3186</v>
      </c>
      <c r="E2034" s="4">
        <v>1.0</v>
      </c>
      <c r="F2034" s="4" t="str">
        <f>IFERROR(__xludf.DUMMYFUNCTION("GOOGLETRANSLATE(D2034)"),"#DebateQuestionsWeWantToHear 為什麼#沙烏地阿拉伯和#以色列能夠逃脫大規模謀殺的懲罰？
#瓦哈比主義#猶太復國主義")</f>
        <v>#DebateQuestionsWeWantToHear 為什麼#沙烏地阿拉伯和#以色列能夠逃脫大規模謀殺的懲罰？
#瓦哈比主義#猶太復國主義</v>
      </c>
      <c r="G2034" s="4" t="str">
        <f>IFERROR(__xludf.DUMMYFUNCTION("GOOGLETRANSLATE(B2034)"),"質量%20謀殺")</f>
        <v>質量%20謀殺</v>
      </c>
    </row>
    <row r="2035" ht="15.75" customHeight="1">
      <c r="A2035" s="4">
        <v>6896.0</v>
      </c>
      <c r="B2035" s="4" t="s">
        <v>3148</v>
      </c>
      <c r="C2035" s="4" t="s">
        <v>3187</v>
      </c>
      <c r="D2035" s="4" t="s">
        <v>3188</v>
      </c>
      <c r="E2035" s="4">
        <v>1.0</v>
      </c>
      <c r="F2035" s="4" t="str">
        <f>IFERROR(__xludf.DUMMYFUNCTION("GOOGLETRANSLATE(D2035)"),"好吧，不確定「大規模謀殺」這個詞是否適用於這場戰爭，但它仍然是可怕的。 https://t.co/Sb3rjQqzIX")</f>
        <v>好吧，不確定「大規模謀殺」這個詞是否適用於這場戰爭，但它仍然是可怕的。 https://t.co/Sb3rjQqzIX</v>
      </c>
      <c r="G2035" s="4" t="str">
        <f>IFERROR(__xludf.DUMMYFUNCTION("GOOGLETRANSLATE(B2035)"),"質量%20謀殺")</f>
        <v>質量%20謀殺</v>
      </c>
    </row>
    <row r="2036" ht="15.75" customHeight="1">
      <c r="A2036" s="4">
        <v>6897.0</v>
      </c>
      <c r="B2036" s="4" t="s">
        <v>3148</v>
      </c>
      <c r="D2036" s="4" t="s">
        <v>3189</v>
      </c>
      <c r="E2036" s="4">
        <v>1.0</v>
      </c>
      <c r="F2036" s="4" t="str">
        <f>IFERROR(__xludf.DUMMYFUNCTION("GOOGLETRANSLATE(D2036)"),"另一個白人無緣無故地試圖大規模謀殺人民，只是因為讓我猜他有精神病等等#Antioch")</f>
        <v>另一個白人無緣無故地試圖大規模謀殺人民，只是因為讓我猜他有精神病等等#Antioch</v>
      </c>
      <c r="G2036" s="4" t="str">
        <f>IFERROR(__xludf.DUMMYFUNCTION("GOOGLETRANSLATE(B2036)"),"質量%20謀殺")</f>
        <v>質量%20謀殺</v>
      </c>
    </row>
    <row r="2037" ht="15.75" customHeight="1">
      <c r="A2037" s="4">
        <v>6898.0</v>
      </c>
      <c r="B2037" s="4" t="s">
        <v>3148</v>
      </c>
      <c r="C2037" s="4" t="s">
        <v>3190</v>
      </c>
      <c r="D2037" s="4" t="s">
        <v>3191</v>
      </c>
      <c r="E2037" s="4">
        <v>1.0</v>
      </c>
      <c r="F2037" s="4" t="str">
        <f>IFERROR(__xludf.DUMMYFUNCTION("GOOGLETRANSLATE(D2037)"),"廣島：人類史上最嚴重的大屠殺發生 70 週年。永遠不要忘記。 http://t.co/jLu2J5QS8U")</f>
        <v>廣島：人類史上最嚴重的大屠殺發生 70 週年。永遠不要忘記。 http://t.co/jLu2J5QS8U</v>
      </c>
      <c r="G2037" s="4" t="str">
        <f>IFERROR(__xludf.DUMMYFUNCTION("GOOGLETRANSLATE(B2037)"),"質量%20謀殺")</f>
        <v>質量%20謀殺</v>
      </c>
    </row>
    <row r="2038" ht="15.75" customHeight="1">
      <c r="A2038" s="4">
        <v>6903.0</v>
      </c>
      <c r="B2038" s="4" t="s">
        <v>3192</v>
      </c>
      <c r="D2038" s="4" t="s">
        <v>3193</v>
      </c>
      <c r="E2038" s="4">
        <v>1.0</v>
      </c>
      <c r="F2038" s="4" t="str">
        <f>IFERROR(__xludf.DUMMYFUNCTION("GOOGLETRANSLATE(D2038)"),"Kach 是一個大屠殺兇手 Baruch Goldstein 所屬的組織，他於 1994 年槍殺了 29 名巴勒斯坦人 http://t.co/bXGNQ57xvb")</f>
        <v>Kach 是一個大屠殺兇手 Baruch Goldstein 所屬的組織，他於 1994 年槍殺了 29 名巴勒斯坦人 http://t.co/bXGNQ57xvb</v>
      </c>
      <c r="G2038" s="4" t="str">
        <f>IFERROR(__xludf.DUMMYFUNCTION("GOOGLETRANSLATE(B2038)"),"質量%20兇手")</f>
        <v>質量%20兇手</v>
      </c>
    </row>
    <row r="2039" ht="15.75" customHeight="1">
      <c r="A2039" s="4">
        <v>6905.0</v>
      </c>
      <c r="B2039" s="4" t="s">
        <v>3192</v>
      </c>
      <c r="C2039" s="4" t="s">
        <v>915</v>
      </c>
      <c r="D2039" s="4" t="s">
        <v>3194</v>
      </c>
      <c r="E2039" s="4">
        <v>1.0</v>
      </c>
      <c r="F2039" s="4" t="str">
        <f>IFERROR(__xludf.DUMMYFUNCTION("GOOGLETRANSLATE(D2039)"),"@TrillAC_ 我認為在大規模謀殺歷史上，我們只有一位黑人大規模殺人犯會做出這樣的事情。")</f>
        <v>@TrillAC_ 我認為在大規模謀殺歷史上，我們只有一位黑人大規模殺人犯會做出這樣的事情。</v>
      </c>
      <c r="G2039" s="4" t="str">
        <f>IFERROR(__xludf.DUMMYFUNCTION("GOOGLETRANSLATE(B2039)"),"質量%20兇手")</f>
        <v>質量%20兇手</v>
      </c>
    </row>
    <row r="2040" ht="15.75" customHeight="1">
      <c r="A2040" s="4">
        <v>6907.0</v>
      </c>
      <c r="B2040" s="4" t="s">
        <v>3192</v>
      </c>
      <c r="D2040" s="4" t="s">
        <v>3195</v>
      </c>
      <c r="E2040" s="4">
        <v>1.0</v>
      </c>
      <c r="F2040" s="4" t="str">
        <f>IFERROR(__xludf.DUMMYFUNCTION("GOOGLETRANSLATE(D2040)"),"大屠殺兇手切·格瓦拉在朝鮮向一名婦女致意 http://t.co/GlJBNSFGLl'")</f>
        <v>大屠殺兇手切·格瓦拉在朝鮮向一名婦女致意 http://t.co/GlJBNSFGLl'</v>
      </c>
      <c r="G2040" s="4" t="str">
        <f>IFERROR(__xludf.DUMMYFUNCTION("GOOGLETRANSLATE(B2040)"),"質量%20兇手")</f>
        <v>質量%20兇手</v>
      </c>
    </row>
    <row r="2041" ht="15.75" customHeight="1">
      <c r="A2041" s="4">
        <v>6909.0</v>
      </c>
      <c r="B2041" s="4" t="s">
        <v>3192</v>
      </c>
      <c r="C2041" s="4" t="s">
        <v>38</v>
      </c>
      <c r="D2041" s="4" t="s">
        <v>3196</v>
      </c>
      <c r="E2041" s="4">
        <v>1.0</v>
      </c>
      <c r="F2041" s="4" t="str">
        <f>IFERROR(__xludf.DUMMYFUNCTION("GOOGLETRANSLATE(D2041)"),"#gunsense 對#GFZ 的回答：大屠殺兇手出現的可能性微乎其微，就違反了法律。 https://t.co/qEoPMCJbCz")</f>
        <v>#gunsense 對#GFZ 的回答：大屠殺兇手出現的可能性微乎其微，就違反了法律。 https://t.co/qEoPMCJbCz</v>
      </c>
      <c r="G2041" s="4" t="str">
        <f>IFERROR(__xludf.DUMMYFUNCTION("GOOGLETRANSLATE(B2041)"),"質量%20兇手")</f>
        <v>質量%20兇手</v>
      </c>
    </row>
    <row r="2042" ht="15.75" customHeight="1">
      <c r="A2042" s="4">
        <v>6910.0</v>
      </c>
      <c r="B2042" s="4" t="s">
        <v>3192</v>
      </c>
      <c r="C2042" s="4" t="s">
        <v>193</v>
      </c>
      <c r="D2042" s="4" t="s">
        <v>3197</v>
      </c>
      <c r="E2042" s="4">
        <v>1.0</v>
      </c>
      <c r="F2042" s="4" t="str">
        <f>IFERROR(__xludf.DUMMYFUNCTION("GOOGLETRANSLATE(D2042)"),"#TheaterShooting 被告/大規模謀殺犯在最後階段 3 中選擇不作證 2，因此他不會 B 科目 2 交叉詢問或陪審團問題")</f>
        <v>#TheaterShooting 被告/大規模謀殺犯在最後階段 3 中選擇不作證 2，因此他不會 B 科目 2 交叉詢問或陪審團問題</v>
      </c>
      <c r="G2042" s="4" t="str">
        <f>IFERROR(__xludf.DUMMYFUNCTION("GOOGLETRANSLATE(B2042)"),"質量%20兇手")</f>
        <v>質量%20兇手</v>
      </c>
    </row>
    <row r="2043" ht="15.75" customHeight="1">
      <c r="A2043" s="4">
        <v>6913.0</v>
      </c>
      <c r="B2043" s="4" t="s">
        <v>3192</v>
      </c>
      <c r="D2043" s="4" t="s">
        <v>3198</v>
      </c>
      <c r="E2043" s="4">
        <v>1.0</v>
      </c>
      <c r="F2043" s="4" t="str">
        <f>IFERROR(__xludf.DUMMYFUNCTION("GOOGLETRANSLATE(D2043)"),"白人，我知道你們不知疲倦地擔心黑人對黑人的犯罪，但是你們打算怎麼解決你們的大屠殺問題呢？")</f>
        <v>白人，我知道你們不知疲倦地擔心黑人對黑人的犯罪，但是你們打算怎麼解決你們的大屠殺問題呢？</v>
      </c>
      <c r="G2043" s="4" t="str">
        <f>IFERROR(__xludf.DUMMYFUNCTION("GOOGLETRANSLATE(B2043)"),"質量%20兇手")</f>
        <v>質量%20兇手</v>
      </c>
    </row>
    <row r="2044" ht="15.75" customHeight="1">
      <c r="A2044" s="4">
        <v>6916.0</v>
      </c>
      <c r="B2044" s="4" t="s">
        <v>3192</v>
      </c>
      <c r="D2044" s="4" t="s">
        <v>3199</v>
      </c>
      <c r="E2044" s="4">
        <v>1.0</v>
      </c>
      <c r="F2044" s="4" t="str">
        <f>IFERROR(__xludf.DUMMYFUNCTION("GOOGLETRANSLATE(D2044)"),"你碰巧很容易「忘記」猶太復國主義者如何尊敬和「尊敬」大屠殺兇手巴魯克·戈德斯坦。 https://t.co/3KOB7xBeA0")</f>
        <v>你碰巧很容易「忘記」猶太復國主義者如何尊敬和「尊敬」大屠殺兇手巴魯克·戈德斯坦。 https://t.co/3KOB7xBeA0</v>
      </c>
      <c r="G2044" s="4" t="str">
        <f>IFERROR(__xludf.DUMMYFUNCTION("GOOGLETRANSLATE(B2044)"),"質量%20兇手")</f>
        <v>質量%20兇手</v>
      </c>
    </row>
    <row r="2045" ht="15.75" customHeight="1">
      <c r="A2045" s="4">
        <v>6918.0</v>
      </c>
      <c r="B2045" s="4" t="s">
        <v>3192</v>
      </c>
      <c r="C2045" s="4" t="s">
        <v>3200</v>
      </c>
      <c r="D2045" s="4" t="s">
        <v>3201</v>
      </c>
      <c r="E2045" s="4">
        <v>1.0</v>
      </c>
      <c r="F2045" s="4" t="str">
        <f>IFERROR(__xludf.DUMMYFUNCTION("GOOGLETRANSLATE(D2045)"),"嘿#movietheatre 想要成為殺人犯的人我們不會在 #615 中玩那種狗屎！")</f>
        <v>嘿#movietheatre 想要成為殺人犯的人我們不會在 #615 中玩那種狗屎！</v>
      </c>
      <c r="G2045" s="4" t="str">
        <f>IFERROR(__xludf.DUMMYFUNCTION("GOOGLETRANSLATE(B2045)"),"質量%20兇手")</f>
        <v>質量%20兇手</v>
      </c>
    </row>
    <row r="2046" ht="15.75" customHeight="1">
      <c r="A2046" s="4">
        <v>6919.0</v>
      </c>
      <c r="B2046" s="4" t="s">
        <v>3192</v>
      </c>
      <c r="D2046" s="4" t="s">
        <v>3202</v>
      </c>
      <c r="E2046" s="4">
        <v>1.0</v>
      </c>
      <c r="F2046" s="4" t="str">
        <f>IFERROR(__xludf.DUMMYFUNCTION("GOOGLETRANSLATE(D2046)"),"朱利安奈特 (Julian Knight) - @SCVSupremeCourt 駁回了大屠殺兇手提高囚犯報酬的企圖。挑戰 2013 年 5% 的增幅。")</f>
        <v>朱利安奈特 (Julian Knight) - @SCVSupremeCourt 駁回了大屠殺兇手提高囚犯報酬的企圖。挑戰 2013 年 5% 的增幅。</v>
      </c>
      <c r="G2046" s="4" t="str">
        <f>IFERROR(__xludf.DUMMYFUNCTION("GOOGLETRANSLATE(B2046)"),"質量%20兇手")</f>
        <v>質量%20兇手</v>
      </c>
    </row>
    <row r="2047" ht="15.75" customHeight="1">
      <c r="A2047" s="4">
        <v>6920.0</v>
      </c>
      <c r="B2047" s="4" t="s">
        <v>3192</v>
      </c>
      <c r="C2047" s="4" t="s">
        <v>3203</v>
      </c>
      <c r="D2047" s="4" t="s">
        <v>3204</v>
      </c>
      <c r="E2047" s="4">
        <v>1.0</v>
      </c>
      <c r="F2047" s="4" t="str">
        <f>IFERROR(__xludf.DUMMYFUNCTION("GOOGLETRANSLATE(D2047)"),"@bettyfreedoms @AbnInfVet 希拉蕊大屠殺殺手。")</f>
        <v>@bettyfreedoms @AbnInfVet 希拉蕊大屠殺殺手。</v>
      </c>
      <c r="G2047" s="4" t="str">
        <f>IFERROR(__xludf.DUMMYFUNCTION("GOOGLETRANSLATE(B2047)"),"質量%20兇手")</f>
        <v>質量%20兇手</v>
      </c>
    </row>
    <row r="2048" ht="15.75" customHeight="1">
      <c r="A2048" s="4">
        <v>6921.0</v>
      </c>
      <c r="B2048" s="4" t="s">
        <v>3192</v>
      </c>
      <c r="C2048" s="4" t="s">
        <v>3205</v>
      </c>
      <c r="D2048" s="4" t="s">
        <v>3206</v>
      </c>
      <c r="E2048" s="4">
        <v>1.0</v>
      </c>
      <c r="F2048" s="4" t="str">
        <f>IFERROR(__xludf.DUMMYFUNCTION("GOOGLETRANSLATE(D2048)"),"提醒：大屠殺兇手和白人至上主義者安德斯·布雷維克也是反女權主義者，這並不奇怪。
http://t.co/1lXnJVl8TR")</f>
        <v>提醒：大屠殺兇手和白人至上主義者安德斯·布雷維克也是反女權主義者，這並不奇怪。
http://t.co/1lXnJVl8TR</v>
      </c>
      <c r="G2048" s="4" t="str">
        <f>IFERROR(__xludf.DUMMYFUNCTION("GOOGLETRANSLATE(B2048)"),"質量%20兇手")</f>
        <v>質量%20兇手</v>
      </c>
    </row>
    <row r="2049" ht="15.75" customHeight="1">
      <c r="A2049" s="4">
        <v>6929.0</v>
      </c>
      <c r="B2049" s="4" t="s">
        <v>3192</v>
      </c>
      <c r="C2049" s="4" t="s">
        <v>3207</v>
      </c>
      <c r="D2049" s="4" t="s">
        <v>3208</v>
      </c>
      <c r="E2049" s="4">
        <v>1.0</v>
      </c>
      <c r="F2049" s="4" t="str">
        <f>IFERROR(__xludf.DUMMYFUNCTION("GOOGLETRANSLATE(D2049)"),"快樂男孩到大規模殺人犯 http://t.co/xPddWH5teM")</f>
        <v>快樂男孩到大規模殺人犯 http://t.co/xPddWH5teM</v>
      </c>
      <c r="G2049" s="4" t="str">
        <f>IFERROR(__xludf.DUMMYFUNCTION("GOOGLETRANSLATE(B2049)"),"質量%20兇手")</f>
        <v>質量%20兇手</v>
      </c>
    </row>
    <row r="2050" ht="15.75" customHeight="1">
      <c r="A2050" s="4">
        <v>6930.0</v>
      </c>
      <c r="B2050" s="4" t="s">
        <v>3192</v>
      </c>
      <c r="C2050" s="4" t="s">
        <v>281</v>
      </c>
      <c r="D2050" s="4" t="s">
        <v>3209</v>
      </c>
      <c r="E2050" s="4">
        <v>1.0</v>
      </c>
      <c r="F2050" s="4" t="str">
        <f>IFERROR(__xludf.DUMMYFUNCTION("GOOGLETRANSLATE(D2050)"),"@NeanderRebel 如果你把他的衣服脫下來，聽到這是另一位民主黨大屠殺犯的臉，我不會感到驚訝")</f>
        <v>@NeanderRebel 如果你把他的衣服脫下來，聽到這是另一位民主黨大屠殺犯的臉，我不會感到驚訝</v>
      </c>
      <c r="G2050" s="4" t="str">
        <f>IFERROR(__xludf.DUMMYFUNCTION("GOOGLETRANSLATE(B2050)"),"質量%20兇手")</f>
        <v>質量%20兇手</v>
      </c>
    </row>
    <row r="2051" ht="15.75" customHeight="1">
      <c r="A2051" s="4">
        <v>6931.0</v>
      </c>
      <c r="B2051" s="4" t="s">
        <v>3192</v>
      </c>
      <c r="C2051" s="4" t="s">
        <v>3210</v>
      </c>
      <c r="D2051" s="4" t="s">
        <v>3211</v>
      </c>
      <c r="E2051" s="4">
        <v>1.0</v>
      </c>
      <c r="F2051" s="4" t="str">
        <f>IFERROR(__xludf.DUMMYFUNCTION("GOOGLETRANSLATE(D2051)"),"槍枝法曾經阻止過潛在的大屠殺兇手嗎？")</f>
        <v>槍枝法曾經阻止過潛在的大屠殺兇手嗎？</v>
      </c>
      <c r="G2051" s="4" t="str">
        <f>IFERROR(__xludf.DUMMYFUNCTION("GOOGLETRANSLATE(B2051)"),"質量%20兇手")</f>
        <v>質量%20兇手</v>
      </c>
    </row>
    <row r="2052" ht="15.75" customHeight="1">
      <c r="A2052" s="4">
        <v>6932.0</v>
      </c>
      <c r="B2052" s="4" t="s">
        <v>3192</v>
      </c>
      <c r="D2052" s="4" t="s">
        <v>3212</v>
      </c>
      <c r="E2052" s="4">
        <v>1.0</v>
      </c>
      <c r="F2052" s="4" t="str">
        <f>IFERROR(__xludf.DUMMYFUNCTION("GOOGLETRANSLATE(D2052)"),"又一個白人大屠殺兇手。感謝上帝，我住在加州。 https://t.co/4COg0OTiWn")</f>
        <v>又一個白人大屠殺兇手。感謝上帝，我住在加州。 https://t.co/4COg0OTiWn</v>
      </c>
      <c r="G2052" s="4" t="str">
        <f>IFERROR(__xludf.DUMMYFUNCTION("GOOGLETRANSLATE(B2052)"),"質量%20兇手")</f>
        <v>質量%20兇手</v>
      </c>
    </row>
    <row r="2053" ht="15.75" customHeight="1">
      <c r="A2053" s="4">
        <v>6935.0</v>
      </c>
      <c r="B2053" s="4" t="s">
        <v>3192</v>
      </c>
      <c r="D2053" s="4" t="s">
        <v>3213</v>
      </c>
      <c r="E2053" s="4">
        <v>1.0</v>
      </c>
      <c r="F2053" s="4" t="str">
        <f>IFERROR(__xludf.DUMMYFUNCTION("GOOGLETRANSLATE(D2053)"),"又一個白人大屠殺兇手。感謝上帝，我來自加州。 @FrauTrapani")</f>
        <v>又一個白人大屠殺兇手。感謝上帝，我來自加州。 @FrauTrapani</v>
      </c>
      <c r="G2053" s="4" t="str">
        <f>IFERROR(__xludf.DUMMYFUNCTION("GOOGLETRANSLATE(B2053)"),"質量%20兇手")</f>
        <v>質量%20兇手</v>
      </c>
    </row>
    <row r="2054" ht="15.75" customHeight="1">
      <c r="A2054" s="4">
        <v>6939.0</v>
      </c>
      <c r="B2054" s="4" t="s">
        <v>3192</v>
      </c>
      <c r="C2054" s="4" t="s">
        <v>3214</v>
      </c>
      <c r="D2054" s="4" t="s">
        <v>3215</v>
      </c>
      <c r="E2054" s="4">
        <v>1.0</v>
      </c>
      <c r="F2054" s="4" t="str">
        <f>IFERROR(__xludf.DUMMYFUNCTION("GOOGLETRANSLATE(D2054)"),"納粹大屠殺殺手成為疫苗藥物公司董事長...... http://t.co/x713OMh6Ai")</f>
        <v>納粹大屠殺殺手成為疫苗藥物公司董事長...... http://t.co/x713OMh6Ai</v>
      </c>
      <c r="G2054" s="4" t="str">
        <f>IFERROR(__xludf.DUMMYFUNCTION("GOOGLETRANSLATE(B2054)"),"質量%20兇手")</f>
        <v>質量%20兇手</v>
      </c>
    </row>
    <row r="2055" ht="15.75" customHeight="1">
      <c r="A2055" s="4">
        <v>6940.0</v>
      </c>
      <c r="B2055" s="4" t="s">
        <v>3192</v>
      </c>
      <c r="D2055" s="4" t="s">
        <v>3216</v>
      </c>
      <c r="E2055" s="4">
        <v>1.0</v>
      </c>
      <c r="F2055" s="4" t="str">
        <f>IFERROR(__xludf.DUMMYFUNCTION("GOOGLETRANSLATE(D2055)"),"又一個白人大屠殺兇手。 #安提阿 https://t.co/OWpd7vcFS6")</f>
        <v>又一個白人大屠殺兇手。 #安提阿 https://t.co/OWpd7vcFS6</v>
      </c>
      <c r="G2055" s="4" t="str">
        <f>IFERROR(__xludf.DUMMYFUNCTION("GOOGLETRANSLATE(B2055)"),"質量%20兇手")</f>
        <v>質量%20兇手</v>
      </c>
    </row>
    <row r="2056" ht="15.75" customHeight="1">
      <c r="A2056" s="4">
        <v>6943.0</v>
      </c>
      <c r="B2056" s="4" t="s">
        <v>3192</v>
      </c>
      <c r="C2056" s="4" t="s">
        <v>3091</v>
      </c>
      <c r="D2056" s="4" t="s">
        <v>3217</v>
      </c>
      <c r="E2056" s="4">
        <v>1.0</v>
      </c>
      <c r="F2056" s="4" t="str">
        <f>IFERROR(__xludf.DUMMYFUNCTION("GOOGLETRANSLATE(D2056)"),"@blairmcdougall，你什麼時候會評論伊恩·泰勒與大規模殺人犯阿坎的交易？")</f>
        <v>@blairmcdougall，你什麼時候會評論伊恩·泰勒與大規模殺人犯阿坎的交易？</v>
      </c>
      <c r="G2056" s="4" t="str">
        <f>IFERROR(__xludf.DUMMYFUNCTION("GOOGLETRANSLATE(B2056)"),"質量%20兇手")</f>
        <v>質量%20兇手</v>
      </c>
    </row>
    <row r="2057" ht="15.75" customHeight="1">
      <c r="A2057" s="4">
        <v>6945.0</v>
      </c>
      <c r="B2057" s="4" t="s">
        <v>3218</v>
      </c>
      <c r="D2057" s="4" t="s">
        <v>3219</v>
      </c>
      <c r="E2057" s="4">
        <v>1.0</v>
      </c>
      <c r="F2057" s="4" t="str">
        <f>IFERROR(__xludf.DUMMYFUNCTION("GOOGLETRANSLATE(D2057)"),"@AFK_10 @Dr_JohanFranzen ISIS 是蘭花。但他們沒有能力像暴君那樣屠殺遠離前線的平民。")</f>
        <v>@AFK_10 @Dr_JohanFranzen ISIS 是蘭花。但他們沒有能力像暴君那樣屠殺遠離前線的平民。</v>
      </c>
      <c r="G2057" s="4" t="str">
        <f>IFERROR(__xludf.DUMMYFUNCTION("GOOGLETRANSLATE(B2057)"),"屠殺")</f>
        <v>屠殺</v>
      </c>
    </row>
    <row r="2058" ht="15.75" customHeight="1">
      <c r="A2058" s="4">
        <v>6946.0</v>
      </c>
      <c r="B2058" s="4" t="s">
        <v>3218</v>
      </c>
      <c r="D2058" s="4" t="s">
        <v>3220</v>
      </c>
      <c r="E2058" s="4">
        <v>1.0</v>
      </c>
      <c r="F2058" s="4" t="str">
        <f>IFERROR(__xludf.DUMMYFUNCTION("GOOGLETRANSLATE(D2058)"),"@卡梅倫_WATE
 科羅拉多劇院槍擊受害者的父母擔心模仿大屠殺
http://t.co/LvlH3W3aWO
#安提阿
http://t.co/vIwXY1XDYK")</f>
        <v>@卡梅倫_WATE
 科羅拉多劇院槍擊受害者的父母擔心模仿大屠殺
http://t.co/LvlH3W3aWO
#安提阿
http://t.co/vIwXY1XDYK</v>
      </c>
      <c r="G2058" s="4" t="str">
        <f>IFERROR(__xludf.DUMMYFUNCTION("GOOGLETRANSLATE(B2058)"),"屠殺")</f>
        <v>屠殺</v>
      </c>
    </row>
    <row r="2059" ht="15.75" customHeight="1">
      <c r="A2059" s="4">
        <v>6948.0</v>
      </c>
      <c r="B2059" s="4" t="s">
        <v>3218</v>
      </c>
      <c r="C2059" s="4" t="s">
        <v>3221</v>
      </c>
      <c r="D2059" s="4" t="s">
        <v>3222</v>
      </c>
      <c r="E2059" s="4">
        <v>1.0</v>
      </c>
      <c r="F2059" s="4" t="str">
        <f>IFERROR(__xludf.DUMMYFUNCTION("GOOGLETRANSLATE(D2059)"),"英國警方將突尼斯海灘大屠殺與巴爾多博物館襲擊聯繫起來 http://t.co/1fVoOTqnEj")</f>
        <v>英國警方將突尼斯海灘大屠殺與巴爾多博物館襲擊聯繫起來 http://t.co/1fVoOTqnEj</v>
      </c>
      <c r="G2059" s="4" t="str">
        <f>IFERROR(__xludf.DUMMYFUNCTION("GOOGLETRANSLATE(B2059)"),"屠殺")</f>
        <v>屠殺</v>
      </c>
    </row>
    <row r="2060" ht="15.75" customHeight="1">
      <c r="A2060" s="4">
        <v>6949.0</v>
      </c>
      <c r="B2060" s="4" t="s">
        <v>3218</v>
      </c>
      <c r="C2060" s="4" t="s">
        <v>3223</v>
      </c>
      <c r="D2060" s="4" t="s">
        <v>3224</v>
      </c>
      <c r="E2060" s="4">
        <v>1.0</v>
      </c>
      <c r="F2060" s="4" t="str">
        <f>IFERROR(__xludf.DUMMYFUNCTION("GOOGLETRANSLATE(D2060)"),"小像在家人慘遭屠殺後幾天就去世了 http://t.co/qzCUT7bVKT")</f>
        <v>小像在家人慘遭屠殺後幾天就去世了 http://t.co/qzCUT7bVKT</v>
      </c>
      <c r="G2060" s="4" t="str">
        <f>IFERROR(__xludf.DUMMYFUNCTION("GOOGLETRANSLATE(B2060)"),"屠殺")</f>
        <v>屠殺</v>
      </c>
    </row>
    <row r="2061" ht="15.75" customHeight="1">
      <c r="A2061" s="4">
        <v>6950.0</v>
      </c>
      <c r="B2061" s="4" t="s">
        <v>3218</v>
      </c>
      <c r="D2061" s="4" t="s">
        <v>3225</v>
      </c>
      <c r="E2061" s="4">
        <v>1.0</v>
      </c>
      <c r="F2061" s="4" t="str">
        <f>IFERROR(__xludf.DUMMYFUNCTION("GOOGLETRANSLATE(D2061)"),"@abc3340
科羅拉多劇院槍擊受害者的父母擔心模仿大屠殺
http://t.co/LvlH3W3aWO
#安提阿
http://t.co/vIwXY1XDYK")</f>
        <v>@abc3340
科羅拉多劇院槍擊受害者的父母擔心模仿大屠殺
http://t.co/LvlH3W3aWO
#安提阿
http://t.co/vIwXY1XDYK</v>
      </c>
      <c r="G2061" s="4" t="str">
        <f>IFERROR(__xludf.DUMMYFUNCTION("GOOGLETRANSLATE(B2061)"),"屠殺")</f>
        <v>屠殺</v>
      </c>
    </row>
    <row r="2062" ht="15.75" customHeight="1">
      <c r="A2062" s="4">
        <v>6955.0</v>
      </c>
      <c r="B2062" s="4" t="s">
        <v>3218</v>
      </c>
      <c r="D2062" s="4" t="s">
        <v>3226</v>
      </c>
      <c r="E2062" s="4">
        <v>1.0</v>
      </c>
      <c r="F2062" s="4" t="str">
        <f>IFERROR(__xludf.DUMMYFUNCTION("GOOGLETRANSLATE(D2062)"),"錫克教寺廟大屠殺三年後，預防仇恨暴力是關鍵 | @dviyer @Colorlines http://t.co/nLbLtYnV36 http://t.co/bjrrqHHoHL")</f>
        <v>錫克教寺廟大屠殺三年後，預防仇恨暴力是關鍵 | @dviyer @Colorlines http://t.co/nLbLtYnV36 http://t.co/bjrrqHHoHL</v>
      </c>
      <c r="G2062" s="4" t="str">
        <f>IFERROR(__xludf.DUMMYFUNCTION("GOOGLETRANSLATE(B2062)"),"屠殺")</f>
        <v>屠殺</v>
      </c>
    </row>
    <row r="2063" ht="15.75" customHeight="1">
      <c r="A2063" s="4">
        <v>6956.0</v>
      </c>
      <c r="B2063" s="4" t="s">
        <v>3218</v>
      </c>
      <c r="D2063" s="4" t="s">
        <v>3227</v>
      </c>
      <c r="E2063" s="4">
        <v>1.0</v>
      </c>
      <c r="F2063" s="4" t="str">
        <f>IFERROR(__xludf.DUMMYFUNCTION("GOOGLETRANSLATE(D2063)"),"#Sinjar 的大屠殺：世界忘了 #Yazidi 嗎？
http://t.co/WUh1g2BLP1
#??_????_?????? #yazidi_shingal_genocide #EzidiGenocide")</f>
        <v>#Sinjar 的大屠殺：世界忘了 #Yazidi 嗎？
http://t.co/WUh1g2BLP1
#??_????_?????? #yazidi_shingal_genocide #EzidiGenocide</v>
      </c>
      <c r="G2063" s="4" t="str">
        <f>IFERROR(__xludf.DUMMYFUNCTION("GOOGLETRANSLATE(B2063)"),"屠殺")</f>
        <v>屠殺</v>
      </c>
    </row>
    <row r="2064" ht="15.75" customHeight="1">
      <c r="A2064" s="4">
        <v>6959.0</v>
      </c>
      <c r="B2064" s="4" t="s">
        <v>3218</v>
      </c>
      <c r="C2064" s="4" t="s">
        <v>1125</v>
      </c>
      <c r="D2064" s="4" t="s">
        <v>3228</v>
      </c>
      <c r="E2064" s="4">
        <v>1.0</v>
      </c>
      <c r="F2064" s="4" t="str">
        <f>IFERROR(__xludf.DUMMYFUNCTION("GOOGLETRANSLATE(D2064)"),"科羅拉多州電影大屠殺審判陪審員就減刑因素達成裁決 http://t.co/75VLsw85GI http://t.co/txY3US2Ejs")</f>
        <v>科羅拉多州電影大屠殺審判陪審員就減刑因素達成裁決 http://t.co/75VLsw85GI http://t.co/txY3US2Ejs</v>
      </c>
      <c r="G2064" s="4" t="str">
        <f>IFERROR(__xludf.DUMMYFUNCTION("GOOGLETRANSLATE(B2064)"),"屠殺")</f>
        <v>屠殺</v>
      </c>
    </row>
    <row r="2065" ht="15.75" customHeight="1">
      <c r="A2065" s="4">
        <v>6960.0</v>
      </c>
      <c r="B2065" s="4" t="s">
        <v>3218</v>
      </c>
      <c r="C2065" s="4" t="s">
        <v>1036</v>
      </c>
      <c r="D2065" s="4" t="s">
        <v>3229</v>
      </c>
      <c r="E2065" s="4">
        <v>1.0</v>
      </c>
      <c r="F2065" s="4" t="str">
        <f>IFERROR(__xludf.DUMMYFUNCTION("GOOGLETRANSLATE(D2065)"),"50 年後仍未調查：美國是否幫助煽動了 1965 年印尼大屠殺？ http://t.co/EZbTG81trz")</f>
        <v>50 年後仍未調查：美國是否幫助煽動了 1965 年印尼大屠殺？ http://t.co/EZbTG81trz</v>
      </c>
      <c r="G2065" s="4" t="str">
        <f>IFERROR(__xludf.DUMMYFUNCTION("GOOGLETRANSLATE(B2065)"),"屠殺")</f>
        <v>屠殺</v>
      </c>
    </row>
    <row r="2066" ht="15.75" customHeight="1">
      <c r="A2066" s="4">
        <v>6961.0</v>
      </c>
      <c r="B2066" s="4" t="s">
        <v>3218</v>
      </c>
      <c r="D2066" s="4" t="s">
        <v>3230</v>
      </c>
      <c r="E2066" s="4">
        <v>1.0</v>
      </c>
      <c r="F2066" s="4" t="str">
        <f>IFERROR(__xludf.DUMMYFUNCTION("GOOGLETRANSLATE(D2066)"),"@KabarMesir @badr58
只要革命得到遵守，像拉巴大屠殺這樣的重大罪行就永遠不會消失。
#記住RABAA")</f>
        <v>@KabarMesir @badr58
只要革命得到遵守，像拉巴大屠殺這樣的重大罪行就永遠不會消失。
#記住RABAA</v>
      </c>
      <c r="G2066" s="4" t="str">
        <f>IFERROR(__xludf.DUMMYFUNCTION("GOOGLETRANSLATE(B2066)"),"屠殺")</f>
        <v>屠殺</v>
      </c>
    </row>
    <row r="2067" ht="15.75" customHeight="1">
      <c r="A2067" s="4">
        <v>6965.0</v>
      </c>
      <c r="B2067" s="4" t="s">
        <v>3218</v>
      </c>
      <c r="C2067" s="4" t="s">
        <v>3231</v>
      </c>
      <c r="D2067" s="4" t="s">
        <v>3232</v>
      </c>
      <c r="E2067" s="4">
        <v>1.0</v>
      </c>
      <c r="F2067" s="4" t="str">
        <f>IFERROR(__xludf.DUMMYFUNCTION("GOOGLETRANSLATE(D2067)"),"閨蜜讓我看德州電鋸殺人狂？？？？？？？？？")</f>
        <v>閨蜜讓我看德州電鋸殺人狂？？？？？？？？？</v>
      </c>
      <c r="G2067" s="4" t="str">
        <f>IFERROR(__xludf.DUMMYFUNCTION("GOOGLETRANSLATE(B2067)"),"屠殺")</f>
        <v>屠殺</v>
      </c>
    </row>
    <row r="2068" ht="15.75" customHeight="1">
      <c r="A2068" s="4">
        <v>6966.0</v>
      </c>
      <c r="B2068" s="4" t="s">
        <v>3218</v>
      </c>
      <c r="C2068" s="4" t="s">
        <v>3233</v>
      </c>
      <c r="D2068" s="4" t="s">
        <v>3234</v>
      </c>
      <c r="E2068" s="4">
        <v>1.0</v>
      </c>
      <c r="F2068" s="4" t="str">
        <f>IFERROR(__xludf.DUMMYFUNCTION("GOOGLETRANSLATE(D2068)"),"1890 年屠殺膝蓋受傷的美洲原住民的大屠殺正義請願/沒有獎牌！ http://t.co/UilPg8i1ev http://t.co/m9pXTo2kwW")</f>
        <v>1890 年屠殺膝蓋受傷的美洲原住民的大屠殺正義請願/沒有獎牌！ http://t.co/UilPg8i1ev http://t.co/m9pXTo2kwW</v>
      </c>
      <c r="G2068" s="4" t="str">
        <f>IFERROR(__xludf.DUMMYFUNCTION("GOOGLETRANSLATE(B2068)"),"屠殺")</f>
        <v>屠殺</v>
      </c>
    </row>
    <row r="2069" ht="15.75" customHeight="1">
      <c r="A2069" s="4">
        <v>6967.0</v>
      </c>
      <c r="B2069" s="4" t="s">
        <v>3218</v>
      </c>
      <c r="C2069" s="4" t="s">
        <v>3235</v>
      </c>
      <c r="D2069" s="4" t="s">
        <v>3236</v>
      </c>
      <c r="E2069" s="4">
        <v>1.0</v>
      </c>
      <c r="F2069" s="4" t="str">
        <f>IFERROR(__xludf.DUMMYFUNCTION("GOOGLETRANSLATE(D2069)"),"我看到一場屠殺！！")</f>
        <v>我看到一場屠殺！！</v>
      </c>
      <c r="G2069" s="4" t="str">
        <f>IFERROR(__xludf.DUMMYFUNCTION("GOOGLETRANSLATE(B2069)"),"屠殺")</f>
        <v>屠殺</v>
      </c>
    </row>
    <row r="2070" ht="15.75" customHeight="1">
      <c r="A2070" s="4">
        <v>6970.0</v>
      </c>
      <c r="B2070" s="4" t="s">
        <v>3218</v>
      </c>
      <c r="D2070" s="4" t="s">
        <v>3237</v>
      </c>
      <c r="E2070" s="4">
        <v>1.0</v>
      </c>
      <c r="F2070" s="4" t="str">
        <f>IFERROR(__xludf.DUMMYFUNCTION("GOOGLETRANSLATE(D2070)"),"走向屠殺
屍體每天都到達
你聽到的那些貝殼是什麼
一路上撿骨頭")</f>
        <v>走向屠殺
屍體每天都到達
你聽到的那些貝殼是什麼
一路上撿骨頭</v>
      </c>
      <c r="G2070" s="4" t="str">
        <f>IFERROR(__xludf.DUMMYFUNCTION("GOOGLETRANSLATE(B2070)"),"屠殺")</f>
        <v>屠殺</v>
      </c>
    </row>
    <row r="2071" ht="15.75" customHeight="1">
      <c r="A2071" s="4">
        <v>6972.0</v>
      </c>
      <c r="B2071" s="4" t="s">
        <v>3218</v>
      </c>
      <c r="D2071" s="4" t="s">
        <v>3238</v>
      </c>
      <c r="E2071" s="4">
        <v>1.0</v>
      </c>
      <c r="F2071" s="4" t="str">
        <f>IFERROR(__xludf.DUMMYFUNCTION("GOOGLETRANSLATE(D2071)"),"南京大屠殺假象 - 4 名目擊者（英文）：http://t.co/TiPnDEmPuz #Obama #Clinton #Bush #GOP #ABC #CBS #BBC #CNN #WSJ #WPO")</f>
        <v>南京大屠殺假象 - 4 名目擊者（英文）：http://t.co/TiPnDEmPuz #Obama #Clinton #Bush #GOP #ABC #CBS #BBC #CNN #WSJ #WPO</v>
      </c>
      <c r="G2071" s="4" t="str">
        <f>IFERROR(__xludf.DUMMYFUNCTION("GOOGLETRANSLATE(B2071)"),"屠殺")</f>
        <v>屠殺</v>
      </c>
    </row>
    <row r="2072" ht="15.75" customHeight="1">
      <c r="A2072" s="4">
        <v>6973.0</v>
      </c>
      <c r="B2072" s="4" t="s">
        <v>3218</v>
      </c>
      <c r="C2072" s="4" t="s">
        <v>542</v>
      </c>
      <c r="D2072" s="4" t="s">
        <v>3239</v>
      </c>
      <c r="E2072" s="4">
        <v>1.0</v>
      </c>
      <c r="F2072" s="4" t="str">
        <f>IFERROR(__xludf.DUMMYFUNCTION("GOOGLETRANSLATE(D2072)"),"請記住，這是一場針對平民的屠殺。 #廣島http://t.co/qw8qk165Sb")</f>
        <v>請記住，這是一場針對平民的屠殺。 #廣島http://t.co/qw8qk165Sb</v>
      </c>
      <c r="G2072" s="4" t="str">
        <f>IFERROR(__xludf.DUMMYFUNCTION("GOOGLETRANSLATE(B2072)"),"屠殺")</f>
        <v>屠殺</v>
      </c>
    </row>
    <row r="2073" ht="15.75" customHeight="1">
      <c r="A2073" s="4">
        <v>6975.0</v>
      </c>
      <c r="B2073" s="4" t="s">
        <v>3218</v>
      </c>
      <c r="C2073" s="4" t="s">
        <v>1445</v>
      </c>
      <c r="D2073" s="4" t="s">
        <v>3240</v>
      </c>
      <c r="E2073" s="4">
        <v>1.0</v>
      </c>
      <c r="F2073" s="4" t="str">
        <f>IFERROR(__xludf.DUMMYFUNCTION("GOOGLETRANSLATE(D2073)"),"突尼斯海灘大屠殺與三月博物館恐怖攻擊有關 http://t.co/kuRqLxFiHL")</f>
        <v>突尼斯海灘大屠殺與三月博物館恐怖攻擊有關 http://t.co/kuRqLxFiHL</v>
      </c>
      <c r="G2073" s="4" t="str">
        <f>IFERROR(__xludf.DUMMYFUNCTION("GOOGLETRANSLATE(B2073)"),"屠殺")</f>
        <v>屠殺</v>
      </c>
    </row>
    <row r="2074" ht="15.75" customHeight="1">
      <c r="A2074" s="4">
        <v>6978.0</v>
      </c>
      <c r="B2074" s="4" t="s">
        <v>3218</v>
      </c>
      <c r="C2074" s="4" t="s">
        <v>3241</v>
      </c>
      <c r="D2074" s="4" t="s">
        <v>3242</v>
      </c>
      <c r="E2074" s="4">
        <v>1.0</v>
      </c>
      <c r="F2074" s="4" t="str">
        <f>IFERROR(__xludf.DUMMYFUNCTION("GOOGLETRANSLATE(D2074)"),"@freddiedeboer @Thucydiplease 那麼你會看到科茨查爾斯頓大屠殺沃爾特斯科特和更廣泛的黑人推特的崛起。")</f>
        <v>@freddiedeboer @Thucydiplease 那麼你會看到科茨查爾斯頓大屠殺沃爾特斯科特和更廣泛的黑人推特的崛起。</v>
      </c>
      <c r="G2074" s="4" t="str">
        <f>IFERROR(__xludf.DUMMYFUNCTION("GOOGLETRANSLATE(B2074)"),"屠殺")</f>
        <v>屠殺</v>
      </c>
    </row>
    <row r="2075" ht="15.75" customHeight="1">
      <c r="A2075" s="4">
        <v>6980.0</v>
      </c>
      <c r="B2075" s="4" t="s">
        <v>3218</v>
      </c>
      <c r="D2075" s="4" t="s">
        <v>3243</v>
      </c>
      <c r="E2075" s="4">
        <v>1.0</v>
      </c>
      <c r="F2075" s="4" t="str">
        <f>IFERROR(__xludf.DUMMYFUNCTION("GOOGLETRANSLATE(D2075)"),"@gigagil IOF 在加薩大屠殺期間謀殺了超過 513 名巴勒斯坦兒童（70% 12 歲以下），猶太復國主義道德猶太復國主義是世界邪惡！")</f>
        <v>@gigagil IOF 在加薩大屠殺期間謀殺了超過 513 名巴勒斯坦兒童（70% 12 歲以下），猶太復國主義道德猶太復國主義是世界邪惡！</v>
      </c>
      <c r="G2075" s="4" t="str">
        <f>IFERROR(__xludf.DUMMYFUNCTION("GOOGLETRANSLATE(B2075)"),"屠殺")</f>
        <v>屠殺</v>
      </c>
    </row>
    <row r="2076" ht="15.75" customHeight="1">
      <c r="A2076" s="4">
        <v>6981.0</v>
      </c>
      <c r="B2076" s="4" t="s">
        <v>3218</v>
      </c>
      <c r="D2076" s="4" t="s">
        <v>3244</v>
      </c>
      <c r="E2076" s="4">
        <v>1.0</v>
      </c>
      <c r="F2076" s="4" t="str">
        <f>IFERROR(__xludf.DUMMYFUNCTION("GOOGLETRANSLATE(D2076)"),"蘇塞海灘大屠殺與突尼斯博物館攻擊有關 http://t.co/MyHHTHsLi3")</f>
        <v>蘇塞海灘大屠殺與突尼斯博物館攻擊有關 http://t.co/MyHHTHsLi3</v>
      </c>
      <c r="G2076" s="4" t="str">
        <f>IFERROR(__xludf.DUMMYFUNCTION("GOOGLETRANSLATE(B2076)"),"屠殺")</f>
        <v>屠殺</v>
      </c>
    </row>
    <row r="2077" ht="15.75" customHeight="1">
      <c r="A2077" s="4">
        <v>6984.0</v>
      </c>
      <c r="B2077" s="4" t="s">
        <v>3218</v>
      </c>
      <c r="C2077" s="4" t="s">
        <v>3245</v>
      </c>
      <c r="D2077" s="4" t="s">
        <v>3246</v>
      </c>
      <c r="E2077" s="4">
        <v>1.0</v>
      </c>
      <c r="F2077" s="4" t="str">
        <f>IFERROR(__xludf.DUMMYFUNCTION("GOOGLETRANSLATE(D2077)"),"告訴@BarackObama 撤銷在傷膝大屠殺中授予美國士兵的“榮譽”獎章。立即簽署並轉發！ https://t.co/u4r8dRiuAc")</f>
        <v>告訴@BarackObama 撤銷在傷膝大屠殺中授予美國士兵的“榮譽”獎章。立即簽署並轉發！ https://t.co/u4r8dRiuAc</v>
      </c>
      <c r="G2077" s="4" t="str">
        <f>IFERROR(__xludf.DUMMYFUNCTION("GOOGLETRANSLATE(B2077)"),"屠殺")</f>
        <v>屠殺</v>
      </c>
    </row>
    <row r="2078" ht="15.75" customHeight="1">
      <c r="A2078" s="4">
        <v>6985.0</v>
      </c>
      <c r="B2078" s="4" t="s">
        <v>3218</v>
      </c>
      <c r="D2078" s="4" t="s">
        <v>3247</v>
      </c>
      <c r="E2078" s="4">
        <v>1.0</v>
      </c>
      <c r="F2078" s="4" t="str">
        <f>IFERROR(__xludf.DUMMYFUNCTION("GOOGLETRANSLATE(D2078)"),"@nataliealund
科羅拉多劇院槍擊受害者的父母擔心模仿大屠殺
http://t.co/LvlH3W3aWO
#安提阿
http://t.co/vIwXY1XDYK")</f>
        <v>@nataliealund
科羅拉多劇院槍擊受害者的父母擔心模仿大屠殺
http://t.co/LvlH3W3aWO
#安提阿
http://t.co/vIwXY1XDYK</v>
      </c>
      <c r="G2078" s="4" t="str">
        <f>IFERROR(__xludf.DUMMYFUNCTION("GOOGLETRANSLATE(B2078)"),"屠殺")</f>
        <v>屠殺</v>
      </c>
    </row>
    <row r="2079" ht="15.75" customHeight="1">
      <c r="A2079" s="4">
        <v>6988.0</v>
      </c>
      <c r="B2079" s="4" t="s">
        <v>3218</v>
      </c>
      <c r="D2079" s="4" t="s">
        <v>3248</v>
      </c>
      <c r="E2079" s="4">
        <v>1.0</v>
      </c>
      <c r="F2079" s="4" t="str">
        <f>IFERROR(__xludf.DUMMYFUNCTION("GOOGLETRANSLATE(D2079)"),"@WKRN
科羅拉多劇院槍擊受害者的父母擔心模仿大屠殺
http://t.co/LvlH3W3aWO
#安提阿
http://t.co/vIwXY1XDYK")</f>
        <v>@WKRN
科羅拉多劇院槍擊受害者的父母擔心模仿大屠殺
http://t.co/LvlH3W3aWO
#安提阿
http://t.co/vIwXY1XDYK</v>
      </c>
      <c r="G2079" s="4" t="str">
        <f>IFERROR(__xludf.DUMMYFUNCTION("GOOGLETRANSLATE(B2079)"),"屠殺")</f>
        <v>屠殺</v>
      </c>
    </row>
    <row r="2080" ht="15.75" customHeight="1">
      <c r="A2080" s="4">
        <v>6990.0</v>
      </c>
      <c r="B2080" s="4" t="s">
        <v>3218</v>
      </c>
      <c r="C2080" s="4" t="s">
        <v>183</v>
      </c>
      <c r="D2080" s="4" t="s">
        <v>3249</v>
      </c>
      <c r="E2080" s="4">
        <v>1.0</v>
      </c>
      <c r="F2080" s="4" t="str">
        <f>IFERROR(__xludf.DUMMYFUNCTION("GOOGLETRANSLATE(D2080)"),"@MartynWaites 眾所周知的事實是，如果湯姆·威茨（Tom Waits）有一些“奧姆帕期”，就可以避免情人節大屠殺。")</f>
        <v>@MartynWaites 眾所周知的事實是，如果湯姆·威茨（Tom Waits）有一些“奧姆帕期”，就可以避免情人節大屠殺。</v>
      </c>
      <c r="G2080" s="4" t="str">
        <f>IFERROR(__xludf.DUMMYFUNCTION("GOOGLETRANSLATE(B2080)"),"屠殺")</f>
        <v>屠殺</v>
      </c>
    </row>
    <row r="2081" ht="15.75" customHeight="1">
      <c r="A2081" s="4">
        <v>6992.0</v>
      </c>
      <c r="B2081" s="4" t="s">
        <v>3218</v>
      </c>
      <c r="C2081" s="4" t="s">
        <v>34</v>
      </c>
      <c r="D2081" s="4" t="s">
        <v>3250</v>
      </c>
      <c r="E2081" s="4">
        <v>1.0</v>
      </c>
      <c r="F2081" s="4" t="str">
        <f>IFERROR(__xludf.DUMMYFUNCTION("GOOGLETRANSLATE(D2081)"),"將烏德漢普爾恐怖分子拒之門外的烈士避免了一場大屠殺：這是兩個年輕人Û_ http://t.co/nux5XfPV2d SPSåœ")</f>
        <v>將烏德漢普爾恐怖分子拒之門外的烈士避免了一場大屠殺：這是兩個年輕人Û_ http://t.co/nux5XfPV2d SPSåœ</v>
      </c>
      <c r="G2081" s="4" t="str">
        <f>IFERROR(__xludf.DUMMYFUNCTION("GOOGLETRANSLATE(B2081)"),"屠殺")</f>
        <v>屠殺</v>
      </c>
    </row>
    <row r="2082" ht="15.75" customHeight="1">
      <c r="A2082" s="4">
        <v>7002.0</v>
      </c>
      <c r="B2082" s="4" t="s">
        <v>3251</v>
      </c>
      <c r="C2082" s="4" t="s">
        <v>3252</v>
      </c>
      <c r="D2082" s="4" t="s">
        <v>3253</v>
      </c>
      <c r="E2082" s="4">
        <v>1.0</v>
      </c>
      <c r="F2082" s="4" t="str">
        <f>IFERROR(__xludf.DUMMYFUNCTION("GOOGLETRANSLATE(D2082)"),"我喜歡 @itsjustinstuart 的 @YouTube 影片 http://t.co/oDV3RqS8JU 槍場混亂！")</f>
        <v>我喜歡 @itsjustinstuart 的 @YouTube 影片 http://t.co/oDV3RqS8JU 槍場混亂！</v>
      </c>
      <c r="G2082" s="4" t="str">
        <f>IFERROR(__xludf.DUMMYFUNCTION("GOOGLETRANSLATE(B2082)"),"混亂")</f>
        <v>混亂</v>
      </c>
    </row>
    <row r="2083" ht="15.75" customHeight="1">
      <c r="A2083" s="4">
        <v>7029.0</v>
      </c>
      <c r="B2083" s="4" t="s">
        <v>3251</v>
      </c>
      <c r="D2083" s="4" t="s">
        <v>3254</v>
      </c>
      <c r="E2083" s="4">
        <v>1.0</v>
      </c>
      <c r="F2083" s="4" t="str">
        <f>IFERROR(__xludf.DUMMYFUNCTION("GOOGLETRANSLATE(D2083)"),"阿斯伯里帕克槍擊事件報導 http://t.co/dADZ5ZFO1g 來自 @AsburyParkPress")</f>
        <v>阿斯伯里帕克槍擊事件報導 http://t.co/dADZ5ZFO1g 來自 @AsburyParkPress</v>
      </c>
      <c r="G2083" s="4" t="str">
        <f>IFERROR(__xludf.DUMMYFUNCTION("GOOGLETRANSLATE(B2083)"),"混亂")</f>
        <v>混亂</v>
      </c>
    </row>
    <row r="2084" ht="15.75" customHeight="1">
      <c r="A2084" s="4">
        <v>7039.0</v>
      </c>
      <c r="B2084" s="4" t="s">
        <v>3251</v>
      </c>
      <c r="C2084" s="4" t="s">
        <v>3255</v>
      </c>
      <c r="D2084" s="4" t="s">
        <v>3256</v>
      </c>
      <c r="E2084" s="4">
        <v>1.0</v>
      </c>
      <c r="F2084" s="4" t="str">
        <f>IFERROR(__xludf.DUMMYFUNCTION("GOOGLETRANSLATE(D2084)"),"突發新聞：當局回應海洋火災 http://t.co/h31Knuwzz5")</f>
        <v>突發新聞：當局回應海洋火災 http://t.co/h31Knuwzz5</v>
      </c>
      <c r="G2084" s="4" t="str">
        <f>IFERROR(__xludf.DUMMYFUNCTION("GOOGLETRANSLATE(B2084)"),"混亂")</f>
        <v>混亂</v>
      </c>
    </row>
    <row r="2085" ht="15.75" customHeight="1">
      <c r="A2085" s="4">
        <v>7050.0</v>
      </c>
      <c r="B2085" s="4" t="s">
        <v>3257</v>
      </c>
      <c r="C2085" s="4" t="s">
        <v>2952</v>
      </c>
      <c r="D2085" s="4" t="s">
        <v>3258</v>
      </c>
      <c r="E2085" s="4">
        <v>1.0</v>
      </c>
      <c r="F2085" s="4" t="str">
        <f>IFERROR(__xludf.DUMMYFUNCTION("GOOGLETRANSLATE(D2085)"),"大都會的崩潰勝利。")</f>
        <v>大都會的崩潰勝利。</v>
      </c>
      <c r="G2085" s="4" t="str">
        <f>IFERROR(__xludf.DUMMYFUNCTION("GOOGLETRANSLATE(B2085)"),"崩潰")</f>
        <v>崩潰</v>
      </c>
    </row>
    <row r="2086" ht="15.75" customHeight="1">
      <c r="A2086" s="4">
        <v>7052.0</v>
      </c>
      <c r="B2086" s="4" t="s">
        <v>3257</v>
      </c>
      <c r="C2086" s="4" t="s">
        <v>3259</v>
      </c>
      <c r="D2086" s="4" t="s">
        <v>3260</v>
      </c>
      <c r="E2086" s="4">
        <v>1.0</v>
      </c>
      <c r="F2086" s="4" t="str">
        <f>IFERROR(__xludf.DUMMYFUNCTION("GOOGLETRANSLATE(D2086)"),"@tinybaby @adultblackmale @mattytalks 崩潰 mwednesday")</f>
        <v>@tinybaby @adultblackmale @mattytalks 崩潰 mwednesday</v>
      </c>
      <c r="G2086" s="4" t="str">
        <f>IFERROR(__xludf.DUMMYFUNCTION("GOOGLETRANSLATE(B2086)"),"崩潰")</f>
        <v>崩潰</v>
      </c>
    </row>
    <row r="2087" ht="15.75" customHeight="1">
      <c r="A2087" s="4">
        <v>7063.0</v>
      </c>
      <c r="B2087" s="4" t="s">
        <v>3257</v>
      </c>
      <c r="C2087" s="4" t="s">
        <v>3261</v>
      </c>
      <c r="D2087" s="4" t="s">
        <v>3262</v>
      </c>
      <c r="E2087" s="4">
        <v>1.0</v>
      </c>
      <c r="F2087" s="4" t="str">
        <f>IFERROR(__xludf.DUMMYFUNCTION("GOOGLETRANSLATE(D2087)"),"全球經濟崩潰已經結束！ http://t.co/DGATKRdyNy 故事來自 @seagull07 @AleisStokes @intelligencebar")</f>
        <v>全球經濟崩潰已經結束！ http://t.co/DGATKRdyNy 故事來自 @seagull07 @AleisStokes @intelligencebar</v>
      </c>
      <c r="G2087" s="4" t="str">
        <f>IFERROR(__xludf.DUMMYFUNCTION("GOOGLETRANSLATE(B2087)"),"崩潰")</f>
        <v>崩潰</v>
      </c>
    </row>
    <row r="2088" ht="15.75" customHeight="1">
      <c r="A2088" s="4">
        <v>7091.0</v>
      </c>
      <c r="B2088" s="4" t="s">
        <v>3257</v>
      </c>
      <c r="C2088" s="4" t="s">
        <v>3263</v>
      </c>
      <c r="D2088" s="4" t="s">
        <v>3264</v>
      </c>
      <c r="E2088" s="4">
        <v>1.0</v>
      </c>
      <c r="F2088" s="4" t="str">
        <f>IFERROR(__xludf.DUMMYFUNCTION("GOOGLETRANSLATE(D2088)"),"金屬價格崩盤的副產品是白銀價格上漲 http://t.co/cZWjw4UV7i")</f>
        <v>金屬價格崩盤的副產品是白銀價格上漲 http://t.co/cZWjw4UV7i</v>
      </c>
      <c r="G2088" s="4" t="str">
        <f>IFERROR(__xludf.DUMMYFUNCTION("GOOGLETRANSLATE(B2088)"),"崩潰")</f>
        <v>崩潰</v>
      </c>
    </row>
    <row r="2089" ht="15.75" customHeight="1">
      <c r="A2089" s="4">
        <v>7092.0</v>
      </c>
      <c r="B2089" s="4" t="s">
        <v>3257</v>
      </c>
      <c r="C2089" s="4" t="s">
        <v>620</v>
      </c>
      <c r="D2089" s="4" t="s">
        <v>3265</v>
      </c>
      <c r="E2089" s="4">
        <v>1.0</v>
      </c>
      <c r="F2089" s="4" t="str">
        <f>IFERROR(__xludf.DUMMYFUNCTION("GOOGLETRANSLATE(D2089)"),"巴拉克·歐巴馬總統因反對伊朗核協議而在廣播中崩潰 http://t.co/c0t7RvoTKj via @examinercom")</f>
        <v>巴拉克·歐巴馬總統因反對伊朗核協議而在廣播中崩潰 http://t.co/c0t7RvoTKj via @examinercom</v>
      </c>
      <c r="G2089" s="4" t="str">
        <f>IFERROR(__xludf.DUMMYFUNCTION("GOOGLETRANSLATE(B2089)"),"崩潰")</f>
        <v>崩潰</v>
      </c>
    </row>
    <row r="2090" ht="15.75" customHeight="1">
      <c r="A2090" s="4">
        <v>7104.0</v>
      </c>
      <c r="B2090" s="4" t="s">
        <v>3266</v>
      </c>
      <c r="C2090" s="4" t="s">
        <v>2276</v>
      </c>
      <c r="D2090" s="4" t="s">
        <v>3267</v>
      </c>
      <c r="E2090" s="4">
        <v>1.0</v>
      </c>
      <c r="F2090" s="4" t="str">
        <f>IFERROR(__xludf.DUMMYFUNCTION("GOOGLETRANSLATE(D2090)"),"參議員對美國軍人家屬受到騷擾的報道感到「震驚」：一位美國參議員週三表示，他對 Û_ http://t.co/sbILA2Yqjq 感到震驚")</f>
        <v>參議員對美國軍人家屬受到騷擾的報道感到「震驚」：一位美國參議員週三表示，他對 Û_ http://t.co/sbILA2Yqjq 感到震驚</v>
      </c>
      <c r="G2090" s="4" t="str">
        <f>IFERROR(__xludf.DUMMYFUNCTION("GOOGLETRANSLATE(B2090)"),"軍隊")</f>
        <v>軍隊</v>
      </c>
    </row>
    <row r="2091" ht="15.75" customHeight="1">
      <c r="A2091" s="4">
        <v>7106.0</v>
      </c>
      <c r="B2091" s="4" t="s">
        <v>3266</v>
      </c>
      <c r="D2091" s="4" t="s">
        <v>3268</v>
      </c>
      <c r="E2091" s="4">
        <v>1.0</v>
      </c>
      <c r="F2091" s="4" t="str">
        <f>IFERROR(__xludf.DUMMYFUNCTION("GOOGLETRANSLATE(D2091)"),"@UnivSFoundation 獻給在日本軍隊731部隊人體實驗中死去的人們 http://t.co/vVPLFQv58P http://t.co/Rwaph6dAUv")</f>
        <v>@UnivSFoundation 獻給在日本軍隊731部隊人體實驗中死去的人們 http://t.co/vVPLFQv58P http://t.co/Rwaph6dAUv</v>
      </c>
      <c r="G2091" s="4" t="str">
        <f>IFERROR(__xludf.DUMMYFUNCTION("GOOGLETRANSLATE(B2091)"),"軍隊")</f>
        <v>軍隊</v>
      </c>
    </row>
    <row r="2092" ht="15.75" customHeight="1">
      <c r="A2092" s="4">
        <v>7111.0</v>
      </c>
      <c r="B2092" s="4" t="s">
        <v>3266</v>
      </c>
      <c r="D2092" s="4" t="s">
        <v>3269</v>
      </c>
      <c r="E2092" s="4">
        <v>1.0</v>
      </c>
      <c r="F2092" s="4" t="str">
        <f>IFERROR(__xludf.DUMMYFUNCTION("GOOGLETRANSLATE(D2092)"),"@kiranahmedd 美軍和北約也在與塔利班作戰")</f>
        <v>@kiranahmedd 美軍和北約也在與塔利班作戰</v>
      </c>
      <c r="G2092" s="4" t="str">
        <f>IFERROR(__xludf.DUMMYFUNCTION("GOOGLETRANSLATE(B2092)"),"軍隊")</f>
        <v>軍隊</v>
      </c>
    </row>
    <row r="2093" ht="15.75" customHeight="1">
      <c r="A2093" s="4">
        <v>7120.0</v>
      </c>
      <c r="B2093" s="4" t="s">
        <v>3266</v>
      </c>
      <c r="D2093" s="4" t="s">
        <v>3270</v>
      </c>
      <c r="E2093" s="4">
        <v>1.0</v>
      </c>
      <c r="F2093" s="4" t="str">
        <f>IFERROR(__xludf.DUMMYFUNCTION("GOOGLETRANSLATE(D2093)"),"@stfxuniversity 獻給在日本軍隊731部隊人體實驗中死去的人們 http://t.co/vVPLFQv58P http://t.co/l5AWTUndhm")</f>
        <v>@stfxuniversity 獻給在日本軍隊731部隊人體實驗中死去的人們 http://t.co/vVPLFQv58P http://t.co/l5AWTUndhm</v>
      </c>
      <c r="G2093" s="4" t="str">
        <f>IFERROR(__xludf.DUMMYFUNCTION("GOOGLETRANSLATE(B2093)"),"軍隊")</f>
        <v>軍隊</v>
      </c>
    </row>
    <row r="2094" ht="15.75" customHeight="1">
      <c r="A2094" s="4">
        <v>7124.0</v>
      </c>
      <c r="B2094" s="4" t="s">
        <v>3266</v>
      </c>
      <c r="D2094" s="4" t="s">
        <v>3271</v>
      </c>
      <c r="E2094" s="4">
        <v>1.0</v>
      </c>
      <c r="F2094" s="4" t="str">
        <f>IFERROR(__xludf.DUMMYFUNCTION("GOOGLETRANSLATE(D2094)"),"@2for1Lapdances 獻給在日軍731部隊人體實驗中死去的人們 http://t.co/vVPLFQv58P http://t.co/yOMPxJpPTV")</f>
        <v>@2for1Lapdances 獻給在日軍731部隊人體實驗中死去的人們 http://t.co/vVPLFQv58P http://t.co/yOMPxJpPTV</v>
      </c>
      <c r="G2094" s="4" t="str">
        <f>IFERROR(__xludf.DUMMYFUNCTION("GOOGLETRANSLATE(B2094)"),"軍隊")</f>
        <v>軍隊</v>
      </c>
    </row>
    <row r="2095" ht="15.75" customHeight="1">
      <c r="A2095" s="4">
        <v>7128.0</v>
      </c>
      <c r="B2095" s="4" t="s">
        <v>3266</v>
      </c>
      <c r="C2095" s="4" t="s">
        <v>1248</v>
      </c>
      <c r="D2095" s="4" t="s">
        <v>3272</v>
      </c>
      <c r="E2095" s="4">
        <v>1.0</v>
      </c>
      <c r="F2095" s="4" t="str">
        <f>IFERROR(__xludf.DUMMYFUNCTION("GOOGLETRANSLATE(D2095)"),"勇敢而誠實地分析了 1945 年使用原子彈的必要性。#Hiroshima70 日本軍隊拒絕投降。 https://t.co/VhmtyTptGR")</f>
        <v>勇敢而誠實地分析了 1945 年使用原子彈的必要性。#Hiroshima70 日本軍隊拒絕投降。 https://t.co/VhmtyTptGR</v>
      </c>
      <c r="G2095" s="4" t="str">
        <f>IFERROR(__xludf.DUMMYFUNCTION("GOOGLETRANSLATE(B2095)"),"軍隊")</f>
        <v>軍隊</v>
      </c>
    </row>
    <row r="2096" ht="15.75" customHeight="1">
      <c r="A2096" s="4">
        <v>7135.0</v>
      </c>
      <c r="B2096" s="4" t="s">
        <v>3266</v>
      </c>
      <c r="D2096" s="4" t="s">
        <v>3273</v>
      </c>
      <c r="E2096" s="4">
        <v>1.0</v>
      </c>
      <c r="F2096" s="4" t="str">
        <f>IFERROR(__xludf.DUMMYFUNCTION("GOOGLETRANSLATE(D2096)"),"@UniversityofLaw 獻給在日本軍隊731部隊人體實驗中死去的人們 http://t.co/vVPLFQv58P http://t.co/eG1fsKqBv6")</f>
        <v>@UniversityofLaw 獻給在日本軍隊731部隊人體實驗中死去的人們 http://t.co/vVPLFQv58P http://t.co/eG1fsKqBv6</v>
      </c>
      <c r="G2096" s="4" t="str">
        <f>IFERROR(__xludf.DUMMYFUNCTION("GOOGLETRANSLATE(B2096)"),"軍隊")</f>
        <v>軍隊</v>
      </c>
    </row>
    <row r="2097" ht="15.75" customHeight="1">
      <c r="A2097" s="4">
        <v>7137.0</v>
      </c>
      <c r="B2097" s="4" t="s">
        <v>3266</v>
      </c>
      <c r="D2097" s="4" t="s">
        <v>3274</v>
      </c>
      <c r="E2097" s="4">
        <v>1.0</v>
      </c>
      <c r="F2097" s="4" t="str">
        <f>IFERROR(__xludf.DUMMYFUNCTION("GOOGLETRANSLATE(D2097)"),"@CochiseCollege 獻給在日本軍隊 731 部隊人體實驗中死去的人們 http://t.co/vVPLFQv58P http://t.co/ldx9uKNGsk")</f>
        <v>@CochiseCollege 獻給在日本軍隊 731 部隊人體實驗中死去的人們 http://t.co/vVPLFQv58P http://t.co/ldx9uKNGsk</v>
      </c>
      <c r="G2097" s="4" t="str">
        <f>IFERROR(__xludf.DUMMYFUNCTION("GOOGLETRANSLATE(B2097)"),"軍隊")</f>
        <v>軍隊</v>
      </c>
    </row>
    <row r="2098" ht="15.75" customHeight="1">
      <c r="A2098" s="4">
        <v>7147.0</v>
      </c>
      <c r="B2098" s="4" t="s">
        <v>3275</v>
      </c>
      <c r="C2098" s="4" t="s">
        <v>3276</v>
      </c>
      <c r="D2098" s="4" t="s">
        <v>3277</v>
      </c>
      <c r="E2098" s="4">
        <v>1.0</v>
      </c>
      <c r="F2098" s="4" t="str">
        <f>IFERROR(__xludf.DUMMYFUNCTION("GOOGLETRANSLATE(D2098)"),"“看起來像泥石流！” #GBBO 帶著腰帶回來了！")</f>
        <v>“看起來像泥石流！” #GBBO 帶著腰帶回來了！</v>
      </c>
      <c r="G2098" s="4" t="str">
        <f>IFERROR(__xludf.DUMMYFUNCTION("GOOGLETRANSLATE(B2098)"),"土石流")</f>
        <v>土石流</v>
      </c>
    </row>
    <row r="2099" ht="15.75" customHeight="1">
      <c r="A2099" s="4">
        <v>7148.0</v>
      </c>
      <c r="B2099" s="4" t="s">
        <v>3275</v>
      </c>
      <c r="C2099" s="4" t="s">
        <v>3278</v>
      </c>
      <c r="D2099" s="4" t="s">
        <v>3279</v>
      </c>
      <c r="E2099" s="4">
        <v>1.0</v>
      </c>
      <c r="F2099" s="4" t="str">
        <f>IFERROR(__xludf.DUMMYFUNCTION("GOOGLETRANSLATE(D2099)"),"斯特林-斯科特在“OSO Mudslide”籌款活動的紅地毯上 https://t.co/mA4ra7AtqL http://t.co/cg579wlDnE")</f>
        <v>斯特林-斯科特在“OSO Mudslide”籌款活動的紅地毯上 https://t.co/mA4ra7AtqL http://t.co/cg579wlDnE</v>
      </c>
      <c r="G2099" s="4" t="str">
        <f>IFERROR(__xludf.DUMMYFUNCTION("GOOGLETRANSLATE(B2099)"),"土石流")</f>
        <v>土石流</v>
      </c>
    </row>
    <row r="2100" ht="15.75" customHeight="1">
      <c r="A2100" s="4">
        <v>7158.0</v>
      </c>
      <c r="B2100" s="4" t="s">
        <v>3275</v>
      </c>
      <c r="C2100" s="4" t="s">
        <v>3280</v>
      </c>
      <c r="D2100" s="4" t="s">
        <v>3281</v>
      </c>
      <c r="E2100" s="4">
        <v>1.0</v>
      </c>
      <c r="F2100" s="4" t="str">
        <f>IFERROR(__xludf.DUMMYFUNCTION("GOOGLETRANSLATE(D2100)"),"@marc_holl @NenniCook @AitchKayCee @vixstuart @benjbeckwith 這不漂亮？#disaster #GBBO #mudslide")</f>
        <v>@marc_holl @NenniCook @AitchKayCee @vixstuart @benjbeckwith 這不漂亮？#disaster #GBBO #mudslide</v>
      </c>
      <c r="G2100" s="4" t="str">
        <f>IFERROR(__xludf.DUMMYFUNCTION("GOOGLETRANSLATE(B2100)"),"土石流")</f>
        <v>土石流</v>
      </c>
    </row>
    <row r="2101" ht="15.75" customHeight="1">
      <c r="A2101" s="4">
        <v>7160.0</v>
      </c>
      <c r="B2101" s="4" t="s">
        <v>3275</v>
      </c>
      <c r="C2101" s="4" t="s">
        <v>3282</v>
      </c>
      <c r="D2101" s="4" t="s">
        <v>3283</v>
      </c>
      <c r="E2101" s="4">
        <v>1.0</v>
      </c>
      <c r="F2101" s="4" t="str">
        <f>IFERROR(__xludf.DUMMYFUNCTION("GOOGLETRANSLATE(D2101)"),"「看起來像泥石流」可憐的東西！ ?? #greatbritishbakeoff")</f>
        <v>「看起來像泥石流」可憐的東西！ ?? #greatbritishbakeoff</v>
      </c>
      <c r="G2101" s="4" t="str">
        <f>IFERROR(__xludf.DUMMYFUNCTION("GOOGLETRANSLATE(B2101)"),"土石流")</f>
        <v>土石流</v>
      </c>
    </row>
    <row r="2102" ht="15.75" customHeight="1">
      <c r="A2102" s="4">
        <v>7163.0</v>
      </c>
      <c r="B2102" s="4" t="s">
        <v>3275</v>
      </c>
      <c r="D2102" s="4" t="s">
        <v>3284</v>
      </c>
      <c r="E2102" s="4">
        <v>1.0</v>
      </c>
      <c r="F2102" s="4" t="str">
        <f>IFERROR(__xludf.DUMMYFUNCTION("GOOGLETRANSLATE(D2102)"),"東部峽灣洪水和泥石流警報|冰島評論 http://t.co/534q3Jg2OV #icelandreview 來自@iceland_review")</f>
        <v>東部峽灣洪水和泥石流警報|冰島評論 http://t.co/534q3Jg2OV #icelandreview 來自@iceland_review</v>
      </c>
      <c r="G2102" s="4" t="str">
        <f>IFERROR(__xludf.DUMMYFUNCTION("GOOGLETRANSLATE(B2102)"),"土石流")</f>
        <v>土石流</v>
      </c>
    </row>
    <row r="2103" ht="15.75" customHeight="1">
      <c r="A2103" s="4">
        <v>7167.0</v>
      </c>
      <c r="B2103" s="4" t="s">
        <v>3275</v>
      </c>
      <c r="C2103" s="4" t="s">
        <v>183</v>
      </c>
      <c r="D2103" s="4" t="s">
        <v>3285</v>
      </c>
      <c r="E2103" s="4">
        <v>1.0</v>
      </c>
      <c r="F2103" s="4" t="str">
        <f>IFERROR(__xludf.DUMMYFUNCTION("GOOGLETRANSLATE(D2103)"),"@SophieWisey 我不能。 #土石流")</f>
        <v>@SophieWisey 我不能。 #土石流</v>
      </c>
      <c r="G2103" s="4" t="str">
        <f>IFERROR(__xludf.DUMMYFUNCTION("GOOGLETRANSLATE(B2103)"),"土石流")</f>
        <v>土石流</v>
      </c>
    </row>
    <row r="2104" ht="15.75" customHeight="1">
      <c r="A2104" s="4">
        <v>7173.0</v>
      </c>
      <c r="B2104" s="4" t="s">
        <v>3275</v>
      </c>
      <c r="C2104" s="4" t="s">
        <v>3286</v>
      </c>
      <c r="D2104" s="4" t="s">
        <v>3287</v>
      </c>
      <c r="E2104" s="4">
        <v>1.0</v>
      </c>
      <c r="F2104" s="4" t="str">
        <f>IFERROR(__xludf.DUMMYFUNCTION("GOOGLETRANSLATE(D2104)"),"@brobread看起來像泥石流？？？")</f>
        <v>@brobread看起來像泥石流？？？</v>
      </c>
      <c r="G2104" s="4" t="str">
        <f>IFERROR(__xludf.DUMMYFUNCTION("GOOGLETRANSLATE(B2104)"),"土石流")</f>
        <v>土石流</v>
      </c>
    </row>
    <row r="2105" ht="15.75" customHeight="1">
      <c r="A2105" s="4">
        <v>7174.0</v>
      </c>
      <c r="B2105" s="4" t="s">
        <v>3275</v>
      </c>
      <c r="C2105" s="4" t="s">
        <v>3288</v>
      </c>
      <c r="D2105" s="4" t="s">
        <v>3289</v>
      </c>
      <c r="E2105" s="4">
        <v>1.0</v>
      </c>
      <c r="F2105" s="4" t="str">
        <f>IFERROR(__xludf.DUMMYFUNCTION("GOOGLETRANSLATE(D2105)"),"@Lolly_Knickers 這是一場泥石流。
就像咀嚼橡膠輪胎一樣。
有了這些我就完成了。
#陰道或蛋糕#GBBO")</f>
        <v>@Lolly_Knickers 這是一場泥石流。
就像咀嚼橡膠輪胎一樣。
有了這些我就完成了。
#陰道或蛋糕#GBBO</v>
      </c>
      <c r="G2105" s="4" t="str">
        <f>IFERROR(__xludf.DUMMYFUNCTION("GOOGLETRANSLATE(B2105)"),"土石流")</f>
        <v>土石流</v>
      </c>
    </row>
    <row r="2106" ht="15.75" customHeight="1">
      <c r="A2106" s="4">
        <v>7179.0</v>
      </c>
      <c r="B2106" s="4" t="s">
        <v>3275</v>
      </c>
      <c r="C2106" s="4" t="s">
        <v>3290</v>
      </c>
      <c r="D2106" s="4" t="s">
        <v>3291</v>
      </c>
      <c r="E2106" s="4">
        <v>1.0</v>
      </c>
      <c r="F2106" s="4" t="str">
        <f>IFERROR(__xludf.DUMMYFUNCTION("GOOGLETRANSLATE(D2106)"),"@UrufuSanRagu 泥石流？")</f>
        <v>@UrufuSanRagu 泥石流？</v>
      </c>
      <c r="G2106" s="4" t="str">
        <f>IFERROR(__xludf.DUMMYFUNCTION("GOOGLETRANSLATE(B2106)"),"土石流")</f>
        <v>土石流</v>
      </c>
    </row>
    <row r="2107" ht="15.75" customHeight="1">
      <c r="A2107" s="4">
        <v>7183.0</v>
      </c>
      <c r="B2107" s="4" t="s">
        <v>3275</v>
      </c>
      <c r="C2107" s="4" t="s">
        <v>3292</v>
      </c>
      <c r="D2107" s="4" t="s">
        <v>3293</v>
      </c>
      <c r="E2107" s="4">
        <v>1.0</v>
      </c>
      <c r="F2107" s="4" t="str">
        <f>IFERROR(__xludf.DUMMYFUNCTION("GOOGLETRANSLATE(D2107)"),"@new_hart2010 #mudslide...無所謂#GBBO")</f>
        <v>@new_hart2010 #mudslide...無所謂#GBBO</v>
      </c>
      <c r="G2107" s="4" t="str">
        <f>IFERROR(__xludf.DUMMYFUNCTION("GOOGLETRANSLATE(B2107)"),"土石流")</f>
        <v>土石流</v>
      </c>
    </row>
    <row r="2108" ht="15.75" customHeight="1">
      <c r="A2108" s="4">
        <v>7184.0</v>
      </c>
      <c r="B2108" s="4" t="s">
        <v>3275</v>
      </c>
      <c r="C2108" s="4" t="s">
        <v>237</v>
      </c>
      <c r="D2108" s="4" t="s">
        <v>3294</v>
      </c>
      <c r="E2108" s="4">
        <v>1.0</v>
      </c>
      <c r="F2108" s="4" t="str">
        <f>IFERROR(__xludf.DUMMYFUNCTION("GOOGLETRANSLATE(D2108)"),"奧索華盛頓泥石流回應訪談 ÛÒ 第 1 部 http://t.co/sbfGLQjZfs")</f>
        <v>奧索華盛頓泥石流回應訪談 ÛÒ 第 1 部 http://t.co/sbfGLQjZfs</v>
      </c>
      <c r="G2108" s="4" t="str">
        <f>IFERROR(__xludf.DUMMYFUNCTION("GOOGLETRANSLATE(B2108)"),"土石流")</f>
        <v>土石流</v>
      </c>
    </row>
    <row r="2109" ht="15.75" customHeight="1">
      <c r="A2109" s="4">
        <v>7193.0</v>
      </c>
      <c r="B2109" s="4" t="s">
        <v>3275</v>
      </c>
      <c r="C2109" s="4" t="s">
        <v>3295</v>
      </c>
      <c r="D2109" s="4" t="s">
        <v>3296</v>
      </c>
      <c r="E2109" s="4">
        <v>1.0</v>
      </c>
      <c r="F2109" s="4" t="str">
        <f>IFERROR(__xludf.DUMMYFUNCTION("GOOGLETRANSLATE(D2109)"),"第一次進入#gbbo2015，對蛋糕「泥石流」事件感到喘不過氣來，已經投入太多感情了…")</f>
        <v>第一次進入#gbbo2015，對蛋糕「泥石流」事件感到喘不過氣來，已經投入太多感情了…</v>
      </c>
      <c r="G2109" s="4" t="str">
        <f>IFERROR(__xludf.DUMMYFUNCTION("GOOGLETRANSLATE(B2109)"),"土石流")</f>
        <v>土石流</v>
      </c>
    </row>
    <row r="2110" ht="15.75" customHeight="1">
      <c r="A2110" s="4">
        <v>7197.0</v>
      </c>
      <c r="B2110" s="4" t="s">
        <v>3297</v>
      </c>
      <c r="C2110" s="4" t="s">
        <v>3298</v>
      </c>
      <c r="D2110" s="4" t="s">
        <v>3299</v>
      </c>
      <c r="E2110" s="4">
        <v>1.0</v>
      </c>
      <c r="F2110" s="4" t="str">
        <f>IFERROR(__xludf.DUMMYFUNCTION("GOOGLETRANSLATE(D2110)"),"@Doylech 他們是難民：“為了逃避戰爭迫害或自然災害而被迫離開自己國家的人”")</f>
        <v>@Doylech 他們是難民：“為了逃避戰爭迫害或自然災害而被迫離開自己國家的人”</v>
      </c>
      <c r="G2110" s="4" t="str">
        <f>IFERROR(__xludf.DUMMYFUNCTION("GOOGLETRANSLATE(B2110)"),"自然%20災害")</f>
        <v>自然%20災害</v>
      </c>
    </row>
    <row r="2111" ht="15.75" customHeight="1">
      <c r="A2111" s="4">
        <v>7198.0</v>
      </c>
      <c r="B2111" s="4" t="s">
        <v>3297</v>
      </c>
      <c r="C2111" s="4" t="s">
        <v>512</v>
      </c>
      <c r="D2111" s="4" t="s">
        <v>3300</v>
      </c>
      <c r="E2111" s="4">
        <v>1.0</v>
      </c>
      <c r="F2111" s="4" t="str">
        <f>IFERROR(__xludf.DUMMYFUNCTION("GOOGLETRANSLATE(D2111)"),"美國偷偷地把我們寵壞了。天災會讓黑鬼們變得卑微。")</f>
        <v>美國偷偷地把我們寵壞了。天災會讓黑鬼們變得卑微。</v>
      </c>
      <c r="G2111" s="4" t="str">
        <f>IFERROR(__xludf.DUMMYFUNCTION("GOOGLETRANSLATE(B2111)"),"自然%20災害")</f>
        <v>自然%20災害</v>
      </c>
    </row>
    <row r="2112" ht="15.75" customHeight="1">
      <c r="A2112" s="4">
        <v>7199.0</v>
      </c>
      <c r="B2112" s="4" t="s">
        <v>3297</v>
      </c>
      <c r="C2112" s="4" t="s">
        <v>3301</v>
      </c>
      <c r="D2112" s="4" t="s">
        <v>3302</v>
      </c>
      <c r="E2112" s="4">
        <v>1.0</v>
      </c>
      <c r="F2112" s="4" t="str">
        <f>IFERROR(__xludf.DUMMYFUNCTION("GOOGLETRANSLATE(D2112)"),"拉烏爾就自然災害向越南致唁電 http://t.co/bgyTmqJ3OO")</f>
        <v>拉烏爾就自然災害向越南致唁電 http://t.co/bgyTmqJ3OO</v>
      </c>
      <c r="G2112" s="4" t="str">
        <f>IFERROR(__xludf.DUMMYFUNCTION("GOOGLETRANSLATE(B2112)"),"自然%20災害")</f>
        <v>自然%20災害</v>
      </c>
    </row>
    <row r="2113" ht="15.75" customHeight="1">
      <c r="A2113" s="4">
        <v>7201.0</v>
      </c>
      <c r="B2113" s="4" t="s">
        <v>3297</v>
      </c>
      <c r="C2113" s="4" t="s">
        <v>126</v>
      </c>
      <c r="D2113" s="4" t="s">
        <v>3303</v>
      </c>
      <c r="E2113" s="4">
        <v>1.0</v>
      </c>
      <c r="F2113" s="4" t="str">
        <f>IFERROR(__xludf.DUMMYFUNCTION("GOOGLETRANSLATE(D2113)"),"@Cali74142290哈哈，自然災害/醫院危機需要一些東西來擺脫一些演員...")</f>
        <v>@Cali74142290哈哈，自然災害/醫院危機需要一些東西來擺脫一些演員...</v>
      </c>
      <c r="G2113" s="4" t="str">
        <f>IFERROR(__xludf.DUMMYFUNCTION("GOOGLETRANSLATE(B2113)"),"自然%20災害")</f>
        <v>自然%20災害</v>
      </c>
    </row>
    <row r="2114" ht="15.75" customHeight="1">
      <c r="A2114" s="4">
        <v>7203.0</v>
      </c>
      <c r="B2114" s="4" t="s">
        <v>3297</v>
      </c>
      <c r="C2114" s="4" t="s">
        <v>3304</v>
      </c>
      <c r="D2114" s="4" t="s">
        <v>3305</v>
      </c>
      <c r="E2114" s="4">
        <v>1.0</v>
      </c>
      <c r="F2114" s="4" t="str">
        <f>IFERROR(__xludf.DUMMYFUNCTION("GOOGLETRANSLATE(D2114)"),"有些人真是天災人禍")</f>
        <v>有些人真是天災人禍</v>
      </c>
      <c r="G2114" s="4" t="str">
        <f>IFERROR(__xludf.DUMMYFUNCTION("GOOGLETRANSLATE(B2114)"),"自然%20災害")</f>
        <v>自然%20災害</v>
      </c>
    </row>
    <row r="2115" ht="15.75" customHeight="1">
      <c r="A2115" s="4">
        <v>7205.0</v>
      </c>
      <c r="B2115" s="4" t="s">
        <v>3297</v>
      </c>
      <c r="C2115" s="4" t="s">
        <v>38</v>
      </c>
      <c r="D2115" s="4" t="s">
        <v>3306</v>
      </c>
      <c r="E2115" s="4">
        <v>1.0</v>
      </c>
      <c r="F2115" s="4" t="str">
        <f>IFERROR(__xludf.DUMMYFUNCTION("GOOGLETRANSLATE(D2115)"),"今年稍後推出〜“給女人紋身的男人”。一部基於 #Arkansas 和 #Arkansas 的真實連環殺手的小說。一場自然災害。 #諾拉")</f>
        <v>今年稍後推出〜“給女人紋身的男人”。一部基於 #Arkansas 和 #Arkansas 的真實連環殺手的小說。一場自然災害。 #諾拉</v>
      </c>
      <c r="G2115" s="4" t="str">
        <f>IFERROR(__xludf.DUMMYFUNCTION("GOOGLETRANSLATE(B2115)"),"自然%20災害")</f>
        <v>自然%20災害</v>
      </c>
    </row>
    <row r="2116" ht="15.75" customHeight="1">
      <c r="A2116" s="4">
        <v>7206.0</v>
      </c>
      <c r="B2116" s="4" t="s">
        <v>3297</v>
      </c>
      <c r="D2116" s="4" t="s">
        <v>3307</v>
      </c>
      <c r="E2116" s="4">
        <v>1.0</v>
      </c>
      <c r="F2116" s="4" t="str">
        <f>IFERROR(__xludf.DUMMYFUNCTION("GOOGLETRANSLATE(D2116)"),"拉烏爾就自然災害向越南致唁電：代表古巴政府和... http://t.co/EmrZiCb004")</f>
        <v>拉烏爾就自然災害向越南致唁電：代表古巴政府和... http://t.co/EmrZiCb004</v>
      </c>
      <c r="G2116" s="4" t="str">
        <f>IFERROR(__xludf.DUMMYFUNCTION("GOOGLETRANSLATE(B2116)"),"自然%20災害")</f>
        <v>自然%20災害</v>
      </c>
    </row>
    <row r="2117" ht="15.75" customHeight="1">
      <c r="A2117" s="4">
        <v>7210.0</v>
      </c>
      <c r="B2117" s="4" t="s">
        <v>3297</v>
      </c>
      <c r="D2117" s="4" t="s">
        <v>3308</v>
      </c>
      <c r="E2117" s="4">
        <v>1.0</v>
      </c>
      <c r="F2117" s="4" t="str">
        <f>IFERROR(__xludf.DUMMYFUNCTION("GOOGLETRANSLATE(D2117)"),"專家準備者：金融崩潰自然災害電網失敗... http://t.co/AVVSOiNO8Z http://t.co/VoYrUxcrIN")</f>
        <v>專家準備者：金融崩潰自然災害電網失敗... http://t.co/AVVSOiNO8Z http://t.co/VoYrUxcrIN</v>
      </c>
      <c r="G2117" s="4" t="str">
        <f>IFERROR(__xludf.DUMMYFUNCTION("GOOGLETRANSLATE(B2117)"),"自然%20災害")</f>
        <v>自然%20災害</v>
      </c>
    </row>
    <row r="2118" ht="15.75" customHeight="1">
      <c r="A2118" s="4">
        <v>7213.0</v>
      </c>
      <c r="B2118" s="4" t="s">
        <v>3297</v>
      </c>
      <c r="C2118" s="4" t="s">
        <v>3309</v>
      </c>
      <c r="D2118" s="4" t="s">
        <v>3310</v>
      </c>
      <c r="E2118" s="4">
        <v>1.0</v>
      </c>
      <c r="F2118" s="4" t="str">
        <f>IFERROR(__xludf.DUMMYFUNCTION("GOOGLETRANSLATE(D2118)"),"它只會變得越來越冷，速度越來越快，當我第一次意識到它就像一場自然災害")</f>
        <v>它只會變得越來越冷，速度越來越快，當我第一次意識到它就像一場自然災害</v>
      </c>
      <c r="G2118" s="4" t="str">
        <f>IFERROR(__xludf.DUMMYFUNCTION("GOOGLETRANSLATE(B2118)"),"自然%20災害")</f>
        <v>自然%20災害</v>
      </c>
    </row>
    <row r="2119" ht="15.75" customHeight="1">
      <c r="A2119" s="4">
        <v>7215.0</v>
      </c>
      <c r="B2119" s="4" t="s">
        <v>3297</v>
      </c>
      <c r="C2119" s="4" t="s">
        <v>3311</v>
      </c>
      <c r="D2119" s="4" t="s">
        <v>3312</v>
      </c>
      <c r="E2119" s="4">
        <v>1.0</v>
      </c>
      <c r="F2119" s="4" t="str">
        <f>IFERROR(__xludf.DUMMYFUNCTION("GOOGLETRANSLATE(D2119)"),"自然災害 ÛÒ 新聞故事 關於天災 - 頁 1 |新聞http://t.co/TB8gZEMbXU")</f>
        <v>自然災害 ÛÒ 新聞故事 關於天災 - 頁 1 |新聞http://t.co/TB8gZEMbXU</v>
      </c>
      <c r="G2119" s="4" t="str">
        <f>IFERROR(__xludf.DUMMYFUNCTION("GOOGLETRANSLATE(B2119)"),"自然%20災害")</f>
        <v>自然%20災害</v>
      </c>
    </row>
    <row r="2120" ht="15.75" customHeight="1">
      <c r="A2120" s="4">
        <v>7223.0</v>
      </c>
      <c r="B2120" s="4" t="s">
        <v>3297</v>
      </c>
      <c r="C2120" s="4" t="s">
        <v>3313</v>
      </c>
      <c r="D2120" s="4" t="s">
        <v>3314</v>
      </c>
      <c r="E2120" s="4">
        <v>1.0</v>
      </c>
      <c r="F2120" s="4" t="str">
        <f>IFERROR(__xludf.DUMMYFUNCTION("GOOGLETRANSLATE(D2120)"),"這是社會主義在任何地方嘗試過的自然而不可避免的結果。
http://t.co/BbDpnj8XSx A")</f>
        <v>這是社會主義在任何地方嘗試過的自然而不可避免的結果。
http://t.co/BbDpnj8XSx A</v>
      </c>
      <c r="G2120" s="4" t="str">
        <f>IFERROR(__xludf.DUMMYFUNCTION("GOOGLETRANSLATE(B2120)"),"自然%20災害")</f>
        <v>自然%20災害</v>
      </c>
    </row>
    <row r="2121" ht="15.75" customHeight="1">
      <c r="A2121" s="4">
        <v>7224.0</v>
      </c>
      <c r="B2121" s="4" t="s">
        <v>3297</v>
      </c>
      <c r="D2121" s="4" t="s">
        <v>3315</v>
      </c>
      <c r="E2121" s="4">
        <v>1.0</v>
      </c>
      <c r="F2121" s="4" t="str">
        <f>IFERROR(__xludf.DUMMYFUNCTION("GOOGLETRANSLATE(D2121)"),"在自然災害索賠最嚴重的一年，Suncorp 淨利潤升至 11.3 億美元 http://t.co/cwZ37lNDVk")</f>
        <v>在自然災害索賠最嚴重的一年，Suncorp 淨利潤升至 11.3 億美元 http://t.co/cwZ37lNDVk</v>
      </c>
      <c r="G2121" s="4" t="str">
        <f>IFERROR(__xludf.DUMMYFUNCTION("GOOGLETRANSLATE(B2121)"),"自然%20災害")</f>
        <v>自然%20災害</v>
      </c>
    </row>
    <row r="2122" ht="15.75" customHeight="1">
      <c r="A2122" s="4">
        <v>7226.0</v>
      </c>
      <c r="B2122" s="4" t="s">
        <v>3297</v>
      </c>
      <c r="C2122" s="4" t="s">
        <v>3316</v>
      </c>
      <c r="D2122" s="4" t="s">
        <v>3317</v>
      </c>
      <c r="E2122" s="4">
        <v>1.0</v>
      </c>
      <c r="F2122" s="4" t="str">
        <f>IFERROR(__xludf.DUMMYFUNCTION("GOOGLETRANSLATE(D2122)"),"當然，有一天我必須穿著專業的衣服，也就是不合常理地去上課，那一天就是我嘗試擺脫天災的那一天！")</f>
        <v>當然，有一天我必須穿著專業的衣服，也就是不合常理地去上課，那一天就是我嘗試擺脫天災的那一天！</v>
      </c>
      <c r="G2122" s="4" t="str">
        <f>IFERROR(__xludf.DUMMYFUNCTION("GOOGLETRANSLATE(B2122)"),"自然%20災害")</f>
        <v>自然%20災害</v>
      </c>
    </row>
    <row r="2123" ht="15.75" customHeight="1">
      <c r="A2123" s="4">
        <v>7227.0</v>
      </c>
      <c r="B2123" s="4" t="s">
        <v>3297</v>
      </c>
      <c r="D2123" s="4" t="s">
        <v>3318</v>
      </c>
      <c r="E2123" s="4">
        <v>1.0</v>
      </c>
      <c r="F2123" s="4" t="str">
        <f>IFERROR(__xludf.DUMMYFUNCTION("GOOGLETRANSLATE(D2123)"),"*在緬甸經歷政治動盪和自然災害時預訂飛往緬甸的航班*難怪它這麼便宜 ay")</f>
        <v>*在緬甸經歷政治動盪和自然災害時預訂飛往緬甸的航班*難怪它這麼便宜 ay</v>
      </c>
      <c r="G2123" s="4" t="str">
        <f>IFERROR(__xludf.DUMMYFUNCTION("GOOGLETRANSLATE(B2123)"),"自然%20災害")</f>
        <v>自然%20災害</v>
      </c>
    </row>
    <row r="2124" ht="15.75" customHeight="1">
      <c r="A2124" s="4">
        <v>7229.0</v>
      </c>
      <c r="B2124" s="4" t="s">
        <v>3297</v>
      </c>
      <c r="C2124" s="4" t="s">
        <v>3319</v>
      </c>
      <c r="D2124" s="4" t="s">
        <v>3320</v>
      </c>
      <c r="E2124" s="4">
        <v>1.0</v>
      </c>
      <c r="F2124" s="4" t="str">
        <f>IFERROR(__xludf.DUMMYFUNCTION("GOOGLETRANSLATE(D2124)"),"我們已經佔領了自然災害生存伺服器！")</f>
        <v>我們已經佔領了自然災害生存伺服器！</v>
      </c>
      <c r="G2124" s="4" t="str">
        <f>IFERROR(__xludf.DUMMYFUNCTION("GOOGLETRANSLATE(B2124)"),"自然%20災害")</f>
        <v>自然%20災害</v>
      </c>
    </row>
    <row r="2125" ht="15.75" customHeight="1">
      <c r="A2125" s="4">
        <v>7231.0</v>
      </c>
      <c r="B2125" s="4" t="s">
        <v>3297</v>
      </c>
      <c r="D2125" s="4" t="s">
        <v>1759</v>
      </c>
      <c r="E2125" s="4">
        <v>1.0</v>
      </c>
      <c r="F2125" s="4" t="str">
        <f>IFERROR(__xludf.DUMMYFUNCTION("GOOGLETRANSLATE(D2125)"),"頂級保險公司譴責澳洲政府在減災方面缺乏行動 http://t.co/sDgOUTWNtb via @smh")</f>
        <v>頂級保險公司譴責澳洲政府在減災方面缺乏行動 http://t.co/sDgOUTWNtb via @smh</v>
      </c>
      <c r="G2125" s="4" t="str">
        <f>IFERROR(__xludf.DUMMYFUNCTION("GOOGLETRANSLATE(B2125)"),"自然%20災害")</f>
        <v>自然%20災害</v>
      </c>
    </row>
    <row r="2126" ht="15.75" customHeight="1">
      <c r="A2126" s="4">
        <v>7235.0</v>
      </c>
      <c r="B2126" s="4" t="s">
        <v>3297</v>
      </c>
      <c r="C2126" s="4" t="s">
        <v>3321</v>
      </c>
      <c r="D2126" s="4" t="s">
        <v>3322</v>
      </c>
      <c r="E2126" s="4">
        <v>1.0</v>
      </c>
      <c r="F2126" s="4" t="str">
        <f>IFERROR(__xludf.DUMMYFUNCTION("GOOGLETRANSLATE(D2126)"),"危地馬拉的儲蓄和縫紉：危地馬拉的儲蓄和縫紉。當一場天災攻擊女裁縫艾爾維亞時... http://t.co/jdx9OX2kIk")</f>
        <v>危地馬拉的儲蓄和縫紉：危地馬拉的儲蓄和縫紉。當一場天災攻擊女裁縫艾爾維亞時... http://t.co/jdx9OX2kIk</v>
      </c>
      <c r="G2126" s="4" t="str">
        <f>IFERROR(__xludf.DUMMYFUNCTION("GOOGLETRANSLATE(B2126)"),"自然%20災害")</f>
        <v>自然%20災害</v>
      </c>
    </row>
    <row r="2127" ht="15.75" customHeight="1">
      <c r="A2127" s="4">
        <v>7236.0</v>
      </c>
      <c r="B2127" s="4" t="s">
        <v>3297</v>
      </c>
      <c r="D2127" s="4" t="s">
        <v>3323</v>
      </c>
      <c r="E2127" s="4">
        <v>1.0</v>
      </c>
      <c r="F2127" s="4" t="str">
        <f>IFERROR(__xludf.DUMMYFUNCTION("GOOGLETRANSLATE(D2127)"),"愛國者生存指南：當政府崩潰或其他自然災害發生時，你知道如何生存嗎？ http://t.co/QhtoerhDkM")</f>
        <v>愛國者生存指南：當政府崩潰或其他自然災害發生時，你知道如何生存嗎？ http://t.co/QhtoerhDkM</v>
      </c>
      <c r="G2127" s="4" t="str">
        <f>IFERROR(__xludf.DUMMYFUNCTION("GOOGLETRANSLATE(B2127)"),"自然%20災害")</f>
        <v>自然%20災害</v>
      </c>
    </row>
    <row r="2128" ht="15.75" customHeight="1">
      <c r="A2128" s="4">
        <v>7247.0</v>
      </c>
      <c r="B2128" s="4" t="s">
        <v>3324</v>
      </c>
      <c r="D2128" s="4" t="s">
        <v>3325</v>
      </c>
      <c r="E2128" s="4">
        <v>1.0</v>
      </c>
      <c r="F2128" s="4" t="str">
        <f>IFERROR(__xludf.DUMMYFUNCTION("GOOGLETRANSLATE(D2128)"),"beforeitsnews : 3 名前高階主管在福島核災中被起訴 Û_ http://t.co/FgVN2vCrrX) http://t.co/kftVNU7nvf")</f>
        <v>beforeitsnews : 3 名前高階主管在福島核災中被起訴 Û_ http://t.co/FgVN2vCrrX) http://t.co/kftVNU7nvf</v>
      </c>
      <c r="G2128" s="4" t="str">
        <f>IFERROR(__xludf.DUMMYFUNCTION("GOOGLETRANSLATE(B2128)"),"核%20災難")</f>
        <v>核%20災難</v>
      </c>
    </row>
    <row r="2129" ht="15.75" customHeight="1">
      <c r="A2129" s="4">
        <v>7248.0</v>
      </c>
      <c r="B2129" s="4" t="s">
        <v>3324</v>
      </c>
      <c r="C2129" s="4" t="s">
        <v>3326</v>
      </c>
      <c r="D2129" s="4" t="s">
        <v>3327</v>
      </c>
      <c r="E2129" s="4">
        <v>1.0</v>
      </c>
      <c r="F2129" s="4" t="str">
        <f>IFERROR(__xludf.DUMMYFUNCTION("GOOGLETRANSLATE(D2129)"),"自 #Fukushima 核災以來死亡海洋生物數量驚人增加：http://t.co/v6H97K688J http://t.co/tJw9bSeiPW")</f>
        <v>自 #Fukushima 核災以來死亡海洋生物數量驚人增加：http://t.co/v6H97K688J http://t.co/tJw9bSeiPW</v>
      </c>
      <c r="G2129" s="4" t="str">
        <f>IFERROR(__xludf.DUMMYFUNCTION("GOOGLETRANSLATE(B2129)"),"核%20災難")</f>
        <v>核%20災難</v>
      </c>
    </row>
    <row r="2130" ht="15.75" customHeight="1">
      <c r="A2130" s="4">
        <v>7251.0</v>
      </c>
      <c r="B2130" s="4" t="s">
        <v>3324</v>
      </c>
      <c r="D2130" s="4" t="s">
        <v>3328</v>
      </c>
      <c r="E2130" s="4">
        <v>1.0</v>
      </c>
      <c r="F2130" s="4" t="str">
        <f>IFERROR(__xludf.DUMMYFUNCTION("GOOGLETRANSLATE(D2130)"),"如果我每天發推文#福島#日本全球核災&amp;amp; #切爾諾貝利人民不在乎沒有希望4人類C&gt; http://t.co/MAcob5xLsU")</f>
        <v>如果我每天發推文#福島#日本全球核災&amp;amp; #切爾諾貝利人民不在乎沒有希望4人類C&gt; http://t.co/MAcob5xLsU</v>
      </c>
      <c r="G2130" s="4" t="str">
        <f>IFERROR(__xludf.DUMMYFUNCTION("GOOGLETRANSLATE(B2130)"),"核%20災難")</f>
        <v>核%20災難</v>
      </c>
    </row>
    <row r="2131" ht="15.75" customHeight="1">
      <c r="A2131" s="4">
        <v>7252.0</v>
      </c>
      <c r="B2131" s="4" t="s">
        <v>3324</v>
      </c>
      <c r="C2131" s="4" t="s">
        <v>3329</v>
      </c>
      <c r="D2131" s="4" t="s">
        <v>3330</v>
      </c>
      <c r="E2131" s="4">
        <v>1.0</v>
      </c>
      <c r="F2131" s="4" t="str">
        <f>IFERROR(__xludf.DUMMYFUNCTION("GOOGLETRANSLATE(D2131)"),"？#福島？#東電？
福島核災| #美國甲狀腺癌增加 - 綜合癌症答案
http://t.co/7Y2GNVA2eV")</f>
        <v>？#福島？#東電？
福島核災| #美國甲狀腺癌增加 - 綜合癌症答案
http://t.co/7Y2GNVA2eV</v>
      </c>
      <c r="G2131" s="4" t="str">
        <f>IFERROR(__xludf.DUMMYFUNCTION("GOOGLETRANSLATE(B2131)"),"核%20災難")</f>
        <v>核%20災難</v>
      </c>
    </row>
    <row r="2132" ht="15.75" customHeight="1">
      <c r="A2132" s="4">
        <v>7253.0</v>
      </c>
      <c r="B2132" s="4" t="s">
        <v>3324</v>
      </c>
      <c r="D2132" s="4" t="s">
        <v>3331</v>
      </c>
      <c r="E2132" s="4">
        <v>1.0</v>
      </c>
      <c r="F2132" s="4" t="str">
        <f>IFERROR(__xludf.DUMMYFUNCTION("GOOGLETRANSLATE(D2132)"),"雖然嚴重的#自然#災難在#Japanjapan增加#核安全標準遠不如#美國標準。#anonymous #Nytimes")</f>
        <v>雖然嚴重的#自然#災難在#Japanjapan增加#核安全標準遠不如#美國標準。#anonymous #Nytimes</v>
      </c>
      <c r="G2132" s="4" t="str">
        <f>IFERROR(__xludf.DUMMYFUNCTION("GOOGLETRANSLATE(B2132)"),"核%20災難")</f>
        <v>核%20災難</v>
      </c>
    </row>
    <row r="2133" ht="15.75" customHeight="1">
      <c r="A2133" s="4">
        <v>7254.0</v>
      </c>
      <c r="B2133" s="4" t="s">
        <v>3324</v>
      </c>
      <c r="C2133" s="4" t="s">
        <v>942</v>
      </c>
      <c r="D2133" s="4" t="s">
        <v>3332</v>
      </c>
      <c r="E2133" s="4">
        <v>1.0</v>
      </c>
      <c r="F2133" s="4" t="str">
        <f>IFERROR(__xludf.DUMMYFUNCTION("GOOGLETRANSLATE(D2133)"),"物理感覺有助於保存 2011 年三重災難的記憶 (8/4 AJW) http://t.co/X5jGKjV6Ma #jishin_e #nuclear #Minamisoma")</f>
        <v>物理感覺有助於保存 2011 年三重災難的記憶 (8/4 AJW) http://t.co/X5jGKjV6Ma #jishin_e #nuclear #Minamisoma</v>
      </c>
      <c r="G2133" s="4" t="str">
        <f>IFERROR(__xludf.DUMMYFUNCTION("GOOGLETRANSLATE(B2133)"),"核%20災難")</f>
        <v>核%20災難</v>
      </c>
    </row>
    <row r="2134" ht="15.75" customHeight="1">
      <c r="A2134" s="4">
        <v>7255.0</v>
      </c>
      <c r="B2134" s="4" t="s">
        <v>3324</v>
      </c>
      <c r="C2134" s="4" t="s">
        <v>3333</v>
      </c>
      <c r="D2134" s="4" t="s">
        <v>3334</v>
      </c>
      <c r="E2134" s="4">
        <v>1.0</v>
      </c>
      <c r="F2134" s="4" t="str">
        <f>IFERROR(__xludf.DUMMYFUNCTION("GOOGLETRANSLATE(D2134)"),"http://t.co/GaM7otGISw
另一場災難正在等待發生，而你卻允許它發生？？？")</f>
        <v>http://t.co/GaM7otGISw
另一場災難正在等待發生，而你卻允許它發生？？？</v>
      </c>
      <c r="G2134" s="4" t="str">
        <f>IFERROR(__xludf.DUMMYFUNCTION("GOOGLETRANSLATE(B2134)"),"核%20災難")</f>
        <v>核%20災難</v>
      </c>
    </row>
    <row r="2135" ht="15.75" customHeight="1">
      <c r="A2135" s="4">
        <v>7256.0</v>
      </c>
      <c r="B2135" s="4" t="s">
        <v>3324</v>
      </c>
      <c r="C2135" s="4" t="s">
        <v>3335</v>
      </c>
      <c r="D2135" s="4" t="s">
        <v>3336</v>
      </c>
      <c r="E2135" s="4">
        <v>1.0</v>
      </c>
      <c r="F2135" s="4" t="str">
        <f>IFERROR(__xludf.DUMMYFUNCTION("GOOGLETRANSLATE(D2135)"),"@達賴喇嘛然後發生了有史以來最大的核災難")</f>
        <v>@達賴喇嘛然後發生了有史以來最大的核災難</v>
      </c>
      <c r="G2135" s="4" t="str">
        <f>IFERROR(__xludf.DUMMYFUNCTION("GOOGLETRANSLATE(B2135)"),"核%20災難")</f>
        <v>核%20災難</v>
      </c>
    </row>
    <row r="2136" ht="15.75" customHeight="1">
      <c r="A2136" s="4">
        <v>7260.0</v>
      </c>
      <c r="B2136" s="4" t="s">
        <v>3324</v>
      </c>
      <c r="D2136" s="4" t="s">
        <v>3337</v>
      </c>
      <c r="E2136" s="4">
        <v>1.0</v>
      </c>
      <c r="F2136" s="4" t="str">
        <f>IFERROR(__xludf.DUMMYFUNCTION("GOOGLETRANSLATE(D2136)"),"#歐巴馬簽署了一項協議，但遠遠沒有讓世界變得更安全 http://t.co/E0luGBL6pb via @upi #Iran #Nuclear #IranNuclearDeal")</f>
        <v>#歐巴馬簽署了一項協議，但遠遠沒有讓世界變得更安全 http://t.co/E0luGBL6pb via @upi #Iran #Nuclear #IranNuclearDeal</v>
      </c>
      <c r="G2136" s="4" t="str">
        <f>IFERROR(__xludf.DUMMYFUNCTION("GOOGLETRANSLATE(B2136)"),"核%20災難")</f>
        <v>核%20災難</v>
      </c>
    </row>
    <row r="2137" ht="15.75" customHeight="1">
      <c r="A2137" s="4">
        <v>7261.0</v>
      </c>
      <c r="B2137" s="4" t="s">
        <v>3324</v>
      </c>
      <c r="C2137" s="4" t="s">
        <v>940</v>
      </c>
      <c r="D2137" s="4" t="s">
        <v>3338</v>
      </c>
      <c r="E2137" s="4">
        <v>1.0</v>
      </c>
      <c r="F2137" s="4" t="str">
        <f>IFERROR(__xludf.DUMMYFUNCTION("GOOGLETRANSLATE(D2137)"),"福島核災 3 名前高階主管將被起訴 http://t.co/zsDVWEgLF5")</f>
        <v>福島核災 3 名前高階主管將被起訴 http://t.co/zsDVWEgLF5</v>
      </c>
      <c r="G2137" s="4" t="str">
        <f>IFERROR(__xludf.DUMMYFUNCTION("GOOGLETRANSLATE(B2137)"),"核%20災難")</f>
        <v>核%20災難</v>
      </c>
    </row>
    <row r="2138" ht="15.75" customHeight="1">
      <c r="A2138" s="4">
        <v>7264.0</v>
      </c>
      <c r="B2138" s="4" t="s">
        <v>3324</v>
      </c>
      <c r="C2138" s="4" t="s">
        <v>3339</v>
      </c>
      <c r="D2138" s="4" t="s">
        <v>3340</v>
      </c>
      <c r="E2138" s="4">
        <v>1.0</v>
      </c>
      <c r="F2138" s="4" t="str">
        <f>IFERROR(__xludf.DUMMYFUNCTION("GOOGLETRANSLATE(D2138)"),"@emmerdale 我們可以對下一次年度村莊災難進行公眾投票嗎？我想要伊斯蘭國攻擊或核子事故&amp;amp;永遠結束這一切")</f>
        <v>@emmerdale 我們可以對下一次年度村莊災難進行公眾投票嗎？我想要伊斯蘭國攻擊或核子事故&amp;amp;永遠結束這一切</v>
      </c>
      <c r="G2138" s="4" t="str">
        <f>IFERROR(__xludf.DUMMYFUNCTION("GOOGLETRANSLATE(B2138)"),"核%20災難")</f>
        <v>核%20災難</v>
      </c>
    </row>
    <row r="2139" ht="15.75" customHeight="1">
      <c r="A2139" s="4">
        <v>7265.0</v>
      </c>
      <c r="B2139" s="4" t="s">
        <v>3324</v>
      </c>
      <c r="D2139" s="4" t="s">
        <v>3341</v>
      </c>
      <c r="E2139" s="4">
        <v>1.0</v>
      </c>
      <c r="F2139" s="4" t="str">
        <f>IFERROR(__xludf.DUMMYFUNCTION("GOOGLETRANSLATE(D2139)"),"福島核災 3 名前高階主管將被起訴 http://t.co/Gvj7slbELP")</f>
        <v>福島核災 3 名前高階主管將被起訴 http://t.co/Gvj7slbELP</v>
      </c>
      <c r="G2139" s="4" t="str">
        <f>IFERROR(__xludf.DUMMYFUNCTION("GOOGLETRANSLATE(B2139)"),"核%20災難")</f>
        <v>核%20災難</v>
      </c>
    </row>
    <row r="2140" ht="15.75" customHeight="1">
      <c r="A2140" s="4">
        <v>7266.0</v>
      </c>
      <c r="B2140" s="4" t="s">
        <v>3324</v>
      </c>
      <c r="D2140" s="4" t="s">
        <v>3342</v>
      </c>
      <c r="E2140" s="4">
        <v>1.0</v>
      </c>
      <c r="F2140" s="4" t="str">
        <f>IFERROR(__xludf.DUMMYFUNCTION("GOOGLETRANSLATE(D2140)"),"福島核災|美國甲狀腺癌發生率增加 http://t.co/FtuNlH6ddg")</f>
        <v>福島核災|美國甲狀腺癌發生率增加 http://t.co/FtuNlH6ddg</v>
      </c>
      <c r="G2140" s="4" t="str">
        <f>IFERROR(__xludf.DUMMYFUNCTION("GOOGLETRANSLATE(B2140)"),"核%20災難")</f>
        <v>核%20災難</v>
      </c>
    </row>
    <row r="2141" ht="15.75" customHeight="1">
      <c r="A2141" s="4">
        <v>7267.0</v>
      </c>
      <c r="B2141" s="4" t="s">
        <v>3324</v>
      </c>
      <c r="D2141" s="4" t="s">
        <v>3343</v>
      </c>
      <c r="E2141" s="4">
        <v>1.0</v>
      </c>
      <c r="F2141" s="4" t="str">
        <f>IFERROR(__xludf.DUMMYFUNCTION("GOOGLETRANSLATE(D2141)"),"推特和關心#Japan #Fukushima 核災難的人不是問題，那些忽視的人才是問題。")</f>
        <v>推特和關心#Japan #Fukushima 核災難的人不是問題，那些忽視的人才是問題。</v>
      </c>
      <c r="G2141" s="4" t="str">
        <f>IFERROR(__xludf.DUMMYFUNCTION("GOOGLETRANSLATE(B2141)"),"核%20災難")</f>
        <v>核%20災難</v>
      </c>
    </row>
    <row r="2142" ht="15.75" customHeight="1">
      <c r="A2142" s="4">
        <v>7268.0</v>
      </c>
      <c r="B2142" s="4" t="s">
        <v>3324</v>
      </c>
      <c r="C2142" s="4" t="s">
        <v>3344</v>
      </c>
      <c r="D2142" s="4" t="s">
        <v>3345</v>
      </c>
      <c r="E2142" s="4">
        <v>1.0</v>
      </c>
      <c r="F2142" s="4" t="str">
        <f>IFERROR(__xludf.DUMMYFUNCTION("GOOGLETRANSLATE(D2142)"),"我們希望這個美麗的世界不再出現廣島和長崎的核彈災難。讓我們和平共處。拯救這個人類文明。")</f>
        <v>我們希望這個美麗的世界不再出現廣島和長崎的核彈災難。讓我們和平共處。拯救這個人類文明。</v>
      </c>
      <c r="G2142" s="4" t="str">
        <f>IFERROR(__xludf.DUMMYFUNCTION("GOOGLETRANSLATE(B2142)"),"核%20災難")</f>
        <v>核%20災難</v>
      </c>
    </row>
    <row r="2143" ht="15.75" customHeight="1">
      <c r="A2143" s="4">
        <v>7270.0</v>
      </c>
      <c r="B2143" s="4" t="s">
        <v>3324</v>
      </c>
      <c r="D2143" s="4" t="s">
        <v>3346</v>
      </c>
      <c r="E2143" s="4">
        <v>1.0</v>
      </c>
      <c r="F2143" s="4" t="str">
        <f>IFERROR(__xludf.DUMMYFUNCTION("GOOGLETRANSLATE(D2143)"),"#日本 #福島是人類歷史上最嚴重的人為災難...ÛÏ輻射腦損傷的標誌Û http://t.co/Y3ZfqJsvpz")</f>
        <v>#日本 #福島是人類歷史上最嚴重的人為災難...ÛÏ輻射腦損傷的標誌Û http://t.co/Y3ZfqJsvpz</v>
      </c>
      <c r="G2143" s="4" t="str">
        <f>IFERROR(__xludf.DUMMYFUNCTION("GOOGLETRANSLATE(B2143)"),"核%20災難")</f>
        <v>核%20災難</v>
      </c>
    </row>
    <row r="2144" ht="15.75" customHeight="1">
      <c r="A2144" s="4">
        <v>7272.0</v>
      </c>
      <c r="B2144" s="4" t="s">
        <v>3324</v>
      </c>
      <c r="D2144" s="4" t="s">
        <v>3347</v>
      </c>
      <c r="E2144" s="4">
        <v>1.0</v>
      </c>
      <c r="F2144" s="4" t="str">
        <f>IFERROR(__xludf.DUMMYFUNCTION("GOOGLETRANSLATE(D2144)"),"#日本西部#核災的#難民將至少超過50萬人。 #法新社 #guardian #WPS #NYTimes")</f>
        <v>#日本西部#核災的#難民將至少超過50萬人。 #法新社 #guardian #WPS #NYTimes</v>
      </c>
      <c r="G2144" s="4" t="str">
        <f>IFERROR(__xludf.DUMMYFUNCTION("GOOGLETRANSLATE(B2144)"),"核%20災難")</f>
        <v>核%20災難</v>
      </c>
    </row>
    <row r="2145" ht="15.75" customHeight="1">
      <c r="A2145" s="4">
        <v>7274.0</v>
      </c>
      <c r="B2145" s="4" t="s">
        <v>3324</v>
      </c>
      <c r="D2145" s="4" t="s">
        <v>3348</v>
      </c>
      <c r="E2145" s="4">
        <v>1.0</v>
      </c>
      <c r="F2145" s="4" t="str">
        <f>IFERROR(__xludf.DUMMYFUNCTION("GOOGLETRANSLATE(D2145)"),"福島核災 3 名前高階主管將被起訴 http://t.co/UmjpRRwRUU")</f>
        <v>福島核災 3 名前高階主管將被起訴 http://t.co/UmjpRRwRUU</v>
      </c>
      <c r="G2145" s="4" t="str">
        <f>IFERROR(__xludf.DUMMYFUNCTION("GOOGLETRANSLATE(B2145)"),"核%20災難")</f>
        <v>核%20災難</v>
      </c>
    </row>
    <row r="2146" ht="15.75" customHeight="1">
      <c r="A2146" s="4">
        <v>7277.0</v>
      </c>
      <c r="B2146" s="4" t="s">
        <v>3324</v>
      </c>
      <c r="C2146" s="4" t="s">
        <v>3349</v>
      </c>
      <c r="D2146" s="4" t="s">
        <v>3350</v>
      </c>
      <c r="E2146" s="4">
        <v>1.0</v>
      </c>
      <c r="F2146" s="4" t="str">
        <f>IFERROR(__xludf.DUMMYFUNCTION("GOOGLETRANSLATE(D2146)"),"對災難視而不見！美國國務院不知道伊朗正在對核設施進行消毒的報告 http://t.co/yRVGyKdbM6")</f>
        <v>對災難視而不見！美國國務院不知道伊朗正在對核設施進行消毒的報告 http://t.co/yRVGyKdbM6</v>
      </c>
      <c r="G2146" s="4" t="str">
        <f>IFERROR(__xludf.DUMMYFUNCTION("GOOGLETRANSLATE(B2146)"),"核%20災難")</f>
        <v>核%20災難</v>
      </c>
    </row>
    <row r="2147" ht="15.75" customHeight="1">
      <c r="A2147" s="4">
        <v>7278.0</v>
      </c>
      <c r="B2147" s="4" t="s">
        <v>3324</v>
      </c>
      <c r="C2147" s="4" t="s">
        <v>2925</v>
      </c>
      <c r="D2147" s="4" t="s">
        <v>3351</v>
      </c>
      <c r="E2147" s="4">
        <v>1.0</v>
      </c>
      <c r="F2147" s="4" t="str">
        <f>IFERROR(__xludf.DUMMYFUNCTION("GOOGLETRANSLATE(D2147)"),"3 名前高階主管將在福島核子#災難中被起訴。
故事：http://t.co/7uFnxxaVqs 來自 @nytimes")</f>
        <v>3 名前高階主管將在福島核子#災難中被起訴。
故事：http://t.co/7uFnxxaVqs 來自 @nytimes</v>
      </c>
      <c r="G2147" s="4" t="str">
        <f>IFERROR(__xludf.DUMMYFUNCTION("GOOGLETRANSLATE(B2147)"),"核%20災難")</f>
        <v>核%20災難</v>
      </c>
    </row>
    <row r="2148" ht="15.75" customHeight="1">
      <c r="A2148" s="4">
        <v>7280.0</v>
      </c>
      <c r="B2148" s="4" t="s">
        <v>3324</v>
      </c>
      <c r="D2148" s="4" t="s">
        <v>3352</v>
      </c>
      <c r="E2148" s="4">
        <v>1.0</v>
      </c>
      <c r="F2148" s="4" t="str">
        <f>IFERROR(__xludf.DUMMYFUNCTION("GOOGLETRANSLATE(D2148)"),"任何災難都會損害心理健康，尤其是弱勢群體... http://t.co/ZisuwLqRHf")</f>
        <v>任何災難都會損害心理健康，尤其是弱勢群體... http://t.co/ZisuwLqRHf</v>
      </c>
      <c r="G2148" s="4" t="str">
        <f>IFERROR(__xludf.DUMMYFUNCTION("GOOGLETRANSLATE(B2148)"),"核%20災難")</f>
        <v>核%20災難</v>
      </c>
    </row>
    <row r="2149" ht="15.75" customHeight="1">
      <c r="A2149" s="4">
        <v>7281.0</v>
      </c>
      <c r="B2149" s="4" t="s">
        <v>3324</v>
      </c>
      <c r="D2149" s="4" t="s">
        <v>3353</v>
      </c>
      <c r="E2149" s="4">
        <v>1.0</v>
      </c>
      <c r="F2149" s="4" t="str">
        <f>IFERROR(__xludf.DUMMYFUNCTION("GOOGLETRANSLATE(D2149)"),"核災兩年後，福島「突變蔬菜」影像席捲整個地區 http://t.co/psi35AU3pc via @MailOnline")</f>
        <v>核災兩年後，福島「突變蔬菜」影像席捲整個地區 http://t.co/psi35AU3pc via @MailOnline</v>
      </c>
      <c r="G2149" s="4" t="str">
        <f>IFERROR(__xludf.DUMMYFUNCTION("GOOGLETRANSLATE(B2149)"),"核%20災難")</f>
        <v>核%20災難</v>
      </c>
    </row>
    <row r="2150" ht="15.75" customHeight="1">
      <c r="A2150" s="4">
        <v>7283.0</v>
      </c>
      <c r="B2150" s="4" t="s">
        <v>3324</v>
      </c>
      <c r="C2150" s="4" t="s">
        <v>620</v>
      </c>
      <c r="D2150" s="4" t="s">
        <v>3354</v>
      </c>
      <c r="E2150" s="4">
        <v>1.0</v>
      </c>
      <c r="F2150" s="4" t="str">
        <f>IFERROR(__xludf.DUMMYFUNCTION("GOOGLETRANSLATE(D2150)"),"轟炸#伊朗將導致一場永無止境的#核打地鼠遊戲。原因如下：http://t.co/6exS23MUy3 http://t.co/l9iDheROtj")</f>
        <v>轟炸#伊朗將導致一場永無止境的#核打地鼠遊戲。原因如下：http://t.co/6exS23MUy3 http://t.co/l9iDheROtj</v>
      </c>
      <c r="G2150" s="4" t="str">
        <f>IFERROR(__xludf.DUMMYFUNCTION("GOOGLETRANSLATE(B2150)"),"核%20災難")</f>
        <v>核%20災難</v>
      </c>
    </row>
    <row r="2151" ht="15.75" customHeight="1">
      <c r="A2151" s="4">
        <v>7285.0</v>
      </c>
      <c r="B2151" s="4" t="s">
        <v>3324</v>
      </c>
      <c r="D2151" s="4" t="s">
        <v>3355</v>
      </c>
      <c r="E2151" s="4">
        <v>1.0</v>
      </c>
      <c r="F2151" s="4" t="str">
        <f>IFERROR(__xludf.DUMMYFUNCTION("GOOGLETRANSLATE(D2151)"),"福島：核災的故事 http://t.co/ikpnGs3dTi http://t.co/lJHgSdRAEZ")</f>
        <v>福島：核災的故事 http://t.co/ikpnGs3dTi http://t.co/lJHgSdRAEZ</v>
      </c>
      <c r="G2151" s="4" t="str">
        <f>IFERROR(__xludf.DUMMYFUNCTION("GOOGLETRANSLATE(B2151)"),"核%20災難")</f>
        <v>核%20災難</v>
      </c>
    </row>
    <row r="2152" ht="15.75" customHeight="1">
      <c r="A2152" s="4">
        <v>7286.0</v>
      </c>
      <c r="B2152" s="4" t="s">
        <v>3324</v>
      </c>
      <c r="D2152" s="4" t="s">
        <v>3356</v>
      </c>
      <c r="E2152" s="4">
        <v>1.0</v>
      </c>
      <c r="F2152" s="4" t="str">
        <f>IFERROR(__xludf.DUMMYFUNCTION("GOOGLETRANSLATE(D2152)"),"總統談到了甘迺迪在冷戰期間避免核災難的外交，以支持他自己爭取國會批准的主張")</f>
        <v>總統談到了甘迺迪在冷戰期間避免核災難的外交，以支持他自己爭取國會批准的主張</v>
      </c>
      <c r="G2152" s="4" t="str">
        <f>IFERROR(__xludf.DUMMYFUNCTION("GOOGLETRANSLATE(B2152)"),"核%20災難")</f>
        <v>核%20災難</v>
      </c>
    </row>
    <row r="2153" ht="15.75" customHeight="1">
      <c r="A2153" s="4">
        <v>7287.0</v>
      </c>
      <c r="B2153" s="4" t="s">
        <v>3324</v>
      </c>
      <c r="D2153" s="4" t="s">
        <v>3357</v>
      </c>
      <c r="E2153" s="4">
        <v>1.0</v>
      </c>
      <c r="F2153" s="4" t="str">
        <f>IFERROR(__xludf.DUMMYFUNCTION("GOOGLETRANSLATE(D2153)"),"政府已確認573人死亡為“核災相關死亡”")</f>
        <v>政府已確認573人死亡為“核災相關死亡”</v>
      </c>
      <c r="G2153" s="4" t="str">
        <f>IFERROR(__xludf.DUMMYFUNCTION("GOOGLETRANSLATE(B2153)"),"核%20災難")</f>
        <v>核%20災難</v>
      </c>
    </row>
    <row r="2154" ht="15.75" customHeight="1">
      <c r="A2154" s="4">
        <v>7288.0</v>
      </c>
      <c r="B2154" s="4" t="s">
        <v>3324</v>
      </c>
      <c r="C2154" s="4" t="s">
        <v>405</v>
      </c>
      <c r="D2154" s="4" t="s">
        <v>3358</v>
      </c>
      <c r="E2154" s="4">
        <v>1.0</v>
      </c>
      <c r="F2154" s="4" t="str">
        <f>IFERROR(__xludf.DUMMYFUNCTION("GOOGLETRANSLATE(D2154)"),"福島核災 3 名前高階主管將被起訴 http://t.co/JSsmMLNaQ7")</f>
        <v>福島核災 3 名前高階主管將被起訴 http://t.co/JSsmMLNaQ7</v>
      </c>
      <c r="G2154" s="4" t="str">
        <f>IFERROR(__xludf.DUMMYFUNCTION("GOOGLETRANSLATE(B2154)"),"核%20災難")</f>
        <v>核%20災難</v>
      </c>
    </row>
    <row r="2155" ht="15.75" customHeight="1">
      <c r="A2155" s="4">
        <v>7289.0</v>
      </c>
      <c r="B2155" s="4" t="s">
        <v>3324</v>
      </c>
      <c r="C2155" s="4" t="s">
        <v>3359</v>
      </c>
      <c r="D2155" s="4" t="s">
        <v>3360</v>
      </c>
      <c r="E2155" s="4">
        <v>1.0</v>
      </c>
      <c r="F2155" s="4" t="str">
        <f>IFERROR(__xludf.DUMMYFUNCTION("GOOGLETRANSLATE(D2155)"),"70 年前的今天 1945 年 #Hiroshima 是第一顆核原子彈，留下了一場重大災難。 http://t.co/oW4GeXyNbH")</f>
        <v>70 年前的今天 1945 年 #Hiroshima 是第一顆核原子彈，留下了一場重大災難。 http://t.co/oW4GeXyNbH</v>
      </c>
      <c r="G2155" s="4" t="str">
        <f>IFERROR(__xludf.DUMMYFUNCTION("GOOGLETRANSLATE(B2155)"),"核%20災難")</f>
        <v>核%20災難</v>
      </c>
    </row>
    <row r="2156" ht="15.75" customHeight="1">
      <c r="A2156" s="4">
        <v>7290.0</v>
      </c>
      <c r="B2156" s="4" t="s">
        <v>3324</v>
      </c>
      <c r="D2156" s="4" t="s">
        <v>3361</v>
      </c>
      <c r="E2156" s="4">
        <v>1.0</v>
      </c>
      <c r="F2156" s="4" t="str">
        <f>IFERROR(__xludf.DUMMYFUNCTION("GOOGLETRANSLATE(D2156)"),"如果您關心陸地、海洋和陸地上的生活在空氣中然後不要假裝&amp;amp;忽略#日本#福島的核災，這是一個#全球問題")</f>
        <v>如果您關心陸地、海洋和陸地上的生活在空氣中然後不要假裝&amp;amp;忽略#日本#福島的核災，這是一個#全球問題</v>
      </c>
      <c r="G2156" s="4" t="str">
        <f>IFERROR(__xludf.DUMMYFUNCTION("GOOGLETRANSLATE(B2156)"),"核%20災難")</f>
        <v>核%20災難</v>
      </c>
    </row>
    <row r="2157" ht="15.75" customHeight="1">
      <c r="A2157" s="4">
        <v>7291.0</v>
      </c>
      <c r="B2157" s="4" t="s">
        <v>3324</v>
      </c>
      <c r="D2157" s="4" t="s">
        <v>3362</v>
      </c>
      <c r="E2157" s="4">
        <v>1.0</v>
      </c>
      <c r="F2157" s="4" t="str">
        <f>IFERROR(__xludf.DUMMYFUNCTION("GOOGLETRANSLATE(D2157)"),"#日本的#核政策對核#災難不承擔責任，將重複同樣的#失敗。
#annonymous #guardian #NYTimes #Reuters")</f>
        <v>#日本的#核政策對核#災難不承擔責任，將重複同樣的#失敗。
#annonymous #guardian #NYTimes #Reuters</v>
      </c>
      <c r="G2157" s="4" t="str">
        <f>IFERROR(__xludf.DUMMYFUNCTION("GOOGLETRANSLATE(B2157)"),"核%20災難")</f>
        <v>核%20災難</v>
      </c>
    </row>
    <row r="2158" ht="15.75" customHeight="1">
      <c r="A2158" s="4">
        <v>7294.0</v>
      </c>
      <c r="B2158" s="4" t="s">
        <v>3324</v>
      </c>
      <c r="D2158" s="4" t="s">
        <v>3363</v>
      </c>
      <c r="E2158" s="4">
        <v>1.0</v>
      </c>
      <c r="F2158" s="4" t="str">
        <f>IFERROR(__xludf.DUMMYFUNCTION("GOOGLETRANSLATE(D2158)"),"切爾諾貝利災難 - 維基百科免費百科全書你不只是喜歡核技術嗎？它是如此光榮 https://t.co/GHucazjSxB")</f>
        <v>切爾諾貝利災難 - 維基百科免費百科全書你不只是喜歡核技術嗎？它是如此光榮 https://t.co/GHucazjSxB</v>
      </c>
      <c r="G2158" s="4" t="str">
        <f>IFERROR(__xludf.DUMMYFUNCTION("GOOGLETRANSLATE(B2158)"),"核%20災難")</f>
        <v>核%20災難</v>
      </c>
    </row>
    <row r="2159" ht="15.75" customHeight="1">
      <c r="A2159" s="4">
        <v>7299.0</v>
      </c>
      <c r="B2159" s="4" t="s">
        <v>3364</v>
      </c>
      <c r="C2159" s="4" t="s">
        <v>708</v>
      </c>
      <c r="D2159" s="4" t="s">
        <v>3365</v>
      </c>
      <c r="E2159" s="4">
        <v>1.0</v>
      </c>
      <c r="F2159" s="4" t="str">
        <f>IFERROR(__xludf.DUMMYFUNCTION("GOOGLETRANSLATE(D2159)"),"2013 年至 2014 年間，全球核反應器建設市場成長了 4.5% http://t.co/74JppeK6o7")</f>
        <v>2013 年至 2014 年間，全球核反應器建設市場成長了 4.5% http://t.co/74JppeK6o7</v>
      </c>
      <c r="G2159" s="4" t="str">
        <f>IFERROR(__xludf.DUMMYFUNCTION("GOOGLETRANSLATE(B2159)"),"核%20反應器")</f>
        <v>核%20反應器</v>
      </c>
    </row>
    <row r="2160" ht="15.75" customHeight="1">
      <c r="A2160" s="4">
        <v>7301.0</v>
      </c>
      <c r="B2160" s="4" t="s">
        <v>3364</v>
      </c>
      <c r="C2160" s="4" t="s">
        <v>3366</v>
      </c>
      <c r="D2160" s="4" t="s">
        <v>3367</v>
      </c>
      <c r="E2160" s="4">
        <v>1.0</v>
      </c>
      <c r="F2160" s="4" t="str">
        <f>IFERROR(__xludf.DUMMYFUNCTION("GOOGLETRANSLATE(D2160)"),"塞勒姆 2 號核反應器因泵電路故障而關閉：塞勒姆 2 號核反應器... http://t.co/5hkGXzJLmX")</f>
        <v>塞勒姆 2 號核反應器因泵電路故障而關閉：塞勒姆 2 號核反應器... http://t.co/5hkGXzJLmX</v>
      </c>
      <c r="G2160" s="4" t="str">
        <f>IFERROR(__xludf.DUMMYFUNCTION("GOOGLETRANSLATE(B2160)"),"核%20反應器")</f>
        <v>核%20反應器</v>
      </c>
    </row>
    <row r="2161" ht="15.75" customHeight="1">
      <c r="A2161" s="4">
        <v>7306.0</v>
      </c>
      <c r="B2161" s="4" t="s">
        <v>3364</v>
      </c>
      <c r="D2161" s="4" t="s">
        <v>3368</v>
      </c>
      <c r="E2161" s="4">
        <v>1.0</v>
      </c>
      <c r="F2161" s="4" t="str">
        <f>IFERROR(__xludf.DUMMYFUNCTION("GOOGLETRANSLATE(D2161)"),"美國海軍邊線 3 最新潛水艇 - http://t.co/guvTIzyCHE： DefenseNews.com 美國海軍邊線 3 最新潛艇 D... http://t.co/SY2WhXT0K5 #navy")</f>
        <v>美國海軍邊線 3 最新潛水艇 - http://t.co/guvTIzyCHE： DefenseNews.com 美國海軍邊線 3 最新潛艇 D... http://t.co/SY2WhXT0K5 #navy</v>
      </c>
      <c r="G2161" s="4" t="str">
        <f>IFERROR(__xludf.DUMMYFUNCTION("GOOGLETRANSLATE(B2161)"),"核%20反應器")</f>
        <v>核%20反應器</v>
      </c>
    </row>
    <row r="2162" ht="15.75" customHeight="1">
      <c r="A2162" s="4">
        <v>7312.0</v>
      </c>
      <c r="B2162" s="4" t="s">
        <v>3364</v>
      </c>
      <c r="D2162" s="4" t="s">
        <v>3369</v>
      </c>
      <c r="E2162" s="4">
        <v>1.0</v>
      </c>
      <c r="F2162" s="4" t="str">
        <f>IFERROR(__xludf.DUMMYFUNCTION("GOOGLETRANSLATE(D2162)"),"@RobertHarding @RepJohnKatko 瘋狂地使用內塔尼亞胡的論點伊朗可以將核反應器沖進馬桶")</f>
        <v>@RobertHarding @RepJohnKatko 瘋狂地使用內塔尼亞胡的論點伊朗可以將核反應器沖進馬桶</v>
      </c>
      <c r="G2162" s="4" t="str">
        <f>IFERROR(__xludf.DUMMYFUNCTION("GOOGLETRANSLATE(B2162)"),"核%20反應器")</f>
        <v>核%20反應器</v>
      </c>
    </row>
    <row r="2163" ht="15.75" customHeight="1">
      <c r="A2163" s="4">
        <v>7316.0</v>
      </c>
      <c r="B2163" s="4" t="s">
        <v>3364</v>
      </c>
      <c r="C2163" s="4" t="s">
        <v>2898</v>
      </c>
      <c r="D2163" s="4" t="s">
        <v>3370</v>
      </c>
      <c r="E2163" s="4">
        <v>1.0</v>
      </c>
      <c r="F2163" s="4" t="str">
        <f>IFERROR(__xludf.DUMMYFUNCTION("GOOGLETRANSLATE(D2163)"),"核協議：印日協議是美國兩個反應器計畫的核心：如果日本繼續前進…http://t.co/XKURDr3yEv")</f>
        <v>核協議：印日協議是美國兩個反應器計畫的核心：如果日本繼續前進…http://t.co/XKURDr3yEv</v>
      </c>
      <c r="G2163" s="4" t="str">
        <f>IFERROR(__xludf.DUMMYFUNCTION("GOOGLETRANSLATE(B2163)"),"核%20反應器")</f>
        <v>核%20反應器</v>
      </c>
    </row>
    <row r="2164" ht="15.75" customHeight="1">
      <c r="A2164" s="4">
        <v>7317.0</v>
      </c>
      <c r="B2164" s="4" t="s">
        <v>3364</v>
      </c>
      <c r="C2164" s="4" t="s">
        <v>374</v>
      </c>
      <c r="D2164" s="4" t="s">
        <v>3371</v>
      </c>
      <c r="E2164" s="4">
        <v>1.0</v>
      </c>
      <c r="F2164" s="4" t="str">
        <f>IFERROR(__xludf.DUMMYFUNCTION("GOOGLETRANSLATE(D2164)"),"核子#太陽能#日本#福島反應器能源日本溫度號燃料池更多http://t.co/YS3nMwWyVc http://t.co/AlpotNB7q3")</f>
        <v>核子#太陽能#日本#福島反應器能源日本溫度號燃料池更多http://t.co/YS3nMwWyVc http://t.co/AlpotNB7q3</v>
      </c>
      <c r="G2164" s="4" t="str">
        <f>IFERROR(__xludf.DUMMYFUNCTION("GOOGLETRANSLATE(B2164)"),"核%20反應器")</f>
        <v>核%20反應器</v>
      </c>
    </row>
    <row r="2165" ht="15.75" customHeight="1">
      <c r="A2165" s="4">
        <v>7318.0</v>
      </c>
      <c r="B2165" s="4" t="s">
        <v>3364</v>
      </c>
      <c r="C2165" s="4" t="s">
        <v>3372</v>
      </c>
      <c r="D2165" s="4" t="s">
        <v>3373</v>
      </c>
      <c r="E2165" s="4">
        <v>1.0</v>
      </c>
      <c r="F2165" s="4" t="str">
        <f>IFERROR(__xludf.DUMMYFUNCTION("GOOGLETRANSLATE(D2165)"),"日本核反應器艦隊快速重啟 http://t.co/DbAUjp29Ub")</f>
        <v>日本核反應器艦隊快速重啟 http://t.co/DbAUjp29Ub</v>
      </c>
      <c r="G2165" s="4" t="str">
        <f>IFERROR(__xludf.DUMMYFUNCTION("GOOGLETRANSLATE(B2165)"),"核%20反應器")</f>
        <v>核%20反應器</v>
      </c>
    </row>
    <row r="2166" ht="15.75" customHeight="1">
      <c r="A2166" s="4">
        <v>7319.0</v>
      </c>
      <c r="B2166" s="4" t="s">
        <v>3364</v>
      </c>
      <c r="C2166" s="4" t="s">
        <v>3374</v>
      </c>
      <c r="D2166" s="4" t="s">
        <v>3375</v>
      </c>
      <c r="E2166" s="4">
        <v>1.0</v>
      </c>
      <c r="F2166" s="4" t="str">
        <f>IFERROR(__xludf.DUMMYFUNCTION("GOOGLETRANSLATE(D2166)"),"如果我沒記錯的話，我們就坐在核反應爐旁邊。當我們遇到災難性事件時，這並不明智。那個反應爐熔化了。")</f>
        <v>如果我沒記錯的話，我們就坐在核反應爐旁邊。當我們遇到災難性事件時，這並不明智。那個反應爐熔化了。</v>
      </c>
      <c r="G2166" s="4" t="str">
        <f>IFERROR(__xludf.DUMMYFUNCTION("GOOGLETRANSLATE(B2166)"),"核%20反應器")</f>
        <v>核%20反應器</v>
      </c>
    </row>
    <row r="2167" ht="15.75" customHeight="1">
      <c r="A2167" s="4">
        <v>7324.0</v>
      </c>
      <c r="B2167" s="4" t="s">
        <v>3364</v>
      </c>
      <c r="C2167" s="4" t="s">
        <v>1076</v>
      </c>
      <c r="D2167" s="4" t="s">
        <v>3376</v>
      </c>
      <c r="E2167" s="4">
        <v>1.0</v>
      </c>
      <c r="F2167" s="4" t="str">
        <f>IFERROR(__xludf.DUMMYFUNCTION("GOOGLETRANSLATE(D2167)"),"@stunckle @Gordon_R74 @crazydoctorlady ...我不是專家，但原鈾和核反應器燃料棒是兩種截然不同的生物...")</f>
        <v>@stunckle @Gordon_R74 @crazydoctorlady ...我不是專家，但原鈾和核反應器燃料棒是兩種截然不同的生物...</v>
      </c>
      <c r="G2167" s="4" t="str">
        <f>IFERROR(__xludf.DUMMYFUNCTION("GOOGLETRANSLATE(B2167)"),"核%20反應器")</f>
        <v>核%20反應器</v>
      </c>
    </row>
    <row r="2168" ht="15.75" customHeight="1">
      <c r="A2168" s="4">
        <v>7329.0</v>
      </c>
      <c r="B2168" s="4" t="s">
        <v>3364</v>
      </c>
      <c r="C2168" s="4" t="s">
        <v>3377</v>
      </c>
      <c r="D2168" s="4" t="s">
        <v>3378</v>
      </c>
      <c r="E2168" s="4">
        <v>1.0</v>
      </c>
      <c r="F2168" s="4" t="str">
        <f>IFERROR(__xludf.DUMMYFUNCTION("GOOGLETRANSLATE(D2168)"),"滾動的沙丘、大海的溫柔拍打、海鷗的叫聲和核反應器#sizewell http://t.co/X9CUiHIb5n")</f>
        <v>滾動的沙丘、大海的溫柔拍打、海鷗的叫聲和核反應器#sizewell http://t.co/X9CUiHIb5n</v>
      </c>
      <c r="G2168" s="4" t="str">
        <f>IFERROR(__xludf.DUMMYFUNCTION("GOOGLETRANSLATE(B2168)"),"核%20反應器")</f>
        <v>核%20反應器</v>
      </c>
    </row>
    <row r="2169" ht="15.75" customHeight="1">
      <c r="A2169" s="4">
        <v>7334.0</v>
      </c>
      <c r="B2169" s="4" t="s">
        <v>3364</v>
      </c>
      <c r="C2169" s="4" t="s">
        <v>708</v>
      </c>
      <c r="D2169" s="4" t="s">
        <v>3379</v>
      </c>
      <c r="E2169" s="4">
        <v>1.0</v>
      </c>
      <c r="F2169" s="4" t="str">
        <f>IFERROR(__xludf.DUMMYFUNCTION("GOOGLETRANSLATE(D2169)"),"塞勒姆 2 號核反應器因泵電路故障而關閉 http://t.co/LQjjy1PTWT")</f>
        <v>塞勒姆 2 號核反應器因泵電路故障而關閉 http://t.co/LQjjy1PTWT</v>
      </c>
      <c r="G2169" s="4" t="str">
        <f>IFERROR(__xludf.DUMMYFUNCTION("GOOGLETRANSLATE(B2169)"),"核%20反應器")</f>
        <v>核%20反應器</v>
      </c>
    </row>
    <row r="2170" ht="15.75" customHeight="1">
      <c r="A2170" s="4">
        <v>7335.0</v>
      </c>
      <c r="B2170" s="4" t="s">
        <v>3364</v>
      </c>
      <c r="C2170" s="4" t="s">
        <v>376</v>
      </c>
      <c r="D2170" s="4" t="s">
        <v>3380</v>
      </c>
      <c r="E2170" s="4">
        <v>1.0</v>
      </c>
      <c r="F2170" s="4" t="str">
        <f>IFERROR(__xludf.DUMMYFUNCTION("GOOGLETRANSLATE(D2170)"),"芬蘭部長：Fennovoima 核反應爐將繼續建造 http://t.co/vB3VFm76ke #worldnews #news #breakingnews")</f>
        <v>芬蘭部長：Fennovoima 核反應爐將繼續建造 http://t.co/vB3VFm76ke #worldnews #news #breakingnews</v>
      </c>
      <c r="G2170" s="4" t="str">
        <f>IFERROR(__xludf.DUMMYFUNCTION("GOOGLETRANSLATE(B2170)"),"核%20反應器")</f>
        <v>核%20反應器</v>
      </c>
    </row>
    <row r="2171" ht="15.75" customHeight="1">
      <c r="A2171" s="4">
        <v>7337.0</v>
      </c>
      <c r="B2171" s="4" t="s">
        <v>3364</v>
      </c>
      <c r="D2171" s="4" t="s">
        <v>3381</v>
      </c>
      <c r="E2171" s="4">
        <v>1.0</v>
      </c>
      <c r="F2171" s="4" t="str">
        <f>IFERROR(__xludf.DUMMYFUNCTION("GOOGLETRANSLATE(D2171)"),"塞勒姆 2 號核反應器因泵電路故障而關閉 - http://t.co/98o2Kc3A1Z http://t.co/tGdontTkty")</f>
        <v>塞勒姆 2 號核反應器因泵電路故障而關閉 - http://t.co/98o2Kc3A1Z http://t.co/tGdontTkty</v>
      </c>
      <c r="G2171" s="4" t="str">
        <f>IFERROR(__xludf.DUMMYFUNCTION("GOOGLETRANSLATE(B2171)"),"核%20反應器")</f>
        <v>核%20反應器</v>
      </c>
    </row>
    <row r="2172" ht="15.75" customHeight="1">
      <c r="A2172" s="4">
        <v>7342.0</v>
      </c>
      <c r="B2172" s="4" t="s">
        <v>3364</v>
      </c>
      <c r="C2172" s="4" t="s">
        <v>3382</v>
      </c>
      <c r="D2172" s="4" t="s">
        <v>3383</v>
      </c>
      <c r="E2172" s="4">
        <v>1.0</v>
      </c>
      <c r="F2172" s="4" t="str">
        <f>IFERROR(__xludf.DUMMYFUNCTION("GOOGLETRANSLATE(D2172)"),"@SnowyWolf5 @TheGreenParty 此外，您願意一次關閉整個核反應器進行維護還是關閉風力渦輪機？")</f>
        <v>@SnowyWolf5 @TheGreenParty 此外，您願意一次關閉整個核反應器進行維護還是關閉風力渦輪機？</v>
      </c>
      <c r="G2172" s="4" t="str">
        <f>IFERROR(__xludf.DUMMYFUNCTION("GOOGLETRANSLATE(B2172)"),"核%20反應器")</f>
        <v>核%20反應器</v>
      </c>
    </row>
    <row r="2173" ht="15.75" customHeight="1">
      <c r="A2173" s="4">
        <v>7356.0</v>
      </c>
      <c r="B2173" s="4" t="s">
        <v>3384</v>
      </c>
      <c r="C2173" s="4" t="s">
        <v>3385</v>
      </c>
      <c r="D2173" s="4" t="s">
        <v>3386</v>
      </c>
      <c r="E2173" s="4">
        <v>1.0</v>
      </c>
      <c r="F2173" s="4" t="str">
        <f>IFERROR(__xludf.DUMMYFUNCTION("GOOGLETRANSLATE(D2173)"),"而傑茲將透過簡單地印鈔票來消除國債 - 並帶來許多新的好處！天才！ https://t.co/RefbkVG9R")</f>
        <v>而傑茲將透過簡單地印鈔票來消除國債 - 並帶來許多新的好處！天才！ https://t.co/RefbkVG9R</v>
      </c>
      <c r="G2173" s="4" t="str">
        <f>IFERROR(__xludf.DUMMYFUNCTION("GOOGLETRANSLATE(B2173)"),"泯")</f>
        <v>泯</v>
      </c>
    </row>
    <row r="2174" ht="15.75" customHeight="1">
      <c r="A2174" s="4">
        <v>7361.0</v>
      </c>
      <c r="B2174" s="4" t="s">
        <v>3384</v>
      </c>
      <c r="C2174" s="4" t="s">
        <v>3387</v>
      </c>
      <c r="D2174" s="4" t="s">
        <v>3388</v>
      </c>
      <c r="E2174" s="4">
        <v>1.0</v>
      </c>
      <c r="F2174" s="4" t="str">
        <f>IFERROR(__xludf.DUMMYFUNCTION("GOOGLETRANSLATE(D2174)"),"@McCaineNL 想像一下，當石牆騷亂摧毀白宮時，那將會是多麼壯觀。")</f>
        <v>@McCaineNL 想像一下，當石牆騷亂摧毀白宮時，那將會是多麼壯觀。</v>
      </c>
      <c r="G2174" s="4" t="str">
        <f>IFERROR(__xludf.DUMMYFUNCTION("GOOGLETRANSLATE(B2174)"),"泯")</f>
        <v>泯</v>
      </c>
    </row>
    <row r="2175" ht="15.75" customHeight="1">
      <c r="A2175" s="4">
        <v>7362.0</v>
      </c>
      <c r="B2175" s="4" t="s">
        <v>3384</v>
      </c>
      <c r="C2175" s="4" t="s">
        <v>3389</v>
      </c>
      <c r="D2175" s="4" t="s">
        <v>3390</v>
      </c>
      <c r="E2175" s="4">
        <v>1.0</v>
      </c>
      <c r="F2175" s="4" t="str">
        <f>IFERROR(__xludf.DUMMYFUNCTION("GOOGLETRANSLATE(D2175)"),"觀看莎拉佩林因針對少數族裔婦女而抹殺計劃生育！ ÛÒ BB4SP http://t.co/Dm0uUpqGWY")</f>
        <v>觀看莎拉佩林因針對少數族裔婦女而抹殺計劃生育！ ÛÒ BB4SP http://t.co/Dm0uUpqGWY</v>
      </c>
      <c r="G2175" s="4" t="str">
        <f>IFERROR(__xludf.DUMMYFUNCTION("GOOGLETRANSLATE(B2175)"),"泯")</f>
        <v>泯</v>
      </c>
    </row>
    <row r="2176" ht="15.75" customHeight="1">
      <c r="A2176" s="4">
        <v>7377.0</v>
      </c>
      <c r="B2176" s="4" t="s">
        <v>3384</v>
      </c>
      <c r="C2176" s="4" t="s">
        <v>3391</v>
      </c>
      <c r="D2176" s="4" t="s">
        <v>3392</v>
      </c>
      <c r="E2176" s="4">
        <v>1.0</v>
      </c>
      <c r="F2176" s="4" t="str">
        <f>IFERROR(__xludf.DUMMYFUNCTION("GOOGLETRANSLATE(D2176)"),"有人教你服從會消除你生活中的考驗，他正試圖向你推銷一輛二手車。耶穌的一生推翻了這個理論。")</f>
        <v>有人教你服從會消除你生活中的考驗，他正試圖向你推銷一輛二手車。耶穌的一生推翻了這個理論。</v>
      </c>
      <c r="G2176" s="4" t="str">
        <f>IFERROR(__xludf.DUMMYFUNCTION("GOOGLETRANSLATE(B2176)"),"泯")</f>
        <v>泯</v>
      </c>
    </row>
    <row r="2177" ht="15.75" customHeight="1">
      <c r="A2177" s="4">
        <v>7407.0</v>
      </c>
      <c r="B2177" s="4" t="s">
        <v>3393</v>
      </c>
      <c r="D2177" s="4" t="s">
        <v>3394</v>
      </c>
      <c r="E2177" s="4">
        <v>1.0</v>
      </c>
      <c r="F2177" s="4" t="str">
        <f>IFERROR(__xludf.DUMMYFUNCTION("GOOGLETRANSLATE(D2177)"),"@breaknewslh @bree_mars 觀看 cnn 的七十年代恐怖主義劇集。伊朗一直憎恨美國，他們希望我們被消滅。")</f>
        <v>@breaknewslh @bree_mars 觀看 cnn 的七十年代恐怖主義劇集。伊朗一直憎恨美國，他們希望我們被消滅。</v>
      </c>
      <c r="G2177" s="4" t="str">
        <f>IFERROR(__xludf.DUMMYFUNCTION("GOOGLETRANSLATE(B2177)"),"被抹殺的")</f>
        <v>被抹殺的</v>
      </c>
    </row>
    <row r="2178" ht="15.75" customHeight="1">
      <c r="A2178" s="4">
        <v>7415.0</v>
      </c>
      <c r="B2178" s="4" t="s">
        <v>3393</v>
      </c>
      <c r="C2178" s="4" t="s">
        <v>3395</v>
      </c>
      <c r="D2178" s="4" t="s">
        <v>3396</v>
      </c>
      <c r="E2178" s="4">
        <v>1.0</v>
      </c>
      <c r="F2178" s="4" t="str">
        <f>IFERROR(__xludf.DUMMYFUNCTION("GOOGLETRANSLATE(D2178)"),"醉酒餐 101：當你徹底崩潰時該做什麼 http://t.co/m19iVWrdkk")</f>
        <v>醉酒餐 101：當你徹底崩潰時該做什麼 http://t.co/m19iVWrdkk</v>
      </c>
      <c r="G2178" s="4" t="str">
        <f>IFERROR(__xludf.DUMMYFUNCTION("GOOGLETRANSLATE(B2178)"),"被抹殺的")</f>
        <v>被抹殺的</v>
      </c>
    </row>
    <row r="2179" ht="15.75" customHeight="1">
      <c r="A2179" s="4">
        <v>7425.0</v>
      </c>
      <c r="B2179" s="4" t="s">
        <v>3393</v>
      </c>
      <c r="C2179" s="4" t="s">
        <v>1276</v>
      </c>
      <c r="D2179" s="4" t="s">
        <v>3397</v>
      </c>
      <c r="E2179" s="4">
        <v>1.0</v>
      </c>
      <c r="F2179" s="4" t="str">
        <f>IFERROR(__xludf.DUMMYFUNCTION("GOOGLETRANSLATE(D2179)"),"像#MicheleBachman這樣的WACKOS預測世界很快就會被燃燒的地獄所毀滅，但無法接受#GlobalWarming！你好！！！")</f>
        <v>像#MicheleBachman這樣的WACKOS預測世界很快就會被燃燒的地獄所毀滅，但無法接受#GlobalWarming！你好！！！</v>
      </c>
      <c r="G2179" s="4" t="str">
        <f>IFERROR(__xludf.DUMMYFUNCTION("GOOGLETRANSLATE(B2179)"),"被抹殺的")</f>
        <v>被抹殺的</v>
      </c>
    </row>
    <row r="2180" ht="15.75" customHeight="1">
      <c r="A2180" s="4">
        <v>7437.0</v>
      </c>
      <c r="B2180" s="4" t="s">
        <v>3393</v>
      </c>
      <c r="C2180" s="4" t="s">
        <v>3398</v>
      </c>
      <c r="D2180" s="4" t="s">
        <v>3399</v>
      </c>
      <c r="E2180" s="4">
        <v>1.0</v>
      </c>
      <c r="F2180" s="4" t="str">
        <f>IFERROR(__xludf.DUMMYFUNCTION("GOOGLETRANSLATE(D2180)"),"@TheEvilOlives 這是距離次波中心最近的結構，但沒有完全消失。")</f>
        <v>@TheEvilOlives 這是距離次波中心最近的結構，但沒有完全消失。</v>
      </c>
      <c r="G2180" s="4" t="str">
        <f>IFERROR(__xludf.DUMMYFUNCTION("GOOGLETRANSLATE(B2180)"),"被抹殺的")</f>
        <v>被抹殺的</v>
      </c>
    </row>
    <row r="2181" ht="15.75" customHeight="1">
      <c r="A2181" s="4">
        <v>7446.0</v>
      </c>
      <c r="B2181" s="4" t="s">
        <v>3400</v>
      </c>
      <c r="C2181" s="4" t="s">
        <v>2120</v>
      </c>
      <c r="D2181" s="4" t="s">
        <v>3401</v>
      </c>
      <c r="E2181" s="4">
        <v>1.0</v>
      </c>
      <c r="F2181" s="4" t="str">
        <f>IFERROR(__xludf.DUMMYFUNCTION("GOOGLETRANSLATE(D2181)"),"受控媒體稱「美國很好」。普丁不好。 #WW3 好和平與壞'。完全是廢話！別管俄羅斯了。不要用刪除來骰子。 #妖魔化")</f>
        <v>受控媒體稱「美國很好」。普丁不好。 #WW3 好和平與壞'。完全是廢話！別管俄羅斯了。不要用刪除來骰子。 #妖魔化</v>
      </c>
      <c r="G2181" s="4" t="str">
        <f>IFERROR(__xludf.DUMMYFUNCTION("GOOGLETRANSLATE(B2181)"),"抹殺")</f>
        <v>抹殺</v>
      </c>
    </row>
    <row r="2182" ht="15.75" customHeight="1">
      <c r="A2182" s="4">
        <v>7457.0</v>
      </c>
      <c r="B2182" s="4" t="s">
        <v>3400</v>
      </c>
      <c r="C2182" s="4" t="s">
        <v>3402</v>
      </c>
      <c r="D2182" s="4" t="s">
        <v>3403</v>
      </c>
      <c r="E2182" s="4">
        <v>1.0</v>
      </c>
      <c r="F2182" s="4" t="str">
        <f>IFERROR(__xludf.DUMMYFUNCTION("GOOGLETRANSLATE(D2182)"),"@ThatSabineGirl 你明白我的意思了，姊姊。這個星球可能需要大量的毀滅。")</f>
        <v>@ThatSabineGirl 你明白我的意思了，姊姊。這個星球可能需要大量的毀滅。</v>
      </c>
      <c r="G2182" s="4" t="str">
        <f>IFERROR(__xludf.DUMMYFUNCTION("GOOGLETRANSLATE(B2182)"),"抹殺")</f>
        <v>抹殺</v>
      </c>
    </row>
    <row r="2183" ht="15.75" customHeight="1">
      <c r="A2183" s="4">
        <v>7463.0</v>
      </c>
      <c r="B2183" s="4" t="s">
        <v>3400</v>
      </c>
      <c r="D2183" s="4" t="s">
        <v>3404</v>
      </c>
      <c r="E2183" s="4">
        <v>1.0</v>
      </c>
      <c r="F2183" s="4" t="str">
        <f>IFERROR(__xludf.DUMMYFUNCTION("GOOGLETRANSLATE(D2183)"),"@tiggr_為什麼只有小隊消滅？")</f>
        <v>@tiggr_為什麼只有小隊消滅？</v>
      </c>
      <c r="G2183" s="4" t="str">
        <f>IFERROR(__xludf.DUMMYFUNCTION("GOOGLETRANSLATE(B2183)"),"抹殺")</f>
        <v>抹殺</v>
      </c>
    </row>
    <row r="2184" ht="15.75" customHeight="1">
      <c r="A2184" s="4">
        <v>7494.0</v>
      </c>
      <c r="B2184" s="4" t="s">
        <v>3400</v>
      </c>
      <c r="C2184" s="4" t="s">
        <v>3405</v>
      </c>
      <c r="D2184" s="4" t="s">
        <v>3406</v>
      </c>
      <c r="E2184" s="4">
        <v>1.0</v>
      </c>
      <c r="F2184" s="4" t="str">
        <f>IFERROR(__xludf.DUMMYFUNCTION("GOOGLETRANSLATE(D2184)"),"湮滅之路
死而復生
故事作者：@KyleWappler @thisishavehope
 http://t.co/1PdNlsP8XW")</f>
        <v>湮滅之路
死而復生
故事作者：@KyleWappler @thisishavehope
 http://t.co/1PdNlsP8XW</v>
      </c>
      <c r="G2184" s="4" t="str">
        <f>IFERROR(__xludf.DUMMYFUNCTION("GOOGLETRANSLATE(B2184)"),"抹殺")</f>
        <v>抹殺</v>
      </c>
    </row>
    <row r="2185" ht="15.75" customHeight="1">
      <c r="A2185" s="4">
        <v>7496.0</v>
      </c>
      <c r="B2185" s="4" t="s">
        <v>3407</v>
      </c>
      <c r="C2185" s="4" t="s">
        <v>3408</v>
      </c>
      <c r="D2185" s="4" t="s">
        <v>3409</v>
      </c>
      <c r="E2185" s="4">
        <v>1.0</v>
      </c>
      <c r="F2185" s="4" t="str">
        <f>IFERROR(__xludf.DUMMYFUNCTION("GOOGLETRANSLATE(D2185)"),"SB57 [新] 深水地平線漏油事件分配來自 BP 結算路橋計畫的資金... http://t.co/dKpsrkG6pc")</f>
        <v>SB57 [新] 深水地平線漏油事件分配來自 BP 結算路橋計畫的資金... http://t.co/dKpsrkG6pc</v>
      </c>
      <c r="G2185" s="4" t="str">
        <f>IFERROR(__xludf.DUMMYFUNCTION("GOOGLETRANSLATE(B2185)"),"油%20洩漏")</f>
        <v>油%20洩漏</v>
      </c>
    </row>
    <row r="2186" ht="15.75" customHeight="1">
      <c r="A2186" s="4">
        <v>7497.0</v>
      </c>
      <c r="B2186" s="4" t="s">
        <v>3407</v>
      </c>
      <c r="C2186" s="4" t="s">
        <v>942</v>
      </c>
      <c r="D2186" s="4" t="s">
        <v>3410</v>
      </c>
      <c r="E2186" s="4">
        <v>1.0</v>
      </c>
      <c r="F2186" s="4" t="str">
        <f>IFERROR(__xludf.DUMMYFUNCTION("GOOGLETRANSLATE(D2186)"),"加州漏油事故規模可能比預計的還要大：http://t.co/xwxBYHTuzC http://t.co/wzeDxEFBlg")</f>
        <v>加州漏油事故規模可能比預計的還要大：http://t.co/xwxBYHTuzC http://t.co/wzeDxEFBlg</v>
      </c>
      <c r="G2186" s="4" t="str">
        <f>IFERROR(__xludf.DUMMYFUNCTION("GOOGLETRANSLATE(B2186)"),"油%20洩漏")</f>
        <v>油%20洩漏</v>
      </c>
    </row>
    <row r="2187" ht="15.75" customHeight="1">
      <c r="A2187" s="4">
        <v>7498.0</v>
      </c>
      <c r="B2187" s="4" t="s">
        <v>3407</v>
      </c>
      <c r="D2187" s="4" t="s">
        <v>3411</v>
      </c>
      <c r="E2187" s="4">
        <v>1.0</v>
      </c>
      <c r="F2187" s="4" t="str">
        <f>IFERROR(__xludf.DUMMYFUNCTION("GOOGLETRANSLATE(D2187)"),"避難所漏油事故的代價可能比預計的更大：美國平原管道漏油事故...... http://t.co/yhmrEgAuxZ")</f>
        <v>避難所漏油事故的代價可能比預計的更大：美國平原管道漏油事故...... http://t.co/yhmrEgAuxZ</v>
      </c>
      <c r="G2187" s="4" t="str">
        <f>IFERROR(__xludf.DUMMYFUNCTION("GOOGLETRANSLATE(B2187)"),"油%20洩漏")</f>
        <v>油%20洩漏</v>
      </c>
    </row>
    <row r="2188" ht="15.75" customHeight="1">
      <c r="A2188" s="4">
        <v>7501.0</v>
      </c>
      <c r="B2188" s="4" t="s">
        <v>3407</v>
      </c>
      <c r="C2188" s="4" t="s">
        <v>1019</v>
      </c>
      <c r="D2188" s="4" t="s">
        <v>3412</v>
      </c>
      <c r="E2188" s="4">
        <v>1.0</v>
      </c>
      <c r="F2188" s="4" t="str">
        <f>IFERROR(__xludf.DUMMYFUNCTION("GOOGLETRANSLATE(D2188)"),"洛杉磯時報：避難所漏油事件的代價可能比預計的更大 http://t.co/g37huJx6et")</f>
        <v>洛杉磯時報：避難所漏油事件的代價可能比預計的更大 http://t.co/g37huJx6et</v>
      </c>
      <c r="G2188" s="4" t="str">
        <f>IFERROR(__xludf.DUMMYFUNCTION("GOOGLETRANSLATE(B2188)"),"油%20洩漏")</f>
        <v>油%20洩漏</v>
      </c>
    </row>
    <row r="2189" ht="15.75" customHeight="1">
      <c r="A2189" s="4">
        <v>7502.0</v>
      </c>
      <c r="B2189" s="4" t="s">
        <v>3407</v>
      </c>
      <c r="C2189" s="4" t="s">
        <v>3413</v>
      </c>
      <c r="D2189" s="4" t="s">
        <v>3414</v>
      </c>
      <c r="E2189" s="4">
        <v>1.0</v>
      </c>
      <c r="F2189" s="4" t="str">
        <f>IFERROR(__xludf.DUMMYFUNCTION("GOOGLETRANSLATE(D2189)"),"美聯社透過《紐約時報》報導「加州：春季漏油事故預估增加」 http://t.co/6Cx46E7QB7")</f>
        <v>美聯社透過《紐約時報》報導「加州：春季漏油事故預估增加」 http://t.co/6Cx46E7QB7</v>
      </c>
      <c r="G2189" s="4" t="str">
        <f>IFERROR(__xludf.DUMMYFUNCTION("GOOGLETRANSLATE(B2189)"),"油%20洩漏")</f>
        <v>油%20洩漏</v>
      </c>
    </row>
    <row r="2190" ht="15.75" customHeight="1">
      <c r="A2190" s="4">
        <v>7503.0</v>
      </c>
      <c r="B2190" s="4" t="s">
        <v>3407</v>
      </c>
      <c r="C2190" s="4" t="s">
        <v>289</v>
      </c>
      <c r="D2190" s="4" t="s">
        <v>3415</v>
      </c>
      <c r="E2190" s="4">
        <v>1.0</v>
      </c>
      <c r="F2190" s="4" t="str">
        <f>IFERROR(__xludf.DUMMYFUNCTION("GOOGLETRANSLATE(D2190)"),"避難所漏油事件的代價可能比預計的更大 http://t.co/41L8tqCAey")</f>
        <v>避難所漏油事件的代價可能比預計的更大 http://t.co/41L8tqCAey</v>
      </c>
      <c r="G2190" s="4" t="str">
        <f>IFERROR(__xludf.DUMMYFUNCTION("GOOGLETRANSLATE(B2190)"),"油%20洩漏")</f>
        <v>油%20洩漏</v>
      </c>
    </row>
    <row r="2191" ht="15.75" customHeight="1">
      <c r="A2191" s="4">
        <v>7504.0</v>
      </c>
      <c r="B2191" s="4" t="s">
        <v>3407</v>
      </c>
      <c r="C2191" s="4" t="s">
        <v>1118</v>
      </c>
      <c r="D2191" s="4" t="s">
        <v>3416</v>
      </c>
      <c r="E2191" s="4">
        <v>1.0</v>
      </c>
      <c r="F2191" s="4" t="str">
        <f>IFERROR(__xludf.DUMMYFUNCTION("GOOGLETRANSLATE(D2191)"),"避難所漏油事件的代價可能比預計的更大 http://t.co/Rqu5Ub8PLF")</f>
        <v>避難所漏油事件的代價可能比預計的更大 http://t.co/Rqu5Ub8PLF</v>
      </c>
      <c r="G2191" s="4" t="str">
        <f>IFERROR(__xludf.DUMMYFUNCTION("GOOGLETRANSLATE(B2191)"),"油%20洩漏")</f>
        <v>油%20洩漏</v>
      </c>
    </row>
    <row r="2192" ht="15.75" customHeight="1">
      <c r="A2192" s="4">
        <v>7505.0</v>
      </c>
      <c r="B2192" s="4" t="s">
        <v>3407</v>
      </c>
      <c r="C2192" s="4" t="s">
        <v>974</v>
      </c>
      <c r="D2192" s="4" t="s">
        <v>3417</v>
      </c>
      <c r="E2192" s="4">
        <v>1.0</v>
      </c>
      <c r="F2192" s="4" t="str">
        <f>IFERROR(__xludf.DUMMYFUNCTION("GOOGLETRANSLATE(D2192)"),"避難所漏油事件的代價可能比預計的更大 http://t.co/OSJUrFDDkt")</f>
        <v>避難所漏油事件的代價可能比預計的更大 http://t.co/OSJUrFDDkt</v>
      </c>
      <c r="G2192" s="4" t="str">
        <f>IFERROR(__xludf.DUMMYFUNCTION("GOOGLETRANSLATE(B2192)"),"油%20洩漏")</f>
        <v>油%20洩漏</v>
      </c>
    </row>
    <row r="2193" ht="15.75" customHeight="1">
      <c r="A2193" s="4">
        <v>7507.0</v>
      </c>
      <c r="B2193" s="4" t="s">
        <v>3407</v>
      </c>
      <c r="D2193" s="4" t="s">
        <v>3418</v>
      </c>
      <c r="E2193" s="4">
        <v>1.0</v>
      </c>
      <c r="F2193" s="4" t="str">
        <f>IFERROR(__xludf.DUMMYFUNCTION("GOOGLETRANSLATE(D2193)"),"避難所漏油事件的代價可能比預計的更大 http://t.co/lzob8qOH1B")</f>
        <v>避難所漏油事件的代價可能比預計的更大 http://t.co/lzob8qOH1B</v>
      </c>
      <c r="G2193" s="4" t="str">
        <f>IFERROR(__xludf.DUMMYFUNCTION("GOOGLETRANSLATE(B2193)"),"油%20洩漏")</f>
        <v>油%20洩漏</v>
      </c>
    </row>
    <row r="2194" ht="15.75" customHeight="1">
      <c r="A2194" s="4">
        <v>7510.0</v>
      </c>
      <c r="B2194" s="4" t="s">
        <v>3407</v>
      </c>
      <c r="C2194" s="4" t="s">
        <v>289</v>
      </c>
      <c r="D2194" s="4" t="s">
        <v>3419</v>
      </c>
      <c r="E2194" s="4">
        <v>1.0</v>
      </c>
      <c r="F2194" s="4" t="str">
        <f>IFERROR(__xludf.DUMMYFUNCTION("GOOGLETRANSLATE(D2194)"),"避難所漏油事件的代價可能比預計的更大 http://t.co/BIEYgUqpB1")</f>
        <v>避難所漏油事件的代價可能比預計的更大 http://t.co/BIEYgUqpB1</v>
      </c>
      <c r="G2194" s="4" t="str">
        <f>IFERROR(__xludf.DUMMYFUNCTION("GOOGLETRANSLATE(B2194)"),"油%20洩漏")</f>
        <v>油%20洩漏</v>
      </c>
    </row>
    <row r="2195" ht="15.75" customHeight="1">
      <c r="A2195" s="4">
        <v>7512.0</v>
      </c>
      <c r="B2195" s="4" t="s">
        <v>3407</v>
      </c>
      <c r="C2195" s="4" t="s">
        <v>3420</v>
      </c>
      <c r="D2195" s="4" t="s">
        <v>3421</v>
      </c>
      <c r="E2195" s="4">
        <v>1.0</v>
      </c>
      <c r="F2195" s="4" t="str">
        <f>IFERROR(__xludf.DUMMYFUNCTION("GOOGLETRANSLATE(D2195)"),"雪梨交通危險漏油 - BANKSTOWN Stacey St at Wattle St #sydtraffic #trafficnetwork")</f>
        <v>雪梨交通危險漏油 - BANKSTOWN Stacey St at Wattle St #sydtraffic #trafficnetwork</v>
      </c>
      <c r="G2195" s="4" t="str">
        <f>IFERROR(__xludf.DUMMYFUNCTION("GOOGLETRANSLATE(B2195)"),"油%20洩漏")</f>
        <v>油%20洩漏</v>
      </c>
    </row>
    <row r="2196" ht="15.75" customHeight="1">
      <c r="A2196" s="4">
        <v>7513.0</v>
      </c>
      <c r="B2196" s="4" t="s">
        <v>3407</v>
      </c>
      <c r="C2196" s="4" t="s">
        <v>3422</v>
      </c>
      <c r="D2196" s="4" t="s">
        <v>3423</v>
      </c>
      <c r="E2196" s="4">
        <v>1.0</v>
      </c>
      <c r="F2196" s="4" t="str">
        <f>IFERROR(__xludf.DUMMYFUNCTION("GOOGLETRANSLATE(D2196)"),"Plains All American Pipeline 公司的原油洩漏量可能比先前估計的多 40% #KSBYNews @lilitan http://t.co/PegibIqk2w")</f>
        <v>Plains All American Pipeline 公司的原油洩漏量可能比先前估計的多 40% #KSBYNews @lilitan http://t.co/PegibIqk2w</v>
      </c>
      <c r="G2196" s="4" t="str">
        <f>IFERROR(__xludf.DUMMYFUNCTION("GOOGLETRANSLATE(B2196)"),"油%20洩漏")</f>
        <v>油%20洩漏</v>
      </c>
    </row>
    <row r="2197" ht="15.75" customHeight="1">
      <c r="A2197" s="4">
        <v>7514.0</v>
      </c>
      <c r="B2197" s="4" t="s">
        <v>3407</v>
      </c>
      <c r="D2197" s="4" t="s">
        <v>3424</v>
      </c>
      <c r="E2197" s="4">
        <v>1.0</v>
      </c>
      <c r="F2197" s="4" t="str">
        <f>IFERROR(__xludf.DUMMYFUNCTION("GOOGLETRANSLATE(D2197)"),"SYD 交通危險 漏油 - BANKSTOWN Stacey St at Wattle St http://t.co/TZyHdBW9f5")</f>
        <v>SYD 交通危險 漏油 - BANKSTOWN Stacey St at Wattle St http://t.co/TZyHdBW9f5</v>
      </c>
      <c r="G2197" s="4" t="str">
        <f>IFERROR(__xludf.DUMMYFUNCTION("GOOGLETRANSLATE(B2197)"),"油%20洩漏")</f>
        <v>油%20洩漏</v>
      </c>
    </row>
    <row r="2198" ht="15.75" customHeight="1">
      <c r="A2198" s="4">
        <v>7515.0</v>
      </c>
      <c r="B2198" s="4" t="s">
        <v>3407</v>
      </c>
      <c r="C2198" s="4" t="s">
        <v>3425</v>
      </c>
      <c r="D2198" s="4" t="s">
        <v>3426</v>
      </c>
      <c r="E2198" s="4">
        <v>1.0</v>
      </c>
      <c r="F2198" s="4" t="str">
        <f>IFERROR(__xludf.DUMMYFUNCTION("GOOGLETRANSLATE(D2198)"),"觀看溫德爾貝裡 (Wendell Berry) 談論墨西哥灣英國石油公司漏油事件的影片。
今天是生日... http://t.co/tN1aX1xMBB")</f>
        <v>觀看溫德爾貝裡 (Wendell Berry) 談論墨西哥灣英國石油公司漏油事件的影片。
今天是生日... http://t.co/tN1aX1xMBB</v>
      </c>
      <c r="G2198" s="4" t="str">
        <f>IFERROR(__xludf.DUMMYFUNCTION("GOOGLETRANSLATE(B2198)"),"油%20洩漏")</f>
        <v>油%20洩漏</v>
      </c>
    </row>
    <row r="2199" ht="15.75" customHeight="1">
      <c r="A2199" s="4">
        <v>7517.0</v>
      </c>
      <c r="B2199" s="4" t="s">
        <v>3407</v>
      </c>
      <c r="C2199" s="4" t="s">
        <v>3427</v>
      </c>
      <c r="D2199" s="4" t="s">
        <v>3428</v>
      </c>
      <c r="E2199" s="4">
        <v>1.0</v>
      </c>
      <c r="F2199" s="4" t="str">
        <f>IFERROR(__xludf.DUMMYFUNCTION("GOOGLETRANSLATE(D2199)"),"國家簡報|西部：加州：春季漏油事故預估增加：週三發布的文件揭露... http://t.co/wBi7Laq18E")</f>
        <v>國家簡報|西部：加州：春季漏油事故預估增加：週三發布的文件揭露... http://t.co/wBi7Laq18E</v>
      </c>
      <c r="G2199" s="4" t="str">
        <f>IFERROR(__xludf.DUMMYFUNCTION("GOOGLETRANSLATE(B2199)"),"油%20洩漏")</f>
        <v>油%20洩漏</v>
      </c>
    </row>
    <row r="2200" ht="15.75" customHeight="1">
      <c r="A2200" s="4">
        <v>7518.0</v>
      </c>
      <c r="B2200" s="4" t="s">
        <v>3407</v>
      </c>
      <c r="C2200" s="4" t="s">
        <v>126</v>
      </c>
      <c r="D2200" s="4" t="s">
        <v>3429</v>
      </c>
      <c r="E2200" s="4">
        <v>1.0</v>
      </c>
      <c r="F2200" s="4" t="str">
        <f>IFERROR(__xludf.DUMMYFUNCTION("GOOGLETRANSLATE(D2200)"),"DTN 巴西：避難所漏油事故的代價可能比預計的更大：美國平原管道漏油事件... http://t.co/pDOSrg8Cf7")</f>
        <v>DTN 巴西：避難所漏油事故的代價可能比預計的更大：美國平原管道漏油事件... http://t.co/pDOSrg8Cf7</v>
      </c>
      <c r="G2200" s="4" t="str">
        <f>IFERROR(__xludf.DUMMYFUNCTION("GOOGLETRANSLATE(B2200)"),"油%20洩漏")</f>
        <v>油%20洩漏</v>
      </c>
    </row>
    <row r="2201" ht="15.75" customHeight="1">
      <c r="A2201" s="4">
        <v>7519.0</v>
      </c>
      <c r="B2201" s="4" t="s">
        <v>3407</v>
      </c>
      <c r="D2201" s="4" t="s">
        <v>3430</v>
      </c>
      <c r="E2201" s="4">
        <v>1.0</v>
      </c>
      <c r="F2201" s="4" t="str">
        <f>IFERROR(__xludf.DUMMYFUNCTION("GOOGLETRANSLATE(D2201)"),"漢娜：「廣島聽起來像是中國的一個地方。那不是漏油的地方嗎？")</f>
        <v>漢娜：「廣島聽起來像是中國的一個地方。那不是漏油的地方嗎？</v>
      </c>
      <c r="G2201" s="4" t="str">
        <f>IFERROR(__xludf.DUMMYFUNCTION("GOOGLETRANSLATE(B2201)"),"油%20洩漏")</f>
        <v>油%20洩漏</v>
      </c>
    </row>
    <row r="2202" ht="15.75" customHeight="1">
      <c r="A2202" s="4">
        <v>7520.0</v>
      </c>
      <c r="B2202" s="4" t="s">
        <v>3407</v>
      </c>
      <c r="C2202" s="4" t="s">
        <v>3431</v>
      </c>
      <c r="D2202" s="4" t="s">
        <v>3432</v>
      </c>
      <c r="E2202" s="4">
        <v>1.0</v>
      </c>
      <c r="F2202" s="4" t="str">
        <f>IFERROR(__xludf.DUMMYFUNCTION("GOOGLETRANSLATE(D2202)"),"避難所漏油事件的代價可能比預計的更大 http://t.co/aP30psZkVx")</f>
        <v>避難所漏油事件的代價可能比預計的更大 http://t.co/aP30psZkVx</v>
      </c>
      <c r="G2202" s="4" t="str">
        <f>IFERROR(__xludf.DUMMYFUNCTION("GOOGLETRANSLATE(B2202)"),"油%20洩漏")</f>
        <v>油%20洩漏</v>
      </c>
    </row>
    <row r="2203" ht="15.75" customHeight="1">
      <c r="A2203" s="4">
        <v>7521.0</v>
      </c>
      <c r="B2203" s="4" t="s">
        <v>3407</v>
      </c>
      <c r="D2203" s="4" t="s">
        <v>3433</v>
      </c>
      <c r="E2203" s="4">
        <v>1.0</v>
      </c>
      <c r="F2203" s="4" t="str">
        <f>IFERROR(__xludf.DUMMYFUNCTION("GOOGLETRANSLATE(D2203)"),"避難所漏油事故的損失可能比預計的更大（洛杉磯時報）http://t.co/TCSoLvwhXq")</f>
        <v>避難所漏油事故的損失可能比預計的更大（洛杉磯時報）http://t.co/TCSoLvwhXq</v>
      </c>
      <c r="G2203" s="4" t="str">
        <f>IFERROR(__xludf.DUMMYFUNCTION("GOOGLETRANSLATE(B2203)"),"油%20洩漏")</f>
        <v>油%20洩漏</v>
      </c>
    </row>
    <row r="2204" ht="15.75" customHeight="1">
      <c r="A2204" s="4">
        <v>7522.0</v>
      </c>
      <c r="B2204" s="4" t="s">
        <v>3407</v>
      </c>
      <c r="C2204" s="4" t="s">
        <v>3434</v>
      </c>
      <c r="D2204" s="4" t="s">
        <v>3435</v>
      </c>
      <c r="E2204" s="4">
        <v>1.0</v>
      </c>
      <c r="F2204" s="4" t="str">
        <f>IFERROR(__xludf.DUMMYFUNCTION("GOOGLETRANSLATE(D2204)"),"加州：春季漏油事故預估增加：週三發布的文件披露，漏油事故... http://t.co/zqiHnHDWPV #OSI2016")</f>
        <v>加州：春季漏油事故預估增加：週三發布的文件披露，漏油事故... http://t.co/zqiHnHDWPV #OSI2016</v>
      </c>
      <c r="G2204" s="4" t="str">
        <f>IFERROR(__xludf.DUMMYFUNCTION("GOOGLETRANSLATE(B2204)"),"油%20洩漏")</f>
        <v>油%20洩漏</v>
      </c>
    </row>
    <row r="2205" ht="15.75" customHeight="1">
      <c r="A2205" s="4">
        <v>7523.0</v>
      </c>
      <c r="B2205" s="4" t="s">
        <v>3407</v>
      </c>
      <c r="D2205" s="4" t="s">
        <v>3436</v>
      </c>
      <c r="E2205" s="4">
        <v>1.0</v>
      </c>
      <c r="F2205" s="4" t="str">
        <f>IFERROR(__xludf.DUMMYFUNCTION("GOOGLETRANSLATE(D2205)"),"避難所漏油事件的代價可能比預計的更大 http://t.co/gtHddzAvhg #LosAngelesTimes #latimes #news")</f>
        <v>避難所漏油事件的代價可能比預計的更大 http://t.co/gtHddzAvhg #LosAngelesTimes #latimes #news</v>
      </c>
      <c r="G2205" s="4" t="str">
        <f>IFERROR(__xludf.DUMMYFUNCTION("GOOGLETRANSLATE(B2205)"),"油%20洩漏")</f>
        <v>油%20洩漏</v>
      </c>
    </row>
    <row r="2206" ht="15.75" customHeight="1">
      <c r="A2206" s="4">
        <v>7525.0</v>
      </c>
      <c r="B2206" s="4" t="s">
        <v>3407</v>
      </c>
      <c r="C2206" s="4" t="s">
        <v>3437</v>
      </c>
      <c r="D2206" s="4" t="s">
        <v>3438</v>
      </c>
      <c r="E2206" s="4">
        <v>1.0</v>
      </c>
      <c r="F2206" s="4" t="str">
        <f>IFERROR(__xludf.DUMMYFUNCTION("GOOGLETRANSLATE(D2206)"),"國家簡報|西部：加州：春季漏油事故預估增加：週三發布的文件... http://t.co/hTxAi05y7B (NYT)")</f>
        <v>國家簡報|西部：加州：春季漏油事故預估增加：週三發布的文件... http://t.co/hTxAi05y7B (NYT)</v>
      </c>
      <c r="G2206" s="4" t="str">
        <f>IFERROR(__xludf.DUMMYFUNCTION("GOOGLETRANSLATE(B2206)"),"油%20洩漏")</f>
        <v>油%20洩漏</v>
      </c>
    </row>
    <row r="2207" ht="15.75" customHeight="1">
      <c r="A2207" s="4">
        <v>7526.0</v>
      </c>
      <c r="B2207" s="4" t="s">
        <v>3407</v>
      </c>
      <c r="C2207" s="4" t="s">
        <v>3439</v>
      </c>
      <c r="D2207" s="4" t="s">
        <v>3440</v>
      </c>
      <c r="E2207" s="4">
        <v>1.0</v>
      </c>
      <c r="F2207" s="4" t="str">
        <f>IFERROR(__xludf.DUMMYFUNCTION("GOOGLETRANSLATE(D2207)"),"Plains All American Pipeline 公司的原油外洩量可能比先前估計的多 40%...... http://t.co/WEZjqC4Cf2")</f>
        <v>Plains All American Pipeline 公司的原油外洩量可能比先前估計的多 40%...... http://t.co/WEZjqC4Cf2</v>
      </c>
      <c r="G2207" s="4" t="str">
        <f>IFERROR(__xludf.DUMMYFUNCTION("GOOGLETRANSLATE(B2207)"),"油%20洩漏")</f>
        <v>油%20洩漏</v>
      </c>
    </row>
    <row r="2208" ht="15.75" customHeight="1">
      <c r="A2208" s="4">
        <v>7527.0</v>
      </c>
      <c r="B2208" s="4" t="s">
        <v>3407</v>
      </c>
      <c r="C2208" s="4" t="s">
        <v>3441</v>
      </c>
      <c r="D2208" s="4" t="s">
        <v>3442</v>
      </c>
      <c r="E2208" s="4">
        <v>1.0</v>
      </c>
      <c r="F2208" s="4" t="str">
        <f>IFERROR(__xludf.DUMMYFUNCTION("GOOGLETRANSLATE(D2208)"),"@Kinder_Morgan 無法告訴@cityofkamloops 他們將如何應對漏油事件。相信他們嗎？請參閱第 4.2 節 #Kamloops http://t.co/TA6N9sZyfP")</f>
        <v>@Kinder_Morgan 無法告訴@cityofkamloops 他們將如何應對漏油事件。相信他們嗎？請參閱第 4.2 節 #Kamloops http://t.co/TA6N9sZyfP</v>
      </c>
      <c r="G2208" s="4" t="str">
        <f>IFERROR(__xludf.DUMMYFUNCTION("GOOGLETRANSLATE(B2208)"),"油%20洩漏")</f>
        <v>油%20洩漏</v>
      </c>
    </row>
    <row r="2209" ht="15.75" customHeight="1">
      <c r="A2209" s="4">
        <v>7528.0</v>
      </c>
      <c r="B2209" s="4" t="s">
        <v>3407</v>
      </c>
      <c r="C2209" s="4" t="s">
        <v>3443</v>
      </c>
      <c r="D2209" s="4" t="s">
        <v>3444</v>
      </c>
      <c r="E2209" s="4">
        <v>1.0</v>
      </c>
      <c r="F2209" s="4" t="str">
        <f>IFERROR(__xludf.DUMMYFUNCTION("GOOGLETRANSLATE(D2209)"),"news@@ Refugio 漏油事件造成的損失可能比預期的更大 http://t.co/jhpdSSVhvE")</f>
        <v>news@@ Refugio 漏油事件造成的損失可能比預期的更大 http://t.co/jhpdSSVhvE</v>
      </c>
      <c r="G2209" s="4" t="str">
        <f>IFERROR(__xludf.DUMMYFUNCTION("GOOGLETRANSLATE(B2209)"),"油%20洩漏")</f>
        <v>油%20洩漏</v>
      </c>
    </row>
    <row r="2210" ht="15.75" customHeight="1">
      <c r="A2210" s="4">
        <v>7530.0</v>
      </c>
      <c r="B2210" s="4" t="s">
        <v>3407</v>
      </c>
      <c r="D2210" s="4" t="s">
        <v>3445</v>
      </c>
      <c r="E2210" s="4">
        <v>1.0</v>
      </c>
      <c r="F2210" s="4" t="str">
        <f>IFERROR(__xludf.DUMMYFUNCTION("GOOGLETRANSLATE(D2210)"),"普萊恩斯：加州漏油事件可能比估計的還要嚴重。 http://t.co/CcvcTe3lCw")</f>
        <v>普萊恩斯：加州漏油事件可能比估計的還要嚴重。 http://t.co/CcvcTe3lCw</v>
      </c>
      <c r="G2210" s="4" t="str">
        <f>IFERROR(__xludf.DUMMYFUNCTION("GOOGLETRANSLATE(B2210)"),"油%20洩漏")</f>
        <v>油%20洩漏</v>
      </c>
    </row>
    <row r="2211" ht="15.75" customHeight="1">
      <c r="A2211" s="4">
        <v>7531.0</v>
      </c>
      <c r="B2211" s="4" t="s">
        <v>3407</v>
      </c>
      <c r="C2211" s="4" t="s">
        <v>1118</v>
      </c>
      <c r="D2211" s="4" t="s">
        <v>3446</v>
      </c>
      <c r="E2211" s="4">
        <v>1.0</v>
      </c>
      <c r="F2211" s="4" t="str">
        <f>IFERROR(__xludf.DUMMYFUNCTION("GOOGLETRANSLATE(D2211)"),"避難所漏油事件的代價可能比預計的更大 http://t.co/xcoLwUGFjg")</f>
        <v>避難所漏油事件的代價可能比預計的更大 http://t.co/xcoLwUGFjg</v>
      </c>
      <c r="G2211" s="4" t="str">
        <f>IFERROR(__xludf.DUMMYFUNCTION("GOOGLETRANSLATE(B2211)"),"油%20洩漏")</f>
        <v>油%20洩漏</v>
      </c>
    </row>
    <row r="2212" ht="15.75" customHeight="1">
      <c r="A2212" s="4">
        <v>7532.0</v>
      </c>
      <c r="B2212" s="4" t="s">
        <v>3407</v>
      </c>
      <c r="C2212" s="4" t="s">
        <v>3431</v>
      </c>
      <c r="D2212" s="4" t="s">
        <v>3447</v>
      </c>
      <c r="E2212" s="4">
        <v>1.0</v>
      </c>
      <c r="F2212" s="4" t="str">
        <f>IFERROR(__xludf.DUMMYFUNCTION("GOOGLETRANSLATE(D2212)"),"避難所漏油事件的代價可能比預計的更大 http://t.co/FPaouLWU3N")</f>
        <v>避難所漏油事件的代價可能比預計的更大 http://t.co/FPaouLWU3N</v>
      </c>
      <c r="G2212" s="4" t="str">
        <f>IFERROR(__xludf.DUMMYFUNCTION("GOOGLETRANSLATE(B2212)"),"油%20洩漏")</f>
        <v>油%20洩漏</v>
      </c>
    </row>
    <row r="2213" ht="15.75" customHeight="1">
      <c r="A2213" s="4">
        <v>7533.0</v>
      </c>
      <c r="B2213" s="4" t="s">
        <v>3407</v>
      </c>
      <c r="C2213" s="4" t="s">
        <v>1975</v>
      </c>
      <c r="D2213" s="4" t="s">
        <v>3448</v>
      </c>
      <c r="E2213" s="4">
        <v>1.0</v>
      </c>
      <c r="F2213" s="4" t="str">
        <f>IFERROR(__xludf.DUMMYFUNCTION("GOOGLETRANSLATE(D2213)"),"@News@ Refugio 漏油事件的代價可能比預計的更大 http://t.co/SqoA1Wv4Um")</f>
        <v>@News@ Refugio 漏油事件的代價可能比預計的更大 http://t.co/SqoA1Wv4Um</v>
      </c>
      <c r="G2213" s="4" t="str">
        <f>IFERROR(__xludf.DUMMYFUNCTION("GOOGLETRANSLATE(B2213)"),"油%20洩漏")</f>
        <v>油%20洩漏</v>
      </c>
    </row>
    <row r="2214" ht="15.75" customHeight="1">
      <c r="A2214" s="4">
        <v>7534.0</v>
      </c>
      <c r="B2214" s="4" t="s">
        <v>3407</v>
      </c>
      <c r="D2214" s="4" t="s">
        <v>3449</v>
      </c>
      <c r="E2214" s="4">
        <v>1.0</v>
      </c>
      <c r="F2214" s="4" t="str">
        <f>IFERROR(__xludf.DUMMYFUNCTION("GOOGLETRANSLATE(D2214)"),"避難所漏油事件的代價可能比預計的更大 http://t.co/GusrAmzp1s #news")</f>
        <v>避難所漏油事件的代價可能比預計的更大 http://t.co/GusrAmzp1s #news</v>
      </c>
      <c r="G2214" s="4" t="str">
        <f>IFERROR(__xludf.DUMMYFUNCTION("GOOGLETRANSLATE(B2214)"),"油%20洩漏")</f>
        <v>油%20洩漏</v>
      </c>
    </row>
    <row r="2215" ht="15.75" customHeight="1">
      <c r="A2215" s="4">
        <v>7535.0</v>
      </c>
      <c r="B2215" s="4" t="s">
        <v>3407</v>
      </c>
      <c r="D2215" s="4" t="s">
        <v>3450</v>
      </c>
      <c r="E2215" s="4">
        <v>1.0</v>
      </c>
      <c r="F2215" s="4" t="str">
        <f>IFERROR(__xludf.DUMMYFUNCTION("GOOGLETRANSLATE(D2215)"),"避難所漏油事件的代價可能比預計的更大 http://t.co/7L6bHeXIXv | https://t.co/eMOSrMUvQa")</f>
        <v>避難所漏油事件的代價可能比預計的更大 http://t.co/7L6bHeXIXv | https://t.co/eMOSrMUvQa</v>
      </c>
      <c r="G2215" s="4" t="str">
        <f>IFERROR(__xludf.DUMMYFUNCTION("GOOGLETRANSLATE(B2215)"),"油%20洩漏")</f>
        <v>油%20洩漏</v>
      </c>
    </row>
    <row r="2216" ht="15.75" customHeight="1">
      <c r="A2216" s="4">
        <v>7536.0</v>
      </c>
      <c r="B2216" s="4" t="s">
        <v>3407</v>
      </c>
      <c r="C2216" s="4" t="s">
        <v>3443</v>
      </c>
      <c r="D2216" s="4" t="s">
        <v>3451</v>
      </c>
      <c r="E2216" s="4">
        <v>1.0</v>
      </c>
      <c r="F2216" s="4" t="str">
        <f>IFERROR(__xludf.DUMMYFUNCTION("GOOGLETRANSLATE(D2216)"),"News@ Refugio 漏油事件的代價可能比預計的更大 http://t.co/jhpdSSVhvE")</f>
        <v>News@ Refugio 漏油事件的代價可能比預計的更大 http://t.co/jhpdSSVhvE</v>
      </c>
      <c r="G2216" s="4" t="str">
        <f>IFERROR(__xludf.DUMMYFUNCTION("GOOGLETRANSLATE(B2216)"),"油%20洩漏")</f>
        <v>油%20洩漏</v>
      </c>
    </row>
    <row r="2217" ht="15.75" customHeight="1">
      <c r="A2217" s="4">
        <v>7537.0</v>
      </c>
      <c r="B2217" s="4" t="s">
        <v>3407</v>
      </c>
      <c r="C2217" s="4" t="s">
        <v>109</v>
      </c>
      <c r="D2217" s="4" t="s">
        <v>3452</v>
      </c>
      <c r="E2217" s="4">
        <v>1.0</v>
      </c>
      <c r="F2217" s="4" t="str">
        <f>IFERROR(__xludf.DUMMYFUNCTION("GOOGLETRANSLATE(D2217)"),"避難所漏油事故的損失可能比預計的更大 http://t.co/EFCn9IVNfg 南美國平原管道漏油事故")</f>
        <v>避難所漏油事故的損失可能比預計的更大 http://t.co/EFCn9IVNfg 南美國平原管道漏油事故</v>
      </c>
      <c r="G2217" s="4" t="str">
        <f>IFERROR(__xludf.DUMMYFUNCTION("GOOGLETRANSLATE(B2217)"),"油%20洩漏")</f>
        <v>油%20洩漏</v>
      </c>
    </row>
    <row r="2218" ht="15.75" customHeight="1">
      <c r="A2218" s="4">
        <v>7540.0</v>
      </c>
      <c r="B2218" s="4" t="s">
        <v>3407</v>
      </c>
      <c r="D2218" s="4" t="s">
        <v>3453</v>
      </c>
      <c r="E2218" s="4">
        <v>1.0</v>
      </c>
      <c r="F2218" s="4" t="str">
        <f>IFERROR(__xludf.DUMMYFUNCTION("GOOGLETRANSLATE(D2218)"),"避難所漏油事件的代價可能比預計的更大 http://t.co/zdtcw9Fsx1")</f>
        <v>避難所漏油事件的代價可能比預計的更大 http://t.co/zdtcw9Fsx1</v>
      </c>
      <c r="G2218" s="4" t="str">
        <f>IFERROR(__xludf.DUMMYFUNCTION("GOOGLETRANSLATE(B2218)"),"油%20洩漏")</f>
        <v>油%20洩漏</v>
      </c>
    </row>
    <row r="2219" ht="15.75" customHeight="1">
      <c r="A2219" s="4">
        <v>7542.0</v>
      </c>
      <c r="B2219" s="4" t="s">
        <v>3407</v>
      </c>
      <c r="C2219" s="4" t="s">
        <v>1019</v>
      </c>
      <c r="D2219" s="4" t="s">
        <v>3454</v>
      </c>
      <c r="E2219" s="4">
        <v>1.0</v>
      </c>
      <c r="F2219" s="4" t="str">
        <f>IFERROR(__xludf.DUMMYFUNCTION("GOOGLETRANSLATE(D2219)"),"洛杉磯時報：避難所漏油事件的代價可能比預計的更大 http://t.co/1ct0pUGZ69")</f>
        <v>洛杉磯時報：避難所漏油事件的代價可能比預計的更大 http://t.co/1ct0pUGZ69</v>
      </c>
      <c r="G2219" s="4" t="str">
        <f>IFERROR(__xludf.DUMMYFUNCTION("GOOGLETRANSLATE(B2219)"),"油%20洩漏")</f>
        <v>油%20洩漏</v>
      </c>
    </row>
    <row r="2220" ht="15.75" customHeight="1">
      <c r="A2220" s="4">
        <v>7543.0</v>
      </c>
      <c r="B2220" s="4" t="s">
        <v>3407</v>
      </c>
      <c r="C2220" s="4" t="s">
        <v>3455</v>
      </c>
      <c r="D2220" s="4" t="s">
        <v>3456</v>
      </c>
      <c r="E2220" s="4">
        <v>1.0</v>
      </c>
      <c r="F2220" s="4" t="str">
        <f>IFERROR(__xludf.DUMMYFUNCTION("GOOGLETRANSLATE(D2220)"),"參議員對英國石油公司漏油事件解決方案表示擔憂 http://t.co/mFSBWpj0Ce")</f>
        <v>參議員對英國石油公司漏油事件解決方案表示擔憂 http://t.co/mFSBWpj0Ce</v>
      </c>
      <c r="G2220" s="4" t="str">
        <f>IFERROR(__xludf.DUMMYFUNCTION("GOOGLETRANSLATE(B2220)"),"油%20洩漏")</f>
        <v>油%20洩漏</v>
      </c>
    </row>
    <row r="2221" ht="15.75" customHeight="1">
      <c r="A2221" s="4">
        <v>7544.0</v>
      </c>
      <c r="B2221" s="4" t="s">
        <v>3407</v>
      </c>
      <c r="C2221" s="4" t="s">
        <v>3457</v>
      </c>
      <c r="D2221" s="4" t="s">
        <v>3458</v>
      </c>
      <c r="E2221" s="4">
        <v>1.0</v>
      </c>
      <c r="F2221" s="4" t="str">
        <f>IFERROR(__xludf.DUMMYFUNCTION("GOOGLETRANSLATE(D2221)"),"美聯社透過《紐約時報》報導「加州：春季漏油事故預估增加」 http://t.co/zdpa4DBtsU")</f>
        <v>美聯社透過《紐約時報》報導「加州：春季漏油事故預估增加」 http://t.co/zdpa4DBtsU</v>
      </c>
      <c r="G2221" s="4" t="str">
        <f>IFERROR(__xludf.DUMMYFUNCTION("GOOGLETRANSLATE(B2221)"),"油%20洩漏")</f>
        <v>油%20洩漏</v>
      </c>
    </row>
    <row r="2222" ht="15.75" customHeight="1">
      <c r="A2222" s="4">
        <v>7545.0</v>
      </c>
      <c r="B2222" s="4" t="s">
        <v>3459</v>
      </c>
      <c r="C2222" s="4" t="s">
        <v>3460</v>
      </c>
      <c r="D2222" s="4" t="s">
        <v>3461</v>
      </c>
      <c r="E2222" s="4">
        <v>1.0</v>
      </c>
      <c r="F2222" s="4" t="str">
        <f>IFERROR(__xludf.DUMMYFUNCTION("GOOGLETRANSLATE(D2222)"),"家庭因軍團士兵提起訴訟：超過 40 個家庭受到軍團士兵疾病致命爆發的影響... http://t.co/02ELqLOpFk")</f>
        <v>家庭因軍團士兵提起訴訟：超過 40 個家庭受到軍團士兵疾病致命爆發的影響... http://t.co/02ELqLOpFk</v>
      </c>
      <c r="G2222" s="4" t="str">
        <f>IFERROR(__xludf.DUMMYFUNCTION("GOOGLETRANSLATE(B2222)"),"爆發")</f>
        <v>爆發</v>
      </c>
    </row>
    <row r="2223" ht="15.75" customHeight="1">
      <c r="A2223" s="4">
        <v>7547.0</v>
      </c>
      <c r="B2223" s="4" t="s">
        <v>3459</v>
      </c>
      <c r="D2223" s="4" t="s">
        <v>3462</v>
      </c>
      <c r="E2223" s="4">
        <v>1.0</v>
      </c>
      <c r="F2223" s="4" t="str">
        <f>IFERROR(__xludf.DUMMYFUNCTION("GOOGLETRANSLATE(D2223)"),"家庭因退伍軍人問題提起訴訟：愛丁堡受致命退伍軍人病爆發影響的 40 多個家庭將...")</f>
        <v>家庭因退伍軍人問題提起訴訟：愛丁堡受致命退伍軍人病爆發影響的 40 多個家庭將...</v>
      </c>
      <c r="G2223" s="4" t="str">
        <f>IFERROR(__xludf.DUMMYFUNCTION("GOOGLETRANSLATE(B2223)"),"爆發")</f>
        <v>爆發</v>
      </c>
    </row>
    <row r="2224" ht="15.75" customHeight="1">
      <c r="A2224" s="4">
        <v>7548.0</v>
      </c>
      <c r="B2224" s="4" t="s">
        <v>3459</v>
      </c>
      <c r="D2224" s="4" t="s">
        <v>3463</v>
      </c>
      <c r="E2224" s="4">
        <v>1.0</v>
      </c>
      <c r="F2224" s="4" t="str">
        <f>IFERROR(__xludf.DUMMYFUNCTION("GOOGLETRANSLATE(D2224)"),"家庭因軍團士兵提起訴訟：超過 40 個家庭受到軍團士兵疾病致命爆發的影響... http://t.co/8lCbDW7m2z")</f>
        <v>家庭因軍團士兵提起訴訟：超過 40 個家庭受到軍團士兵疾病致命爆發的影響... http://t.co/8lCbDW7m2z</v>
      </c>
      <c r="G2224" s="4" t="str">
        <f>IFERROR(__xludf.DUMMYFUNCTION("GOOGLETRANSLATE(B2224)"),"爆發")</f>
        <v>爆發</v>
      </c>
    </row>
    <row r="2225" ht="15.75" customHeight="1">
      <c r="A2225" s="4">
        <v>7550.0</v>
      </c>
      <c r="B2225" s="4" t="s">
        <v>3459</v>
      </c>
      <c r="C2225" s="4" t="s">
        <v>3464</v>
      </c>
      <c r="D2225" s="4" t="s">
        <v>3465</v>
      </c>
      <c r="E2225" s="4">
        <v>1.0</v>
      </c>
      <c r="F2225" s="4" t="str">
        <f>IFERROR(__xludf.DUMMYFUNCTION("GOOGLETRANSLATE(D2225)"),"退伍軍人症：正在採取哪些措施來阻止致命的爆發 http://t.co/AjzY19Vepu")</f>
        <v>退伍軍人症：正在採取哪些措施來阻止致命的爆發 http://t.co/AjzY19Vepu</v>
      </c>
      <c r="G2225" s="4" t="str">
        <f>IFERROR(__xludf.DUMMYFUNCTION("GOOGLETRANSLATE(B2225)"),"爆發")</f>
        <v>爆發</v>
      </c>
    </row>
    <row r="2226" ht="15.75" customHeight="1">
      <c r="A2226" s="4">
        <v>7551.0</v>
      </c>
      <c r="B2226" s="4" t="s">
        <v>3459</v>
      </c>
      <c r="C2226" s="4" t="s">
        <v>3466</v>
      </c>
      <c r="D2226" s="4" t="s">
        <v>3467</v>
      </c>
      <c r="E2226" s="4">
        <v>1.0</v>
      </c>
      <c r="F2226" s="4" t="str">
        <f>IFERROR(__xludf.DUMMYFUNCTION("GOOGLETRANSLATE(D2226)"),"南布朗克斯軍團爆發確診第 10 例死亡；總病例數達三位數 http://t.co/JtzeipdBo")</f>
        <v>南布朗克斯軍團爆發確診第 10 例死亡；總病例數達三位數 http://t.co/JtzeipdBo</v>
      </c>
      <c r="G2226" s="4" t="str">
        <f>IFERROR(__xludf.DUMMYFUNCTION("GOOGLETRANSLATE(B2226)"),"爆發")</f>
        <v>爆發</v>
      </c>
    </row>
    <row r="2227" ht="15.75" customHeight="1">
      <c r="A2227" s="4">
        <v>7552.0</v>
      </c>
      <c r="B2227" s="4" t="s">
        <v>3459</v>
      </c>
      <c r="C2227" s="4" t="s">
        <v>112</v>
      </c>
      <c r="D2227" s="4" t="s">
        <v>3468</v>
      </c>
      <c r="E2227" s="4">
        <v>1.0</v>
      </c>
      <c r="F2227" s="4" t="str">
        <f>IFERROR(__xludf.DUMMYFUNCTION("GOOGLETRANSLATE(D2227)"),"受愛丁堡致命退伍軍人病爆發影響的 40 多個家庭將起訴兩家公司... http://t.co/vsoXioOy78")</f>
        <v>受愛丁堡致命退伍軍人病爆發影響的 40 多個家庭將起訴兩家公司... http://t.co/vsoXioOy78</v>
      </c>
      <c r="G2227" s="4" t="str">
        <f>IFERROR(__xludf.DUMMYFUNCTION("GOOGLETRANSLATE(B2227)"),"爆發")</f>
        <v>爆發</v>
      </c>
    </row>
    <row r="2228" ht="15.75" customHeight="1">
      <c r="A2228" s="4">
        <v>7553.0</v>
      </c>
      <c r="B2228" s="4" t="s">
        <v>3459</v>
      </c>
      <c r="D2228" s="4" t="s">
        <v>3469</v>
      </c>
      <c r="E2228" s="4">
        <v>1.0</v>
      </c>
      <c r="F2228" s="4" t="str">
        <f>IFERROR(__xludf.DUMMYFUNCTION("GOOGLETRANSLATE(D2228)"),"一場瘋狂的災難：第一次世界大戰的爆發和... http://t.co/jGdlX4Faw8 http://t.co/IvwtYnoUjK")</f>
        <v>一場瘋狂的災難：第一次世界大戰的爆發和... http://t.co/jGdlX4Faw8 http://t.co/IvwtYnoUjK</v>
      </c>
      <c r="G2228" s="4" t="str">
        <f>IFERROR(__xludf.DUMMYFUNCTION("GOOGLETRANSLATE(B2228)"),"爆發")</f>
        <v>爆發</v>
      </c>
    </row>
    <row r="2229" ht="15.75" customHeight="1">
      <c r="A2229" s="4">
        <v>7554.0</v>
      </c>
      <c r="B2229" s="4" t="s">
        <v>3459</v>
      </c>
      <c r="C2229" s="4" t="s">
        <v>3470</v>
      </c>
      <c r="D2229" s="4" t="s">
        <v>3471</v>
      </c>
      <c r="E2229" s="4">
        <v>1.0</v>
      </c>
      <c r="F2229" s="4" t="str">
        <f>IFERROR(__xludf.DUMMYFUNCTION("GOOGLETRANSLATE(D2229)"),"家庭因退伍軍人問題提起訴訟：超過 40 個家庭受到退伍軍人疾病致命爆發的影響... http://t.co/2Mwc9YWjZy")</f>
        <v>家庭因退伍軍人問題提起訴訟：超過 40 個家庭受到退伍軍人疾病致命爆發的影響... http://t.co/2Mwc9YWjZy</v>
      </c>
      <c r="G2229" s="4" t="str">
        <f>IFERROR(__xludf.DUMMYFUNCTION("GOOGLETRANSLATE(B2229)"),"爆發")</f>
        <v>爆發</v>
      </c>
    </row>
    <row r="2230" ht="15.75" customHeight="1">
      <c r="A2230" s="4">
        <v>7555.0</v>
      </c>
      <c r="B2230" s="4" t="s">
        <v>3459</v>
      </c>
      <c r="C2230" s="4" t="s">
        <v>3472</v>
      </c>
      <c r="D2230" s="4" t="s">
        <v>3473</v>
      </c>
      <c r="E2230" s="4">
        <v>1.0</v>
      </c>
      <c r="F2230" s="4" t="str">
        <f>IFERROR(__xludf.DUMMYFUNCTION("GOOGLETRANSLATE(D2230)"),"哇——#LegionnairesDisease 這個名字來自 1976 年費城 @AmericanLegion 大會上爆發的肺炎 --29 人死於肺炎。")</f>
        <v>哇——#LegionnairesDisease 這個名字來自 1976 年費城 @AmericanLegion 大會上爆發的肺炎 --29 人死於肺炎。</v>
      </c>
      <c r="G2230" s="4" t="str">
        <f>IFERROR(__xludf.DUMMYFUNCTION("GOOGLETRANSLATE(B2230)"),"爆發")</f>
        <v>爆發</v>
      </c>
    </row>
    <row r="2231" ht="15.75" customHeight="1">
      <c r="A2231" s="4">
        <v>7556.0</v>
      </c>
      <c r="B2231" s="4" t="s">
        <v>3459</v>
      </c>
      <c r="C2231" s="4" t="s">
        <v>3474</v>
      </c>
      <c r="D2231" s="4" t="s">
        <v>3475</v>
      </c>
      <c r="E2231" s="4">
        <v>1.0</v>
      </c>
      <c r="F2231" s="4" t="str">
        <f>IFERROR(__xludf.DUMMYFUNCTION("GOOGLETRANSLATE(D2231)"),"「退伍軍人症：正在採取哪些措施來阻止致命的爆發」 http://t.co/FftOKd0Vts #??????_??????")</f>
        <v>「退伍軍人症：正在採取哪些措施來阻止致命的爆發」 http://t.co/FftOKd0Vts #??????_??????</v>
      </c>
      <c r="G2231" s="4" t="str">
        <f>IFERROR(__xludf.DUMMYFUNCTION("GOOGLETRANSLATE(B2231)"),"爆發")</f>
        <v>爆發</v>
      </c>
    </row>
    <row r="2232" ht="15.75" customHeight="1">
      <c r="A2232" s="4">
        <v>7557.0</v>
      </c>
      <c r="B2232" s="4" t="s">
        <v>3459</v>
      </c>
      <c r="C2232" s="4" t="s">
        <v>495</v>
      </c>
      <c r="D2232" s="4" t="s">
        <v>3476</v>
      </c>
      <c r="E2232" s="4">
        <v>1.0</v>
      </c>
      <c r="F2232" s="4" t="str">
        <f>IFERROR(__xludf.DUMMYFUNCTION("GOOGLETRANSLATE(D2232)"),"家庭因軍團士兵提起訴訟：超過 40 個家庭受到軍團士兵疾病致命爆發的影響... http://t.co/81HVV3N3rS")</f>
        <v>家庭因軍團士兵提起訴訟：超過 40 個家庭受到軍團士兵疾病致命爆發的影響... http://t.co/81HVV3N3rS</v>
      </c>
      <c r="G2232" s="4" t="str">
        <f>IFERROR(__xludf.DUMMYFUNCTION("GOOGLETRANSLATE(B2232)"),"爆發")</f>
        <v>爆發</v>
      </c>
    </row>
    <row r="2233" ht="15.75" customHeight="1">
      <c r="A2233" s="4">
        <v>7558.0</v>
      </c>
      <c r="B2233" s="4" t="s">
        <v>3459</v>
      </c>
      <c r="D2233" s="4" t="s">
        <v>3477</v>
      </c>
      <c r="E2233" s="4">
        <v>1.0</v>
      </c>
      <c r="F2233" s="4" t="str">
        <f>IFERROR(__xludf.DUMMYFUNCTION("GOOGLETRANSLATE(D2233)"),"家庭因退伍軍人病提起訴訟：超過 40 個家庭受到退伍軍人病致命爆發的影響... http://t.co/2AO97o2a9D")</f>
        <v>家庭因退伍軍人病提起訴訟：超過 40 個家庭受到退伍軍人病致命爆發的影響... http://t.co/2AO97o2a9D</v>
      </c>
      <c r="G2233" s="4" t="str">
        <f>IFERROR(__xludf.DUMMYFUNCTION("GOOGLETRANSLATE(B2233)"),"爆發")</f>
        <v>爆發</v>
      </c>
    </row>
    <row r="2234" ht="15.75" customHeight="1">
      <c r="A2234" s="4">
        <v>7559.0</v>
      </c>
      <c r="B2234" s="4" t="s">
        <v>3459</v>
      </c>
      <c r="D2234" s="4" t="s">
        <v>3462</v>
      </c>
      <c r="E2234" s="4">
        <v>1.0</v>
      </c>
      <c r="F2234" s="4" t="str">
        <f>IFERROR(__xludf.DUMMYFUNCTION("GOOGLETRANSLATE(D2234)"),"家庭因退伍軍人問題提起訴訟：愛丁堡受致命退伍軍人病爆發影響的 40 多個家庭將...")</f>
        <v>家庭因退伍軍人問題提起訴訟：愛丁堡受致命退伍軍人病爆發影響的 40 多個家庭將...</v>
      </c>
      <c r="G2234" s="4" t="str">
        <f>IFERROR(__xludf.DUMMYFUNCTION("GOOGLETRANSLATE(B2234)"),"爆發")</f>
        <v>爆發</v>
      </c>
    </row>
    <row r="2235" ht="15.75" customHeight="1">
      <c r="A2235" s="4">
        <v>7560.0</v>
      </c>
      <c r="B2235" s="4" t="s">
        <v>3459</v>
      </c>
      <c r="C2235" s="4" t="s">
        <v>2495</v>
      </c>
      <c r="D2235" s="4" t="s">
        <v>3478</v>
      </c>
      <c r="E2235" s="4">
        <v>1.0</v>
      </c>
      <c r="F2235" s="4" t="str">
        <f>IFERROR(__xludf.DUMMYFUNCTION("GOOGLETRANSLATE(D2235)"),"家庭因軍團士兵提起訴訟：超過 40 個家庭受到軍團士兵疾病致命爆發的影響... http://t.co/3sNyOOhseq")</f>
        <v>家庭因軍團士兵提起訴訟：超過 40 個家庭受到軍團士兵疾病致命爆發的影響... http://t.co/3sNyOOhseq</v>
      </c>
      <c r="G2235" s="4" t="str">
        <f>IFERROR(__xludf.DUMMYFUNCTION("GOOGLETRANSLATE(B2235)"),"爆發")</f>
        <v>爆發</v>
      </c>
    </row>
    <row r="2236" ht="15.75" customHeight="1">
      <c r="A2236" s="4">
        <v>7561.0</v>
      </c>
      <c r="B2236" s="4" t="s">
        <v>3459</v>
      </c>
      <c r="C2236" s="4" t="s">
        <v>627</v>
      </c>
      <c r="D2236" s="4" t="s">
        <v>3479</v>
      </c>
      <c r="E2236" s="4">
        <v>1.0</v>
      </c>
      <c r="F2236" s="4" t="str">
        <f>IFERROR(__xludf.DUMMYFUNCTION("GOOGLETRANSLATE(D2236)"),"家庭因退伍軍人病提起訴訟：超過 40 個家庭受到退伍軍人病致命爆發的影響... http://t.co/VBsj8tniv1")</f>
        <v>家庭因退伍軍人病提起訴訟：超過 40 個家庭受到退伍軍人病致命爆發的影響... http://t.co/VBsj8tniv1</v>
      </c>
      <c r="G2236" s="4" t="str">
        <f>IFERROR(__xludf.DUMMYFUNCTION("GOOGLETRANSLATE(B2236)"),"爆發")</f>
        <v>爆發</v>
      </c>
    </row>
    <row r="2237" ht="15.75" customHeight="1">
      <c r="A2237" s="4">
        <v>7563.0</v>
      </c>
      <c r="B2237" s="4" t="s">
        <v>3459</v>
      </c>
      <c r="C2237" s="4" t="s">
        <v>3480</v>
      </c>
      <c r="D2237" s="4" t="s">
        <v>3481</v>
      </c>
      <c r="E2237" s="4">
        <v>1.0</v>
      </c>
      <c r="F2237" s="4" t="str">
        <f>IFERROR(__xludf.DUMMYFUNCTION("GOOGLETRANSLATE(D2237)"),"家庭因退伍軍人病提起訴訟：超過 40 個家庭受到退伍軍人病致命爆發的影響... http://t.co/SO81Ab3a1x")</f>
        <v>家庭因退伍軍人病提起訴訟：超過 40 個家庭受到退伍軍人病致命爆發的影響... http://t.co/SO81Ab3a1x</v>
      </c>
      <c r="G2237" s="4" t="str">
        <f>IFERROR(__xludf.DUMMYFUNCTION("GOOGLETRANSLATE(B2237)"),"爆發")</f>
        <v>爆發</v>
      </c>
    </row>
    <row r="2238" ht="15.75" customHeight="1">
      <c r="A2238" s="4">
        <v>7565.0</v>
      </c>
      <c r="B2238" s="4" t="s">
        <v>3459</v>
      </c>
      <c r="D2238" s="4" t="s">
        <v>3482</v>
      </c>
      <c r="E2238" s="4">
        <v>1.0</v>
      </c>
      <c r="F2238" s="4" t="str">
        <f>IFERROR(__xludf.DUMMYFUNCTION("GOOGLETRANSLATE(D2238)"),"家庭因軍團士兵提起訴訟：超過 40 個家庭受到軍團致命爆發的影響... http://t.co/uCBfgIBFOR #MuhamadJabal")</f>
        <v>家庭因軍團士兵提起訴訟：超過 40 個家庭受到軍團致命爆發的影響... http://t.co/uCBfgIBFOR #MuhamadJabal</v>
      </c>
      <c r="G2238" s="4" t="str">
        <f>IFERROR(__xludf.DUMMYFUNCTION("GOOGLETRANSLATE(B2238)"),"爆發")</f>
        <v>爆發</v>
      </c>
    </row>
    <row r="2239" ht="15.75" customHeight="1">
      <c r="A2239" s="4">
        <v>7566.0</v>
      </c>
      <c r="B2239" s="4" t="s">
        <v>3459</v>
      </c>
      <c r="C2239" s="4" t="s">
        <v>126</v>
      </c>
      <c r="D2239" s="4" t="s">
        <v>3483</v>
      </c>
      <c r="E2239" s="4">
        <v>1.0</v>
      </c>
      <c r="F2239" s="4" t="str">
        <f>IFERROR(__xludf.DUMMYFUNCTION("GOOGLETRANSLATE(D2239)"),"DTN 義大利：家庭因軍團士兵提起訴訟：40 多個家庭受到軍團致命疫情的影響... http://t.co/RsV9ATj9vH")</f>
        <v>DTN 義大利：家庭因軍團士兵提起訴訟：40 多個家庭受到軍團致命疫情的影響... http://t.co/RsV9ATj9vH</v>
      </c>
      <c r="G2239" s="4" t="str">
        <f>IFERROR(__xludf.DUMMYFUNCTION("GOOGLETRANSLATE(B2239)"),"爆發")</f>
        <v>爆發</v>
      </c>
    </row>
    <row r="2240" ht="15.75" customHeight="1">
      <c r="A2240" s="4">
        <v>7568.0</v>
      </c>
      <c r="B2240" s="4" t="s">
        <v>3459</v>
      </c>
      <c r="C2240" s="4" t="s">
        <v>1593</v>
      </c>
      <c r="D2240" s="4" t="s">
        <v>3484</v>
      </c>
      <c r="E2240" s="4">
        <v>1.0</v>
      </c>
      <c r="F2240" s="4" t="str">
        <f>IFERROR(__xludf.DUMMYFUNCTION("GOOGLETRANSLATE(D2240)"),"@SenateMajLdr 讓我們透過與人民和政界相互對話，盡最大努力防止暴力再次爆發")</f>
        <v>@SenateMajLdr 讓我們透過與人民和政界相互對話，盡最大努力防止暴力再次爆發</v>
      </c>
      <c r="G2240" s="4" t="str">
        <f>IFERROR(__xludf.DUMMYFUNCTION("GOOGLETRANSLATE(B2240)"),"爆發")</f>
        <v>爆發</v>
      </c>
    </row>
    <row r="2241" ht="15.75" customHeight="1">
      <c r="A2241" s="4">
        <v>7569.0</v>
      </c>
      <c r="B2241" s="4" t="s">
        <v>3459</v>
      </c>
      <c r="C2241" s="4" t="s">
        <v>1118</v>
      </c>
      <c r="D2241" s="4" t="s">
        <v>3485</v>
      </c>
      <c r="E2241" s="4">
        <v>1.0</v>
      </c>
      <c r="F2241" s="4" t="str">
        <f>IFERROR(__xludf.DUMMYFUNCTION("GOOGLETRANSLATE(D2241)"),"家庭因軍團士兵提起訴訟：超過 40 個家庭受到軍團士兵疾病致命爆發的影響... http://t.co/oJyW7jkUH5")</f>
        <v>家庭因軍團士兵提起訴訟：超過 40 個家庭受到軍團士兵疾病致命爆發的影響... http://t.co/oJyW7jkUH5</v>
      </c>
      <c r="G2241" s="4" t="str">
        <f>IFERROR(__xludf.DUMMYFUNCTION("GOOGLETRANSLATE(B2241)"),"爆發")</f>
        <v>爆發</v>
      </c>
    </row>
    <row r="2242" ht="15.75" customHeight="1">
      <c r="A2242" s="4">
        <v>7570.0</v>
      </c>
      <c r="B2242" s="4" t="s">
        <v>3459</v>
      </c>
      <c r="D2242" s="4" t="s">
        <v>3486</v>
      </c>
      <c r="E2242" s="4">
        <v>1.0</v>
      </c>
      <c r="F2242" s="4" t="str">
        <f>IFERROR(__xludf.DUMMYFUNCTION("GOOGLETRANSLATE(D2242)"),"家庭因軍團士兵提起訴訟：超過 40 個家庭受到軍團士兵疾病致命爆發的影響... http://t.co/rv9Dv6JOeW")</f>
        <v>家庭因軍團士兵提起訴訟：超過 40 個家庭受到軍團士兵疾病致命爆發的影響... http://t.co/rv9Dv6JOeW</v>
      </c>
      <c r="G2242" s="4" t="str">
        <f>IFERROR(__xludf.DUMMYFUNCTION("GOOGLETRANSLATE(B2242)"),"爆發")</f>
        <v>爆發</v>
      </c>
    </row>
    <row r="2243" ht="15.75" customHeight="1">
      <c r="A2243" s="4">
        <v>7571.0</v>
      </c>
      <c r="B2243" s="4" t="s">
        <v>3459</v>
      </c>
      <c r="C2243" s="4" t="s">
        <v>3487</v>
      </c>
      <c r="D2243" s="4" t="s">
        <v>3488</v>
      </c>
      <c r="E2243" s="4">
        <v>1.0</v>
      </c>
      <c r="F2243" s="4" t="str">
        <f>IFERROR(__xludf.DUMMYFUNCTION("GOOGLETRANSLATE(D2243)"),"紐約市疫情爆發：什麼是退伍軍人症？ http://t.co/CXI82rFiFS")</f>
        <v>紐約市疫情爆發：什麼是退伍軍人症？ http://t.co/CXI82rFiFS</v>
      </c>
      <c r="G2243" s="4" t="str">
        <f>IFERROR(__xludf.DUMMYFUNCTION("GOOGLETRANSLATE(B2243)"),"爆發")</f>
        <v>爆發</v>
      </c>
    </row>
    <row r="2244" ht="15.75" customHeight="1">
      <c r="A2244" s="4">
        <v>7573.0</v>
      </c>
      <c r="B2244" s="4" t="s">
        <v>3459</v>
      </c>
      <c r="C2244" s="4" t="s">
        <v>3489</v>
      </c>
      <c r="D2244" s="4" t="s">
        <v>3490</v>
      </c>
      <c r="E2244" s="4">
        <v>1.0</v>
      </c>
      <c r="F2244" s="4" t="str">
        <f>IFERROR(__xludf.DUMMYFUNCTION("GOOGLETRANSLATE(D2244)"),"家庭因軍團士兵提起訴訟：40多個家庭受到軍團士兵疾病致命爆發的影響... http://t.co/1H7zk6UYze")</f>
        <v>家庭因軍團士兵提起訴訟：40多個家庭受到軍團士兵疾病致命爆發的影響... http://t.co/1H7zk6UYze</v>
      </c>
      <c r="G2244" s="4" t="str">
        <f>IFERROR(__xludf.DUMMYFUNCTION("GOOGLETRANSLATE(B2244)"),"爆發")</f>
        <v>爆發</v>
      </c>
    </row>
    <row r="2245" ht="15.75" customHeight="1">
      <c r="A2245" s="4">
        <v>7577.0</v>
      </c>
      <c r="B2245" s="4" t="s">
        <v>3459</v>
      </c>
      <c r="C2245" s="4" t="s">
        <v>3491</v>
      </c>
      <c r="D2245" s="4" t="s">
        <v>3492</v>
      </c>
      <c r="E2245" s="4">
        <v>1.0</v>
      </c>
      <c r="F2245" s="4" t="str">
        <f>IFERROR(__xludf.DUMMYFUNCTION("GOOGLETRANSLATE(D2245)"),"家庭因退伍軍人症提起訴訟：超過 40 個家庭受到退伍軍人病致命爆發的影響... http://t.co/mNsy1QR7bq")</f>
        <v>家庭因退伍軍人症提起訴訟：超過 40 個家庭受到退伍軍人病致命爆發的影響... http://t.co/mNsy1QR7bq</v>
      </c>
      <c r="G2245" s="4" t="str">
        <f>IFERROR(__xludf.DUMMYFUNCTION("GOOGLETRANSLATE(B2245)"),"爆發")</f>
        <v>爆發</v>
      </c>
    </row>
    <row r="2246" ht="15.75" customHeight="1">
      <c r="A2246" s="4">
        <v>7578.0</v>
      </c>
      <c r="B2246" s="4" t="s">
        <v>3459</v>
      </c>
      <c r="C2246" s="4" t="s">
        <v>3329</v>
      </c>
      <c r="D2246" s="4" t="s">
        <v>3493</v>
      </c>
      <c r="E2246" s="4">
        <v>1.0</v>
      </c>
      <c r="F2246" s="4" t="str">
        <f>IFERROR(__xludf.DUMMYFUNCTION("GOOGLETRANSLATE(D2246)"),"家庭因軍團士兵提起訴訟：40多個家庭受到軍團士兵疾病致命爆發的影響...http://t.co/kkdX8zMV4G")</f>
        <v>家庭因軍團士兵提起訴訟：40多個家庭受到軍團士兵疾病致命爆發的影響...http://t.co/kkdX8zMV4G</v>
      </c>
      <c r="G2246" s="4" t="str">
        <f>IFERROR(__xludf.DUMMYFUNCTION("GOOGLETRANSLATE(B2246)"),"爆發")</f>
        <v>爆發</v>
      </c>
    </row>
    <row r="2247" ht="15.75" customHeight="1">
      <c r="A2247" s="4">
        <v>7579.0</v>
      </c>
      <c r="B2247" s="4" t="s">
        <v>3459</v>
      </c>
      <c r="D2247" s="4" t="s">
        <v>3494</v>
      </c>
      <c r="E2247" s="4">
        <v>1.0</v>
      </c>
      <c r="F2247" s="4" t="str">
        <f>IFERROR(__xludf.DUMMYFUNCTION("GOOGLETRANSLATE(D2247)"),"家庭因軍團士兵提起訴訟：超過 40 個家庭受到軍團士兵疾病致命爆發的影響... http://t.co/13W8CyukKZ")</f>
        <v>家庭因軍團士兵提起訴訟：超過 40 個家庭受到軍團士兵疾病致命爆發的影響... http://t.co/13W8CyukKZ</v>
      </c>
      <c r="G2247" s="4" t="str">
        <f>IFERROR(__xludf.DUMMYFUNCTION("GOOGLETRANSLATE(B2247)"),"爆發")</f>
        <v>爆發</v>
      </c>
    </row>
    <row r="2248" ht="15.75" customHeight="1">
      <c r="A2248" s="4">
        <v>7580.0</v>
      </c>
      <c r="B2248" s="4" t="s">
        <v>3459</v>
      </c>
      <c r="C2248" s="4" t="s">
        <v>3495</v>
      </c>
      <c r="D2248" s="4" t="s">
        <v>3496</v>
      </c>
      <c r="E2248" s="4">
        <v>1.0</v>
      </c>
      <c r="F2248" s="4" t="str">
        <f>IFERROR(__xludf.DUMMYFUNCTION("GOOGLETRANSLATE(D2248)"),"家庭因軍團士兵提起訴訟：40多個家庭受到軍團士兵疾病致命爆發的影響... http://t.co/hKxYzhvmQE")</f>
        <v>家庭因軍團士兵提起訴訟：40多個家庭受到軍團士兵疾病致命爆發的影響... http://t.co/hKxYzhvmQE</v>
      </c>
      <c r="G2248" s="4" t="str">
        <f>IFERROR(__xludf.DUMMYFUNCTION("GOOGLETRANSLATE(B2248)"),"爆發")</f>
        <v>爆發</v>
      </c>
    </row>
    <row r="2249" ht="15.75" customHeight="1">
      <c r="A2249" s="4">
        <v>7581.0</v>
      </c>
      <c r="B2249" s="4" t="s">
        <v>3459</v>
      </c>
      <c r="C2249" s="4" t="s">
        <v>3497</v>
      </c>
      <c r="D2249" s="4" t="s">
        <v>3498</v>
      </c>
      <c r="E2249" s="4">
        <v>1.0</v>
      </c>
      <c r="F2249" s="4" t="str">
        <f>IFERROR(__xludf.DUMMYFUNCTION("GOOGLETRANSLATE(D2249)"),"第 8 人在紐約軍團疾病爆發中死亡 http://t.co/fJdM8QHYAI #SEBEE")</f>
        <v>第 8 人在紐約軍團疾病爆發中死亡 http://t.co/fJdM8QHYAI #SEBEE</v>
      </c>
      <c r="G2249" s="4" t="str">
        <f>IFERROR(__xludf.DUMMYFUNCTION("GOOGLETRANSLATE(B2249)"),"爆發")</f>
        <v>爆發</v>
      </c>
    </row>
    <row r="2250" ht="15.75" customHeight="1">
      <c r="A2250" s="4">
        <v>7582.0</v>
      </c>
      <c r="B2250" s="4" t="s">
        <v>3459</v>
      </c>
      <c r="C2250" s="4" t="s">
        <v>1118</v>
      </c>
      <c r="D2250" s="4" t="s">
        <v>3499</v>
      </c>
      <c r="E2250" s="4">
        <v>1.0</v>
      </c>
      <c r="F2250" s="4" t="str">
        <f>IFERROR(__xludf.DUMMYFUNCTION("GOOGLETRANSLATE(D2250)"),"退伍軍人病：正在採取哪些措施來阻止致命的爆發：有史以來最嚴重的退伍軍人病爆發...... http://t.co/0ubG9wFyge #losangeles")</f>
        <v>退伍軍人病：正在採取哪些措施來阻止致命的爆發：有史以來最嚴重的退伍軍人病爆發...... http://t.co/0ubG9wFyge #losangeles</v>
      </c>
      <c r="G2250" s="4" t="str">
        <f>IFERROR(__xludf.DUMMYFUNCTION("GOOGLETRANSLATE(B2250)"),"爆發")</f>
        <v>爆發</v>
      </c>
    </row>
    <row r="2251" ht="15.75" customHeight="1">
      <c r="A2251" s="4">
        <v>7583.0</v>
      </c>
      <c r="B2251" s="4" t="s">
        <v>3459</v>
      </c>
      <c r="C2251" s="4" t="s">
        <v>3500</v>
      </c>
      <c r="D2251" s="4" t="s">
        <v>3501</v>
      </c>
      <c r="E2251" s="4">
        <v>1.0</v>
      </c>
      <c r="F2251" s="4" t="str">
        <f>IFERROR(__xludf.DUMMYFUNCTION("GOOGLETRANSLATE(D2251)"),"家庭因軍團士兵提起訴訟：40多個家庭受到軍團士兵疾病致命爆發的影響... http://t.co/ZA4AXFJSVB")</f>
        <v>家庭因軍團士兵提起訴訟：40多個家庭受到軍團士兵疾病致命爆發的影響... http://t.co/ZA4AXFJSVB</v>
      </c>
      <c r="G2251" s="4" t="str">
        <f>IFERROR(__xludf.DUMMYFUNCTION("GOOGLETRANSLATE(B2251)"),"爆發")</f>
        <v>爆發</v>
      </c>
    </row>
    <row r="2252" ht="15.75" customHeight="1">
      <c r="A2252" s="4">
        <v>7584.0</v>
      </c>
      <c r="B2252" s="4" t="s">
        <v>3459</v>
      </c>
      <c r="C2252" s="4" t="s">
        <v>3502</v>
      </c>
      <c r="D2252" s="4" t="s">
        <v>3503</v>
      </c>
      <c r="E2252" s="4">
        <v>1.0</v>
      </c>
      <c r="F2252" s="4" t="str">
        <f>IFERROR(__xludf.DUMMYFUNCTION("GOOGLETRANSLATE(D2252)"),"家庭因愛丁堡退伍軍人病爆發提起訴訟 - BBC 新聞 http://t.co/rM6CNzkSzL")</f>
        <v>家庭因愛丁堡退伍軍人病爆發提起訴訟 - BBC 新聞 http://t.co/rM6CNzkSzL</v>
      </c>
      <c r="G2252" s="4" t="str">
        <f>IFERROR(__xludf.DUMMYFUNCTION("GOOGLETRANSLATE(B2252)"),"爆發")</f>
        <v>爆發</v>
      </c>
    </row>
    <row r="2253" ht="15.75" customHeight="1">
      <c r="A2253" s="4">
        <v>7585.0</v>
      </c>
      <c r="B2253" s="4" t="s">
        <v>3459</v>
      </c>
      <c r="C2253" s="4" t="s">
        <v>3504</v>
      </c>
      <c r="D2253" s="4" t="s">
        <v>3505</v>
      </c>
      <c r="E2253" s="4">
        <v>1.0</v>
      </c>
      <c r="F2253" s="4" t="str">
        <f>IFERROR(__xludf.DUMMYFUNCTION("GOOGLETRANSLATE(D2253)"),"#News 家庭因軍團士兵提起訴訟：超過 40 個家庭受到軍團士兵致命爆發的影響... http://t.co/zfYqSAwvrk")</f>
        <v>#News 家庭因軍團士兵提起訴訟：超過 40 個家庭受到軍團士兵致命爆發的影響... http://t.co/zfYqSAwvrk</v>
      </c>
      <c r="G2253" s="4" t="str">
        <f>IFERROR(__xludf.DUMMYFUNCTION("GOOGLETRANSLATE(B2253)"),"爆發")</f>
        <v>爆發</v>
      </c>
    </row>
    <row r="2254" ht="15.75" customHeight="1">
      <c r="A2254" s="4">
        <v>7587.0</v>
      </c>
      <c r="B2254" s="4" t="s">
        <v>3459</v>
      </c>
      <c r="C2254" s="4" t="s">
        <v>3506</v>
      </c>
      <c r="D2254" s="4" t="s">
        <v>3507</v>
      </c>
      <c r="E2254" s="4">
        <v>1.0</v>
      </c>
      <c r="F2254" s="4" t="str">
        <f>IFERROR(__xludf.DUMMYFUNCTION("GOOGLETRANSLATE(D2254)"),"家庭起訴退伍軍人：超過 40 個家庭受到致命疫情爆發的影響... http://t.co/3hTJ2PypSg #News #check #follow")</f>
        <v>家庭起訴退伍軍人：超過 40 個家庭受到致命疫情爆發的影響... http://t.co/3hTJ2PypSg #News #check #follow</v>
      </c>
      <c r="G2254" s="4" t="str">
        <f>IFERROR(__xludf.DUMMYFUNCTION("GOOGLETRANSLATE(B2254)"),"爆發")</f>
        <v>爆發</v>
      </c>
    </row>
    <row r="2255" ht="15.75" customHeight="1">
      <c r="A2255" s="4">
        <v>7588.0</v>
      </c>
      <c r="B2255" s="4" t="s">
        <v>3459</v>
      </c>
      <c r="C2255" s="4" t="s">
        <v>3508</v>
      </c>
      <c r="D2255" s="4" t="s">
        <v>3509</v>
      </c>
      <c r="E2255" s="4">
        <v>1.0</v>
      </c>
      <c r="F2255" s="4" t="str">
        <f>IFERROR(__xludf.DUMMYFUNCTION("GOOGLETRANSLATE(D2255)"),"家庭因退伍軍人問題提起訴訟：超過 40 個家庭受到退伍軍人疾病致命爆發的影響... http://t.co/NQ77EfMF88")</f>
        <v>家庭因退伍軍人問題提起訴訟：超過 40 個家庭受到退伍軍人疾病致命爆發的影響... http://t.co/NQ77EfMF88</v>
      </c>
      <c r="G2255" s="4" t="str">
        <f>IFERROR(__xludf.DUMMYFUNCTION("GOOGLETRANSLATE(B2255)"),"爆發")</f>
        <v>爆發</v>
      </c>
    </row>
    <row r="2256" ht="15.75" customHeight="1">
      <c r="A2256" s="4">
        <v>7589.0</v>
      </c>
      <c r="B2256" s="4" t="s">
        <v>3459</v>
      </c>
      <c r="C2256" s="4" t="s">
        <v>3510</v>
      </c>
      <c r="D2256" s="4" t="s">
        <v>3511</v>
      </c>
      <c r="E2256" s="4">
        <v>1.0</v>
      </c>
      <c r="F2256" s="4" t="str">
        <f>IFERROR(__xludf.DUMMYFUNCTION("GOOGLETRANSLATE(D2256)"),"家庭因退伍軍人問題提起訴訟：超過 40 個家庭受到退伍軍人疾病致命爆發的影響... http://t.co/lfbdhTGQWG")</f>
        <v>家庭因退伍軍人問題提起訴訟：超過 40 個家庭受到退伍軍人疾病致命爆發的影響... http://t.co/lfbdhTGQWG</v>
      </c>
      <c r="G2256" s="4" t="str">
        <f>IFERROR(__xludf.DUMMYFUNCTION("GOOGLETRANSLATE(B2256)"),"爆發")</f>
        <v>爆發</v>
      </c>
    </row>
    <row r="2257" ht="15.75" customHeight="1">
      <c r="A2257" s="4">
        <v>7590.0</v>
      </c>
      <c r="B2257" s="4" t="s">
        <v>3459</v>
      </c>
      <c r="D2257" s="4" t="s">
        <v>3512</v>
      </c>
      <c r="E2257" s="4">
        <v>1.0</v>
      </c>
      <c r="F2257" s="4" t="str">
        <f>IFERROR(__xludf.DUMMYFUNCTION("GOOGLETRANSLATE(D2257)"),"紐約爆發退伍軍人病，已造成至少 8 人死亡，現在官員認為他們已經... http://t.co/7evyeLW4LC")</f>
        <v>紐約爆發退伍軍人病，已造成至少 8 人死亡，現在官員認為他們已經... http://t.co/7evyeLW4LC</v>
      </c>
      <c r="G2257" s="4" t="str">
        <f>IFERROR(__xludf.DUMMYFUNCTION("GOOGLETRANSLATE(B2257)"),"爆發")</f>
        <v>爆發</v>
      </c>
    </row>
    <row r="2258" ht="15.75" customHeight="1">
      <c r="A2258" s="4">
        <v>7591.0</v>
      </c>
      <c r="B2258" s="4" t="s">
        <v>3459</v>
      </c>
      <c r="C2258" s="4" t="s">
        <v>3513</v>
      </c>
      <c r="D2258" s="4" t="s">
        <v>3514</v>
      </c>
      <c r="E2258" s="4">
        <v>1.0</v>
      </c>
      <c r="F2258" s="4" t="str">
        <f>IFERROR(__xludf.DUMMYFUNCTION("GOOGLETRANSLATE(D2258)"),"家庭因退伍軍人病提起訴訟：超過 40 個家庭受到退伍軍人病致命爆發的影響... http://t.co/Paje5mxN1z")</f>
        <v>家庭因退伍軍人病提起訴訟：超過 40 個家庭受到退伍軍人病致命爆發的影響... http://t.co/Paje5mxN1z</v>
      </c>
      <c r="G2258" s="4" t="str">
        <f>IFERROR(__xludf.DUMMYFUNCTION("GOOGLETRANSLATE(B2258)"),"爆發")</f>
        <v>爆發</v>
      </c>
    </row>
    <row r="2259" ht="15.75" customHeight="1">
      <c r="A2259" s="4">
        <v>7593.0</v>
      </c>
      <c r="B2259" s="4" t="s">
        <v>3459</v>
      </c>
      <c r="C2259" s="4" t="s">
        <v>942</v>
      </c>
      <c r="D2259" s="4" t="s">
        <v>3515</v>
      </c>
      <c r="E2259" s="4">
        <v>1.0</v>
      </c>
      <c r="F2259" s="4" t="str">
        <f>IFERROR(__xludf.DUMMYFUNCTION("GOOGLETRANSLATE(D2259)"),"紐約爆發退伍軍人病，已造成至少 8 人死亡 @BI_Video http://t.co/eRJ7YANjXm http://t.co/vbRPeuJANL")</f>
        <v>紐約爆發退伍軍人病，已造成至少 8 人死亡 @BI_Video http://t.co/eRJ7YANjXm http://t.co/vbRPeuJANL</v>
      </c>
      <c r="G2259" s="4" t="str">
        <f>IFERROR(__xludf.DUMMYFUNCTION("GOOGLETRANSLATE(B2259)"),"爆發")</f>
        <v>爆發</v>
      </c>
    </row>
    <row r="2260" ht="15.75" customHeight="1">
      <c r="A2260" s="4">
        <v>7594.0</v>
      </c>
      <c r="B2260" s="4" t="s">
        <v>3459</v>
      </c>
      <c r="C2260" s="4" t="s">
        <v>3516</v>
      </c>
      <c r="D2260" s="4" t="s">
        <v>3517</v>
      </c>
      <c r="E2260" s="4">
        <v>1.0</v>
      </c>
      <c r="F2260" s="4" t="str">
        <f>IFERROR(__xludf.DUMMYFUNCTION("GOOGLETRANSLATE(D2260)"),"#南布朗克斯退伍軍人疫情爆發，確認第10例死亡；病例總數達三位數
http://t.co/TxrsWi0efg")</f>
        <v>#南布朗克斯退伍軍人疫情爆發，確認第10例死亡；病例總數達三位數
http://t.co/TxrsWi0efg</v>
      </c>
      <c r="G2260" s="4" t="str">
        <f>IFERROR(__xludf.DUMMYFUNCTION("GOOGLETRANSLATE(B2260)"),"爆發")</f>
        <v>爆發</v>
      </c>
    </row>
    <row r="2261" ht="15.75" customHeight="1">
      <c r="A2261" s="4">
        <v>7598.0</v>
      </c>
      <c r="B2261" s="4" t="s">
        <v>3518</v>
      </c>
      <c r="C2261" s="4" t="s">
        <v>656</v>
      </c>
      <c r="D2261" s="4" t="s">
        <v>3519</v>
      </c>
      <c r="E2261" s="4">
        <v>1.0</v>
      </c>
      <c r="F2261" s="4" t="str">
        <f>IFERROR(__xludf.DUMMYFUNCTION("GOOGLETRANSLATE(D2261)"),"阿壩婦女無臉生子，一片混亂（照片）.... http://t.co/lYXNjlxL8s http://t.co/CXYFqN3ue4")</f>
        <v>阿壩婦女無臉生子，一片混亂（照片）.... http://t.co/lYXNjlxL8s http://t.co/CXYFqN3ue4</v>
      </c>
      <c r="G2261" s="4" t="str">
        <f>IFERROR(__xludf.DUMMYFUNCTION("GOOGLETRANSLATE(B2261)"),"混亂")</f>
        <v>混亂</v>
      </c>
    </row>
    <row r="2262" ht="15.75" customHeight="1">
      <c r="A2262" s="4">
        <v>7602.0</v>
      </c>
      <c r="B2262" s="4" t="s">
        <v>3518</v>
      </c>
      <c r="C2262" s="4" t="s">
        <v>3520</v>
      </c>
      <c r="D2262" s="4" t="s">
        <v>3521</v>
      </c>
      <c r="E2262" s="4">
        <v>1.0</v>
      </c>
      <c r="F2262" s="4" t="str">
        <f>IFERROR(__xludf.DUMMYFUNCTION("GOOGLETRANSLATE(D2262)"),"阿壩婦女無臉分娩，一片混亂（照片） - http://t.co/c5u9qshhnb")</f>
        <v>阿壩婦女無臉分娩，一片混亂（照片） - http://t.co/c5u9qshhnb</v>
      </c>
      <c r="G2262" s="4" t="str">
        <f>IFERROR(__xludf.DUMMYFUNCTION("GOOGLETRANSLATE(B2262)"),"混亂")</f>
        <v>混亂</v>
      </c>
    </row>
    <row r="2263" ht="15.75" customHeight="1">
      <c r="A2263" s="4">
        <v>7607.0</v>
      </c>
      <c r="B2263" s="4" t="s">
        <v>3518</v>
      </c>
      <c r="D2263" s="4" t="s">
        <v>3522</v>
      </c>
      <c r="E2263" s="4">
        <v>1.0</v>
      </c>
      <c r="F2263" s="4" t="str">
        <f>IFERROR(__xludf.DUMMYFUNCTION("GOOGLETRANSLATE(D2263)"),"我很快就會在 SFA...#Pandemonium http://t.co/RW8b50xz9m")</f>
        <v>我很快就會在 SFA...#Pandemonium http://t.co/RW8b50xz9m</v>
      </c>
      <c r="G2263" s="4" t="str">
        <f>IFERROR(__xludf.DUMMYFUNCTION("GOOGLETRANSLATE(B2263)"),"混亂")</f>
        <v>混亂</v>
      </c>
    </row>
    <row r="2264" ht="15.75" customHeight="1">
      <c r="A2264" s="4">
        <v>7611.0</v>
      </c>
      <c r="B2264" s="4" t="s">
        <v>3518</v>
      </c>
      <c r="C2264" s="4" t="s">
        <v>3523</v>
      </c>
      <c r="D2264" s="4" t="s">
        <v>3524</v>
      </c>
      <c r="E2264" s="4">
        <v>1.0</v>
      </c>
      <c r="F2264" s="4" t="str">
        <f>IFERROR(__xludf.DUMMYFUNCTION("GOOGLETRANSLATE(D2264)"),"《Pandemonium》曾經是我最喜歡的 CD ??我必須得到它 http://t.co/6WhUgaeM3C")</f>
        <v>《Pandemonium》曾經是我最喜歡的 CD ??我必須得到它 http://t.co/6WhUgaeM3C</v>
      </c>
      <c r="G2264" s="4" t="str">
        <f>IFERROR(__xludf.DUMMYFUNCTION("GOOGLETRANSLATE(B2264)"),"混亂")</f>
        <v>混亂</v>
      </c>
    </row>
    <row r="2265" ht="15.75" customHeight="1">
      <c r="A2265" s="4">
        <v>7613.0</v>
      </c>
      <c r="B2265" s="4" t="s">
        <v>3518</v>
      </c>
      <c r="C2265" s="4" t="s">
        <v>2841</v>
      </c>
      <c r="D2265" s="4" t="s">
        <v>3525</v>
      </c>
      <c r="E2265" s="4">
        <v>1.0</v>
      </c>
      <c r="F2265" s="4" t="str">
        <f>IFERROR(__xludf.DUMMYFUNCTION("GOOGLETRANSLATE(D2265)"),"阿壩婦女無臉分娩，一片混亂（照片） - http://t.co/xRP0rTkFfJ")</f>
        <v>阿壩婦女無臉分娩，一片混亂（照片） - http://t.co/xRP0rTkFfJ</v>
      </c>
      <c r="G2265" s="4" t="str">
        <f>IFERROR(__xludf.DUMMYFUNCTION("GOOGLETRANSLATE(B2265)"),"混亂")</f>
        <v>混亂</v>
      </c>
    </row>
    <row r="2266" ht="15.75" customHeight="1">
      <c r="A2266" s="4">
        <v>7621.0</v>
      </c>
      <c r="B2266" s="4" t="s">
        <v>3518</v>
      </c>
      <c r="C2266" s="4" t="s">
        <v>3526</v>
      </c>
      <c r="D2266" s="4" t="s">
        <v>3527</v>
      </c>
      <c r="E2266" s="4">
        <v>1.0</v>
      </c>
      <c r="F2266" s="4" t="str">
        <f>IFERROR(__xludf.DUMMYFUNCTION("GOOGLETRANSLATE(D2266)"),"@KhalidKKazi 夥計，自從我發布這條推文以來，他們又拿了 2 個，真是一片混亂")</f>
        <v>@KhalidKKazi 夥計，自從我發布這條推文以來，他們又拿了 2 個，真是一片混亂</v>
      </c>
      <c r="G2266" s="4" t="str">
        <f>IFERROR(__xludf.DUMMYFUNCTION("GOOGLETRANSLATE(B2266)"),"混亂")</f>
        <v>混亂</v>
      </c>
    </row>
    <row r="2267" ht="15.75" customHeight="1">
      <c r="A2267" s="4">
        <v>7642.0</v>
      </c>
      <c r="B2267" s="4" t="s">
        <v>3518</v>
      </c>
      <c r="C2267" s="4" t="s">
        <v>1193</v>
      </c>
      <c r="D2267" s="4" t="s">
        <v>3528</v>
      </c>
      <c r="E2267" s="4">
        <v>1.0</v>
      </c>
      <c r="F2267" s="4" t="str">
        <f>IFERROR(__xludf.DUMMYFUNCTION("GOOGLETRANSLATE(D2267)"),"阿壩婦女無臉生子，一片混亂（圖）http://t.co/bM0SXzbNKE")</f>
        <v>阿壩婦女無臉生子，一片混亂（圖）http://t.co/bM0SXzbNKE</v>
      </c>
      <c r="G2267" s="4" t="str">
        <f>IFERROR(__xludf.DUMMYFUNCTION("GOOGLETRANSLATE(B2267)"),"混亂")</f>
        <v>混亂</v>
      </c>
    </row>
    <row r="2268" ht="15.75" customHeight="1">
      <c r="A2268" s="4">
        <v>7643.0</v>
      </c>
      <c r="B2268" s="4" t="s">
        <v>3518</v>
      </c>
      <c r="C2268" s="4" t="s">
        <v>289</v>
      </c>
      <c r="D2268" s="4" t="s">
        <v>3529</v>
      </c>
      <c r="E2268" s="4">
        <v>1.0</v>
      </c>
      <c r="F2268" s="4" t="str">
        <f>IFERROR(__xludf.DUMMYFUNCTION("GOOGLETRANSLATE(D2268)"),"真是一片前所未有的混亂場面。甚至是一片混亂。徹底混亂。竟然有人在如此狂熱的情況下倖存下來，真是令人震驚。 @卡托維奇")</f>
        <v>真是一片前所未有的混亂場面。甚至是一片混亂。徹底混亂。竟然有人在如此狂熱的情況下倖存下來，真是令人震驚。 @卡托維奇</v>
      </c>
      <c r="G2268" s="4" t="str">
        <f>IFERROR(__xludf.DUMMYFUNCTION("GOOGLETRANSLATE(B2268)"),"混亂")</f>
        <v>混亂</v>
      </c>
    </row>
    <row r="2269" ht="15.75" customHeight="1">
      <c r="A2269" s="4">
        <v>7662.0</v>
      </c>
      <c r="B2269" s="4" t="s">
        <v>3530</v>
      </c>
      <c r="C2269" s="4" t="s">
        <v>3531</v>
      </c>
      <c r="D2269" s="4" t="s">
        <v>3532</v>
      </c>
      <c r="E2269" s="4">
        <v>1.0</v>
      </c>
      <c r="F2269" s="4" t="str">
        <f>IFERROR(__xludf.DUMMYFUNCTION("GOOGLETRANSLATE(D2269)"),"@elielcruz 只是看溪流很糟糕 - 我不認為我真的可以走進去，我會驚慌並生病")</f>
        <v>@elielcruz 只是看溪流很糟糕 - 我不認為我真的可以走進去，我會驚慌並生病</v>
      </c>
      <c r="G2269" s="4" t="str">
        <f>IFERROR(__xludf.DUMMYFUNCTION("GOOGLETRANSLATE(B2269)"),"恐慌")</f>
        <v>恐慌</v>
      </c>
    </row>
    <row r="2270" ht="15.75" customHeight="1">
      <c r="A2270" s="4">
        <v>7670.0</v>
      </c>
      <c r="B2270" s="4" t="s">
        <v>3530</v>
      </c>
      <c r="C2270" s="4" t="s">
        <v>3533</v>
      </c>
      <c r="D2270" s="4" t="s">
        <v>3534</v>
      </c>
      <c r="E2270" s="4">
        <v>1.0</v>
      </c>
      <c r="F2270" s="4" t="str">
        <f>IFERROR(__xludf.DUMMYFUNCTION("GOOGLETRANSLATE(D2270)"),"恐慌結束：阿拉巴馬州患者伊波拉病毒檢測呈陰性
http://t.co/cY0CiU2u1C")</f>
        <v>恐慌結束：阿拉巴馬州患者伊波拉病毒檢測呈陰性
http://t.co/cY0CiU2u1C</v>
      </c>
      <c r="G2270" s="4" t="str">
        <f>IFERROR(__xludf.DUMMYFUNCTION("GOOGLETRANSLATE(B2270)"),"恐慌")</f>
        <v>恐慌</v>
      </c>
    </row>
    <row r="2271" ht="15.75" customHeight="1">
      <c r="A2271" s="4">
        <v>7687.0</v>
      </c>
      <c r="B2271" s="4" t="s">
        <v>3530</v>
      </c>
      <c r="C2271" s="4" t="s">
        <v>142</v>
      </c>
      <c r="D2271" s="4" t="s">
        <v>3535</v>
      </c>
      <c r="E2271" s="4">
        <v>1.0</v>
      </c>
      <c r="F2271" s="4" t="str">
        <f>IFERROR(__xludf.DUMMYFUNCTION("GOOGLETRANSLATE(D2271)"),"明天就是我參加恐慌一週年了！演唱會打扮成 afycso ryan 你們還記得嗎")</f>
        <v>明天就是我參加恐慌一週年了！演唱會打扮成 afycso ryan 你們還記得嗎</v>
      </c>
      <c r="G2271" s="4" t="str">
        <f>IFERROR(__xludf.DUMMYFUNCTION("GOOGLETRANSLATE(B2271)"),"恐慌")</f>
        <v>恐慌</v>
      </c>
    </row>
    <row r="2272" ht="15.75" customHeight="1">
      <c r="A2272" s="4">
        <v>7698.0</v>
      </c>
      <c r="B2272" s="4" t="s">
        <v>3536</v>
      </c>
      <c r="D2272" s="4" t="s">
        <v>3537</v>
      </c>
      <c r="E2272" s="4">
        <v>1.0</v>
      </c>
      <c r="F2272" s="4" t="str">
        <f>IFERROR(__xludf.DUMMYFUNCTION("GOOGLETRANSLATE(D2272)"),"@Dirk_NoMissSki 是的，但是如果有人暈倒了，為什麼他們會驚慌失措？...那是基本的東西？")</f>
        <v>@Dirk_NoMissSki 是的，但是如果有人暈倒了，為什麼他們會驚慌失措？...那是基本的東西？</v>
      </c>
      <c r="G2272" s="4" t="str">
        <f>IFERROR(__xludf.DUMMYFUNCTION("GOOGLETRANSLATE(B2272)"),"驚慌失措")</f>
        <v>驚慌失措</v>
      </c>
    </row>
    <row r="2273" ht="15.75" customHeight="1">
      <c r="A2273" s="4">
        <v>7722.0</v>
      </c>
      <c r="B2273" s="4" t="s">
        <v>3536</v>
      </c>
      <c r="D2273" s="4" t="s">
        <v>3538</v>
      </c>
      <c r="E2273" s="4">
        <v>1.0</v>
      </c>
      <c r="F2273" s="4" t="str">
        <f>IFERROR(__xludf.DUMMYFUNCTION("GOOGLETRANSLATE(D2273)"),"所有的恐慌讓我感到疲倦;__;我想睡在我的床上")</f>
        <v>所有的恐慌讓我感到疲倦;__;我想睡在我的床上</v>
      </c>
      <c r="G2273" s="4" t="str">
        <f>IFERROR(__xludf.DUMMYFUNCTION("GOOGLETRANSLATE(B2273)"),"驚慌失措")</f>
        <v>驚慌失措</v>
      </c>
    </row>
    <row r="2274" ht="15.75" customHeight="1">
      <c r="A2274" s="4">
        <v>7746.0</v>
      </c>
      <c r="B2274" s="4" t="s">
        <v>3539</v>
      </c>
      <c r="C2274" s="4" t="s">
        <v>1749</v>
      </c>
      <c r="D2274" s="4" t="s">
        <v>3540</v>
      </c>
      <c r="E2274" s="4">
        <v>1.0</v>
      </c>
      <c r="F2274" s="4" t="str">
        <f>IFERROR(__xludf.DUMMYFUNCTION("GOOGLETRANSLATE(D2274)"),"美國表示，它正在進行一場反恐戰爭。然後當我準備開始射擊敵人時，警察拿走了我的 AR-15！")</f>
        <v>美國表示，它正在進行一場反恐戰爭。然後當我準備開始射擊敵人時，警察拿走了我的 AR-15！</v>
      </c>
      <c r="G2274" s="4" t="str">
        <f>IFERROR(__xludf.DUMMYFUNCTION("GOOGLETRANSLATE(B2274)"),"警察")</f>
        <v>警察</v>
      </c>
    </row>
    <row r="2275" ht="15.75" customHeight="1">
      <c r="A2275" s="4">
        <v>7747.0</v>
      </c>
      <c r="B2275" s="4" t="s">
        <v>3539</v>
      </c>
      <c r="C2275" s="4" t="s">
        <v>3541</v>
      </c>
      <c r="D2275" s="4" t="s">
        <v>3542</v>
      </c>
      <c r="E2275" s="4">
        <v>1.0</v>
      </c>
      <c r="F2275" s="4" t="str">
        <f>IFERROR(__xludf.DUMMYFUNCTION("GOOGLETRANSLATE(D2275)"),"警方：槍手報告在納許維爾地區劇院死亡：一名嫌疑人在卡米劇院攜帶槍支和斧頭...... http://t.co/kqvN1uTpMM")</f>
        <v>警方：槍手報告在納許維爾地區劇院死亡：一名嫌疑人在卡米劇院攜帶槍支和斧頭...... http://t.co/kqvN1uTpMM</v>
      </c>
      <c r="G2275" s="4" t="str">
        <f>IFERROR(__xludf.DUMMYFUNCTION("GOOGLETRANSLATE(B2275)"),"警察")</f>
        <v>警察</v>
      </c>
    </row>
    <row r="2276" ht="15.75" customHeight="1">
      <c r="A2276" s="4">
        <v>7748.0</v>
      </c>
      <c r="B2276" s="4" t="s">
        <v>3539</v>
      </c>
      <c r="C2276" s="4" t="s">
        <v>942</v>
      </c>
      <c r="D2276" s="4" t="s">
        <v>3543</v>
      </c>
      <c r="E2276" s="4">
        <v>1.0</v>
      </c>
      <c r="F2276" s="4" t="str">
        <f>IFERROR(__xludf.DUMMYFUNCTION("GOOGLETRANSLATE(D2276)"),"#BREAKING411 4 名警察因在加州聖路易斯奧比斯波警察訓練營虐待兒童而被捕 - ... http://t.co/oNLvf2fyoY")</f>
        <v>#BREAKING411 4 名警察因在加州聖路易斯奧比斯波警察訓練營虐待兒童而被捕 - ... http://t.co/oNLvf2fyoY</v>
      </c>
      <c r="G2276" s="4" t="str">
        <f>IFERROR(__xludf.DUMMYFUNCTION("GOOGLETRANSLATE(B2276)"),"警察")</f>
        <v>警察</v>
      </c>
    </row>
    <row r="2277" ht="15.75" customHeight="1">
      <c r="A2277" s="4">
        <v>7750.0</v>
      </c>
      <c r="B2277" s="4" t="s">
        <v>3539</v>
      </c>
      <c r="D2277" s="4" t="s">
        <v>3544</v>
      </c>
      <c r="E2277" s="4">
        <v>1.0</v>
      </c>
      <c r="F2277" s="4" t="str">
        <f>IFERROR(__xludf.DUMMYFUNCTION("GOOGLETRANSLATE(D2277)"),"#World #News 昆士蘭警方結束比利戈登的調查：昆士蘭警方已結束調查...... http://t.co/msgnNDxOeK")</f>
        <v>#World #News 昆士蘭警方結束比利戈登的調查：昆士蘭警方已結束調查...... http://t.co/msgnNDxOeK</v>
      </c>
      <c r="G2277" s="4" t="str">
        <f>IFERROR(__xludf.DUMMYFUNCTION("GOOGLETRANSLATE(B2277)"),"警察")</f>
        <v>警察</v>
      </c>
    </row>
    <row r="2278" ht="15.75" customHeight="1">
      <c r="A2278" s="4">
        <v>7751.0</v>
      </c>
      <c r="B2278" s="4" t="s">
        <v>3539</v>
      </c>
      <c r="D2278" s="4" t="s">
        <v>3545</v>
      </c>
      <c r="E2278" s="4">
        <v>1.0</v>
      </c>
      <c r="F2278" s="4" t="str">
        <f>IFERROR(__xludf.DUMMYFUNCTION("GOOGLETRANSLATE(D2278)"),"「田納西州電影院開槍的槍手被警察擊斃」 有人懷疑警察自殺嗎？")</f>
        <v>「田納西州電影院開槍的槍手被警察擊斃」 有人懷疑警察自殺嗎？</v>
      </c>
      <c r="G2278" s="4" t="str">
        <f>IFERROR(__xludf.DUMMYFUNCTION("GOOGLETRANSLATE(B2278)"),"警察")</f>
        <v>警察</v>
      </c>
    </row>
    <row r="2279" ht="15.75" customHeight="1">
      <c r="A2279" s="4">
        <v>7752.0</v>
      </c>
      <c r="B2279" s="4" t="s">
        <v>3539</v>
      </c>
      <c r="C2279" s="4" t="s">
        <v>112</v>
      </c>
      <c r="D2279" s="4" t="s">
        <v>3546</v>
      </c>
      <c r="E2279" s="4">
        <v>1.0</v>
      </c>
      <c r="F2279" s="4" t="str">
        <f>IFERROR(__xludf.DUMMYFUNCTION("GOOGLETRANSLATE(D2279)"),"警方擊斃在納許維爾電影院內開槍的持斧頭槍手：一名中年男子手持武器... http://t.co/tyD47NfL5x")</f>
        <v>警方擊斃在納許維爾電影院內開槍的持斧頭槍手：一名中年男子手持武器... http://t.co/tyD47NfL5x</v>
      </c>
      <c r="G2279" s="4" t="str">
        <f>IFERROR(__xludf.DUMMYFUNCTION("GOOGLETRANSLATE(B2279)"),"警察")</f>
        <v>警察</v>
      </c>
    </row>
    <row r="2280" ht="15.75" customHeight="1">
      <c r="A2280" s="4">
        <v>7755.0</v>
      </c>
      <c r="B2280" s="4" t="s">
        <v>3539</v>
      </c>
      <c r="C2280" s="4" t="s">
        <v>913</v>
      </c>
      <c r="D2280" s="4" t="s">
        <v>3547</v>
      </c>
      <c r="E2280" s="4">
        <v>1.0</v>
      </c>
      <c r="F2280" s="4" t="str">
        <f>IFERROR(__xludf.DUMMYFUNCTION("GOOGLETRANSLATE(D2280)"),"聖安娜警察工會封鎖了襲擊 Sky High Holistic Pot Dispensary 的影片 - 大西洋月刊 http://t.co/yvV1RlghfT #SmartNews")</f>
        <v>聖安娜警察工會封鎖了襲擊 Sky High Holistic Pot Dispensary 的影片 - 大西洋月刊 http://t.co/yvV1RlghfT #SmartNews</v>
      </c>
      <c r="G2280" s="4" t="str">
        <f>IFERROR(__xludf.DUMMYFUNCTION("GOOGLETRANSLATE(B2280)"),"警察")</f>
        <v>警察</v>
      </c>
    </row>
    <row r="2281" ht="15.75" customHeight="1">
      <c r="A2281" s="4">
        <v>7756.0</v>
      </c>
      <c r="B2281" s="4" t="s">
        <v>3539</v>
      </c>
      <c r="C2281" s="4" t="s">
        <v>3548</v>
      </c>
      <c r="D2281" s="4" t="s">
        <v>3549</v>
      </c>
      <c r="E2281" s="4">
        <v>1.0</v>
      </c>
      <c r="F2281" s="4" t="str">
        <f>IFERROR(__xludf.DUMMYFUNCTION("GOOGLETRANSLATE(D2281)"),"4 名警察因在加州聖路易斯奧比斯波警察訓練營虐待兒童而被捕 - @ABC7：http://t.co/QpWOtugUI9")</f>
        <v>4 名警察因在加州聖路易斯奧比斯波警察訓練營虐待兒童而被捕 - @ABC7：http://t.co/QpWOtugUI9</v>
      </c>
      <c r="G2281" s="4" t="str">
        <f>IFERROR(__xludf.DUMMYFUNCTION("GOOGLETRANSLATE(B2281)"),"警察")</f>
        <v>警察</v>
      </c>
    </row>
    <row r="2282" ht="15.75" customHeight="1">
      <c r="A2282" s="4">
        <v>7759.0</v>
      </c>
      <c r="B2282" s="4" t="s">
        <v>3539</v>
      </c>
      <c r="C2282" s="4" t="s">
        <v>656</v>
      </c>
      <c r="D2282" s="4" t="s">
        <v>3550</v>
      </c>
      <c r="E2282" s="4">
        <v>1.0</v>
      </c>
      <c r="F2282" s="4" t="str">
        <f>IFERROR(__xludf.DUMMYFUNCTION("GOOGLETRANSLATE(D2282)"),"尼日利亞現在的趨勢：警方指控傳統統治者其他人謀殺線人 http://t.co/93inFxzhX0")</f>
        <v>尼日利亞現在的趨勢：警方指控傳統統治者其他人謀殺線人 http://t.co/93inFxzhX0</v>
      </c>
      <c r="G2282" s="4" t="str">
        <f>IFERROR(__xludf.DUMMYFUNCTION("GOOGLETRANSLATE(B2282)"),"警察")</f>
        <v>警察</v>
      </c>
    </row>
    <row r="2283" ht="15.75" customHeight="1">
      <c r="A2283" s="4">
        <v>7760.0</v>
      </c>
      <c r="B2283" s="4" t="s">
        <v>3539</v>
      </c>
      <c r="C2283" s="4" t="s">
        <v>3551</v>
      </c>
      <c r="D2283" s="4" t="s">
        <v>3552</v>
      </c>
      <c r="E2283" s="4">
        <v>1.0</v>
      </c>
      <c r="F2283" s="4" t="str">
        <f>IFERROR(__xludf.DUMMYFUNCTION("GOOGLETRANSLATE(D2283)"),"加州警察在沒有任何明顯挑釁的情況下拔槍指著一名男子（影片）http://t.co/Lhw4vTbHZG via @dailykos")</f>
        <v>加州警察在沒有任何明顯挑釁的情況下拔槍指著一名男子（影片）http://t.co/Lhw4vTbHZG via @dailykos</v>
      </c>
      <c r="G2283" s="4" t="str">
        <f>IFERROR(__xludf.DUMMYFUNCTION("GOOGLETRANSLATE(B2283)"),"警察")</f>
        <v>警察</v>
      </c>
    </row>
    <row r="2284" ht="15.75" customHeight="1">
      <c r="A2284" s="4">
        <v>7767.0</v>
      </c>
      <c r="B2284" s="4" t="s">
        <v>3539</v>
      </c>
      <c r="D2284" s="4" t="s">
        <v>3553</v>
      </c>
      <c r="E2284" s="4">
        <v>1.0</v>
      </c>
      <c r="F2284" s="4" t="str">
        <f>IFERROR(__xludf.DUMMYFUNCTION("GOOGLETRANSLATE(D2284)"),"哎呀：賞金獵人試圖攻擊鳳凰城警察局長的家：http://t.co/yPRJWMigHL - 一群武裝賞金...http://t.co/3RrKRCjYW7")</f>
        <v>哎呀：賞金獵人試圖攻擊鳳凰城警察局長的家：http://t.co/yPRJWMigHL - 一群武裝賞金...http://t.co/3RrKRCjYW7</v>
      </c>
      <c r="G2284" s="4" t="str">
        <f>IFERROR(__xludf.DUMMYFUNCTION("GOOGLETRANSLATE(B2284)"),"警察")</f>
        <v>警察</v>
      </c>
    </row>
    <row r="2285" ht="15.75" customHeight="1">
      <c r="A2285" s="4">
        <v>7768.0</v>
      </c>
      <c r="B2285" s="4" t="s">
        <v>3539</v>
      </c>
      <c r="C2285" s="4" t="s">
        <v>38</v>
      </c>
      <c r="D2285" s="4" t="s">
        <v>3554</v>
      </c>
      <c r="E2285" s="4">
        <v>1.0</v>
      </c>
      <c r="F2285" s="4" t="str">
        <f>IFERROR(__xludf.DUMMYFUNCTION("GOOGLETRANSLATE(D2285)"),"被指控 #shooting at Fife #police 的男子保釋 100 萬美元 - 8 月 5 日@晚上 8:16 ET http://t.co/hu5CXqnoBf")</f>
        <v>被指控 #shooting at Fife #police 的男子保釋 100 萬美元 - 8 月 5 日@晚上 8:16 ET http://t.co/hu5CXqnoBf</v>
      </c>
      <c r="G2285" s="4" t="str">
        <f>IFERROR(__xludf.DUMMYFUNCTION("GOOGLETRANSLATE(B2285)"),"警察")</f>
        <v>警察</v>
      </c>
    </row>
    <row r="2286" ht="15.75" customHeight="1">
      <c r="A2286" s="4">
        <v>7769.0</v>
      </c>
      <c r="B2286" s="4" t="s">
        <v>3539</v>
      </c>
      <c r="C2286" s="4" t="s">
        <v>89</v>
      </c>
      <c r="D2286" s="4" t="s">
        <v>3555</v>
      </c>
      <c r="E2286" s="4">
        <v>1.0</v>
      </c>
      <c r="F2286" s="4" t="str">
        <f>IFERROR(__xludf.DUMMYFUNCTION("GOOGLETRANSLATE(D2286)"),"DT @georgegalway: RT @Galloway4Mayor: ÛÏCoL 警察可以在利物浦街抓到扒手... http://t.co/vXIn1gOq4Q")</f>
        <v>DT @georgegalway: RT @Galloway4Mayor: ÛÏCoL 警察可以在利物浦街抓到扒手... http://t.co/vXIn1gOq4Q</v>
      </c>
      <c r="G2286" s="4" t="str">
        <f>IFERROR(__xludf.DUMMYFUNCTION("GOOGLETRANSLATE(B2286)"),"警察")</f>
        <v>警察</v>
      </c>
    </row>
    <row r="2287" ht="15.75" customHeight="1">
      <c r="A2287" s="4">
        <v>7772.0</v>
      </c>
      <c r="B2287" s="4" t="s">
        <v>3539</v>
      </c>
      <c r="C2287" s="4" t="s">
        <v>3556</v>
      </c>
      <c r="D2287" s="4" t="s">
        <v>3557</v>
      </c>
      <c r="E2287" s="4">
        <v>1.0</v>
      </c>
      <c r="F2287" s="4" t="str">
        <f>IFERROR(__xludf.DUMMYFUNCTION("GOOGLETRANSLATE(D2287)"),"警察在納許維爾電影院殺死槍手 - 印度時報：印度時報警察殺死Û_ http://t.co/K8BExkgwr2")</f>
        <v>警察在納許維爾電影院殺死槍手 - 印度時報：印度時報警察殺死Û_ http://t.co/K8BExkgwr2</v>
      </c>
      <c r="G2287" s="4" t="str">
        <f>IFERROR(__xludf.DUMMYFUNCTION("GOOGLETRANSLATE(B2287)"),"警察")</f>
        <v>警察</v>
      </c>
    </row>
    <row r="2288" ht="15.75" customHeight="1">
      <c r="A2288" s="4">
        <v>7774.0</v>
      </c>
      <c r="B2288" s="4" t="s">
        <v>3539</v>
      </c>
      <c r="D2288" s="4" t="s">
        <v>3558</v>
      </c>
      <c r="E2288" s="4">
        <v>1.0</v>
      </c>
      <c r="F2288" s="4" t="str">
        <f>IFERROR(__xludf.DUMMYFUNCTION("GOOGLETRANSLATE(D2288)"),"@robbiewilliams U fkn asswipe 為以色列兒童殺手打球.. fkn karma 警察會抓到 U.")</f>
        <v>@robbiewilliams U fkn asswipe 為以色列兒童殺手打球.. fkn karma 警察會抓到 U.</v>
      </c>
      <c r="G2288" s="4" t="str">
        <f>IFERROR(__xludf.DUMMYFUNCTION("GOOGLETRANSLATE(B2288)"),"警察")</f>
        <v>警察</v>
      </c>
    </row>
    <row r="2289" ht="15.75" customHeight="1">
      <c r="A2289" s="4">
        <v>7780.0</v>
      </c>
      <c r="B2289" s="4" t="s">
        <v>3539</v>
      </c>
      <c r="C2289" s="4" t="s">
        <v>3559</v>
      </c>
      <c r="D2289" s="4" t="s">
        <v>3560</v>
      </c>
      <c r="E2289" s="4">
        <v>1.0</v>
      </c>
      <c r="F2289" s="4" t="str">
        <f>IFERROR(__xludf.DUMMYFUNCTION("GOOGLETRANSLATE(D2289)"),"@ArizonaDOT Price Rd North 從大學到 Rio Salado 的方向關閉了。很多警察。發生了什麼事？")</f>
        <v>@ArizonaDOT Price Rd North 從大學到 Rio Salado 的方向關閉了。很多警察。發生了什麼事？</v>
      </c>
      <c r="G2289" s="4" t="str">
        <f>IFERROR(__xludf.DUMMYFUNCTION("GOOGLETRANSLATE(B2289)"),"警察")</f>
        <v>警察</v>
      </c>
    </row>
    <row r="2290" ht="15.75" customHeight="1">
      <c r="A2290" s="4">
        <v>7781.0</v>
      </c>
      <c r="B2290" s="4" t="s">
        <v>3539</v>
      </c>
      <c r="C2290" s="4" t="s">
        <v>3561</v>
      </c>
      <c r="D2290" s="4" t="s">
        <v>3562</v>
      </c>
      <c r="E2290" s="4">
        <v>1.0</v>
      </c>
      <c r="F2290" s="4" t="str">
        <f>IFERROR(__xludf.DUMMYFUNCTION("GOOGLETRANSLATE(D2290)"),"九月布里奇波特男子被控入室行竊 警方正在尋找竊賊。 - http://t.co/7mlCD0l0b8")</f>
        <v>九月布里奇波特男子被控入室行竊 警方正在尋找竊賊。 - http://t.co/7mlCD0l0b8</v>
      </c>
      <c r="G2290" s="4" t="str">
        <f>IFERROR(__xludf.DUMMYFUNCTION("GOOGLETRANSLATE(B2290)"),"警察")</f>
        <v>警察</v>
      </c>
    </row>
    <row r="2291" ht="15.75" customHeight="1">
      <c r="A2291" s="4">
        <v>7784.0</v>
      </c>
      <c r="B2291" s="4" t="s">
        <v>3539</v>
      </c>
      <c r="D2291" s="4" t="s">
        <v>3563</v>
      </c>
      <c r="E2291" s="4">
        <v>1.0</v>
      </c>
      <c r="F2291" s="4" t="str">
        <f>IFERROR(__xludf.DUMMYFUNCTION("GOOGLETRANSLATE(D2291)"),"警察：男子在兒子沒有以他的名字命名後殺死了前祖母http://t.co/ndCy8Q7R6I OMG!!!!!絕對瘋狂！！！")</f>
        <v>警察：男子在兒子沒有以他的名字命名後殺死了前祖母http://t.co/ndCy8Q7R6I OMG!!!!!絕對瘋狂！！！</v>
      </c>
      <c r="G2291" s="4" t="str">
        <f>IFERROR(__xludf.DUMMYFUNCTION("GOOGLETRANSLATE(B2291)"),"警察")</f>
        <v>警察</v>
      </c>
    </row>
    <row r="2292" ht="15.75" customHeight="1">
      <c r="A2292" s="4">
        <v>7785.0</v>
      </c>
      <c r="B2292" s="4" t="s">
        <v>3539</v>
      </c>
      <c r="D2292" s="4" t="s">
        <v>3564</v>
      </c>
      <c r="E2292" s="4">
        <v>1.0</v>
      </c>
      <c r="F2292" s="4" t="str">
        <f>IFERROR(__xludf.DUMMYFUNCTION("GOOGLETRANSLATE(D2292)"),"-=-0!!!!.照片：LASTMA 官員對拉各斯警察違規駕駛提出質疑 http://t.co/8VzsfTR1bG")</f>
        <v>-=-0!!!!.照片：LASTMA 官員對拉各斯警察違規駕駛提出質疑 http://t.co/8VzsfTR1bG</v>
      </c>
      <c r="G2292" s="4" t="str">
        <f>IFERROR(__xludf.DUMMYFUNCTION("GOOGLETRANSLATE(B2292)"),"警察")</f>
        <v>警察</v>
      </c>
    </row>
    <row r="2293" ht="15.75" customHeight="1">
      <c r="A2293" s="4">
        <v>7789.0</v>
      </c>
      <c r="B2293" s="4" t="s">
        <v>3539</v>
      </c>
      <c r="C2293" s="4" t="s">
        <v>3565</v>
      </c>
      <c r="D2293" s="4" t="s">
        <v>3566</v>
      </c>
      <c r="E2293" s="4">
        <v>1.0</v>
      </c>
      <c r="F2293" s="4" t="str">
        <f>IFERROR(__xludf.DUMMYFUNCTION("GOOGLETRANSLATE(D2293)"),"CNN：田納西州電影院槍擊案嫌疑人被警方擊斃 http://t.co/dI8ElZsWNR")</f>
        <v>CNN：田納西州電影院槍擊案嫌疑人被警方擊斃 http://t.co/dI8ElZsWNR</v>
      </c>
      <c r="G2293" s="4" t="str">
        <f>IFERROR(__xludf.DUMMYFUNCTION("GOOGLETRANSLATE(B2293)"),"警察")</f>
        <v>警察</v>
      </c>
    </row>
    <row r="2294" ht="15.75" customHeight="1">
      <c r="A2294" s="4">
        <v>7790.0</v>
      </c>
      <c r="B2294" s="4" t="s">
        <v>3539</v>
      </c>
      <c r="C2294" s="4" t="s">
        <v>112</v>
      </c>
      <c r="D2294" s="4" t="s">
        <v>3567</v>
      </c>
      <c r="E2294" s="4">
        <v>1.0</v>
      </c>
      <c r="F2294" s="4" t="str">
        <f>IFERROR(__xludf.DUMMYFUNCTION("GOOGLETRANSLATE(D2294)"),"哎呀：賞金獵人試圖突襲鳳凰城警察局長的家：一群武裝賞金獵人包圍了他的家...http://t.co/dGELJ8rYt9")</f>
        <v>哎呀：賞金獵人試圖突襲鳳凰城警察局長的家：一群武裝賞金獵人包圍了他的家...http://t.co/dGELJ8rYt9</v>
      </c>
      <c r="G2294" s="4" t="str">
        <f>IFERROR(__xludf.DUMMYFUNCTION("GOOGLETRANSLATE(B2294)"),"警察")</f>
        <v>警察</v>
      </c>
    </row>
    <row r="2295" ht="15.75" customHeight="1">
      <c r="A2295" s="4">
        <v>7797.0</v>
      </c>
      <c r="B2295" s="4" t="s">
        <v>3568</v>
      </c>
      <c r="C2295" s="4" t="s">
        <v>3569</v>
      </c>
      <c r="D2295" s="4" t="s">
        <v>3570</v>
      </c>
      <c r="E2295" s="4">
        <v>1.0</v>
      </c>
      <c r="F2295" s="4" t="str">
        <f>IFERROR(__xludf.DUMMYFUNCTION("GOOGLETRANSLATE(D2295)"),"Reddit 現在將隔離Û_ http://t.co/pkUAMXw6pm #onlinecommunities #reddit #amgeddon #freespeech #Business http://t.co/PAWvNJ4sAP")</f>
        <v>Reddit 現在將隔離Û_ http://t.co/pkUAMXw6pm #onlinecommunities #reddit #amgeddon #freespeech #Business http://t.co/PAWvNJ4sAP</v>
      </c>
      <c r="G2295" s="4" t="str">
        <f>IFERROR(__xludf.DUMMYFUNCTION("GOOGLETRANSLATE(B2295)"),"檢疫")</f>
        <v>檢疫</v>
      </c>
    </row>
    <row r="2296" ht="15.75" customHeight="1">
      <c r="A2296" s="4">
        <v>7801.0</v>
      </c>
      <c r="B2296" s="4" t="s">
        <v>3568</v>
      </c>
      <c r="C2296" s="4" t="s">
        <v>3571</v>
      </c>
      <c r="D2296" s="4" t="s">
        <v>3572</v>
      </c>
      <c r="E2296" s="4">
        <v>1.0</v>
      </c>
      <c r="F2296" s="4" t="str">
        <f>IFERROR(__xludf.DUMMYFUNCTION("GOOGLETRANSLATE(D2296)"),"#Reddit 更新 #content #policy 承諾隔離極具攻擊性的社區 http://t.co/EHGtZhKAn4")</f>
        <v>#Reddit 更新 #content #policy 承諾隔離極具攻擊性的社區 http://t.co/EHGtZhKAn4</v>
      </c>
      <c r="G2296" s="4" t="str">
        <f>IFERROR(__xludf.DUMMYFUNCTION("GOOGLETRANSLATE(B2296)"),"檢疫")</f>
        <v>檢疫</v>
      </c>
    </row>
    <row r="2297" ht="15.75" customHeight="1">
      <c r="A2297" s="4">
        <v>7804.0</v>
      </c>
      <c r="B2297" s="4" t="s">
        <v>3568</v>
      </c>
      <c r="C2297" s="4" t="s">
        <v>3573</v>
      </c>
      <c r="D2297" s="4" t="s">
        <v>3574</v>
      </c>
      <c r="E2297" s="4">
        <v>1.0</v>
      </c>
      <c r="F2297" s="4" t="str">
        <f>IFERROR(__xludf.DUMMYFUNCTION("GOOGLETRANSLATE(D2297)"),"Reddit 現在將隔離攻擊性內容 http://t.co/WosYPVQUFI http://t.co/XW8SDS1Tjp")</f>
        <v>Reddit 現在將隔離攻擊性內容 http://t.co/WosYPVQUFI http://t.co/XW8SDS1Tjp</v>
      </c>
      <c r="G2297" s="4" t="str">
        <f>IFERROR(__xludf.DUMMYFUNCTION("GOOGLETRANSLATE(B2297)"),"檢疫")</f>
        <v>檢疫</v>
      </c>
    </row>
    <row r="2298" ht="15.75" customHeight="1">
      <c r="A2298" s="4">
        <v>7816.0</v>
      </c>
      <c r="B2298" s="4" t="s">
        <v>3568</v>
      </c>
      <c r="D2298" s="4" t="s">
        <v>3575</v>
      </c>
      <c r="E2298" s="4">
        <v>1.0</v>
      </c>
      <c r="F2298" s="4" t="str">
        <f>IFERROR(__xludf.DUMMYFUNCTION("GOOGLETRANSLATE(D2298)"),"Reddit 現在將隔離進攻性內容 http://t.co/VYgh2ni4Ah")</f>
        <v>Reddit 現在將隔離進攻性內容 http://t.co/VYgh2ni4Ah</v>
      </c>
      <c r="G2298" s="4" t="str">
        <f>IFERROR(__xludf.DUMMYFUNCTION("GOOGLETRANSLATE(B2298)"),"檢疫")</f>
        <v>檢疫</v>
      </c>
    </row>
    <row r="2299" ht="15.75" customHeight="1">
      <c r="A2299" s="4">
        <v>7844.0</v>
      </c>
      <c r="B2299" s="4" t="s">
        <v>3568</v>
      </c>
      <c r="D2299" s="4" t="s">
        <v>3576</v>
      </c>
      <c r="E2299" s="4">
        <v>1.0</v>
      </c>
      <c r="F2299" s="4" t="str">
        <f>IFERROR(__xludf.DUMMYFUNCTION("GOOGLETRANSLATE(D2299)"),"Reddit 現在將隔離攻擊性內容 http://t.co/LTmgdP6Jaf")</f>
        <v>Reddit 現在將隔離攻擊性內容 http://t.co/LTmgdP6Jaf</v>
      </c>
      <c r="G2299" s="4" t="str">
        <f>IFERROR(__xludf.DUMMYFUNCTION("GOOGLETRANSLATE(B2299)"),"檢疫")</f>
        <v>檢疫</v>
      </c>
    </row>
    <row r="2300" ht="15.75" customHeight="1">
      <c r="A2300" s="4">
        <v>7852.0</v>
      </c>
      <c r="B2300" s="4" t="s">
        <v>3577</v>
      </c>
      <c r="C2300" s="4" t="s">
        <v>1749</v>
      </c>
      <c r="D2300" s="4" t="s">
        <v>3578</v>
      </c>
      <c r="E2300" s="4">
        <v>1.0</v>
      </c>
      <c r="F2300" s="4" t="str">
        <f>IFERROR(__xludf.DUMMYFUNCTION("GOOGLETRANSLATE(D2300)"),"官員：阿拉巴馬州因可能出現伊波拉病例而居家隔離 http://t.co/UYUgFg3k1h")</f>
        <v>官員：阿拉巴馬州因可能出現伊波拉病例而居家隔離 http://t.co/UYUgFg3k1h</v>
      </c>
      <c r="G2300" s="4" t="str">
        <f>IFERROR(__xludf.DUMMYFUNCTION("GOOGLETRANSLATE(B2300)"),"被隔離")</f>
        <v>被隔離</v>
      </c>
    </row>
    <row r="2301" ht="15.75" customHeight="1">
      <c r="A2301" s="4">
        <v>7857.0</v>
      </c>
      <c r="B2301" s="4" t="s">
        <v>3577</v>
      </c>
      <c r="D2301" s="4" t="s">
        <v>3579</v>
      </c>
      <c r="E2301" s="4">
        <v>1.0</v>
      </c>
      <c r="F2301" s="4" t="str">
        <f>IFERROR(__xludf.DUMMYFUNCTION("GOOGLETRANSLATE(D2301)"),"又來了。伊波拉病毒！為你的生命奔跑！啊啊啊啊！
http://t.co/G2UIMBeKgE")</f>
        <v>又來了。伊波拉病毒！為你的生命奔跑！啊啊啊啊！
http://t.co/G2UIMBeKgE</v>
      </c>
      <c r="G2301" s="4" t="str">
        <f>IFERROR(__xludf.DUMMYFUNCTION("GOOGLETRANSLATE(B2301)"),"被隔離")</f>
        <v>被隔離</v>
      </c>
    </row>
    <row r="2302" ht="15.75" customHeight="1">
      <c r="A2302" s="4">
        <v>7860.0</v>
      </c>
      <c r="B2302" s="4" t="s">
        <v>3577</v>
      </c>
      <c r="C2302" s="4" t="s">
        <v>3580</v>
      </c>
      <c r="D2302" s="4" t="s">
        <v>3581</v>
      </c>
      <c r="E2302" s="4">
        <v>1.0</v>
      </c>
      <c r="F2302" s="4" t="str">
        <f>IFERROR(__xludf.DUMMYFUNCTION("GOOGLETRANSLATE(D2302)"),"Reddit 的新內容政策生效，許多可怕的 subreddits 被禁止或隔離 http://t.co/ZsXqbdUzBN http://t.co/6NCfjXPLOY")</f>
        <v>Reddit 的新內容政策生效，許多可怕的 subreddits 被禁止或隔離 http://t.co/ZsXqbdUzBN http://t.co/6NCfjXPLOY</v>
      </c>
      <c r="G2302" s="4" t="str">
        <f>IFERROR(__xludf.DUMMYFUNCTION("GOOGLETRANSLATE(B2302)"),"被隔離")</f>
        <v>被隔離</v>
      </c>
    </row>
    <row r="2303" ht="15.75" customHeight="1">
      <c r="A2303" s="4">
        <v>7862.0</v>
      </c>
      <c r="B2303" s="4" t="s">
        <v>3577</v>
      </c>
      <c r="C2303" s="4" t="s">
        <v>1868</v>
      </c>
      <c r="D2303" s="4" t="s">
        <v>3582</v>
      </c>
      <c r="E2303" s="4">
        <v>1.0</v>
      </c>
      <c r="F2303" s="4" t="str">
        <f>IFERROR(__xludf.DUMMYFUNCTION("GOOGLETRANSLATE(D2303)"),"#hot Reddit 的新內容政策生效，許多可怕的 subreddit 被禁止或隔離 http://t.co/nGKrZPza45 #prebreak #best")</f>
        <v>#hot Reddit 的新內容政策生效，許多可怕的 subreddit 被禁止或隔離 http://t.co/nGKrZPza45 #prebreak #best</v>
      </c>
      <c r="G2303" s="4" t="str">
        <f>IFERROR(__xludf.DUMMYFUNCTION("GOOGLETRANSLATE(B2303)"),"被隔離")</f>
        <v>被隔離</v>
      </c>
    </row>
    <row r="2304" ht="15.75" customHeight="1">
      <c r="A2304" s="4">
        <v>7865.0</v>
      </c>
      <c r="B2304" s="4" t="s">
        <v>3577</v>
      </c>
      <c r="D2304" s="4" t="s">
        <v>3583</v>
      </c>
      <c r="E2304" s="4">
        <v>1.0</v>
      </c>
      <c r="F2304" s="4" t="str">
        <f>IFERROR(__xludf.DUMMYFUNCTION("GOOGLETRANSLATE(D2304)"),"官員：阿拉巴馬州居家隔離可能... http://t.co/Rb2s0jmleJ")</f>
        <v>官員：阿拉巴馬州居家隔離可能... http://t.co/Rb2s0jmleJ</v>
      </c>
      <c r="G2304" s="4" t="str">
        <f>IFERROR(__xludf.DUMMYFUNCTION("GOOGLETRANSLATE(B2304)"),"被隔離")</f>
        <v>被隔離</v>
      </c>
    </row>
    <row r="2305" ht="15.75" customHeight="1">
      <c r="A2305" s="4">
        <v>7868.0</v>
      </c>
      <c r="B2305" s="4" t="s">
        <v>3577</v>
      </c>
      <c r="C2305" s="4" t="s">
        <v>3584</v>
      </c>
      <c r="D2305" s="4" t="s">
        <v>3585</v>
      </c>
      <c r="E2305" s="4">
        <v>1.0</v>
      </c>
      <c r="F2305" s="4" t="str">
        <f>IFERROR(__xludf.DUMMYFUNCTION("GOOGLETRANSLATE(D2305)"),"官員稱，伯明罕的一處住宅因可能出現伊波拉病例而被隔離。
愛德華汗... http://t.co/qnIJ2p8Zv6")</f>
        <v>官員稱，伯明罕的一處住宅因可能出現伊波拉病例而被隔離。
愛德華汗... http://t.co/qnIJ2p8Zv6</v>
      </c>
      <c r="G2305" s="4" t="str">
        <f>IFERROR(__xludf.DUMMYFUNCTION("GOOGLETRANSLATE(B2305)"),"被隔離")</f>
        <v>被隔離</v>
      </c>
    </row>
    <row r="2306" ht="15.75" customHeight="1">
      <c r="A2306" s="4">
        <v>7869.0</v>
      </c>
      <c r="B2306" s="4" t="s">
        <v>3577</v>
      </c>
      <c r="D2306" s="4" t="s">
        <v>3586</v>
      </c>
      <c r="E2306" s="4">
        <v>1.0</v>
      </c>
      <c r="F2306" s="4" t="str">
        <f>IFERROR(__xludf.DUMMYFUNCTION("GOOGLETRANSLATE(D2306)"),"gmty mhtw4fnet
官員：阿拉巴馬州因可能出現伊波拉病例而居家隔離 - 華盛頓時報")</f>
        <v>gmty mhtw4fnet
官員：阿拉巴馬州因可能出現伊波拉病例而居家隔離 - 華盛頓時報</v>
      </c>
      <c r="G2306" s="4" t="str">
        <f>IFERROR(__xludf.DUMMYFUNCTION("GOOGLETRANSLATE(B2306)"),"被隔離")</f>
        <v>被隔離</v>
      </c>
    </row>
    <row r="2307" ht="15.75" customHeight="1">
      <c r="A2307" s="4">
        <v>7873.0</v>
      </c>
      <c r="B2307" s="4" t="s">
        <v>3577</v>
      </c>
      <c r="D2307" s="4" t="s">
        <v>3587</v>
      </c>
      <c r="E2307" s="4">
        <v>1.0</v>
      </c>
      <c r="F2307" s="4" t="str">
        <f>IFERROR(__xludf.DUMMYFUNCTION("GOOGLETRANSLATE(D2307)"),"阿拉巴馬州因可能出現伊波拉病例而被隔離：官員稱隔離地點是... http://t.co/ztOnvgubVm #Bluehand #PJNET")</f>
        <v>阿拉巴馬州因可能出現伊波拉病例而被隔離：官員稱隔離地點是... http://t.co/ztOnvgubVm #Bluehand #PJNET</v>
      </c>
      <c r="G2307" s="4" t="str">
        <f>IFERROR(__xludf.DUMMYFUNCTION("GOOGLETRANSLATE(B2307)"),"被隔離")</f>
        <v>被隔離</v>
      </c>
    </row>
    <row r="2308" ht="15.75" customHeight="1">
      <c r="A2308" s="4">
        <v>7874.0</v>
      </c>
      <c r="B2308" s="4" t="s">
        <v>3577</v>
      </c>
      <c r="C2308" s="4" t="s">
        <v>3588</v>
      </c>
      <c r="D2308" s="4" t="s">
        <v>3589</v>
      </c>
      <c r="E2308" s="4">
        <v>1.0</v>
      </c>
      <c r="F2308" s="4" t="str">
        <f>IFERROR(__xludf.DUMMYFUNCTION("GOOGLETRANSLATE(D2308)"),"嗯 MT @Ebolatrends：阿拉巴馬州因可能的伊波拉病例而被居家隔離 http://t.co/ihVMtmZXne http://t.co/jLieMrSnnj")</f>
        <v>嗯 MT @Ebolatrends：阿拉巴馬州因可能的伊波拉病例而被居家隔離 http://t.co/ihVMtmZXne http://t.co/jLieMrSnnj</v>
      </c>
      <c r="G2308" s="4" t="str">
        <f>IFERROR(__xludf.DUMMYFUNCTION("GOOGLETRANSLATE(B2308)"),"被隔離")</f>
        <v>被隔離</v>
      </c>
    </row>
    <row r="2309" ht="15.75" customHeight="1">
      <c r="A2309" s="4">
        <v>7878.0</v>
      </c>
      <c r="B2309" s="4" t="s">
        <v>3577</v>
      </c>
      <c r="D2309" s="4" t="s">
        <v>3590</v>
      </c>
      <c r="E2309" s="4">
        <v>1.0</v>
      </c>
      <c r="F2309" s="4" t="str">
        <f>IFERROR(__xludf.DUMMYFUNCTION("GOOGLETRANSLATE(D2309)"),"阿拉巴馬州消防員可能接觸伊波拉病毒後被隔離 http://t.co/hzpX6vAQPZ 報告 http://t.co/L4W0PCorbs")</f>
        <v>阿拉巴馬州消防員可能接觸伊波拉病毒後被隔離 http://t.co/hzpX6vAQPZ 報告 http://t.co/L4W0PCorbs</v>
      </c>
      <c r="G2309" s="4" t="str">
        <f>IFERROR(__xludf.DUMMYFUNCTION("GOOGLETRANSLATE(B2309)"),"被隔離")</f>
        <v>被隔離</v>
      </c>
    </row>
    <row r="2310" ht="15.75" customHeight="1">
      <c r="A2310" s="4">
        <v>7880.0</v>
      </c>
      <c r="B2310" s="4" t="s">
        <v>3577</v>
      </c>
      <c r="D2310" s="4" t="s">
        <v>3591</v>
      </c>
      <c r="E2310" s="4">
        <v>1.0</v>
      </c>
      <c r="F2310" s="4" t="str">
        <f>IFERROR(__xludf.DUMMYFUNCTION("GOOGLETRANSLATE(D2310)"),"0nPzp mhtw4fnet
官員：阿拉巴馬州因可能出現伊波拉病例而居家隔離 - ABC News")</f>
        <v>0nPzp mhtw4fnet
官員：阿拉巴馬州因可能出現伊波拉病例而居家隔離 - ABC News</v>
      </c>
      <c r="G2310" s="4" t="str">
        <f>IFERROR(__xludf.DUMMYFUNCTION("GOOGLETRANSLATE(B2310)"),"被隔離")</f>
        <v>被隔離</v>
      </c>
    </row>
    <row r="2311" ht="15.75" customHeight="1">
      <c r="A2311" s="4">
        <v>7881.0</v>
      </c>
      <c r="B2311" s="4" t="s">
        <v>3577</v>
      </c>
      <c r="C2311" s="4" t="s">
        <v>3592</v>
      </c>
      <c r="D2311" s="4" t="s">
        <v>3593</v>
      </c>
      <c r="E2311" s="4">
        <v>1.0</v>
      </c>
      <c r="F2311" s="4" t="str">
        <f>IFERROR(__xludf.DUMMYFUNCTION("GOOGLETRANSLATE(D2311)"),"阿拉巴馬州因可能的#伊波拉病例而被隔離：一輛救護車停在阿拉巴馬大學外 http://t.co/y2JT1aMyFJ")</f>
        <v>阿拉巴馬州因可能的#伊波拉病例而被隔離：一輛救護車停在阿拉巴馬大學外 http://t.co/y2JT1aMyFJ</v>
      </c>
      <c r="G2311" s="4" t="str">
        <f>IFERROR(__xludf.DUMMYFUNCTION("GOOGLETRANSLATE(B2311)"),"被隔離")</f>
        <v>被隔離</v>
      </c>
    </row>
    <row r="2312" ht="15.75" customHeight="1">
      <c r="A2312" s="4">
        <v>7887.0</v>
      </c>
      <c r="B2312" s="4" t="s">
        <v>3577</v>
      </c>
      <c r="D2312" s="4" t="s">
        <v>3594</v>
      </c>
      <c r="E2312" s="4">
        <v>1.0</v>
      </c>
      <c r="F2312" s="4" t="str">
        <f>IFERROR(__xludf.DUMMYFUNCTION("GOOGLETRANSLATE(D2312)"),"伊波拉：阿拉巴馬州因可能的伊波拉病例而被居家隔離。相關文章：http://t.co/BiigD1LEq3")</f>
        <v>伊波拉：阿拉巴馬州因可能的伊波拉病例而被居家隔離。相關文章：http://t.co/BiigD1LEq3</v>
      </c>
      <c r="G2312" s="4" t="str">
        <f>IFERROR(__xludf.DUMMYFUNCTION("GOOGLETRANSLATE(B2312)"),"被隔離")</f>
        <v>被隔離</v>
      </c>
    </row>
    <row r="2313" ht="15.75" customHeight="1">
      <c r="A2313" s="4">
        <v>7888.0</v>
      </c>
      <c r="B2313" s="4" t="s">
        <v>3577</v>
      </c>
      <c r="D2313" s="4" t="s">
        <v>3595</v>
      </c>
      <c r="E2313" s="4">
        <v>1.0</v>
      </c>
      <c r="F2313" s="4" t="str">
        <f>IFERROR(__xludf.DUMMYFUNCTION("GOOGLETRANSLATE(D2313)"),"oc73x mhtw4fnet
官員：阿拉巴馬州因可能出現伊波拉病例而居家隔離 - 華盛頓郵報")</f>
        <v>oc73x mhtw4fnet
官員：阿拉巴馬州因可能出現伊波拉病例而居家隔離 - 華盛頓郵報</v>
      </c>
      <c r="G2313" s="4" t="str">
        <f>IFERROR(__xludf.DUMMYFUNCTION("GOOGLETRANSLATE(B2313)"),"被隔離")</f>
        <v>被隔離</v>
      </c>
    </row>
    <row r="2314" ht="15.75" customHeight="1">
      <c r="A2314" s="4">
        <v>7897.0</v>
      </c>
      <c r="B2314" s="4" t="s">
        <v>3596</v>
      </c>
      <c r="D2314" s="4" t="s">
        <v>3597</v>
      </c>
      <c r="E2314" s="4">
        <v>1.0</v>
      </c>
      <c r="F2314" s="4" t="str">
        <f>IFERROR(__xludf.DUMMYFUNCTION("GOOGLETRANSLATE(D2314)"),"我喜歡 @YouTube 影片 http://t.co/V57NUgmGKT 美國加拿大輻射更新緊急休漁令")</f>
        <v>我喜歡 @YouTube 影片 http://t.co/V57NUgmGKT 美國加拿大輻射更新緊急休漁令</v>
      </c>
      <c r="G2314" s="4" t="str">
        <f>IFERROR(__xludf.DUMMYFUNCTION("GOOGLETRANSLATE(B2314)"),"輻射%20緊急")</f>
        <v>輻射%20緊急</v>
      </c>
    </row>
    <row r="2315" ht="15.75" customHeight="1">
      <c r="A2315" s="4">
        <v>7898.0</v>
      </c>
      <c r="B2315" s="4" t="s">
        <v>3596</v>
      </c>
      <c r="D2315" s="4" t="s">
        <v>3598</v>
      </c>
      <c r="E2315" s="4">
        <v>1.0</v>
      </c>
      <c r="F2315" s="4" t="str">
        <f>IFERROR(__xludf.DUMMYFUNCTION("GOOGLETRANSLATE(D2315)"),"由於輻射水平略有升高，WIPP 緊急啟動。 #sejorg")</f>
        <v>由於輻射水平略有升高，WIPP 緊急啟動。 #sejorg</v>
      </c>
      <c r="G2315" s="4" t="str">
        <f>IFERROR(__xludf.DUMMYFUNCTION("GOOGLETRANSLATE(B2315)"),"輻射%20緊急")</f>
        <v>輻射%20緊急</v>
      </c>
    </row>
    <row r="2316" ht="15.75" customHeight="1">
      <c r="A2316" s="4">
        <v>7902.0</v>
      </c>
      <c r="B2316" s="4" t="s">
        <v>3596</v>
      </c>
      <c r="C2316" s="4" t="s">
        <v>3599</v>
      </c>
      <c r="D2316" s="4" t="s">
        <v>3600</v>
      </c>
      <c r="E2316" s="4">
        <v>1.0</v>
      </c>
      <c r="F2316" s="4" t="str">
        <f>IFERROR(__xludf.DUMMYFUNCTION("GOOGLETRANSLATE(D2316)"),"福島核洩漏造成的一些最嚴重的輻射暴露發生在西北 47 公里處——證明小型緊急規劃區無法減少輻射")</f>
        <v>福島核洩漏造成的一些最嚴重的輻射暴露發生在西北 47 公里處——證明小型緊急規劃區無法減少輻射</v>
      </c>
      <c r="G2316" s="4" t="str">
        <f>IFERROR(__xludf.DUMMYFUNCTION("GOOGLETRANSLATE(B2316)"),"輻射%20緊急")</f>
        <v>輻射%20緊急</v>
      </c>
    </row>
    <row r="2317" ht="15.75" customHeight="1">
      <c r="A2317" s="4">
        <v>7905.0</v>
      </c>
      <c r="B2317" s="4" t="s">
        <v>3596</v>
      </c>
      <c r="C2317" s="4" t="s">
        <v>3601</v>
      </c>
      <c r="D2317" s="4" t="s">
        <v>3602</v>
      </c>
      <c r="E2317" s="4">
        <v>1.0</v>
      </c>
      <c r="F2317" s="4" t="str">
        <f>IFERROR(__xludf.DUMMYFUNCTION("GOOGLETRANSLATE(D2317)"),"放射性箱被隔離 - 緊急小組發現輻射後，以色列阿什杜德港被疏散... http://t.co/swQ5lMyDka")</f>
        <v>放射性箱被隔離 - 緊急小組發現輻射後，以色列阿什杜德港被疏散... http://t.co/swQ5lMyDka</v>
      </c>
      <c r="G2317" s="4" t="str">
        <f>IFERROR(__xludf.DUMMYFUNCTION("GOOGLETRANSLATE(B2317)"),"輻射%20緊急")</f>
        <v>輻射%20緊急</v>
      </c>
    </row>
    <row r="2318" ht="15.75" customHeight="1">
      <c r="A2318" s="4">
        <v>7906.0</v>
      </c>
      <c r="B2318" s="4" t="s">
        <v>3596</v>
      </c>
      <c r="C2318" s="4" t="s">
        <v>620</v>
      </c>
      <c r="D2318" s="4" t="s">
        <v>3603</v>
      </c>
      <c r="E2318" s="4">
        <v>1.0</v>
      </c>
      <c r="F2318" s="4" t="str">
        <f>IFERROR(__xludf.DUMMYFUNCTION("GOOGLETRANSLATE(D2318)"),"輻射緊急情況#preparedness 首先要了解：進入室內並留在室內並保持關注 http://t.co/RFFPqBAz2F via @CDCgov")</f>
        <v>輻射緊急情況#preparedness 首先要了解：進入室內並留在室內並保持關注 http://t.co/RFFPqBAz2F via @CDCgov</v>
      </c>
      <c r="G2318" s="4" t="str">
        <f>IFERROR(__xludf.DUMMYFUNCTION("GOOGLETRANSLATE(B2318)"),"輻射%20緊急")</f>
        <v>輻射%20緊急</v>
      </c>
    </row>
    <row r="2319" ht="15.75" customHeight="1">
      <c r="A2319" s="4">
        <v>7910.0</v>
      </c>
      <c r="B2319" s="4" t="s">
        <v>3604</v>
      </c>
      <c r="C2319" s="4" t="s">
        <v>3605</v>
      </c>
      <c r="D2319" s="4" t="s">
        <v>3606</v>
      </c>
      <c r="E2319" s="4">
        <v>1.0</v>
      </c>
      <c r="F2319" s="4" t="str">
        <f>IFERROR(__xludf.DUMMYFUNCTION("GOOGLETRANSLATE(D2319)"),"格洛斯特市中心暴雨
#gloucester #capeann #seagulls #triciaoneill #triciaoneillphoto https://t.co/oLS6qdi9Um")</f>
        <v>格洛斯特市中心暴雨
#gloucester #capeann #seagulls #triciaoneill #triciaoneillphoto https://t.co/oLS6qdi9Um</v>
      </c>
      <c r="G2319" s="4" t="str">
        <f>IFERROR(__xludf.DUMMYFUNCTION("GOOGLETRANSLATE(B2319)"),"暴雨")</f>
        <v>暴雨</v>
      </c>
    </row>
    <row r="2320" ht="15.75" customHeight="1">
      <c r="A2320" s="4">
        <v>7913.0</v>
      </c>
      <c r="B2320" s="4" t="s">
        <v>3604</v>
      </c>
      <c r="C2320" s="4" t="s">
        <v>3607</v>
      </c>
      <c r="D2320" s="4" t="s">
        <v>3608</v>
      </c>
      <c r="E2320" s="4">
        <v>1.0</v>
      </c>
      <c r="F2320" s="4" t="str">
        <f>IFERROR(__xludf.DUMMYFUNCTION("GOOGLETRANSLATE(D2320)"),"哇，每場風暴中都蘊含著多麼美麗的東西。今天在 A&amp;B Pipeliners 暴雨後拍攝 http://t.co/pSt5bBQ0av")</f>
        <v>哇，每場風暴中都蘊含著多麼美麗的東西。今天在 A&amp;B Pipeliners 暴雨後拍攝 http://t.co/pSt5bBQ0av</v>
      </c>
      <c r="G2320" s="4" t="str">
        <f>IFERROR(__xludf.DUMMYFUNCTION("GOOGLETRANSLATE(B2320)"),"暴雨")</f>
        <v>暴雨</v>
      </c>
    </row>
    <row r="2321" ht="15.75" customHeight="1">
      <c r="A2321" s="4">
        <v>7914.0</v>
      </c>
      <c r="B2321" s="4" t="s">
        <v>3604</v>
      </c>
      <c r="C2321" s="4" t="s">
        <v>3609</v>
      </c>
      <c r="D2321" s="4" t="s">
        <v>3610</v>
      </c>
      <c r="E2321" s="4">
        <v>1.0</v>
      </c>
      <c r="F2321" s="4" t="str">
        <f>IFERROR(__xludf.DUMMYFUNCTION("GOOGLETRANSLATE(D2321)"),"暴風雨摧毀了約貝州的 600 棟房屋： 暴風雨摧毀了約貝州的 600 棟房屋。 [每日信託]達馬圖... http://t.co/rzxQSSun02")</f>
        <v>暴風雨摧毀了約貝州的 600 棟房屋： 暴風雨摧毀了約貝州的 600 棟房屋。 [每日信託]達馬圖... http://t.co/rzxQSSun02</v>
      </c>
      <c r="G2321" s="4" t="str">
        <f>IFERROR(__xludf.DUMMYFUNCTION("GOOGLETRANSLATE(B2321)"),"暴雨")</f>
        <v>暴雨</v>
      </c>
    </row>
    <row r="2322" ht="15.75" customHeight="1">
      <c r="A2322" s="4">
        <v>7918.0</v>
      </c>
      <c r="B2322" s="4" t="s">
        <v>3604</v>
      </c>
      <c r="C2322" s="4" t="s">
        <v>3611</v>
      </c>
      <c r="D2322" s="4" t="s">
        <v>3612</v>
      </c>
      <c r="E2322" s="4">
        <v>1.0</v>
      </c>
      <c r="F2322" s="4" t="str">
        <f>IFERROR(__xludf.DUMMYFUNCTION("GOOGLETRANSLATE(D2322)"),"「當#Italian #Alps的嚴重#暴風雨導致#山體滑坡時，三名#people被#killed」http://t.co/hAXJ6Go2ac")</f>
        <v>「當#Italian #Alps的嚴重#暴風雨導致#山體滑坡時，三名#people被#killed」http://t.co/hAXJ6Go2ac</v>
      </c>
      <c r="G2322" s="4" t="str">
        <f>IFERROR(__xludf.DUMMYFUNCTION("GOOGLETRANSLATE(B2322)"),"暴雨")</f>
        <v>暴雨</v>
      </c>
    </row>
    <row r="2323" ht="15.75" customHeight="1">
      <c r="A2323" s="4">
        <v>7923.0</v>
      </c>
      <c r="B2323" s="4" t="s">
        <v>3604</v>
      </c>
      <c r="D2323" s="4" t="s">
        <v>3613</v>
      </c>
      <c r="E2323" s="4">
        <v>1.0</v>
      </c>
      <c r="F2323" s="4" t="str">
        <f>IFERROR(__xludf.DUMMYFUNCTION("GOOGLETRANSLATE(D2323)"),"義大利阿爾卑斯山山體滑坡造成三人死亡：羅馬（路透社） - 義大利阿爾卑斯山遭遇嚴重暴雨，造成三人死亡。http://t.co/uZwXJBG0Zh")</f>
        <v>義大利阿爾卑斯山山體滑坡造成三人死亡：羅馬（路透社） - 義大利阿爾卑斯山遭遇嚴重暴雨，造成三人死亡。http://t.co/uZwXJBG0Zh</v>
      </c>
      <c r="G2323" s="4" t="str">
        <f>IFERROR(__xludf.DUMMYFUNCTION("GOOGLETRANSLATE(B2323)"),"暴雨")</f>
        <v>暴雨</v>
      </c>
    </row>
    <row r="2324" ht="15.75" customHeight="1">
      <c r="A2324" s="4">
        <v>7924.0</v>
      </c>
      <c r="B2324" s="4" t="s">
        <v>3604</v>
      </c>
      <c r="C2324" s="4" t="s">
        <v>3614</v>
      </c>
      <c r="D2324" s="4" t="s">
        <v>3615</v>
      </c>
      <c r="E2324" s="4">
        <v>1.0</v>
      </c>
      <c r="F2324" s="4" t="str">
        <f>IFERROR(__xludf.DUMMYFUNCTION("GOOGLETRANSLATE(D2324)"),"約貝暴雨摧毀 600 間房屋iReporter https://t.co/0rNY349UnT 來自 @sharethis")</f>
        <v>約貝暴雨摧毀 600 間房屋iReporter https://t.co/0rNY349UnT 來自 @sharethis</v>
      </c>
      <c r="G2324" s="4" t="str">
        <f>IFERROR(__xludf.DUMMYFUNCTION("GOOGLETRANSLATE(B2324)"),"暴雨")</f>
        <v>暴雨</v>
      </c>
    </row>
    <row r="2325" ht="15.75" customHeight="1">
      <c r="A2325" s="4">
        <v>7929.0</v>
      </c>
      <c r="B2325" s="4" t="s">
        <v>3604</v>
      </c>
      <c r="C2325" s="4" t="s">
        <v>3616</v>
      </c>
      <c r="D2325" s="4" t="s">
        <v>3617</v>
      </c>
      <c r="E2325" s="4">
        <v>1.0</v>
      </c>
      <c r="F2325" s="4" t="str">
        <f>IFERROR(__xludf.DUMMYFUNCTION("GOOGLETRANSLATE(D2325)"),"特大暴雨發生！我要躺下來，暫時遠離周圍的風暴。馬上回來。")</f>
        <v>特大暴雨發生！我要躺下來，暫時遠離周圍的風暴。馬上回來。</v>
      </c>
      <c r="G2325" s="4" t="str">
        <f>IFERROR(__xludf.DUMMYFUNCTION("GOOGLETRANSLATE(B2325)"),"暴雨")</f>
        <v>暴雨</v>
      </c>
    </row>
    <row r="2326" ht="15.75" customHeight="1">
      <c r="A2326" s="4">
        <v>7930.0</v>
      </c>
      <c r="B2326" s="4" t="s">
        <v>3604</v>
      </c>
      <c r="C2326" s="4" t="s">
        <v>3618</v>
      </c>
      <c r="D2326" s="4" t="s">
        <v>3619</v>
      </c>
      <c r="E2326" s="4">
        <v>1.0</v>
      </c>
      <c r="F2326" s="4" t="str">
        <f>IFERROR(__xludf.DUMMYFUNCTION("GOOGLETRANSLATE(D2326)"),"義大利阿爾卑斯山山體滑坡造成三人死亡 - 羅馬（路透社） - 義大利阿爾卑斯山遭遇嚴重暴雨，造成三人死亡。http://t.co/BoygBp0Jw9")</f>
        <v>義大利阿爾卑斯山山體滑坡造成三人死亡 - 羅馬（路透社） - 義大利阿爾卑斯山遭遇嚴重暴雨，造成三人死亡。http://t.co/BoygBp0Jw9</v>
      </c>
      <c r="G2326" s="4" t="str">
        <f>IFERROR(__xludf.DUMMYFUNCTION("GOOGLETRANSLATE(B2326)"),"暴雨")</f>
        <v>暴雨</v>
      </c>
    </row>
    <row r="2327" ht="15.75" customHeight="1">
      <c r="A2327" s="4">
        <v>7935.0</v>
      </c>
      <c r="B2327" s="4" t="s">
        <v>3604</v>
      </c>
      <c r="D2327" s="4" t="s">
        <v>3620</v>
      </c>
      <c r="E2327" s="4">
        <v>1.0</v>
      </c>
      <c r="F2327" s="4" t="str">
        <f>IFERROR(__xludf.DUMMYFUNCTION("GOOGLETRANSLATE(D2327)"),"暴雨更新：更北還是更南？ http://t.co/50vdQ7A1M5 http://t.co/QH6oXfT9Ir")</f>
        <v>暴雨更新：更北還是更南？ http://t.co/50vdQ7A1M5 http://t.co/QH6oXfT9Ir</v>
      </c>
      <c r="G2327" s="4" t="str">
        <f>IFERROR(__xludf.DUMMYFUNCTION("GOOGLETRANSLATE(B2327)"),"暴雨")</f>
        <v>暴雨</v>
      </c>
    </row>
    <row r="2328" ht="15.75" customHeight="1">
      <c r="A2328" s="4">
        <v>7936.0</v>
      </c>
      <c r="B2328" s="4" t="s">
        <v>3604</v>
      </c>
      <c r="C2328" s="4" t="s">
        <v>3621</v>
      </c>
      <c r="D2328" s="4" t="s">
        <v>3622</v>
      </c>
      <c r="E2328" s="4">
        <v>1.0</v>
      </c>
      <c r="F2328" s="4" t="str">
        <f>IFERROR(__xludf.DUMMYFUNCTION("GOOGLETRANSLATE(D2328)"),"奈及利亞：暴雨摧毀了約貝州 600 間房屋：[Daily Trust] Damaturu -Over 600Û_ http://t.co/BBQnK76qUS")</f>
        <v>奈及利亞：暴雨摧毀了約貝州 600 間房屋：[Daily Trust] Damaturu -Over 600Û_ http://t.co/BBQnK76qUS</v>
      </c>
      <c r="G2328" s="4" t="str">
        <f>IFERROR(__xludf.DUMMYFUNCTION("GOOGLETRANSLATE(B2328)"),"暴雨")</f>
        <v>暴雨</v>
      </c>
    </row>
    <row r="2329" ht="15.75" customHeight="1">
      <c r="A2329" s="4">
        <v>7937.0</v>
      </c>
      <c r="B2329" s="4" t="s">
        <v>3604</v>
      </c>
      <c r="C2329" s="4" t="s">
        <v>281</v>
      </c>
      <c r="D2329" s="4" t="s">
        <v>3623</v>
      </c>
      <c r="E2329" s="4">
        <v>1.0</v>
      </c>
      <c r="F2329" s="4" t="str">
        <f>IFERROR(__xludf.DUMMYFUNCTION("GOOGLETRANSLATE(D2329)"),"義大利阿爾卑斯山山崩造成三人死亡：羅馬（路透社） - 義大利阿爾卑斯山遭遇嚴重暴雨，造成三人死亡。http://t.co/SmKZnF52Za")</f>
        <v>義大利阿爾卑斯山山崩造成三人死亡：羅馬（路透社） - 義大利阿爾卑斯山遭遇嚴重暴雨，造成三人死亡。http://t.co/SmKZnF52Za</v>
      </c>
      <c r="G2329" s="4" t="str">
        <f>IFERROR(__xludf.DUMMYFUNCTION("GOOGLETRANSLATE(B2329)"),"暴雨")</f>
        <v>暴雨</v>
      </c>
    </row>
    <row r="2330" ht="15.75" customHeight="1">
      <c r="A2330" s="4">
        <v>7940.0</v>
      </c>
      <c r="B2330" s="4" t="s">
        <v>3604</v>
      </c>
      <c r="C2330" s="4" t="s">
        <v>3624</v>
      </c>
      <c r="D2330" s="4" t="s">
        <v>3625</v>
      </c>
      <c r="E2330" s="4">
        <v>1.0</v>
      </c>
      <c r="F2330" s="4" t="str">
        <f>IFERROR(__xludf.DUMMYFUNCTION("GOOGLETRANSLATE(D2330)"),"明天晚上的通勤會遇到紅燈。影響該地區的暴雨將在傍晚時分襲來。 http://t.co/DRvm8ISOtE")</f>
        <v>明天晚上的通勤會遇到紅燈。影響該地區的暴雨將在傍晚時分襲來。 http://t.co/DRvm8ISOtE</v>
      </c>
      <c r="G2330" s="4" t="str">
        <f>IFERROR(__xludf.DUMMYFUNCTION("GOOGLETRANSLATE(B2330)"),"暴雨")</f>
        <v>暴雨</v>
      </c>
    </row>
    <row r="2331" ht="15.75" customHeight="1">
      <c r="A2331" s="4">
        <v>7941.0</v>
      </c>
      <c r="B2331" s="4" t="s">
        <v>3604</v>
      </c>
      <c r="C2331" s="4" t="s">
        <v>237</v>
      </c>
      <c r="D2331" s="4" t="s">
        <v>3626</v>
      </c>
      <c r="E2331" s="4">
        <v>1.0</v>
      </c>
      <c r="F2331" s="4" t="str">
        <f>IFERROR(__xludf.DUMMYFUNCTION("GOOGLETRANSLATE(D2331)"),"這場暴雨持續的時間還不夠長")</f>
        <v>這場暴雨持續的時間還不夠長</v>
      </c>
      <c r="G2331" s="4" t="str">
        <f>IFERROR(__xludf.DUMMYFUNCTION("GOOGLETRANSLATE(B2331)"),"暴雨")</f>
        <v>暴雨</v>
      </c>
    </row>
    <row r="2332" ht="15.75" customHeight="1">
      <c r="A2332" s="4">
        <v>7944.0</v>
      </c>
      <c r="B2332" s="4" t="s">
        <v>3604</v>
      </c>
      <c r="C2332" s="4" t="s">
        <v>3627</v>
      </c>
      <c r="D2332" s="4" t="s">
        <v>3628</v>
      </c>
      <c r="E2332" s="4">
        <v>1.0</v>
      </c>
      <c r="F2332" s="4" t="str">
        <f>IFERROR(__xludf.DUMMYFUNCTION("GOOGLETRANSLATE(D2332)"),"lizzie363 @CstSmith 我在一場山洪中開車穿過深水——暴雨修復費用為 14000 美元。 25 年後人們仍然認為汽車是漂浮的！")</f>
        <v>lizzie363 @CstSmith 我在一場山洪中開車穿過深水——暴雨修復費用為 14000 美元。 25 年後人們仍然認為汽車是漂浮的！</v>
      </c>
      <c r="G2332" s="4" t="str">
        <f>IFERROR(__xludf.DUMMYFUNCTION("GOOGLETRANSLATE(B2332)"),"暴雨")</f>
        <v>暴雨</v>
      </c>
    </row>
    <row r="2333" ht="15.75" customHeight="1">
      <c r="A2333" s="4">
        <v>7952.0</v>
      </c>
      <c r="B2333" s="4" t="s">
        <v>3604</v>
      </c>
      <c r="C2333" s="4" t="s">
        <v>3629</v>
      </c>
      <c r="D2333" s="4" t="s">
        <v>3630</v>
      </c>
      <c r="E2333" s="4">
        <v>1.0</v>
      </c>
      <c r="F2333" s="4" t="str">
        <f>IFERROR(__xludf.DUMMYFUNCTION("GOOGLETRANSLATE(D2333)"),"是的，我可以感覺到 #Vancouver 的風正準備迎接暴雨！ ！把它帶上#drought #deadgrassandflowers #wildfires")</f>
        <v>是的，我可以感覺到 #Vancouver 的風正準備迎接暴雨！ ！把它帶上#drought #deadgrassandflowers #wildfires</v>
      </c>
      <c r="G2333" s="4" t="str">
        <f>IFERROR(__xludf.DUMMYFUNCTION("GOOGLETRANSLATE(B2333)"),"暴雨")</f>
        <v>暴雨</v>
      </c>
    </row>
    <row r="2334" ht="15.75" customHeight="1">
      <c r="A2334" s="4">
        <v>7954.0</v>
      </c>
      <c r="B2334" s="4" t="s">
        <v>3604</v>
      </c>
      <c r="C2334" s="4" t="s">
        <v>3631</v>
      </c>
      <c r="D2334" s="4" t="s">
        <v>3632</v>
      </c>
      <c r="E2334" s="4">
        <v>1.0</v>
      </c>
      <c r="F2334" s="4" t="str">
        <f>IFERROR(__xludf.DUMMYFUNCTION("GOOGLETRANSLATE(D2334)"),"“你移動的方式就像一場暴風雨，而我是一座紙牌屋”")</f>
        <v>“你移動的方式就像一場暴風雨，而我是一座紙牌屋”</v>
      </c>
      <c r="G2334" s="4" t="str">
        <f>IFERROR(__xludf.DUMMYFUNCTION("GOOGLETRANSLATE(B2334)"),"暴雨")</f>
        <v>暴雨</v>
      </c>
    </row>
    <row r="2335" ht="15.75" customHeight="1">
      <c r="A2335" s="4">
        <v>7955.0</v>
      </c>
      <c r="B2335" s="4" t="s">
        <v>3604</v>
      </c>
      <c r="C2335" s="4" t="s">
        <v>1441</v>
      </c>
      <c r="D2335" s="4" t="s">
        <v>3633</v>
      </c>
      <c r="E2335" s="4">
        <v>1.0</v>
      </c>
      <c r="F2335" s="4" t="str">
        <f>IFERROR(__xludf.DUMMYFUNCTION("GOOGLETRANSLATE(D2335)"),"暴雨摧毀約貝州 600 間房屋 http://t.co/nU0D3uANZ")</f>
        <v>暴雨摧毀約貝州 600 間房屋 http://t.co/nU0D3uANZ</v>
      </c>
      <c r="G2335" s="4" t="str">
        <f>IFERROR(__xludf.DUMMYFUNCTION("GOOGLETRANSLATE(B2335)"),"暴雨")</f>
        <v>暴雨</v>
      </c>
    </row>
    <row r="2336" ht="15.75" customHeight="1">
      <c r="A2336" s="4">
        <v>7958.0</v>
      </c>
      <c r="B2336" s="4" t="s">
        <v>3604</v>
      </c>
      <c r="C2336" s="4" t="s">
        <v>89</v>
      </c>
      <c r="D2336" s="4" t="s">
        <v>3634</v>
      </c>
      <c r="E2336" s="4">
        <v>1.0</v>
      </c>
      <c r="F2336" s="4" t="str">
        <f>IFERROR(__xludf.DUMMYFUNCTION("GOOGLETRANSLATE(D2336)"),"義大利阿爾卑斯山嚴重暴雨造成山崩，造成 3 人死亡 https://t.co/8BhvxX2Xl9 http://t.co/4ou8s82HxJ")</f>
        <v>義大利阿爾卑斯山嚴重暴雨造成山崩，造成 3 人死亡 https://t.co/8BhvxX2Xl9 http://t.co/4ou8s82HxJ</v>
      </c>
      <c r="G2336" s="4" t="str">
        <f>IFERROR(__xludf.DUMMYFUNCTION("GOOGLETRANSLATE(B2336)"),"暴雨")</f>
        <v>暴雨</v>
      </c>
    </row>
    <row r="2337" ht="15.75" customHeight="1">
      <c r="A2337" s="4">
        <v>7960.0</v>
      </c>
      <c r="B2337" s="4" t="s">
        <v>3635</v>
      </c>
      <c r="D2337" s="4" t="s">
        <v>3636</v>
      </c>
      <c r="E2337" s="4">
        <v>1.0</v>
      </c>
      <c r="F2337" s="4" t="str">
        <f>IFERROR(__xludf.DUMMYFUNCTION("GOOGLETRANSLATE(D2337)"),"最新消息：更多房屋被北加州野火夷為平地 - ABC 新聞 http://t.co/AKnBtuyaef")</f>
        <v>最新消息：更多房屋被北加州野火夷為平地 - ABC 新聞 http://t.co/AKnBtuyaef</v>
      </c>
      <c r="G2337" s="4" t="str">
        <f>IFERROR(__xludf.DUMMYFUNCTION("GOOGLETRANSLATE(B2337)"),"夷為平地")</f>
        <v>夷為平地</v>
      </c>
    </row>
    <row r="2338" ht="15.75" customHeight="1">
      <c r="A2338" s="4">
        <v>7962.0</v>
      </c>
      <c r="B2338" s="4" t="s">
        <v>3635</v>
      </c>
      <c r="C2338" s="4" t="s">
        <v>656</v>
      </c>
      <c r="D2338" s="4" t="s">
        <v>3637</v>
      </c>
      <c r="E2338" s="4">
        <v>1.0</v>
      </c>
      <c r="F2338" s="4" t="str">
        <f>IFERROR(__xludf.DUMMYFUNCTION("GOOGLETRANSLATE(D2338)"),"由於 INEC 辦公室被裁，阿比亞局勢緊張，州長 IKPEAZU PDP APGA 做出反應 http://t.co/aKzZOe5CE6")</f>
        <v>由於 INEC 辦公室被裁，阿比亞局勢緊張，州長 IKPEAZU PDP APGA 做出反應 http://t.co/aKzZOe5CE6</v>
      </c>
      <c r="G2338" s="4" t="str">
        <f>IFERROR(__xludf.DUMMYFUNCTION("GOOGLETRANSLATE(B2338)"),"夷為平地")</f>
        <v>夷為平地</v>
      </c>
    </row>
    <row r="2339" ht="15.75" customHeight="1">
      <c r="A2339" s="4">
        <v>7963.0</v>
      </c>
      <c r="B2339" s="4" t="s">
        <v>3635</v>
      </c>
      <c r="C2339" s="4" t="s">
        <v>3638</v>
      </c>
      <c r="D2339" s="4" t="s">
        <v>3639</v>
      </c>
      <c r="E2339" s="4">
        <v>1.0</v>
      </c>
      <c r="F2339" s="4" t="str">
        <f>IFERROR(__xludf.DUMMYFUNCTION("GOOGLETRANSLATE(D2339)"),"最新消息：更多房屋被北加州野火夷為平地：加州和¤Û_ 野火燃燒的最新情況 http://t.co/0Keh2TReNy")</f>
        <v>最新消息：更多房屋被北加州野火夷為平地：加州和¤Û_ 野火燃燒的最新情況 http://t.co/0Keh2TReNy</v>
      </c>
      <c r="G2339" s="4" t="str">
        <f>IFERROR(__xludf.DUMMYFUNCTION("GOOGLETRANSLATE(B2339)"),"夷為平地")</f>
        <v>夷為平地</v>
      </c>
    </row>
    <row r="2340" ht="15.75" customHeight="1">
      <c r="A2340" s="4">
        <v>7965.0</v>
      </c>
      <c r="B2340" s="4" t="s">
        <v>3635</v>
      </c>
      <c r="D2340" s="4" t="s">
        <v>3640</v>
      </c>
      <c r="E2340" s="4">
        <v>1.0</v>
      </c>
      <c r="F2340" s="4" t="str">
        <f>IFERROR(__xludf.DUMMYFUNCTION("GOOGLETRANSLATE(D2340)"),"最新消息：更多房屋被北加州野火夷為平地 - http://t.co/nTSwUAYEJI http://t.co/wgeFBuk4Jk")</f>
        <v>最新消息：更多房屋被北加州野火夷為平地 - http://t.co/nTSwUAYEJI http://t.co/wgeFBuk4Jk</v>
      </c>
      <c r="G2340" s="4" t="str">
        <f>IFERROR(__xludf.DUMMYFUNCTION("GOOGLETRANSLATE(B2340)"),"夷為平地")</f>
        <v>夷為平地</v>
      </c>
    </row>
    <row r="2341" ht="15.75" customHeight="1">
      <c r="A2341" s="4">
        <v>7968.0</v>
      </c>
      <c r="B2341" s="4" t="s">
        <v>3635</v>
      </c>
      <c r="D2341" s="4" t="s">
        <v>3641</v>
      </c>
      <c r="E2341" s="4">
        <v>1.0</v>
      </c>
      <c r="F2341" s="4" t="str">
        <f>IFERROR(__xludf.DUMMYFUNCTION("GOOGLETRANSLATE(D2341)"),"最新消息：更多房屋被北加州野火夷為平地 - ABC 新聞 http://t.co/ZBZc8905Gl")</f>
        <v>最新消息：更多房屋被北加州野火夷為平地 - ABC 新聞 http://t.co/ZBZc8905Gl</v>
      </c>
      <c r="G2341" s="4" t="str">
        <f>IFERROR(__xludf.DUMMYFUNCTION("GOOGLETRANSLATE(B2341)"),"夷為平地")</f>
        <v>夷為平地</v>
      </c>
    </row>
    <row r="2342" ht="15.75" customHeight="1">
      <c r="A2342" s="4">
        <v>7969.0</v>
      </c>
      <c r="B2342" s="4" t="s">
        <v>3635</v>
      </c>
      <c r="D2342" s="4" t="s">
        <v>3642</v>
      </c>
      <c r="E2342" s="4">
        <v>1.0</v>
      </c>
      <c r="F2342" s="4" t="str">
        <f>IFERROR(__xludf.DUMMYFUNCTION("GOOGLETRANSLATE(D2342)"),"最新消息：更多房屋被北加州野火夷為平地 - ABC 新聞 http://t.co/lY8x7rqbwN")</f>
        <v>最新消息：更多房屋被北加州野火夷為平地 - ABC 新聞 http://t.co/lY8x7rqbwN</v>
      </c>
      <c r="G2342" s="4" t="str">
        <f>IFERROR(__xludf.DUMMYFUNCTION("GOOGLETRANSLATE(B2342)"),"夷為平地")</f>
        <v>夷為平地</v>
      </c>
    </row>
    <row r="2343" ht="15.75" customHeight="1">
      <c r="A2343" s="4">
        <v>7970.0</v>
      </c>
      <c r="B2343" s="4" t="s">
        <v>3635</v>
      </c>
      <c r="D2343" s="4" t="s">
        <v>3643</v>
      </c>
      <c r="E2343" s="4">
        <v>1.0</v>
      </c>
      <c r="F2343" s="4" t="str">
        <f>IFERROR(__xludf.DUMMYFUNCTION("GOOGLETRANSLATE(D2343)"),"http://t.co/iXiYBAp8Qa 最新消息：更多房屋被北加州野火夷為平地 - 林奇堡新聞與進展 http://t.co/zEpzQYDby4")</f>
        <v>http://t.co/iXiYBAp8Qa 最新消息：更多房屋被北加州野火夷為平地 - 林奇堡新聞與進展 http://t.co/zEpzQYDby4</v>
      </c>
      <c r="G2343" s="4" t="str">
        <f>IFERROR(__xludf.DUMMYFUNCTION("GOOGLETRANSLATE(B2343)"),"夷為平地")</f>
        <v>夷為平地</v>
      </c>
    </row>
    <row r="2344" ht="15.75" customHeight="1">
      <c r="A2344" s="4">
        <v>7971.0</v>
      </c>
      <c r="B2344" s="4" t="s">
        <v>3635</v>
      </c>
      <c r="C2344" s="4" t="s">
        <v>602</v>
      </c>
      <c r="D2344" s="4" t="s">
        <v>3644</v>
      </c>
      <c r="E2344" s="4">
        <v>1.0</v>
      </c>
      <c r="F2344" s="4" t="str">
        <f>IFERROR(__xludf.DUMMYFUNCTION("GOOGLETRANSLATE(D2344)"),"#新聞：最新消息：更多房屋被北加州野火夷為平地 - 紐約時報 http://t.co/5kBRZZmf8c #TAFS #FB100%")</f>
        <v>#新聞：最新消息：更多房屋被北加州野火夷為平地 - 紐約時報 http://t.co/5kBRZZmf8c #TAFS #FB100%</v>
      </c>
      <c r="G2344" s="4" t="str">
        <f>IFERROR(__xludf.DUMMYFUNCTION("GOOGLETRANSLATE(B2344)"),"夷為平地")</f>
        <v>夷為平地</v>
      </c>
    </row>
    <row r="2345" ht="15.75" customHeight="1">
      <c r="A2345" s="4">
        <v>7972.0</v>
      </c>
      <c r="B2345" s="4" t="s">
        <v>3635</v>
      </c>
      <c r="D2345" s="4" t="s">
        <v>3645</v>
      </c>
      <c r="E2345" s="4">
        <v>1.0</v>
      </c>
      <c r="F2345" s="4" t="str">
        <f>IFERROR(__xludf.DUMMYFUNCTION("GOOGLETRANSLATE(D2345)"),"最新消息：更多房屋被北加州野火夷為平地 - ABC 新聞 http://t.co/d1VjOYg52A")</f>
        <v>最新消息：更多房屋被北加州野火夷為平地 - ABC 新聞 http://t.co/d1VjOYg52A</v>
      </c>
      <c r="G2345" s="4" t="str">
        <f>IFERROR(__xludf.DUMMYFUNCTION("GOOGLETRANSLATE(B2345)"),"夷為平地")</f>
        <v>夷為平地</v>
      </c>
    </row>
    <row r="2346" ht="15.75" customHeight="1">
      <c r="A2346" s="4">
        <v>7973.0</v>
      </c>
      <c r="B2346" s="4" t="s">
        <v>3635</v>
      </c>
      <c r="D2346" s="4" t="s">
        <v>3646</v>
      </c>
      <c r="E2346" s="4">
        <v>1.0</v>
      </c>
      <c r="F2346" s="4" t="str">
        <f>IFERROR(__xludf.DUMMYFUNCTION("GOOGLETRANSLATE(D2346)"),"最新消息：更多房屋被北加州野火夷為平地 - ABC 新聞 http://t.co/dOFRh5YB01")</f>
        <v>最新消息：更多房屋被北加州野火夷為平地 - ABC 新聞 http://t.co/dOFRh5YB01</v>
      </c>
      <c r="G2346" s="4" t="str">
        <f>IFERROR(__xludf.DUMMYFUNCTION("GOOGLETRANSLATE(B2346)"),"夷為平地")</f>
        <v>夷為平地</v>
      </c>
    </row>
    <row r="2347" ht="15.75" customHeight="1">
      <c r="A2347" s="4">
        <v>7976.0</v>
      </c>
      <c r="B2347" s="4" t="s">
        <v>3635</v>
      </c>
      <c r="D2347" s="4" t="s">
        <v>3647</v>
      </c>
      <c r="E2347" s="4">
        <v>1.0</v>
      </c>
      <c r="F2347" s="4" t="str">
        <f>IFERROR(__xludf.DUMMYFUNCTION("GOOGLETRANSLATE(D2347)"),"最新消息：更多房屋被北加州野火夷為平地 - http://t.co/2nIP3d15dx http://t.co/egYFNlAOQv")</f>
        <v>最新消息：更多房屋被北加州野火夷為平地 - http://t.co/2nIP3d15dx http://t.co/egYFNlAOQv</v>
      </c>
      <c r="G2347" s="4" t="str">
        <f>IFERROR(__xludf.DUMMYFUNCTION("GOOGLETRANSLATE(B2347)"),"夷為平地")</f>
        <v>夷為平地</v>
      </c>
    </row>
    <row r="2348" ht="15.75" customHeight="1">
      <c r="A2348" s="4">
        <v>7977.0</v>
      </c>
      <c r="B2348" s="4" t="s">
        <v>3635</v>
      </c>
      <c r="D2348" s="4" t="s">
        <v>3648</v>
      </c>
      <c r="E2348" s="4">
        <v>1.0</v>
      </c>
      <c r="F2348" s="4" t="str">
        <f>IFERROR(__xludf.DUMMYFUNCTION("GOOGLETRANSLATE(D2348)"),"最新消息：更多房屋被北加州野火夷為平地 - http://t.co/BsGR67dyWY http://t.co/nDGgr6Xyqd")</f>
        <v>最新消息：更多房屋被北加州野火夷為平地 - http://t.co/BsGR67dyWY http://t.co/nDGgr6Xyqd</v>
      </c>
      <c r="G2348" s="4" t="str">
        <f>IFERROR(__xludf.DUMMYFUNCTION("GOOGLETRANSLATE(B2348)"),"夷為平地")</f>
        <v>夷為平地</v>
      </c>
    </row>
    <row r="2349" ht="15.75" customHeight="1">
      <c r="A2349" s="4">
        <v>7978.0</v>
      </c>
      <c r="B2349" s="4" t="s">
        <v>3635</v>
      </c>
      <c r="D2349" s="4" t="s">
        <v>3649</v>
      </c>
      <c r="E2349" s="4">
        <v>1.0</v>
      </c>
      <c r="F2349" s="4" t="str">
        <f>IFERROR(__xludf.DUMMYFUNCTION("GOOGLETRANSLATE(D2349)"),"最新消息：更多房屋被北加州野火夷為平地 - http://t.co/5FcJVMl520 http://t.co/fvYRWhux8p")</f>
        <v>最新消息：更多房屋被北加州野火夷為平地 - http://t.co/5FcJVMl520 http://t.co/fvYRWhux8p</v>
      </c>
      <c r="G2349" s="4" t="str">
        <f>IFERROR(__xludf.DUMMYFUNCTION("GOOGLETRANSLATE(B2349)"),"夷為平地")</f>
        <v>夷為平地</v>
      </c>
    </row>
    <row r="2350" ht="15.75" customHeight="1">
      <c r="A2350" s="4">
        <v>7981.0</v>
      </c>
      <c r="B2350" s="4" t="s">
        <v>3635</v>
      </c>
      <c r="D2350" s="4" t="s">
        <v>3650</v>
      </c>
      <c r="E2350" s="4">
        <v>1.0</v>
      </c>
      <c r="F2350" s="4" t="str">
        <f>IFERROR(__xludf.DUMMYFUNCTION("GOOGLETRANSLATE(D2350)"),"最新消息：更多房屋被北加州野火夷為平地 - http://t.co/3tnuACIV3c http://t.co/SAkORGdqUL")</f>
        <v>最新消息：更多房屋被北加州野火夷為平地 - http://t.co/3tnuACIV3c http://t.co/SAkORGdqUL</v>
      </c>
      <c r="G2350" s="4" t="str">
        <f>IFERROR(__xludf.DUMMYFUNCTION("GOOGLETRANSLATE(B2350)"),"夷為平地")</f>
        <v>夷為平地</v>
      </c>
    </row>
    <row r="2351" ht="15.75" customHeight="1">
      <c r="A2351" s="4">
        <v>7982.0</v>
      </c>
      <c r="B2351" s="4" t="s">
        <v>3635</v>
      </c>
      <c r="D2351" s="4" t="s">
        <v>3651</v>
      </c>
      <c r="E2351" s="4">
        <v>1.0</v>
      </c>
      <c r="F2351" s="4" t="str">
        <f>IFERROR(__xludf.DUMMYFUNCTION("GOOGLETRANSLATE(D2351)"),"最新消息：更多房子被北加州野火夷為平地 - http://t.co/P3g3bQBczu http://t.co/RpBxdfnx5k")</f>
        <v>最新消息：更多房子被北加州野火夷為平地 - http://t.co/P3g3bQBczu http://t.co/RpBxdfnx5k</v>
      </c>
      <c r="G2351" s="4" t="str">
        <f>IFERROR(__xludf.DUMMYFUNCTION("GOOGLETRANSLATE(B2351)"),"夷為平地")</f>
        <v>夷為平地</v>
      </c>
    </row>
    <row r="2352" ht="15.75" customHeight="1">
      <c r="A2352" s="4">
        <v>7983.0</v>
      </c>
      <c r="B2352" s="4" t="s">
        <v>3635</v>
      </c>
      <c r="D2352" s="4" t="s">
        <v>3652</v>
      </c>
      <c r="E2352" s="4">
        <v>1.0</v>
      </c>
      <c r="F2352" s="4" t="str">
        <f>IFERROR(__xludf.DUMMYFUNCTION("GOOGLETRANSLATE(D2352)"),"最新消息：更多房屋被北加州野火夷為平地 - ABC 新聞 http://t.co/x1xj0XVTj7")</f>
        <v>最新消息：更多房屋被北加州野火夷為平地 - ABC 新聞 http://t.co/x1xj0XVTj7</v>
      </c>
      <c r="G2352" s="4" t="str">
        <f>IFERROR(__xludf.DUMMYFUNCTION("GOOGLETRANSLATE(B2352)"),"夷為平地")</f>
        <v>夷為平地</v>
      </c>
    </row>
    <row r="2353" ht="15.75" customHeight="1">
      <c r="A2353" s="4">
        <v>7984.0</v>
      </c>
      <c r="B2353" s="4" t="s">
        <v>3635</v>
      </c>
      <c r="C2353" s="4" t="s">
        <v>3653</v>
      </c>
      <c r="D2353" s="4" t="s">
        <v>3654</v>
      </c>
      <c r="E2353" s="4">
        <v>1.0</v>
      </c>
      <c r="F2353" s="4" t="str">
        <f>IFERROR(__xludf.DUMMYFUNCTION("GOOGLETRANSLATE(D2353)"),"@DavidVonderhaar 至少你是真誠的？")</f>
        <v>@DavidVonderhaar 至少你是真誠的？</v>
      </c>
      <c r="G2353" s="4" t="str">
        <f>IFERROR(__xludf.DUMMYFUNCTION("GOOGLETRANSLATE(B2353)"),"夷為平地")</f>
        <v>夷為平地</v>
      </c>
    </row>
    <row r="2354" ht="15.75" customHeight="1">
      <c r="A2354" s="4">
        <v>7987.0</v>
      </c>
      <c r="B2354" s="4" t="s">
        <v>3635</v>
      </c>
      <c r="D2354" s="4" t="s">
        <v>3655</v>
      </c>
      <c r="E2354" s="4">
        <v>1.0</v>
      </c>
      <c r="F2354" s="4" t="str">
        <f>IFERROR(__xludf.DUMMYFUNCTION("GOOGLETRANSLATE(D2354)"),"最新消息：更多房屋被北加州野火夷為平地 - ABC 新聞 http://t.co/Rg9yaybOSA")</f>
        <v>最新消息：更多房屋被北加州野火夷為平地 - ABC 新聞 http://t.co/Rg9yaybOSA</v>
      </c>
      <c r="G2354" s="4" t="str">
        <f>IFERROR(__xludf.DUMMYFUNCTION("GOOGLETRANSLATE(B2354)"),"夷為平地")</f>
        <v>夷為平地</v>
      </c>
    </row>
    <row r="2355" ht="15.75" customHeight="1">
      <c r="A2355" s="4">
        <v>7988.0</v>
      </c>
      <c r="B2355" s="4" t="s">
        <v>3635</v>
      </c>
      <c r="D2355" s="4" t="s">
        <v>3656</v>
      </c>
      <c r="E2355" s="4">
        <v>1.0</v>
      </c>
      <c r="F2355" s="4" t="str">
        <f>IFERROR(__xludf.DUMMYFUNCTION("GOOGLETRANSLATE(D2355)"),"最新消息：更多房屋被北加州野火夷為平地 - ABC 新聞 http://t.co/2872J5d4HB")</f>
        <v>最新消息：更多房屋被北加州野火夷為平地 - ABC 新聞 http://t.co/2872J5d4HB</v>
      </c>
      <c r="G2355" s="4" t="str">
        <f>IFERROR(__xludf.DUMMYFUNCTION("GOOGLETRANSLATE(B2355)"),"夷為平地")</f>
        <v>夷為平地</v>
      </c>
    </row>
    <row r="2356" ht="15.75" customHeight="1">
      <c r="A2356" s="4">
        <v>7989.0</v>
      </c>
      <c r="B2356" s="4" t="s">
        <v>3635</v>
      </c>
      <c r="D2356" s="4" t="s">
        <v>3657</v>
      </c>
      <c r="E2356" s="4">
        <v>1.0</v>
      </c>
      <c r="F2356" s="4" t="str">
        <f>IFERROR(__xludf.DUMMYFUNCTION("GOOGLETRANSLATE(D2356)"),"最新消息：更多房屋被北加州野火夷為平地 - http://t.co/ecXMoiNZgU http://t.co/ntwWDweDNb")</f>
        <v>最新消息：更多房屋被北加州野火夷為平地 - http://t.co/ecXMoiNZgU http://t.co/ntwWDweDNb</v>
      </c>
      <c r="G2356" s="4" t="str">
        <f>IFERROR(__xludf.DUMMYFUNCTION("GOOGLETRANSLATE(B2356)"),"夷為平地")</f>
        <v>夷為平地</v>
      </c>
    </row>
    <row r="2357" ht="15.75" customHeight="1">
      <c r="A2357" s="4">
        <v>7990.0</v>
      </c>
      <c r="B2357" s="4" t="s">
        <v>3635</v>
      </c>
      <c r="C2357" s="4" t="s">
        <v>3658</v>
      </c>
      <c r="D2357" s="4" t="s">
        <v>3659</v>
      </c>
      <c r="E2357" s="4">
        <v>1.0</v>
      </c>
      <c r="F2357" s="4" t="str">
        <f>IFERROR(__xludf.DUMMYFUNCTION("GOOGLETRANSLATE(D2357)"),"更多房屋被北加州野火夷為平地 http://t.co/u52RW9Ji2r #sandiego http://t.co/GX75w3q9Ye")</f>
        <v>更多房屋被北加州野火夷為平地 http://t.co/u52RW9Ji2r #sandiego http://t.co/GX75w3q9Ye</v>
      </c>
      <c r="G2357" s="4" t="str">
        <f>IFERROR(__xludf.DUMMYFUNCTION("GOOGLETRANSLATE(B2357)"),"夷為平地")</f>
        <v>夷為平地</v>
      </c>
    </row>
    <row r="2358" ht="15.75" customHeight="1">
      <c r="A2358" s="4">
        <v>7991.0</v>
      </c>
      <c r="B2358" s="4" t="s">
        <v>3635</v>
      </c>
      <c r="C2358" s="4" t="s">
        <v>1479</v>
      </c>
      <c r="D2358" s="4" t="s">
        <v>3660</v>
      </c>
      <c r="E2358" s="4">
        <v>1.0</v>
      </c>
      <c r="F2358" s="4" t="str">
        <f>IFERROR(__xludf.DUMMYFUNCTION("GOOGLETRANSLATE(D2358)"),"英雄喬治·恩詹加 (George Njenga) 從熊熊大火中拯救了他燃燒的朋友 http://t.co/Ywkk26arAG")</f>
        <v>英雄喬治·恩詹加 (George Njenga) 從熊熊大火中拯救了他燃燒的朋友 http://t.co/Ywkk26arAG</v>
      </c>
      <c r="G2358" s="4" t="str">
        <f>IFERROR(__xludf.DUMMYFUNCTION("GOOGLETRANSLATE(B2358)"),"夷為平地")</f>
        <v>夷為平地</v>
      </c>
    </row>
    <row r="2359" ht="15.75" customHeight="1">
      <c r="A2359" s="4">
        <v>7994.0</v>
      </c>
      <c r="B2359" s="4" t="s">
        <v>3635</v>
      </c>
      <c r="D2359" s="4" t="s">
        <v>3661</v>
      </c>
      <c r="E2359" s="4">
        <v>1.0</v>
      </c>
      <c r="F2359" s="4" t="str">
        <f>IFERROR(__xludf.DUMMYFUNCTION("GOOGLETRANSLATE(D2359)"),"最新消息：更多房屋被北加州野火夷為平地 - ABC 新聞 http://t.co/bKsYymvIsg #GN")</f>
        <v>最新消息：更多房屋被北加州野火夷為平地 - ABC 新聞 http://t.co/bKsYymvIsg #GN</v>
      </c>
      <c r="G2359" s="4" t="str">
        <f>IFERROR(__xludf.DUMMYFUNCTION("GOOGLETRANSLATE(B2359)"),"夷為平地")</f>
        <v>夷為平地</v>
      </c>
    </row>
    <row r="2360" ht="15.75" customHeight="1">
      <c r="A2360" s="4">
        <v>7996.0</v>
      </c>
      <c r="B2360" s="4" t="s">
        <v>3635</v>
      </c>
      <c r="D2360" s="4" t="s">
        <v>3662</v>
      </c>
      <c r="E2360" s="4">
        <v>1.0</v>
      </c>
      <c r="F2360" s="4" t="str">
        <f>IFERROR(__xludf.DUMMYFUNCTION("GOOGLETRANSLATE(D2360)"),"最新消息：更多房屋被北加州野火夷為平地 - ABC 新聞 http://t.co/RlPTtkBG4W")</f>
        <v>最新消息：更多房屋被北加州野火夷為平地 - ABC 新聞 http://t.co/RlPTtkBG4W</v>
      </c>
      <c r="G2360" s="4" t="str">
        <f>IFERROR(__xludf.DUMMYFUNCTION("GOOGLETRANSLATE(B2360)"),"夷為平地")</f>
        <v>夷為平地</v>
      </c>
    </row>
    <row r="2361" ht="15.75" customHeight="1">
      <c r="A2361" s="4">
        <v>7999.0</v>
      </c>
      <c r="B2361" s="4" t="s">
        <v>3635</v>
      </c>
      <c r="D2361" s="4" t="s">
        <v>3663</v>
      </c>
      <c r="E2361" s="4">
        <v>1.0</v>
      </c>
      <c r="F2361" s="4" t="str">
        <f>IFERROR(__xludf.DUMMYFUNCTION("GOOGLETRANSLATE(D2361)"),"最新消息：更多房屋被北加州野火夷為平地 - ABC 新聞 http://t.co/6AcSWzo7cw")</f>
        <v>最新消息：更多房屋被北加州野火夷為平地 - ABC 新聞 http://t.co/6AcSWzo7cw</v>
      </c>
      <c r="G2361" s="4" t="str">
        <f>IFERROR(__xludf.DUMMYFUNCTION("GOOGLETRANSLATE(B2361)"),"夷為平地")</f>
        <v>夷為平地</v>
      </c>
    </row>
    <row r="2362" ht="15.75" customHeight="1">
      <c r="A2362" s="4">
        <v>8000.0</v>
      </c>
      <c r="B2362" s="4" t="s">
        <v>3635</v>
      </c>
      <c r="D2362" s="4" t="s">
        <v>3664</v>
      </c>
      <c r="E2362" s="4">
        <v>1.0</v>
      </c>
      <c r="F2362" s="4" t="str">
        <f>IFERROR(__xludf.DUMMYFUNCTION("GOOGLETRANSLATE(D2362)"),"最新消息：更多房屋被北加州野火夷為平地 - ABC 新聞 http://t.co/hCKxJ8eukt")</f>
        <v>最新消息：更多房屋被北加州野火夷為平地 - ABC 新聞 http://t.co/hCKxJ8eukt</v>
      </c>
      <c r="G2362" s="4" t="str">
        <f>IFERROR(__xludf.DUMMYFUNCTION("GOOGLETRANSLATE(B2362)"),"夷為平地")</f>
        <v>夷為平地</v>
      </c>
    </row>
    <row r="2363" ht="15.75" customHeight="1">
      <c r="A2363" s="4">
        <v>8001.0</v>
      </c>
      <c r="B2363" s="4" t="s">
        <v>3635</v>
      </c>
      <c r="D2363" s="4" t="s">
        <v>3665</v>
      </c>
      <c r="E2363" s="4">
        <v>1.0</v>
      </c>
      <c r="F2363" s="4" t="str">
        <f>IFERROR(__xludf.DUMMYFUNCTION("GOOGLETRANSLATE(D2363)"),"最新消息：更多房子被#NorthernCalifornia 野火夷為平地 http://t.co/mONiJJth7V #ZippedNews http://t.co/0yXBB5dzw5")</f>
        <v>最新消息：更多房子被#NorthernCalifornia 野火夷為平地 http://t.co/mONiJJth7V #ZippedNews http://t.co/0yXBB5dzw5</v>
      </c>
      <c r="G2363" s="4" t="str">
        <f>IFERROR(__xludf.DUMMYFUNCTION("GOOGLETRANSLATE(B2363)"),"夷為平地")</f>
        <v>夷為平地</v>
      </c>
    </row>
    <row r="2364" ht="15.75" customHeight="1">
      <c r="A2364" s="4">
        <v>8002.0</v>
      </c>
      <c r="B2364" s="4" t="s">
        <v>3635</v>
      </c>
      <c r="D2364" s="4" t="s">
        <v>3666</v>
      </c>
      <c r="E2364" s="4">
        <v>1.0</v>
      </c>
      <c r="F2364" s="4" t="str">
        <f>IFERROR(__xludf.DUMMYFUNCTION("GOOGLETRANSLATE(D2364)"),"最新消息：更多房屋被北加州野火夷為平地 - http://t.co/R1CNSjUAYQ http://t.co/DQ1yLcrF9K")</f>
        <v>最新消息：更多房屋被北加州野火夷為平地 - http://t.co/R1CNSjUAYQ http://t.co/DQ1yLcrF9K</v>
      </c>
      <c r="G2364" s="4" t="str">
        <f>IFERROR(__xludf.DUMMYFUNCTION("GOOGLETRANSLATE(B2364)"),"夷為平地")</f>
        <v>夷為平地</v>
      </c>
    </row>
    <row r="2365" ht="15.75" customHeight="1">
      <c r="A2365" s="4">
        <v>8003.0</v>
      </c>
      <c r="B2365" s="4" t="s">
        <v>3635</v>
      </c>
      <c r="C2365" s="4" t="s">
        <v>1479</v>
      </c>
      <c r="D2365" s="4" t="s">
        <v>3667</v>
      </c>
      <c r="E2365" s="4">
        <v>1.0</v>
      </c>
      <c r="F2365" s="4" t="str">
        <f>IFERROR(__xludf.DUMMYFUNCTION("GOOGLETRANSLATE(D2365)"),"英雄喬治恩詹加 (George Njenga) 從一場肆虐的野火中拯救了他燃燒的朋友... http://t.co/us8r6Qsn0p")</f>
        <v>英雄喬治恩詹加 (George Njenga) 從一場肆虐的野火中拯救了他燃燒的朋友... http://t.co/us8r6Qsn0p</v>
      </c>
      <c r="G2365" s="4" t="str">
        <f>IFERROR(__xludf.DUMMYFUNCTION("GOOGLETRANSLATE(B2365)"),"夷為平地")</f>
        <v>夷為平地</v>
      </c>
    </row>
    <row r="2366" ht="15.75" customHeight="1">
      <c r="A2366" s="4">
        <v>8005.0</v>
      </c>
      <c r="B2366" s="4" t="s">
        <v>3635</v>
      </c>
      <c r="D2366" s="4" t="s">
        <v>3668</v>
      </c>
      <c r="E2366" s="4">
        <v>1.0</v>
      </c>
      <c r="F2366" s="4" t="str">
        <f>IFERROR(__xludf.DUMMYFUNCTION("GOOGLETRANSLATE(D2366)"),"最新消息：更多房屋被北加州野火夷為平地 - http://t.co/IrqUjaEsck http://t.co/qDwEknRMi9")</f>
        <v>最新消息：更多房屋被北加州野火夷為平地 - http://t.co/IrqUjaEsck http://t.co/qDwEknRMi9</v>
      </c>
      <c r="G2366" s="4" t="str">
        <f>IFERROR(__xludf.DUMMYFUNCTION("GOOGLETRANSLATE(B2366)"),"夷為平地")</f>
        <v>夷為平地</v>
      </c>
    </row>
    <row r="2367" ht="15.75" customHeight="1">
      <c r="A2367" s="4">
        <v>8006.0</v>
      </c>
      <c r="B2367" s="4" t="s">
        <v>3635</v>
      </c>
      <c r="D2367" s="4" t="s">
        <v>3669</v>
      </c>
      <c r="E2367" s="4">
        <v>1.0</v>
      </c>
      <c r="F2367" s="4" t="str">
        <f>IFERROR(__xludf.DUMMYFUNCTION("GOOGLETRANSLATE(D2367)"),"最新消息：更多房屋被北加州野火夷為平地 - ABC 新聞 http://t.co/aueZxZA5ak")</f>
        <v>最新消息：更多房屋被北加州野火夷為平地 - ABC 新聞 http://t.co/aueZxZA5ak</v>
      </c>
      <c r="G2367" s="4" t="str">
        <f>IFERROR(__xludf.DUMMYFUNCTION("GOOGLETRANSLATE(B2367)"),"夷為平地")</f>
        <v>夷為平地</v>
      </c>
    </row>
    <row r="2368" ht="15.75" customHeight="1">
      <c r="A2368" s="4">
        <v>8009.0</v>
      </c>
      <c r="B2368" s="4" t="s">
        <v>3670</v>
      </c>
      <c r="D2368" s="4" t="s">
        <v>3671</v>
      </c>
      <c r="E2368" s="4">
        <v>1.0</v>
      </c>
      <c r="F2368" s="4" t="str">
        <f>IFERROR(__xludf.DUMMYFUNCTION("GOOGLETRANSLATE(D2368)"),"這對剛結婚的土耳其夫婦給了 4000 名敘利亞難民一份令人難以置信的禮物 http://t.co/ibeD3xG7fy 餵養他們而不是家人和孩子朋友們。")</f>
        <v>這對剛結婚的土耳其夫婦給了 4000 名敘利亞難民一份令人難以置信的禮物 http://t.co/ibeD3xG7fy 餵養他們而不是家人和孩子朋友們。</v>
      </c>
      <c r="G2368" s="4" t="str">
        <f>IFERROR(__xludf.DUMMYFUNCTION("GOOGLETRANSLATE(B2368)"),"難民")</f>
        <v>難民</v>
      </c>
    </row>
    <row r="2369" ht="15.75" customHeight="1">
      <c r="A2369" s="4">
        <v>8010.0</v>
      </c>
      <c r="B2369" s="4" t="s">
        <v>3670</v>
      </c>
      <c r="C2369" s="4" t="s">
        <v>3672</v>
      </c>
      <c r="D2369" s="4" t="s">
        <v>3673</v>
      </c>
      <c r="E2369" s="4">
        <v>1.0</v>
      </c>
      <c r="F2369" s="4" t="str">
        <f>IFERROR(__xludf.DUMMYFUNCTION("GOOGLETRANSLATE(D2369)"),"波蘭警方監控 200 名聖戰士 http://t.co/1wCOfmLUb9 來自 @freedomoutpost")</f>
        <v>波蘭警方監控 200 名聖戰士 http://t.co/1wCOfmLUb9 來自 @freedomoutpost</v>
      </c>
      <c r="G2369" s="4" t="str">
        <f>IFERROR(__xludf.DUMMYFUNCTION("GOOGLETRANSLATE(B2369)"),"難民")</f>
        <v>難民</v>
      </c>
    </row>
    <row r="2370" ht="15.75" customHeight="1">
      <c r="A2370" s="4">
        <v>8013.0</v>
      </c>
      <c r="B2370" s="4" t="s">
        <v>3670</v>
      </c>
      <c r="C2370" s="4" t="s">
        <v>3674</v>
      </c>
      <c r="D2370" s="4" t="s">
        <v>3675</v>
      </c>
      <c r="E2370" s="4">
        <v>1.0</v>
      </c>
      <c r="F2370" s="4" t="str">
        <f>IFERROR(__xludf.DUMMYFUNCTION("GOOGLETRANSLATE(D2370)"),"這對剛結婚的土耳其夫婦給了 4000 名敘利亞難民一份令人難以置信的禮物#WashingtonPost http://t.co/aRKmc7vclN")</f>
        <v>這對剛結婚的土耳其夫婦給了 4000 名敘利亞難民一份令人難以置信的禮物#WashingtonPost http://t.co/aRKmc7vclN</v>
      </c>
      <c r="G2370" s="4" t="str">
        <f>IFERROR(__xludf.DUMMYFUNCTION("GOOGLETRANSLATE(B2370)"),"難民")</f>
        <v>難民</v>
      </c>
    </row>
    <row r="2371" ht="15.75" customHeight="1">
      <c r="A2371" s="4">
        <v>8016.0</v>
      </c>
      <c r="B2371" s="4" t="s">
        <v>3670</v>
      </c>
      <c r="C2371" s="4" t="s">
        <v>3676</v>
      </c>
      <c r="D2371" s="4" t="s">
        <v>3677</v>
      </c>
      <c r="E2371" s="4">
        <v>1.0</v>
      </c>
      <c r="F2371" s="4" t="str">
        <f>IFERROR(__xludf.DUMMYFUNCTION("GOOGLETRANSLATE(D2371)"),"#retweet 喀麥隆因博科聖地遣返約 12,000 名尼日利亞難民 http://t.co/wvVgmejA7l")</f>
        <v>#retweet 喀麥隆因博科聖地遣返約 12,000 名尼日利亞難民 http://t.co/wvVgmejA7l</v>
      </c>
      <c r="G2371" s="4" t="str">
        <f>IFERROR(__xludf.DUMMYFUNCTION("GOOGLETRANSLATE(B2371)"),"難民")</f>
        <v>難民</v>
      </c>
    </row>
    <row r="2372" ht="15.75" customHeight="1">
      <c r="A2372" s="4">
        <v>8018.0</v>
      </c>
      <c r="B2372" s="4" t="s">
        <v>3670</v>
      </c>
      <c r="D2372" s="4" t="s">
        <v>3678</v>
      </c>
      <c r="E2372" s="4">
        <v>1.0</v>
      </c>
      <c r="F2372" s="4" t="str">
        <f>IFERROR(__xludf.DUMMYFUNCTION("GOOGLETRANSLATE(D2372)"),"wowo--=== 12,000 名尼日利亞難民從喀麥隆遣返")</f>
        <v>wowo--=== 12,000 名尼日利亞難民從喀麥隆遣返</v>
      </c>
      <c r="G2372" s="4" t="str">
        <f>IFERROR(__xludf.DUMMYFUNCTION("GOOGLETRANSLATE(B2372)"),"難民")</f>
        <v>難民</v>
      </c>
    </row>
    <row r="2373" ht="15.75" customHeight="1">
      <c r="A2373" s="4">
        <v>8019.0</v>
      </c>
      <c r="B2373" s="4" t="s">
        <v>3670</v>
      </c>
      <c r="D2373" s="4" t="s">
        <v>3679</v>
      </c>
      <c r="E2373" s="4">
        <v>1.0</v>
      </c>
      <c r="F2373" s="4" t="str">
        <f>IFERROR(__xludf.DUMMYFUNCTION("GOOGLETRANSLATE(D2373)"),"./.....hmm 12,000 名尼日利亞難民從喀麥隆遣返 http://t.co/YTW9SlWvmg /(")</f>
        <v>./.....hmm 12,000 名尼日利亞難民從喀麥隆遣返 http://t.co/YTW9SlWvmg /(</v>
      </c>
      <c r="G2373" s="4" t="str">
        <f>IFERROR(__xludf.DUMMYFUNCTION("GOOGLETRANSLATE(B2373)"),"難民")</f>
        <v>難民</v>
      </c>
    </row>
    <row r="2374" ht="15.75" customHeight="1">
      <c r="A2374" s="4">
        <v>8020.0</v>
      </c>
      <c r="B2374" s="4" t="s">
        <v>3670</v>
      </c>
      <c r="D2374" s="4" t="s">
        <v>3680</v>
      </c>
      <c r="E2374" s="4">
        <v>1.0</v>
      </c>
      <c r="F2374" s="4" t="str">
        <f>IFERROR(__xludf.DUMMYFUNCTION("GOOGLETRANSLATE(D2374)"),"...//..// whao.. 12000 名尼日利亞難民從喀麥隆遣返 http://t.co/baE0Ap4G9Y")</f>
        <v>...//..// whao.. 12000 名尼日利亞難民從喀麥隆遣返 http://t.co/baE0Ap4G9Y</v>
      </c>
      <c r="G2374" s="4" t="str">
        <f>IFERROR(__xludf.DUMMYFUNCTION("GOOGLETRANSLATE(B2374)"),"難民")</f>
        <v>難民</v>
      </c>
    </row>
    <row r="2375" ht="15.75" customHeight="1">
      <c r="A2375" s="4">
        <v>8024.0</v>
      </c>
      <c r="B2375" s="4" t="s">
        <v>3670</v>
      </c>
      <c r="D2375" s="4" t="s">
        <v>3681</v>
      </c>
      <c r="E2375" s="4">
        <v>1.0</v>
      </c>
      <c r="F2375" s="4" t="str">
        <f>IFERROR(__xludf.DUMMYFUNCTION("GOOGLETRANSLATE(D2375)"),"read/ plsss 12,000 名尼日利亞難民從喀麥隆遣返")</f>
        <v>read/ plsss 12,000 名尼日利亞難民從喀麥隆遣返</v>
      </c>
      <c r="G2375" s="4" t="str">
        <f>IFERROR(__xludf.DUMMYFUNCTION("GOOGLETRANSLATE(B2375)"),"難民")</f>
        <v>難民</v>
      </c>
    </row>
    <row r="2376" ht="15.75" customHeight="1">
      <c r="A2376" s="4">
        <v>8026.0</v>
      </c>
      <c r="B2376" s="4" t="s">
        <v>3670</v>
      </c>
      <c r="D2376" s="4" t="s">
        <v>3682</v>
      </c>
      <c r="E2376" s="4">
        <v>1.0</v>
      </c>
      <c r="F2376" s="4" t="str">
        <f>IFERROR(__xludf.DUMMYFUNCTION("GOOGLETRANSLATE(D2376)"),"Refugee Connections Indiegogo 活動將於明天上線！支持我們並幫助啟動#refugees 的唯一線上社群。")</f>
        <v>Refugee Connections Indiegogo 活動將於明天上線！支持我們並幫助啟動#refugees 的唯一線上社群。</v>
      </c>
      <c r="G2376" s="4" t="str">
        <f>IFERROR(__xludf.DUMMYFUNCTION("GOOGLETRANSLATE(B2376)"),"難民")</f>
        <v>難民</v>
      </c>
    </row>
    <row r="2377" ht="15.75" customHeight="1">
      <c r="A2377" s="4">
        <v>8028.0</v>
      </c>
      <c r="B2377" s="4" t="s">
        <v>3670</v>
      </c>
      <c r="D2377" s="4" t="s">
        <v>3683</v>
      </c>
      <c r="E2377" s="4">
        <v>1.0</v>
      </c>
      <c r="F2377" s="4" t="str">
        <f>IFERROR(__xludf.DUMMYFUNCTION("GOOGLETRANSLATE(D2377)"),"你們都讀過 12,000 名從喀麥隆遣返的奈及利亞難民 http://t.co/aVwE1LBvhn")</f>
        <v>你們都讀過 12,000 名從喀麥隆遣返的奈及利亞難民 http://t.co/aVwE1LBvhn</v>
      </c>
      <c r="G2377" s="4" t="str">
        <f>IFERROR(__xludf.DUMMYFUNCTION("GOOGLETRANSLATE(B2377)"),"難民")</f>
        <v>難民</v>
      </c>
    </row>
    <row r="2378" ht="15.75" customHeight="1">
      <c r="A2378" s="4">
        <v>8029.0</v>
      </c>
      <c r="B2378" s="4" t="s">
        <v>3670</v>
      </c>
      <c r="D2378" s="4" t="s">
        <v>3684</v>
      </c>
      <c r="E2378" s="4">
        <v>1.0</v>
      </c>
      <c r="F2378" s="4" t="str">
        <f>IFERROR(__xludf.DUMMYFUNCTION("GOOGLETRANSLATE(D2378)"),"除了親自把他們扔到海里之外，我認為沒有任何其他領導人能比@TonyAbbottMHR 有史以來最糟糕的下午對#refugees 做得更糟糕！")</f>
        <v>除了親自把他們扔到海里之外，我認為沒有任何其他領導人能比@TonyAbbottMHR 有史以來最糟糕的下午對#refugees 做得更糟糕！</v>
      </c>
      <c r="G2378" s="4" t="str">
        <f>IFERROR(__xludf.DUMMYFUNCTION("GOOGLETRANSLATE(B2378)"),"難民")</f>
        <v>難民</v>
      </c>
    </row>
    <row r="2379" ht="15.75" customHeight="1">
      <c r="A2379" s="4">
        <v>8030.0</v>
      </c>
      <c r="B2379" s="4" t="s">
        <v>3670</v>
      </c>
      <c r="C2379" s="4" t="s">
        <v>3685</v>
      </c>
      <c r="D2379" s="4" t="s">
        <v>3686</v>
      </c>
      <c r="E2379" s="4">
        <v>1.0</v>
      </c>
      <c r="F2379" s="4" t="str">
        <f>IFERROR(__xludf.DUMMYFUNCTION("GOOGLETRANSLATE(D2379)"),"喀麥隆遣返 12,000 名尼日利亞難民 http://t.co/6nQRU2q5Tz")</f>
        <v>喀麥隆遣返 12,000 名尼日利亞難民 http://t.co/6nQRU2q5Tz</v>
      </c>
      <c r="G2379" s="4" t="str">
        <f>IFERROR(__xludf.DUMMYFUNCTION("GOOGLETRANSLATE(B2379)"),"難民")</f>
        <v>難民</v>
      </c>
    </row>
    <row r="2380" ht="15.75" customHeight="1">
      <c r="A2380" s="4">
        <v>8034.0</v>
      </c>
      <c r="B2380" s="4" t="s">
        <v>3670</v>
      </c>
      <c r="C2380" s="4" t="s">
        <v>2623</v>
      </c>
      <c r="D2380" s="4" t="s">
        <v>3687</v>
      </c>
      <c r="E2380" s="4">
        <v>1.0</v>
      </c>
      <c r="F2380" s="4" t="str">
        <f>IFERROR(__xludf.DUMMYFUNCTION("GOOGLETRANSLATE(D2380)"),"一對夫婦如何使用無人機在世界上最致命的邊境拯救難民 http://t.co/9qpG0Z3Rh9")</f>
        <v>一對夫婦如何使用無人機在世界上最致命的邊境拯救難民 http://t.co/9qpG0Z3Rh9</v>
      </c>
      <c r="G2380" s="4" t="str">
        <f>IFERROR(__xludf.DUMMYFUNCTION("GOOGLETRANSLATE(B2380)"),"難民")</f>
        <v>難民</v>
      </c>
    </row>
    <row r="2381" ht="15.75" customHeight="1">
      <c r="A2381" s="4">
        <v>8035.0</v>
      </c>
      <c r="B2381" s="4" t="s">
        <v>3670</v>
      </c>
      <c r="D2381" s="4" t="s">
        <v>3688</v>
      </c>
      <c r="E2381" s="4">
        <v>1.0</v>
      </c>
      <c r="F2381" s="4" t="str">
        <f>IFERROR(__xludf.DUMMYFUNCTION("GOOGLETRANSLATE(D2381)"),"...//..// whao.. 12000 名尼日利亞難民從喀麥隆遣返 http://t.co/HuhWPmryWz")</f>
        <v>...//..// whao.. 12000 名尼日利亞難民從喀麥隆遣返 http://t.co/HuhWPmryWz</v>
      </c>
      <c r="G2381" s="4" t="str">
        <f>IFERROR(__xludf.DUMMYFUNCTION("GOOGLETRANSLATE(B2381)"),"難民")</f>
        <v>難民</v>
      </c>
    </row>
    <row r="2382" ht="15.75" customHeight="1">
      <c r="A2382" s="4">
        <v>8036.0</v>
      </c>
      <c r="B2382" s="4" t="s">
        <v>3670</v>
      </c>
      <c r="D2382" s="4" t="s">
        <v>3689</v>
      </c>
      <c r="E2382" s="4">
        <v>1.0</v>
      </c>
      <c r="F2382" s="4" t="str">
        <f>IFERROR(__xludf.DUMMYFUNCTION("GOOGLETRANSLATE(D2382)"),"./.....hmm 12000 名尼日利亞難民從喀麥隆遣返 http://t.co/96p3hUJNTj /(")</f>
        <v>./.....hmm 12000 名尼日利亞難民從喀麥隆遣返 http://t.co/96p3hUJNTj /(</v>
      </c>
      <c r="G2382" s="4" t="str">
        <f>IFERROR(__xludf.DUMMYFUNCTION("GOOGLETRANSLATE(B2382)"),"難民")</f>
        <v>難民</v>
      </c>
    </row>
    <row r="2383" ht="15.75" customHeight="1">
      <c r="A2383" s="4">
        <v>8038.0</v>
      </c>
      <c r="B2383" s="4" t="s">
        <v>3670</v>
      </c>
      <c r="C2383" s="4" t="s">
        <v>3690</v>
      </c>
      <c r="D2383" s="4" t="s">
        <v>3691</v>
      </c>
      <c r="E2383" s="4">
        <v>1.0</v>
      </c>
      <c r="F2383" s="4" t="str">
        <f>IFERROR(__xludf.DUMMYFUNCTION("GOOGLETRANSLATE(D2383)"),"@fadelurker @dalinthanelan &amp;lt;現在。
即使兩年後，仍有難民在雷德克利夫村以南紮營，而艾丹​​則位於雷德克利夫村以南。")</f>
        <v>@fadelurker @dalinthanelan &amp;lt;現在。
即使兩年後，仍有難民在雷德克利夫村以南紮營，而艾丹​​則位於雷德克利夫村以南。</v>
      </c>
      <c r="G2383" s="4" t="str">
        <f>IFERROR(__xludf.DUMMYFUNCTION("GOOGLETRANSLATE(B2383)"),"難民")</f>
        <v>難民</v>
      </c>
    </row>
    <row r="2384" ht="15.75" customHeight="1">
      <c r="A2384" s="4">
        <v>8040.0</v>
      </c>
      <c r="B2384" s="4" t="s">
        <v>3670</v>
      </c>
      <c r="C2384" s="4" t="s">
        <v>3692</v>
      </c>
      <c r="D2384" s="4" t="s">
        <v>3693</v>
      </c>
      <c r="E2384" s="4">
        <v>1.0</v>
      </c>
      <c r="F2384" s="4" t="str">
        <f>IFERROR(__xludf.DUMMYFUNCTION("GOOGLETRANSLATE(D2384)"),"照片中：被迫逃離布隆迪暴力的年輕難民 | VICE 新聞 https://t.co/jOjnq2oOPi 看更多 http://t.co/DsKuI6Mmgl")</f>
        <v>照片中：被迫逃離布隆迪暴力的年輕難民 | VICE 新聞 https://t.co/jOjnq2oOPi 看更多 http://t.co/DsKuI6Mmgl</v>
      </c>
      <c r="G2384" s="4" t="str">
        <f>IFERROR(__xludf.DUMMYFUNCTION("GOOGLETRANSLATE(B2384)"),"難民")</f>
        <v>難民</v>
      </c>
    </row>
    <row r="2385" ht="15.75" customHeight="1">
      <c r="A2385" s="4">
        <v>8045.0</v>
      </c>
      <c r="B2385" s="4" t="s">
        <v>3670</v>
      </c>
      <c r="D2385" s="4" t="s">
        <v>3694</v>
      </c>
      <c r="E2385" s="4">
        <v>1.0</v>
      </c>
      <c r="F2385" s="4" t="str">
        <f>IFERROR(__xludf.DUMMYFUNCTION("GOOGLETRANSLATE(D2385)"),"新婚夫婦為數千名敘利亞難民提供食物，而不是舉辦宴會婚禮晚宴 - http://t.co/XZV0lT9ZZk 來自 @smh")</f>
        <v>新婚夫婦為數千名敘利亞難民提供食物，而不是舉辦宴會婚禮晚宴 - http://t.co/XZV0lT9ZZk 來自 @smh</v>
      </c>
      <c r="G2385" s="4" t="str">
        <f>IFERROR(__xludf.DUMMYFUNCTION("GOOGLETRANSLATE(B2385)"),"難民")</f>
        <v>難民</v>
      </c>
    </row>
    <row r="2386" ht="15.75" customHeight="1">
      <c r="A2386" s="4">
        <v>8049.0</v>
      </c>
      <c r="B2386" s="4" t="s">
        <v>3670</v>
      </c>
      <c r="D2386" s="4" t="s">
        <v>3695</v>
      </c>
      <c r="E2386" s="4">
        <v>1.0</v>
      </c>
      <c r="F2386" s="4" t="str">
        <f>IFERROR(__xludf.DUMMYFUNCTION("GOOGLETRANSLATE(D2386)"),"recap/ 12000 名尼日利亞難民從喀麥隆遣返 http://t.co/po19h8YCND")</f>
        <v>recap/ 12000 名尼日利亞難民從喀麥隆遣返 http://t.co/po19h8YCND</v>
      </c>
      <c r="G2386" s="4" t="str">
        <f>IFERROR(__xludf.DUMMYFUNCTION("GOOGLETRANSLATE(B2386)"),"難民")</f>
        <v>難民</v>
      </c>
    </row>
    <row r="2387" ht="15.75" customHeight="1">
      <c r="A2387" s="4">
        <v>8056.0</v>
      </c>
      <c r="B2387" s="4" t="s">
        <v>3670</v>
      </c>
      <c r="D2387" s="4" t="s">
        <v>3696</v>
      </c>
      <c r="E2387" s="4">
        <v>1.0</v>
      </c>
      <c r="F2387" s="4" t="str">
        <f>IFERROR(__xludf.DUMMYFUNCTION("GOOGLETRANSLATE(D2387)"),"...//..// whao.. 12000 名尼日利亞難民從喀麥隆遣返 http://t.co/po19h8YCND")</f>
        <v>...//..// whao.. 12000 名尼日利亞難民從喀麥隆遣返 http://t.co/po19h8YCND</v>
      </c>
      <c r="G2387" s="4" t="str">
        <f>IFERROR(__xludf.DUMMYFUNCTION("GOOGLETRANSLATE(B2387)"),"難民")</f>
        <v>難民</v>
      </c>
    </row>
    <row r="2388" ht="15.75" customHeight="1">
      <c r="A2388" s="4">
        <v>8057.0</v>
      </c>
      <c r="B2388" s="4" t="s">
        <v>3670</v>
      </c>
      <c r="C2388" s="4" t="s">
        <v>3697</v>
      </c>
      <c r="D2388" s="4" t="s">
        <v>3698</v>
      </c>
      <c r="E2388" s="4">
        <v>1.0</v>
      </c>
      <c r="F2388" s="4" t="str">
        <f>IFERROR(__xludf.DUMMYFUNCTION("GOOGLETRANSLATE(D2388)"),"46 名返回的難民 - 他們逃離什麼？現在他們被遣返，越南政府將如何對待他們？ #達頓#presser")</f>
        <v>46 名返回的難民 - 他們逃離什麼？現在他們被遣返，越南政府將如何對待他們？ #達頓#presser</v>
      </c>
      <c r="G2388" s="4" t="str">
        <f>IFERROR(__xludf.DUMMYFUNCTION("GOOGLETRANSLATE(B2388)"),"難民")</f>
        <v>難民</v>
      </c>
    </row>
    <row r="2389" ht="15.75" customHeight="1">
      <c r="A2389" s="4">
        <v>8058.0</v>
      </c>
      <c r="B2389" s="4" t="s">
        <v>3670</v>
      </c>
      <c r="C2389" s="4" t="s">
        <v>3699</v>
      </c>
      <c r="D2389" s="4" t="s">
        <v>3700</v>
      </c>
      <c r="E2389" s="4">
        <v>1.0</v>
      </c>
      <c r="F2389" s="4" t="str">
        <f>IFERROR(__xludf.DUMMYFUNCTION("GOOGLETRANSLATE(D2389)"),"CHPSRE：RT：難民：對於我們在巴黎的追隨者，請參觀 rezaphotography Û_ Û_ http://t.co/RPmTROPsVr 的“人類夢想”展覽")</f>
        <v>CHPSRE：RT：難民：對於我們在巴黎的追隨者，請參觀 rezaphotography Û_ Û_ http://t.co/RPmTROPsVr 的“人類夢想”展覽</v>
      </c>
      <c r="G2389" s="4" t="str">
        <f>IFERROR(__xludf.DUMMYFUNCTION("GOOGLETRANSLATE(B2389)"),"難民")</f>
        <v>難民</v>
      </c>
    </row>
    <row r="2390" ht="15.75" customHeight="1">
      <c r="A2390" s="4">
        <v>8060.0</v>
      </c>
      <c r="B2390" s="4" t="s">
        <v>3701</v>
      </c>
      <c r="C2390" s="4" t="s">
        <v>3702</v>
      </c>
      <c r="D2390" s="4" t="s">
        <v>3703</v>
      </c>
      <c r="E2390" s="4">
        <v>1.0</v>
      </c>
      <c r="F2390" s="4" t="str">
        <f>IFERROR(__xludf.DUMMYFUNCTION("GOOGLETRANSLATE(D2390)"),"保單持有人反對 Clico 救援計劃 http://t.co/E4DvI9vUXZ http://t.co/JyCpf8iYhg")</f>
        <v>保單持有人反對 Clico 救援計劃 http://t.co/E4DvI9vUXZ http://t.co/JyCpf8iYhg</v>
      </c>
      <c r="G2390" s="4" t="str">
        <f>IFERROR(__xludf.DUMMYFUNCTION("GOOGLETRANSLATE(B2390)"),"救援")</f>
        <v>救援</v>
      </c>
    </row>
    <row r="2391" ht="15.75" customHeight="1">
      <c r="A2391" s="4">
        <v>8064.0</v>
      </c>
      <c r="B2391" s="4" t="s">
        <v>3701</v>
      </c>
      <c r="C2391" s="4" t="s">
        <v>3704</v>
      </c>
      <c r="D2391" s="4" t="s">
        <v>3705</v>
      </c>
      <c r="E2391" s="4">
        <v>1.0</v>
      </c>
      <c r="F2391" s="4" t="str">
        <f>IFERROR(__xludf.DUMMYFUNCTION("GOOGLETRANSLATE(D2391)"),"UD：救援（結構倒塌）- Scott Road @ Ypres Road York（14 輛卡車）")</f>
        <v>UD：救援（結構倒塌）- Scott Road @ Ypres Road York（14 輛卡車）</v>
      </c>
      <c r="G2391" s="4" t="str">
        <f>IFERROR(__xludf.DUMMYFUNCTION("GOOGLETRANSLATE(B2391)"),"救援")</f>
        <v>救援</v>
      </c>
    </row>
    <row r="2392" ht="15.75" customHeight="1">
      <c r="A2392" s="4">
        <v>8084.0</v>
      </c>
      <c r="B2392" s="4" t="s">
        <v>3701</v>
      </c>
      <c r="C2392" s="4" t="s">
        <v>3704</v>
      </c>
      <c r="D2392" s="4" t="s">
        <v>3705</v>
      </c>
      <c r="E2392" s="4">
        <v>1.0</v>
      </c>
      <c r="F2392" s="4" t="str">
        <f>IFERROR(__xludf.DUMMYFUNCTION("GOOGLETRANSLATE(D2392)"),"UD：救援（結構倒塌）- Scott Road @ Ypres Road York（14 輛卡車）")</f>
        <v>UD：救援（結構倒塌）- Scott Road @ Ypres Road York（14 輛卡車）</v>
      </c>
      <c r="G2392" s="4" t="str">
        <f>IFERROR(__xludf.DUMMYFUNCTION("GOOGLETRANSLATE(B2392)"),"救援")</f>
        <v>救援</v>
      </c>
    </row>
    <row r="2393" ht="15.75" customHeight="1">
      <c r="A2393" s="4">
        <v>8085.0</v>
      </c>
      <c r="B2393" s="4" t="s">
        <v>3701</v>
      </c>
      <c r="C2393" s="4" t="s">
        <v>161</v>
      </c>
      <c r="D2393" s="4" t="s">
        <v>3706</v>
      </c>
      <c r="E2393" s="4">
        <v>1.0</v>
      </c>
      <c r="F2393" s="4" t="str">
        <f>IFERROR(__xludf.DUMMYFUNCTION("GOOGLETRANSLATE(D2393)"),"洪水區：拉希爾·謝里夫將軍訪問吉德拉爾：他也讚揚了FWO陸軍和陸軍航空兵在救援行動中所做的努力...")</f>
        <v>洪水區：拉希爾·謝里夫將軍訪問吉德拉爾：他也讚揚了FWO陸軍和陸軍航空兵在救援行動中所做的努力...</v>
      </c>
      <c r="G2393" s="4" t="str">
        <f>IFERROR(__xludf.DUMMYFUNCTION("GOOGLETRANSLATE(B2393)"),"救援")</f>
        <v>救援</v>
      </c>
    </row>
    <row r="2394" ht="15.75" customHeight="1">
      <c r="A2394" s="4">
        <v>8089.0</v>
      </c>
      <c r="B2394" s="4" t="s">
        <v>3701</v>
      </c>
      <c r="C2394" s="4" t="s">
        <v>34</v>
      </c>
      <c r="D2394" s="4" t="s">
        <v>3707</v>
      </c>
      <c r="E2394" s="4">
        <v>1.0</v>
      </c>
      <c r="F2394" s="4" t="str">
        <f>IFERROR(__xludf.DUMMYFUNCTION("GOOGLETRANSLATE(D2394)"),"官員在利比亞海域營救了 367 名移民；發現 25 具屍體 - 福克斯新聞 http://t.co/cEdCUgEuWs #News")</f>
        <v>官員在利比亞海域營救了 367 名移民；發現 25 具屍體 - 福克斯新聞 http://t.co/cEdCUgEuWs #News</v>
      </c>
      <c r="G2394" s="4" t="str">
        <f>IFERROR(__xludf.DUMMYFUNCTION("GOOGLETRANSLATE(B2394)"),"救援")</f>
        <v>救援</v>
      </c>
    </row>
    <row r="2395" ht="15.75" customHeight="1">
      <c r="A2395" s="4">
        <v>8094.0</v>
      </c>
      <c r="B2395" s="4" t="s">
        <v>3708</v>
      </c>
      <c r="C2395" s="4" t="s">
        <v>627</v>
      </c>
      <c r="D2395" s="4" t="s">
        <v>3709</v>
      </c>
      <c r="E2395" s="4">
        <v>1.0</v>
      </c>
      <c r="F2395" s="4" t="str">
        <f>IFERROR(__xludf.DUMMYFUNCTION("GOOGLETRANSLATE(D2395)"),"@Zak_Bagans 這是薩布麗娜，我爸爸把她從某個把她關在籠子裡的傢伙手中救了出來。從我四歲起我們就擁有了她 http://t.co/1k2PhQcuW8")</f>
        <v>@Zak_Bagans 這是薩布麗娜，我爸爸把她從某個把她關在籠子裡的傢伙手中救了出來。從我四歲起我們就擁有了她 http://t.co/1k2PhQcuW8</v>
      </c>
      <c r="G2395" s="4" t="str">
        <f>IFERROR(__xludf.DUMMYFUNCTION("GOOGLETRANSLATE(B2395)"),"獲救")</f>
        <v>獲救</v>
      </c>
    </row>
    <row r="2396" ht="15.75" customHeight="1">
      <c r="A2396" s="4">
        <v>8095.0</v>
      </c>
      <c r="B2396" s="4" t="s">
        <v>3708</v>
      </c>
      <c r="D2396" s="4" t="s">
        <v>3710</v>
      </c>
      <c r="E2396" s="4">
        <v>1.0</v>
      </c>
      <c r="F2396" s="4" t="str">
        <f>IFERROR(__xludf.DUMMYFUNCTION("GOOGLETRANSLATE(D2396)"),"英國人在喜馬拉雅山洪水中獲救 (http://t.co/WGRXLy9pDO) http://t.co/BJ4hAAVAYE http://t.co/59p3AoIQUS")</f>
        <v>英國人在喜馬拉雅山洪水中獲救 (http://t.co/WGRXLy9pDO) http://t.co/BJ4hAAVAYE http://t.co/59p3AoIQUS</v>
      </c>
      <c r="G2396" s="4" t="str">
        <f>IFERROR(__xludf.DUMMYFUNCTION("GOOGLETRANSLATE(B2396)"),"獲救")</f>
        <v>獲救</v>
      </c>
    </row>
    <row r="2397" ht="15.75" customHeight="1">
      <c r="A2397" s="4">
        <v>8096.0</v>
      </c>
      <c r="B2397" s="4" t="s">
        <v>3708</v>
      </c>
      <c r="C2397" s="4" t="s">
        <v>656</v>
      </c>
      <c r="D2397" s="4" t="s">
        <v>3711</v>
      </c>
      <c r="E2397" s="4">
        <v>1.0</v>
      </c>
      <c r="F2397" s="4" t="str">
        <f>IFERROR(__xludf.DUMMYFUNCTION("GOOGLETRANSLATE(D2397)"),"埃努古警方解救 4 名被綁架婦女 |尼日利亞論壇報 http://t.co/xYyEV89WIz")</f>
        <v>埃努古警方解救 4 名被綁架婦女 |尼日利亞論壇報 http://t.co/xYyEV89WIz</v>
      </c>
      <c r="G2397" s="4" t="str">
        <f>IFERROR(__xludf.DUMMYFUNCTION("GOOGLETRANSLATE(B2397)"),"獲救")</f>
        <v>獲救</v>
      </c>
    </row>
    <row r="2398" ht="15.75" customHeight="1">
      <c r="A2398" s="4">
        <v>8097.0</v>
      </c>
      <c r="B2398" s="4" t="s">
        <v>3708</v>
      </c>
      <c r="C2398" s="4" t="s">
        <v>3712</v>
      </c>
      <c r="D2398" s="4" t="s">
        <v>3713</v>
      </c>
      <c r="E2398" s="4">
        <v>1.0</v>
      </c>
      <c r="F2398" s="4" t="str">
        <f>IFERROR(__xludf.DUMMYFUNCTION("GOOGLETRANSLATE(D2398)"),"獲救的醫療移民抵達西西里島 http://t.co/Z8xIqNgulc")</f>
        <v>獲救的醫療移民抵達西西里島 http://t.co/Z8xIqNgulc</v>
      </c>
      <c r="G2398" s="4" t="str">
        <f>IFERROR(__xludf.DUMMYFUNCTION("GOOGLETRANSLATE(B2398)"),"獲救")</f>
        <v>獲救</v>
      </c>
    </row>
    <row r="2399" ht="15.75" customHeight="1">
      <c r="A2399" s="4">
        <v>8103.0</v>
      </c>
      <c r="B2399" s="4" t="s">
        <v>3708</v>
      </c>
      <c r="C2399" s="4" t="s">
        <v>126</v>
      </c>
      <c r="D2399" s="4" t="s">
        <v>3714</v>
      </c>
      <c r="E2399" s="4">
        <v>1.0</v>
      </c>
      <c r="F2399" s="4" t="str">
        <f>IFERROR(__xludf.DUMMYFUNCTION("GOOGLETRANSLATE(D2399)"),"10 個月大的女嬰漂浮半英里出海後被海岸警衛隊救起！ #socialnews http://t.co/kJUzJC6iGD")</f>
        <v>10 個月大的女嬰漂浮半英里出海後被海岸警衛隊救起！ #socialnews http://t.co/kJUzJC6iGD</v>
      </c>
      <c r="G2399" s="4" t="str">
        <f>IFERROR(__xludf.DUMMYFUNCTION("GOOGLETRANSLATE(B2399)"),"獲救")</f>
        <v>獲救</v>
      </c>
    </row>
    <row r="2400" ht="15.75" customHeight="1">
      <c r="A2400" s="4">
        <v>8106.0</v>
      </c>
      <c r="B2400" s="4" t="s">
        <v>3708</v>
      </c>
      <c r="C2400" s="4" t="s">
        <v>38</v>
      </c>
      <c r="D2400" s="4" t="s">
        <v>3715</v>
      </c>
      <c r="E2400" s="4">
        <v>1.0</v>
      </c>
      <c r="F2400" s="4" t="str">
        <f>IFERROR(__xludf.DUMMYFUNCTION("GOOGLETRANSLATE(D2400)"),"獲救的醫療移民抵達西西里島 http://t.co/nekm1RPohU")</f>
        <v>獲救的醫療移民抵達西西里島 http://t.co/nekm1RPohU</v>
      </c>
      <c r="G2400" s="4" t="str">
        <f>IFERROR(__xludf.DUMMYFUNCTION("GOOGLETRANSLATE(B2400)"),"獲救")</f>
        <v>獲救</v>
      </c>
    </row>
    <row r="2401" ht="15.75" customHeight="1">
      <c r="A2401" s="4">
        <v>8110.0</v>
      </c>
      <c r="B2401" s="4" t="s">
        <v>3708</v>
      </c>
      <c r="C2401" s="4" t="s">
        <v>3716</v>
      </c>
      <c r="D2401" s="4" t="s">
        <v>3717</v>
      </c>
      <c r="E2401" s="4">
        <v>1.0</v>
      </c>
      <c r="F2401" s="4" t="str">
        <f>IFERROR(__xludf.DUMMYFUNCTION("GOOGLETRANSLATE(D2401)"),"18 頭牛獲救 3 名走私者被捕 http://t.co/E7fn5G5rUu")</f>
        <v>18 頭牛獲救 3 名走私者被捕 http://t.co/E7fn5G5rUu</v>
      </c>
      <c r="G2401" s="4" t="str">
        <f>IFERROR(__xludf.DUMMYFUNCTION("GOOGLETRANSLATE(B2401)"),"獲救")</f>
        <v>獲救</v>
      </c>
    </row>
    <row r="2402" ht="15.75" customHeight="1">
      <c r="A2402" s="4">
        <v>8113.0</v>
      </c>
      <c r="B2402" s="4" t="s">
        <v>3708</v>
      </c>
      <c r="D2402" s="4" t="s">
        <v>3718</v>
      </c>
      <c r="E2402" s="4">
        <v>1.0</v>
      </c>
      <c r="F2402" s="4" t="str">
        <f>IFERROR(__xludf.DUMMYFUNCTION("GOOGLETRANSLATE(D2402)"),"#news 英國人在喜馬拉雅山洪水中獲救 http://t.co/kEPznhXHXd")</f>
        <v>#news 英國人在喜馬拉雅山洪水中獲救 http://t.co/kEPznhXHXd</v>
      </c>
      <c r="G2402" s="4" t="str">
        <f>IFERROR(__xludf.DUMMYFUNCTION("GOOGLETRANSLATE(B2402)"),"獲救")</f>
        <v>獲救</v>
      </c>
    </row>
    <row r="2403" ht="15.75" customHeight="1">
      <c r="A2403" s="4">
        <v>8119.0</v>
      </c>
      <c r="B2403" s="4" t="s">
        <v>3708</v>
      </c>
      <c r="D2403" s="4" t="s">
        <v>3719</v>
      </c>
      <c r="E2403" s="4">
        <v>1.0</v>
      </c>
      <c r="F2403" s="4" t="str">
        <f>IFERROR(__xludf.DUMMYFUNCTION("GOOGLETRANSLATE(D2403)"),"@BrittanyPetko 今晚的突發新聞 孩子們在父母性生活一周後沒有食物或水從遊戲室被救出來哈哈")</f>
        <v>@BrittanyPetko 今晚的突發新聞 孩子們在父母性生活一周後沒有食物或水從遊戲室被救出來哈哈</v>
      </c>
      <c r="G2403" s="4" t="str">
        <f>IFERROR(__xludf.DUMMYFUNCTION("GOOGLETRANSLATE(B2403)"),"獲救")</f>
        <v>獲救</v>
      </c>
    </row>
    <row r="2404" ht="15.75" customHeight="1">
      <c r="A2404" s="4">
        <v>8122.0</v>
      </c>
      <c r="B2404" s="4" t="s">
        <v>3708</v>
      </c>
      <c r="C2404" s="4" t="s">
        <v>3720</v>
      </c>
      <c r="D2404" s="4" t="s">
        <v>3721</v>
      </c>
      <c r="E2404" s="4">
        <v>1.0</v>
      </c>
      <c r="F2404" s="4" t="str">
        <f>IFERROR(__xludf.DUMMYFUNCTION("GOOGLETRANSLATE(D2404)"),"http://t.co/QGyN2u1UP3 獲救的醫療移民抵達西西里島：數百名移民獲救Û_ http://t.co/wiS3H9Tqrm")</f>
        <v>http://t.co/QGyN2u1UP3 獲救的醫療移民抵達西西里島：數百名移民獲救Û_ http://t.co/wiS3H9Tqrm</v>
      </c>
      <c r="G2404" s="4" t="str">
        <f>IFERROR(__xludf.DUMMYFUNCTION("GOOGLETRANSLATE(B2404)"),"獲救")</f>
        <v>獲救</v>
      </c>
    </row>
    <row r="2405" ht="15.75" customHeight="1">
      <c r="A2405" s="4">
        <v>8125.0</v>
      </c>
      <c r="B2405" s="4" t="s">
        <v>3708</v>
      </c>
      <c r="C2405" s="4" t="s">
        <v>3722</v>
      </c>
      <c r="D2405" s="4" t="s">
        <v>3723</v>
      </c>
      <c r="E2405" s="4">
        <v>1.0</v>
      </c>
      <c r="F2405" s="4" t="str">
        <f>IFERROR(__xludf.DUMMYFUNCTION("GOOGLETRANSLATE(D2405)"),"為什麼他們獲救後沒有被帶回非洲？ #c4新聞")</f>
        <v>為什麼他們獲救後沒有被帶回非洲？ #c4新聞</v>
      </c>
      <c r="G2405" s="4" t="str">
        <f>IFERROR(__xludf.DUMMYFUNCTION("GOOGLETRANSLATE(B2405)"),"獲救")</f>
        <v>獲救</v>
      </c>
    </row>
    <row r="2406" ht="15.75" customHeight="1">
      <c r="A2406" s="4">
        <v>8126.0</v>
      </c>
      <c r="B2406" s="4" t="s">
        <v>3708</v>
      </c>
      <c r="C2406" s="4" t="s">
        <v>281</v>
      </c>
      <c r="D2406" s="4" t="s">
        <v>3724</v>
      </c>
      <c r="E2406" s="4">
        <v>1.0</v>
      </c>
      <c r="F2406" s="4" t="str">
        <f>IFERROR(__xludf.DUMMYFUNCTION("GOOGLETRANSLATE(D2406)"),"利比亞海域翻船後移民獲救 http://t.co/pmGgavtokP")</f>
        <v>利比亞海域翻船後移民獲救 http://t.co/pmGgavtokP</v>
      </c>
      <c r="G2406" s="4" t="str">
        <f>IFERROR(__xludf.DUMMYFUNCTION("GOOGLETRANSLATE(B2406)"),"獲救")</f>
        <v>獲救</v>
      </c>
    </row>
    <row r="2407" ht="15.75" customHeight="1">
      <c r="A2407" s="4">
        <v>8128.0</v>
      </c>
      <c r="B2407" s="4" t="s">
        <v>3708</v>
      </c>
      <c r="D2407" s="4" t="s">
        <v>3725</v>
      </c>
      <c r="E2407" s="4">
        <v>1.0</v>
      </c>
      <c r="F2407" s="4" t="str">
        <f>IFERROR(__xludf.DUMMYFUNCTION("GOOGLETRANSLATE(D2407)"),"從利比亞附近傾覆的船隻中獲救的兒童中 http://t.co/Kot9zVD2H7 來自 @IrishTimesWorld")</f>
        <v>從利比亞附近傾覆的船隻中獲救的兒童中 http://t.co/Kot9zVD2H7 來自 @IrishTimesWorld</v>
      </c>
      <c r="G2407" s="4" t="str">
        <f>IFERROR(__xludf.DUMMYFUNCTION("GOOGLETRANSLATE(B2407)"),"獲救")</f>
        <v>獲救</v>
      </c>
    </row>
    <row r="2408" ht="15.75" customHeight="1">
      <c r="A2408" s="4">
        <v>8129.0</v>
      </c>
      <c r="B2408" s="4" t="s">
        <v>3708</v>
      </c>
      <c r="D2408" s="4" t="s">
        <v>3726</v>
      </c>
      <c r="E2408" s="4">
        <v>1.0</v>
      </c>
      <c r="F2408" s="4" t="str">
        <f>IFERROR(__xludf.DUMMYFUNCTION("GOOGLETRANSLATE(D2408)"),"英雄！史賓格犬她的狗爸爸救了一隻擱淺的小海豚：http://t.co/G03DkPooNP http://t.co/Go0HPi0B4c")</f>
        <v>英雄！史賓格犬她的狗爸爸救了一隻擱淺的小海豚：http://t.co/G03DkPooNP http://t.co/Go0HPi0B4c</v>
      </c>
      <c r="G2408" s="4" t="str">
        <f>IFERROR(__xludf.DUMMYFUNCTION("GOOGLETRANSLATE(B2408)"),"獲救")</f>
        <v>獲救</v>
      </c>
    </row>
    <row r="2409" ht="15.75" customHeight="1">
      <c r="A2409" s="4">
        <v>8131.0</v>
      </c>
      <c r="B2409" s="4" t="s">
        <v>3708</v>
      </c>
      <c r="C2409" s="4" t="s">
        <v>542</v>
      </c>
      <c r="D2409" s="4" t="s">
        <v>3727</v>
      </c>
      <c r="E2409" s="4">
        <v>1.0</v>
      </c>
      <c r="F2409" s="4" t="str">
        <f>IFERROR(__xludf.DUMMYFUNCTION("GOOGLETRANSLATE(D2409)"),"三頭擱淺鯨魚在凱裡獲救 - http://t.co/rQbsPUCjDF")</f>
        <v>三頭擱淺鯨魚在凱裡獲救 - http://t.co/rQbsPUCjDF</v>
      </c>
      <c r="G2409" s="4" t="str">
        <f>IFERROR(__xludf.DUMMYFUNCTION("GOOGLETRANSLATE(B2409)"),"獲救")</f>
        <v>獲救</v>
      </c>
    </row>
    <row r="2410" ht="15.75" customHeight="1">
      <c r="A2410" s="4">
        <v>8140.0</v>
      </c>
      <c r="B2410" s="4" t="s">
        <v>3708</v>
      </c>
      <c r="C2410" s="4" t="s">
        <v>2562</v>
      </c>
      <c r="D2410" s="4" t="s">
        <v>3728</v>
      </c>
      <c r="E2410" s="4">
        <v>1.0</v>
      </c>
      <c r="F2410" s="4" t="str">
        <f>IFERROR(__xludf.DUMMYFUNCTION("GOOGLETRANSLATE(D2410)"),"照片：數百名獲救移民在義大利巴勒莫等待從愛爾蘭海軍艦艇登陸 - @tconnellyRÛ_ https://t.co/AIM5CYHL0y")</f>
        <v>照片：數百名獲救移民在義大利巴勒莫等待從愛爾蘭海軍艦艇登陸 - @tconnellyRÛ_ https://t.co/AIM5CYHL0y</v>
      </c>
      <c r="G2410" s="4" t="str">
        <f>IFERROR(__xludf.DUMMYFUNCTION("GOOGLETRANSLATE(B2410)"),"獲救")</f>
        <v>獲救</v>
      </c>
    </row>
    <row r="2411" ht="15.75" customHeight="1">
      <c r="A2411" s="4">
        <v>8141.0</v>
      </c>
      <c r="B2411" s="4" t="s">
        <v>3708</v>
      </c>
      <c r="C2411" s="4" t="s">
        <v>2365</v>
      </c>
      <c r="D2411" s="4" t="s">
        <v>3729</v>
      </c>
      <c r="E2411" s="4">
        <v>1.0</v>
      </c>
      <c r="F2411" s="4" t="str">
        <f>IFERROR(__xludf.DUMMYFUNCTION("GOOGLETRANSLATE(D2411)"),"獲救的醫療移民抵達西西里島 http://t.co/p4dOA5YYJe")</f>
        <v>獲救的醫療移民抵達西西里島 http://t.co/p4dOA5YYJe</v>
      </c>
      <c r="G2411" s="4" t="str">
        <f>IFERROR(__xludf.DUMMYFUNCTION("GOOGLETRANSLATE(B2411)"),"獲救")</f>
        <v>獲救</v>
      </c>
    </row>
    <row r="2412" ht="15.75" customHeight="1">
      <c r="A2412" s="4">
        <v>8142.0</v>
      </c>
      <c r="B2412" s="4" t="s">
        <v>3730</v>
      </c>
      <c r="C2412" s="4" t="s">
        <v>656</v>
      </c>
      <c r="D2412" s="4" t="s">
        <v>3731</v>
      </c>
      <c r="E2412" s="4">
        <v>1.0</v>
      </c>
      <c r="F2412" s="4" t="str">
        <f>IFERROR(__xludf.DUMMYFUNCTION("GOOGLETRANSLATE(D2412)"),"影片：「我們正在從水中打撈屍體」：救援人員正在尋找數百名移民...http://t.co/bS6PjT09Tc #Africa #News")</f>
        <v>影片：「我們正在從水中打撈屍體」：救援人員正在尋找數百名移民...http://t.co/bS6PjT09Tc #Africa #News</v>
      </c>
      <c r="G2412" s="4" t="str">
        <f>IFERROR(__xludf.DUMMYFUNCTION("GOOGLETRANSLATE(B2412)"),"救援人員")</f>
        <v>救援人員</v>
      </c>
    </row>
    <row r="2413" ht="15.75" customHeight="1">
      <c r="A2413" s="4">
        <v>8143.0</v>
      </c>
      <c r="B2413" s="4" t="s">
        <v>3730</v>
      </c>
      <c r="C2413" s="4" t="s">
        <v>3732</v>
      </c>
      <c r="D2413" s="4" t="s">
        <v>3733</v>
      </c>
      <c r="E2413" s="4">
        <v>1.0</v>
      </c>
      <c r="F2413" s="4" t="str">
        <f>IFERROR(__xludf.DUMMYFUNCTION("GOOGLETRANSLATE(D2413)"),"影片：「我們正在從水中打撈屍體」：救援人員正在地中海尋找數百名移民...... http://t.co/s5NuEGSwYj")</f>
        <v>影片：「我們正在從水中打撈屍體」：救援人員正在地中海尋找數百名移民...... http://t.co/s5NuEGSwYj</v>
      </c>
      <c r="G2413" s="4" t="str">
        <f>IFERROR(__xludf.DUMMYFUNCTION("GOOGLETRANSLATE(B2413)"),"救援人員")</f>
        <v>救援人員</v>
      </c>
    </row>
    <row r="2414" ht="15.75" customHeight="1">
      <c r="A2414" s="4">
        <v>8144.0</v>
      </c>
      <c r="B2414" s="4" t="s">
        <v>3730</v>
      </c>
      <c r="C2414" s="4" t="s">
        <v>3734</v>
      </c>
      <c r="D2414" s="4" t="s">
        <v>3735</v>
      </c>
      <c r="E2414" s="4">
        <v>1.0</v>
      </c>
      <c r="F2414" s="4" t="str">
        <f>IFERROR(__xludf.DUMMYFUNCTION("GOOGLETRANSLATE(D2414)"),"影片：「我們正在從水中打撈屍體」：救援人員正在地中海尋找數百名移民...... http://t.co/ciwwUQthin")</f>
        <v>影片：「我們正在從水中打撈屍體」：救援人員正在地中海尋找數百名移民...... http://t.co/ciwwUQthin</v>
      </c>
      <c r="G2414" s="4" t="str">
        <f>IFERROR(__xludf.DUMMYFUNCTION("GOOGLETRANSLATE(B2414)"),"救援人員")</f>
        <v>救援人員</v>
      </c>
    </row>
    <row r="2415" ht="15.75" customHeight="1">
      <c r="A2415" s="4">
        <v>8146.0</v>
      </c>
      <c r="B2415" s="4" t="s">
        <v>3730</v>
      </c>
      <c r="C2415" s="4" t="s">
        <v>3736</v>
      </c>
      <c r="D2415" s="4" t="s">
        <v>3737</v>
      </c>
      <c r="E2415" s="4">
        <v>1.0</v>
      </c>
      <c r="F2415" s="4" t="str">
        <f>IFERROR(__xludf.DUMMYFUNCTION("GOOGLETRANSLATE(D2415)"),"影片：「我們正在從水中打撈屍體」：救援人員正在地中海尋找數百名移民...... http://t.co/GEU4H46CsZ")</f>
        <v>影片：「我們正在從水中打撈屍體」：救援人員正在地中海尋找數百名移民...... http://t.co/GEU4H46CsZ</v>
      </c>
      <c r="G2415" s="4" t="str">
        <f>IFERROR(__xludf.DUMMYFUNCTION("GOOGLETRANSLATE(B2415)"),"救援人員")</f>
        <v>救援人員</v>
      </c>
    </row>
    <row r="2416" ht="15.75" customHeight="1">
      <c r="A2416" s="4">
        <v>8147.0</v>
      </c>
      <c r="B2416" s="4" t="s">
        <v>3730</v>
      </c>
      <c r="C2416" s="4" t="s">
        <v>3738</v>
      </c>
      <c r="D2416" s="4" t="s">
        <v>3739</v>
      </c>
      <c r="E2416" s="4">
        <v>1.0</v>
      </c>
      <c r="F2416" s="4" t="str">
        <f>IFERROR(__xludf.DUMMYFUNCTION("GOOGLETRANSLATE(D2416)"),"影片：「我們正在從水中打撈屍體」 - 救援人員正在地中海尋找數百名移民...... http://t.co/yhQU5UV6Ok")</f>
        <v>影片：「我們正在從水中打撈屍體」 - 救援人員正在地中海尋找數百名移民...... http://t.co/yhQU5UV6Ok</v>
      </c>
      <c r="G2416" s="4" t="str">
        <f>IFERROR(__xludf.DUMMYFUNCTION("GOOGLETRANSLATE(B2416)"),"救援人員")</f>
        <v>救援人員</v>
      </c>
    </row>
    <row r="2417" ht="15.75" customHeight="1">
      <c r="A2417" s="4">
        <v>8149.0</v>
      </c>
      <c r="B2417" s="4" t="s">
        <v>3730</v>
      </c>
      <c r="D2417" s="4" t="s">
        <v>3740</v>
      </c>
      <c r="E2417" s="4">
        <v>1.0</v>
      </c>
      <c r="F2417" s="4" t="str">
        <f>IFERROR(__xludf.DUMMYFUNCTION("GOOGLETRANSLATE(D2417)"),"#world 對地中海失蹤移民的恐懼：救援人員在一艘載有盡可能多的人的船上尋找倖存者... http://t.co/6DS67XAI5e #news")</f>
        <v>#world 對地中海失蹤移民的恐懼：救援人員在一艘載有盡可能多的人的船上尋找倖存者... http://t.co/6DS67XAI5e #news</v>
      </c>
      <c r="G2417" s="4" t="str">
        <f>IFERROR(__xludf.DUMMYFUNCTION("GOOGLETRANSLATE(B2417)"),"救援人員")</f>
        <v>救援人員</v>
      </c>
    </row>
    <row r="2418" ht="15.75" customHeight="1">
      <c r="A2418" s="4">
        <v>8150.0</v>
      </c>
      <c r="B2418" s="4" t="s">
        <v>3730</v>
      </c>
      <c r="C2418" s="4" t="s">
        <v>2093</v>
      </c>
      <c r="D2418" s="4" t="s">
        <v>3741</v>
      </c>
      <c r="E2418" s="4">
        <v>1.0</v>
      </c>
      <c r="F2418" s="4" t="str">
        <f>IFERROR(__xludf.DUMMYFUNCTION("GOOGLETRANSLATE(D2418)"),"@Durban_Knight 救援人員正在地中海尋找一艘船沉沒後的數百名移民... http://t.co/cWCVBuBs01 @Nosy_Be")</f>
        <v>@Durban_Knight 救援人員正在地中海尋找一艘船沉沒後的數百名移民... http://t.co/cWCVBuBs01 @Nosy_Be</v>
      </c>
      <c r="G2418" s="4" t="str">
        <f>IFERROR(__xludf.DUMMYFUNCTION("GOOGLETRANSLATE(B2418)"),"救援人員")</f>
        <v>救援人員</v>
      </c>
    </row>
    <row r="2419" ht="15.75" customHeight="1">
      <c r="A2419" s="4">
        <v>8155.0</v>
      </c>
      <c r="B2419" s="4" t="s">
        <v>3730</v>
      </c>
      <c r="C2419" s="4" t="s">
        <v>656</v>
      </c>
      <c r="D2419" s="4" t="s">
        <v>3742</v>
      </c>
      <c r="E2419" s="4">
        <v>1.0</v>
      </c>
      <c r="F2419" s="4" t="str">
        <f>IFERROR(__xludf.DUMMYFUNCTION("GOOGLETRANSLATE(D2419)"),"#RoddyPiperAutos 對地中海失蹤移民的擔憂：救援人員在一艘載有大量人員的船後尋找倖存者... http://t.co/97B8AVgEWU")</f>
        <v>#RoddyPiperAutos 對地中海失蹤移民的擔憂：救援人員在一艘載有大量人員的船後尋找倖存者... http://t.co/97B8AVgEWU</v>
      </c>
      <c r="G2419" s="4" t="str">
        <f>IFERROR(__xludf.DUMMYFUNCTION("GOOGLETRANSLATE(B2419)"),"救援人員")</f>
        <v>救援人員</v>
      </c>
    </row>
    <row r="2420" ht="15.75" customHeight="1">
      <c r="A2420" s="4">
        <v>8158.0</v>
      </c>
      <c r="B2420" s="4" t="s">
        <v>3730</v>
      </c>
      <c r="D2420" s="4" t="s">
        <v>3743</v>
      </c>
      <c r="E2420" s="4">
        <v>1.0</v>
      </c>
      <c r="F2420" s="4" t="str">
        <f>IFERROR(__xludf.DUMMYFUNCTION("GOOGLETRANSLATE(D2420)"),"影片：「我們正在從水中打撈屍體」：救援人員正在地中海尋找數百名移民。")</f>
        <v>影片：「我們正在從水中打撈屍體」：救援人員正在地中海尋找數百名移民。</v>
      </c>
      <c r="G2420" s="4" t="str">
        <f>IFERROR(__xludf.DUMMYFUNCTION("GOOGLETRANSLATE(B2420)"),"救援人員")</f>
        <v>救援人員</v>
      </c>
    </row>
    <row r="2421" ht="15.75" customHeight="1">
      <c r="A2421" s="4">
        <v>8159.0</v>
      </c>
      <c r="B2421" s="4" t="s">
        <v>3730</v>
      </c>
      <c r="D2421" s="4" t="s">
        <v>3744</v>
      </c>
      <c r="E2421" s="4">
        <v>1.0</v>
      </c>
      <c r="F2421" s="4" t="str">
        <f>IFERROR(__xludf.DUMMYFUNCTION("GOOGLETRANSLATE(D2421)"),"婦女的 GPS 應用程式引導救援人員找到馬林縣受傷的騎車人 http://t.co/UoJy4E2Sv4")</f>
        <v>婦女的 GPS 應用程式引導救援人員找到馬林縣受傷的騎車人 http://t.co/UoJy4E2Sv4</v>
      </c>
      <c r="G2421" s="4" t="str">
        <f>IFERROR(__xludf.DUMMYFUNCTION("GOOGLETRANSLATE(B2421)"),"救援人員")</f>
        <v>救援人員</v>
      </c>
    </row>
    <row r="2422" ht="15.75" customHeight="1">
      <c r="A2422" s="4">
        <v>8161.0</v>
      </c>
      <c r="B2422" s="4" t="s">
        <v>3730</v>
      </c>
      <c r="D2422" s="4" t="s">
        <v>3745</v>
      </c>
      <c r="E2422" s="4">
        <v>1.0</v>
      </c>
      <c r="F2422" s="4" t="str">
        <f>IFERROR(__xludf.DUMMYFUNCTION("GOOGLETRANSLATE(D2422)"),"影片：「我們正在從水中打撈屍體」：救援人員正在地中海尋找數百名移民...... http://t.co/zG1YddywA5")</f>
        <v>影片：「我們正在從水中打撈屍體」：救援人員正在地中海尋找數百名移民...... http://t.co/zG1YddywA5</v>
      </c>
      <c r="G2422" s="4" t="str">
        <f>IFERROR(__xludf.DUMMYFUNCTION("GOOGLETRANSLATE(B2422)"),"救援人員")</f>
        <v>救援人員</v>
      </c>
    </row>
    <row r="2423" ht="15.75" customHeight="1">
      <c r="A2423" s="4">
        <v>8162.0</v>
      </c>
      <c r="B2423" s="4" t="s">
        <v>3730</v>
      </c>
      <c r="C2423" s="4" t="s">
        <v>183</v>
      </c>
      <c r="D2423" s="4" t="s">
        <v>3746</v>
      </c>
      <c r="E2423" s="4">
        <v>1.0</v>
      </c>
      <c r="F2423" s="4" t="str">
        <f>IFERROR(__xludf.DUMMYFUNCTION("GOOGLETRANSLATE(D2423)"),"影片：「我們正在從水中打撈屍體」：救援人員正在地中海尋找數百名移民...... http://t.co/PUezv6bd37")</f>
        <v>影片：「我們正在從水中打撈屍體」：救援人員正在地中海尋找數百名移民...... http://t.co/PUezv6bd37</v>
      </c>
      <c r="G2423" s="4" t="str">
        <f>IFERROR(__xludf.DUMMYFUNCTION("GOOGLETRANSLATE(B2423)"),"救援人員")</f>
        <v>救援人員</v>
      </c>
    </row>
    <row r="2424" ht="15.75" customHeight="1">
      <c r="A2424" s="4">
        <v>8163.0</v>
      </c>
      <c r="B2424" s="4" t="s">
        <v>3730</v>
      </c>
      <c r="D2424" s="4" t="s">
        <v>3743</v>
      </c>
      <c r="E2424" s="4">
        <v>1.0</v>
      </c>
      <c r="F2424" s="4" t="str">
        <f>IFERROR(__xludf.DUMMYFUNCTION("GOOGLETRANSLATE(D2424)"),"影片：「我們正在從水中打撈屍體」：救援人員正在地中海尋找數百名移民。")</f>
        <v>影片：「我們正在從水中打撈屍體」：救援人員正在地中海尋找數百名移民。</v>
      </c>
      <c r="G2424" s="4" t="str">
        <f>IFERROR(__xludf.DUMMYFUNCTION("GOOGLETRANSLATE(B2424)"),"救援人員")</f>
        <v>救援人員</v>
      </c>
    </row>
    <row r="2425" ht="15.75" customHeight="1">
      <c r="A2425" s="4">
        <v>8164.0</v>
      </c>
      <c r="B2425" s="4" t="s">
        <v>3730</v>
      </c>
      <c r="D2425" s="4" t="s">
        <v>3747</v>
      </c>
      <c r="E2425" s="4">
        <v>1.0</v>
      </c>
      <c r="F2425" s="4" t="str">
        <f>IFERROR(__xludf.DUMMYFUNCTION("GOOGLETRANSLATE(D2425)"),"影片：「我們正在從水中打撈屍體」：救援人員正在... http://t.co/awtScUCBBV #Africa #News 尋找數百名移民")</f>
        <v>影片：「我們正在從水中打撈屍體」：救援人員正在... http://t.co/awtScUCBBV #Africa #News 尋找數百名移民</v>
      </c>
      <c r="G2425" s="4" t="str">
        <f>IFERROR(__xludf.DUMMYFUNCTION("GOOGLETRANSLATE(B2425)"),"救援人員")</f>
        <v>救援人員</v>
      </c>
    </row>
    <row r="2426" ht="15.75" customHeight="1">
      <c r="A2426" s="4">
        <v>8168.0</v>
      </c>
      <c r="B2426" s="4" t="s">
        <v>3730</v>
      </c>
      <c r="D2426" s="4" t="s">
        <v>3743</v>
      </c>
      <c r="E2426" s="4">
        <v>1.0</v>
      </c>
      <c r="F2426" s="4" t="str">
        <f>IFERROR(__xludf.DUMMYFUNCTION("GOOGLETRANSLATE(D2426)"),"影片：「我們正在從水中打撈屍體」：救援人員正在地中海尋找數百名移民。")</f>
        <v>影片：「我們正在從水中打撈屍體」：救援人員正在地中海尋找數百名移民。</v>
      </c>
      <c r="G2426" s="4" t="str">
        <f>IFERROR(__xludf.DUMMYFUNCTION("GOOGLETRANSLATE(B2426)"),"救援人員")</f>
        <v>救援人員</v>
      </c>
    </row>
    <row r="2427" ht="15.75" customHeight="1">
      <c r="A2427" s="4">
        <v>8169.0</v>
      </c>
      <c r="B2427" s="4" t="s">
        <v>3730</v>
      </c>
      <c r="D2427" s="4" t="s">
        <v>3748</v>
      </c>
      <c r="E2427" s="4">
        <v>1.0</v>
      </c>
      <c r="F2427" s="4" t="str">
        <f>IFERROR(__xludf.DUMMYFUNCTION("GOOGLETRANSLATE(D2427)"),"＃世界新聞
 影片：「我們正在從水中打撈屍體」 - BBC 新聞 - 主頁：
救援人員正在尋找數百名.. http://t.co/6hhmBdK9Yo")</f>
        <v>＃世界新聞
 影片：「我們正在從水中打撈屍體」 - BBC 新聞 - 主頁：
救援人員正在尋找數百名.. http://t.co/6hhmBdK9Yo</v>
      </c>
      <c r="G2427" s="4" t="str">
        <f>IFERROR(__xludf.DUMMYFUNCTION("GOOGLETRANSLATE(B2427)"),"救援人員")</f>
        <v>救援人員</v>
      </c>
    </row>
    <row r="2428" ht="15.75" customHeight="1">
      <c r="A2428" s="4">
        <v>8170.0</v>
      </c>
      <c r="B2428" s="4" t="s">
        <v>3730</v>
      </c>
      <c r="C2428" s="4" t="s">
        <v>3749</v>
      </c>
      <c r="D2428" s="4" t="s">
        <v>3750</v>
      </c>
      <c r="E2428" s="4">
        <v>1.0</v>
      </c>
      <c r="F2428" s="4" t="str">
        <f>IFERROR(__xludf.DUMMYFUNCTION("GOOGLETRANSLATE(D2428)"),"影片：「我們正在從水中打撈屍體」：救援人員正在地中海尋找數百名移民...http://t.co/ZFWMjh6SLh")</f>
        <v>影片：「我們正在從水中打撈屍體」：救援人員正在地中海尋找數百名移民...http://t.co/ZFWMjh6SLh</v>
      </c>
      <c r="G2428" s="4" t="str">
        <f>IFERROR(__xludf.DUMMYFUNCTION("GOOGLETRANSLATE(B2428)"),"救援人員")</f>
        <v>救援人員</v>
      </c>
    </row>
    <row r="2429" ht="15.75" customHeight="1">
      <c r="A2429" s="4">
        <v>8171.0</v>
      </c>
      <c r="B2429" s="4" t="s">
        <v>3730</v>
      </c>
      <c r="D2429" s="4" t="s">
        <v>3751</v>
      </c>
      <c r="E2429" s="4">
        <v>1.0</v>
      </c>
      <c r="F2429" s="4" t="str">
        <f>IFERROR(__xludf.DUMMYFUNCTION("GOOGLETRANSLATE(D2429)"),"http://t.co/XlFi7ovhFJ 影片：「我們正在從水中打撈屍體」：救援人員正在尋找數百具屍體 http://t.co/rAq4ZpdvKe")</f>
        <v>http://t.co/XlFi7ovhFJ 影片：「我們正在從水中打撈屍體」：救援人員正在尋找數百具屍體 http://t.co/rAq4ZpdvKe</v>
      </c>
      <c r="G2429" s="4" t="str">
        <f>IFERROR(__xludf.DUMMYFUNCTION("GOOGLETRANSLATE(B2429)"),"救援人員")</f>
        <v>救援人員</v>
      </c>
    </row>
    <row r="2430" ht="15.75" customHeight="1">
      <c r="A2430" s="4">
        <v>8172.0</v>
      </c>
      <c r="B2430" s="4" t="s">
        <v>3730</v>
      </c>
      <c r="C2430" s="4" t="s">
        <v>3752</v>
      </c>
      <c r="D2430" s="4" t="s">
        <v>3753</v>
      </c>
      <c r="E2430" s="4">
        <v>1.0</v>
      </c>
      <c r="F2430" s="4" t="str">
        <f>IFERROR(__xludf.DUMMYFUNCTION("GOOGLETRANSLATE(D2430)"),"動物救援者的神奇故事！一隻飢餓、無家可歸、沒有未來的狗被一個人救了... http://t.co/ficd5qbqwl")</f>
        <v>動物救援者的神奇故事！一隻飢餓、無家可歸、沒有未來的狗被一個人救了... http://t.co/ficd5qbqwl</v>
      </c>
      <c r="G2430" s="4" t="str">
        <f>IFERROR(__xludf.DUMMYFUNCTION("GOOGLETRANSLATE(B2430)"),"救援人員")</f>
        <v>救援人員</v>
      </c>
    </row>
    <row r="2431" ht="15.75" customHeight="1">
      <c r="A2431" s="4">
        <v>8175.0</v>
      </c>
      <c r="B2431" s="4" t="s">
        <v>3730</v>
      </c>
      <c r="D2431" s="4" t="s">
        <v>3754</v>
      </c>
      <c r="E2431" s="4">
        <v>1.0</v>
      </c>
      <c r="F2431" s="4" t="str">
        <f>IFERROR(__xludf.DUMMYFUNCTION("GOOGLETRANSLATE(D2431)"),"一艘載有多達 600 人的船隻在希臘海岸傾覆，救援人員正在地中海搜尋數百名移民。")</f>
        <v>一艘載有多達 600 人的船隻在希臘海岸傾覆，救援人員正在地中海搜尋數百名移民。</v>
      </c>
      <c r="G2431" s="4" t="str">
        <f>IFERROR(__xludf.DUMMYFUNCTION("GOOGLETRANSLATE(B2431)"),"救援人員")</f>
        <v>救援人員</v>
      </c>
    </row>
    <row r="2432" ht="15.75" customHeight="1">
      <c r="A2432" s="4">
        <v>8176.0</v>
      </c>
      <c r="B2432" s="4" t="s">
        <v>3730</v>
      </c>
      <c r="C2432" s="4" t="s">
        <v>2191</v>
      </c>
      <c r="D2432" s="4" t="s">
        <v>3755</v>
      </c>
      <c r="E2432" s="4">
        <v>1.0</v>
      </c>
      <c r="F2432" s="4" t="str">
        <f>IFERROR(__xludf.DUMMYFUNCTION("GOOGLETRANSLATE(D2432)"),"#News：海難中「許多人死亡」：救援人員正在努力拯救數百名移民...http://t.co/tX51oYbrN6 來自 @TheNewsHype")</f>
        <v>#News：海難中「許多人死亡」：救援人員正在努力拯救數百名移民...http://t.co/tX51oYbrN6 來自 @TheNewsHype</v>
      </c>
      <c r="G2432" s="4" t="str">
        <f>IFERROR(__xludf.DUMMYFUNCTION("GOOGLETRANSLATE(B2432)"),"救援人員")</f>
        <v>救援人員</v>
      </c>
    </row>
    <row r="2433" ht="15.75" customHeight="1">
      <c r="A2433" s="4">
        <v>8177.0</v>
      </c>
      <c r="B2433" s="4" t="s">
        <v>3730</v>
      </c>
      <c r="C2433" s="4" t="s">
        <v>3756</v>
      </c>
      <c r="D2433" s="4" t="s">
        <v>3757</v>
      </c>
      <c r="E2433" s="4">
        <v>1.0</v>
      </c>
      <c r="F2433" s="4" t="str">
        <f>IFERROR(__xludf.DUMMYFUNCTION("GOOGLETRANSLATE(D2433)"),"影片：「我們正在從水中打撈屍體」：救援人員正在地中海尋找數百名移民...... http://t.co/PsPm3ahGKQ")</f>
        <v>影片：「我們正在從水中打撈屍體」：救援人員正在地中海尋找數百名移民...... http://t.co/PsPm3ahGKQ</v>
      </c>
      <c r="G2433" s="4" t="str">
        <f>IFERROR(__xludf.DUMMYFUNCTION("GOOGLETRANSLATE(B2433)"),"救援人員")</f>
        <v>救援人員</v>
      </c>
    </row>
    <row r="2434" ht="15.75" customHeight="1">
      <c r="A2434" s="4">
        <v>8180.0</v>
      </c>
      <c r="B2434" s="4" t="s">
        <v>3730</v>
      </c>
      <c r="C2434" s="4" t="s">
        <v>2881</v>
      </c>
      <c r="D2434" s="4" t="s">
        <v>3758</v>
      </c>
      <c r="E2434" s="4">
        <v>1.0</v>
      </c>
      <c r="F2434" s="4" t="str">
        <f>IFERROR(__xludf.DUMMYFUNCTION("GOOGLETRANSLATE(D2434)"),"影片：「我們正在從水中打撈屍體」：救援人員正在地中海尋找數百名移民...... http://t.co/yvO6q6W442")</f>
        <v>影片：「我們正在從水中打撈屍體」：救援人員正在地中海尋找數百名移民...... http://t.co/yvO6q6W442</v>
      </c>
      <c r="G2434" s="4" t="str">
        <f>IFERROR(__xludf.DUMMYFUNCTION("GOOGLETRANSLATE(B2434)"),"救援人員")</f>
        <v>救援人員</v>
      </c>
    </row>
    <row r="2435" ht="15.75" customHeight="1">
      <c r="A2435" s="4">
        <v>8181.0</v>
      </c>
      <c r="B2435" s="4" t="s">
        <v>3730</v>
      </c>
      <c r="C2435" s="4" t="s">
        <v>3759</v>
      </c>
      <c r="D2435" s="4" t="s">
        <v>3760</v>
      </c>
      <c r="E2435" s="4">
        <v>1.0</v>
      </c>
      <c r="F2435" s="4" t="str">
        <f>IFERROR(__xludf.DUMMYFUNCTION("GOOGLETRANSLATE(D2435)"),"當救援人員找到他時，他已經奄奄一息。但他們不知道他對此過敏！ http://t.co/VecmsiUUh1")</f>
        <v>當救援人員找到他時，他已經奄奄一息。但他們不知道他對此過敏！ http://t.co/VecmsiUUh1</v>
      </c>
      <c r="G2435" s="4" t="str">
        <f>IFERROR(__xludf.DUMMYFUNCTION("GOOGLETRANSLATE(B2435)"),"救援人員")</f>
        <v>救援人員</v>
      </c>
    </row>
    <row r="2436" ht="15.75" customHeight="1">
      <c r="A2436" s="4">
        <v>8182.0</v>
      </c>
      <c r="B2436" s="4" t="s">
        <v>3730</v>
      </c>
      <c r="D2436" s="4" t="s">
        <v>3761</v>
      </c>
      <c r="E2436" s="4">
        <v>1.0</v>
      </c>
      <c r="F2436" s="4" t="str">
        <f>IFERROR(__xludf.DUMMYFUNCTION("GOOGLETRANSLATE(D2436)"),"對地中海失踪移民的擔憂：救援人員在一艘載有多達 600 名移民的船上尋找倖存者...... http://t.co/gx9sKUAu9J")</f>
        <v>對地中海失踪移民的擔憂：救援人員在一艘載有多達 600 名移民的船上尋找倖存者...... http://t.co/gx9sKUAu9J</v>
      </c>
      <c r="G2436" s="4" t="str">
        <f>IFERROR(__xludf.DUMMYFUNCTION("GOOGLETRANSLATE(B2436)"),"救援人員")</f>
        <v>救援人員</v>
      </c>
    </row>
    <row r="2437" ht="15.75" customHeight="1">
      <c r="A2437" s="4">
        <v>8183.0</v>
      </c>
      <c r="B2437" s="4" t="s">
        <v>3730</v>
      </c>
      <c r="D2437" s="4" t="s">
        <v>3743</v>
      </c>
      <c r="E2437" s="4">
        <v>1.0</v>
      </c>
      <c r="F2437" s="4" t="str">
        <f>IFERROR(__xludf.DUMMYFUNCTION("GOOGLETRANSLATE(D2437)"),"影片：「我們正在從水中打撈屍體」：救援人員正在地中海尋找數百名移民。")</f>
        <v>影片：「我們正在從水中打撈屍體」：救援人員正在地中海尋找數百名移民。</v>
      </c>
      <c r="G2437" s="4" t="str">
        <f>IFERROR(__xludf.DUMMYFUNCTION("GOOGLETRANSLATE(B2437)"),"救援人員")</f>
        <v>救援人員</v>
      </c>
    </row>
    <row r="2438" ht="15.75" customHeight="1">
      <c r="A2438" s="4">
        <v>8184.0</v>
      </c>
      <c r="B2438" s="4" t="s">
        <v>3730</v>
      </c>
      <c r="D2438" s="4" t="s">
        <v>3762</v>
      </c>
      <c r="E2438" s="4">
        <v>1.0</v>
      </c>
      <c r="F2438" s="4" t="str">
        <f>IFERROR(__xludf.DUMMYFUNCTION("GOOGLETRANSLATE(D2438)"),"婦女的 GPS 應用程式引導救援人員找到馬林縣受傷的騎車人 - SFGate http://t.co/Iz9U8BhfAA")</f>
        <v>婦女的 GPS 應用程式引導救援人員找到馬林縣受傷的騎車人 - SFGate http://t.co/Iz9U8BhfAA</v>
      </c>
      <c r="G2438" s="4" t="str">
        <f>IFERROR(__xludf.DUMMYFUNCTION("GOOGLETRANSLATE(B2438)"),"救援人員")</f>
        <v>救援人員</v>
      </c>
    </row>
    <row r="2439" ht="15.75" customHeight="1">
      <c r="A2439" s="4">
        <v>8187.0</v>
      </c>
      <c r="B2439" s="4" t="s">
        <v>3730</v>
      </c>
      <c r="D2439" s="4" t="s">
        <v>3763</v>
      </c>
      <c r="E2439" s="4">
        <v>1.0</v>
      </c>
      <c r="F2439" s="4" t="str">
        <f>IFERROR(__xludf.DUMMYFUNCTION("GOOGLETRANSLATE(D2439)"),"對地中海失蹤移民的擔憂：救援人員在一艘載有多達 600 名移民的船後尋找倖存者Û_ http://t.co/v9ftYB30EI")</f>
        <v>對地中海失蹤移民的擔憂：救援人員在一艘載有多達 600 名移民的船後尋找倖存者Û_ http://t.co/v9ftYB30EI</v>
      </c>
      <c r="G2439" s="4" t="str">
        <f>IFERROR(__xludf.DUMMYFUNCTION("GOOGLETRANSLATE(B2439)"),"救援人員")</f>
        <v>救援人員</v>
      </c>
    </row>
    <row r="2440" ht="15.75" customHeight="1">
      <c r="A2440" s="4">
        <v>8188.0</v>
      </c>
      <c r="B2440" s="4" t="s">
        <v>3730</v>
      </c>
      <c r="D2440" s="4" t="s">
        <v>3764</v>
      </c>
      <c r="E2440" s="4">
        <v>1.0</v>
      </c>
      <c r="F2440" s="4" t="str">
        <f>IFERROR(__xludf.DUMMYFUNCTION("GOOGLETRANSLATE(D2440)"),"救援人員發現尼泊爾地震倖存者被埋... http://t.co/I8SJ1KWs1D")</f>
        <v>救援人員發現尼泊爾地震倖存者被埋... http://t.co/I8SJ1KWs1D</v>
      </c>
      <c r="G2440" s="4" t="str">
        <f>IFERROR(__xludf.DUMMYFUNCTION("GOOGLETRANSLATE(B2440)"),"救援人員")</f>
        <v>救援人員</v>
      </c>
    </row>
    <row r="2441" ht="15.75" customHeight="1">
      <c r="A2441" s="4">
        <v>8189.0</v>
      </c>
      <c r="B2441" s="4" t="s">
        <v>3730</v>
      </c>
      <c r="C2441" s="4" t="s">
        <v>3765</v>
      </c>
      <c r="D2441" s="4" t="s">
        <v>3766</v>
      </c>
      <c r="E2441" s="4">
        <v>1.0</v>
      </c>
      <c r="F2441" s="4" t="str">
        <f>IFERROR(__xludf.DUMMYFUNCTION("GOOGLETRANSLATE(D2441)"),"救援人員從瓦肯附近的湖中打撈出 37 歲卡加利男子的屍體
             Û_ http://t.co/gAEhr9bHEk")</f>
        <v>救援人員從瓦肯附近的湖中打撈出 37 歲卡加利男子的屍體
             Û_ http://t.co/gAEhr9bHEk</v>
      </c>
      <c r="G2441" s="4" t="str">
        <f>IFERROR(__xludf.DUMMYFUNCTION("GOOGLETRANSLATE(B2441)"),"救援人員")</f>
        <v>救援人員</v>
      </c>
    </row>
    <row r="2442" ht="15.75" customHeight="1">
      <c r="A2442" s="4">
        <v>8190.0</v>
      </c>
      <c r="B2442" s="4" t="s">
        <v>3730</v>
      </c>
      <c r="D2442" s="4" t="s">
        <v>3767</v>
      </c>
      <c r="E2442" s="4">
        <v>1.0</v>
      </c>
      <c r="F2442" s="4" t="str">
        <f>IFERROR(__xludf.DUMMYFUNCTION("GOOGLETRANSLATE(D2442)"),"對地中海失蹤移民的擔憂：救援人員在一艘載有多達 600 名移民的船後尋找倖存者Û_ http://t.co/IXfnE5Jlep")</f>
        <v>對地中海失蹤移民的擔憂：救援人員在一艘載有多達 600 名移民的船後尋找倖存者Û_ http://t.co/IXfnE5Jlep</v>
      </c>
      <c r="G2442" s="4" t="str">
        <f>IFERROR(__xludf.DUMMYFUNCTION("GOOGLETRANSLATE(B2442)"),"救援人員")</f>
        <v>救援人員</v>
      </c>
    </row>
    <row r="2443" ht="15.75" customHeight="1">
      <c r="A2443" s="4">
        <v>8191.0</v>
      </c>
      <c r="B2443" s="4" t="s">
        <v>3730</v>
      </c>
      <c r="C2443" s="4" t="s">
        <v>3768</v>
      </c>
      <c r="D2443" s="4" t="s">
        <v>3769</v>
      </c>
      <c r="E2443" s="4">
        <v>1.0</v>
      </c>
      <c r="F2443" s="4" t="str">
        <f>IFERROR(__xludf.DUMMYFUNCTION("GOOGLETRANSLATE(D2443)"),"影片：「我們正在從水中打撈屍體」：救援人員正在尋找數百名移民...http://t.co/UymxocFs33 #BBC #News")</f>
        <v>影片：「我們正在從水中打撈屍體」：救援人員正在尋找數百名移民...http://t.co/UymxocFs33 #BBC #News</v>
      </c>
      <c r="G2443" s="4" t="str">
        <f>IFERROR(__xludf.DUMMYFUNCTION("GOOGLETRANSLATE(B2443)"),"救援人員")</f>
        <v>救援人員</v>
      </c>
    </row>
    <row r="2444" ht="15.75" customHeight="1">
      <c r="A2444" s="4">
        <v>8201.0</v>
      </c>
      <c r="B2444" s="4" t="s">
        <v>3770</v>
      </c>
      <c r="C2444" s="4" t="s">
        <v>3771</v>
      </c>
      <c r="D2444" s="4" t="s">
        <v>3772</v>
      </c>
      <c r="E2444" s="4">
        <v>1.0</v>
      </c>
      <c r="F2444" s="4" t="str">
        <f>IFERROR(__xludf.DUMMYFUNCTION("GOOGLETRANSLATE(D2444)"),"@PipRhys 我預測會發生騷亂。")</f>
        <v>@PipRhys 我預測會發生騷亂。</v>
      </c>
      <c r="G2444" s="4" t="str">
        <f>IFERROR(__xludf.DUMMYFUNCTION("GOOGLETRANSLATE(B2444)"),"暴動")</f>
        <v>暴動</v>
      </c>
    </row>
    <row r="2445" ht="15.75" customHeight="1">
      <c r="A2445" s="4">
        <v>8211.0</v>
      </c>
      <c r="B2445" s="4" t="s">
        <v>3770</v>
      </c>
      <c r="D2445" s="4" t="s">
        <v>3773</v>
      </c>
      <c r="E2445" s="4">
        <v>1.0</v>
      </c>
      <c r="F2445" s="4" t="str">
        <f>IFERROR(__xludf.DUMMYFUNCTION("GOOGLETRANSLATE(D2445)"),"@Live_Workshop 在展位或防暴 Kappa 自拍")</f>
        <v>@Live_Workshop 在展位或防暴 Kappa 自拍</v>
      </c>
      <c r="G2445" s="4" t="str">
        <f>IFERROR(__xludf.DUMMYFUNCTION("GOOGLETRANSLATE(B2445)"),"暴動")</f>
        <v>暴動</v>
      </c>
    </row>
    <row r="2446" ht="15.75" customHeight="1">
      <c r="A2446" s="4">
        <v>8218.0</v>
      </c>
      <c r="B2446" s="4" t="s">
        <v>3770</v>
      </c>
      <c r="D2446" s="4" t="s">
        <v>3774</v>
      </c>
      <c r="E2446" s="4">
        <v>1.0</v>
      </c>
      <c r="F2446" s="4" t="str">
        <f>IFERROR(__xludf.DUMMYFUNCTION("GOOGLETRANSLATE(D2446)"),"致全世界所有熱愛肉類的女權主義者 Riot Grill 已抵達 http://t.co/TiOst8oKvX")</f>
        <v>致全世界所有熱愛肉類的女權主義者 Riot Grill 已抵達 http://t.co/TiOst8oKvX</v>
      </c>
      <c r="G2446" s="4" t="str">
        <f>IFERROR(__xludf.DUMMYFUNCTION("GOOGLETRANSLATE(B2446)"),"暴動")</f>
        <v>暴動</v>
      </c>
    </row>
    <row r="2447" ht="15.75" customHeight="1">
      <c r="A2447" s="4">
        <v>8234.0</v>
      </c>
      <c r="B2447" s="4" t="s">
        <v>3770</v>
      </c>
      <c r="C2447" s="4" t="s">
        <v>3775</v>
      </c>
      <c r="D2447" s="4" t="s">
        <v>3776</v>
      </c>
      <c r="E2447" s="4">
        <v>1.0</v>
      </c>
      <c r="F2447" s="4" t="str">
        <f>IFERROR(__xludf.DUMMYFUNCTION("GOOGLETRANSLATE(D2447)"),"@DavidJordan88 @Stephanenny 除了我們不知道是誰引發了騷亂，也不知道將功勞歸功於任何特定個人是否有意義...")</f>
        <v>@DavidJordan88 @Stephanenny 除了我們不知道是誰引發了騷亂，也不知道將功勞歸功於任何特定個人是否有意義...</v>
      </c>
      <c r="G2447" s="4" t="str">
        <f>IFERROR(__xludf.DUMMYFUNCTION("GOOGLETRANSLATE(B2447)"),"暴動")</f>
        <v>暴動</v>
      </c>
    </row>
    <row r="2448" ht="15.75" customHeight="1">
      <c r="A2448" s="4">
        <v>8237.0</v>
      </c>
      <c r="B2448" s="4" t="s">
        <v>3770</v>
      </c>
      <c r="C2448" s="4" t="s">
        <v>3777</v>
      </c>
      <c r="D2448" s="4" t="s">
        <v>3778</v>
      </c>
      <c r="E2448" s="4">
        <v>1.0</v>
      </c>
      <c r="F2448" s="4" t="str">
        <f>IFERROR(__xludf.DUMMYFUNCTION("GOOGLETRANSLATE(D2448)"),"Sweetpea 在分配地裡騷動 - 並照亮了雨天 http://t.co/6NdBFOPK5m")</f>
        <v>Sweetpea 在分配地裡騷動 - 並照亮了雨天 http://t.co/6NdBFOPK5m</v>
      </c>
      <c r="G2448" s="4" t="str">
        <f>IFERROR(__xludf.DUMMYFUNCTION("GOOGLETRANSLATE(B2448)"),"暴動")</f>
        <v>暴動</v>
      </c>
    </row>
    <row r="2449" ht="15.75" customHeight="1">
      <c r="A2449" s="4">
        <v>8239.0</v>
      </c>
      <c r="B2449" s="4" t="s">
        <v>3770</v>
      </c>
      <c r="C2449" s="4" t="s">
        <v>3779</v>
      </c>
      <c r="D2449" s="4" t="s">
        <v>3780</v>
      </c>
      <c r="E2449" s="4">
        <v>1.0</v>
      </c>
      <c r="F2449" s="4" t="str">
        <f>IFERROR(__xludf.DUMMYFUNCTION("GOOGLETRANSLATE(D2449)"),"南安普敦隊和維特斯阿納姆隊的支持者發生衝突後，防暴警察進行了乾預：球迷在爭奪第二名時發生衝突... http://t.co/sKVNmtZGeG")</f>
        <v>南安普敦隊和維特斯阿納姆隊的支持者發生衝突後，防暴警察進行了乾預：球迷在爭奪第二名時發生衝突... http://t.co/sKVNmtZGeG</v>
      </c>
      <c r="G2449" s="4" t="str">
        <f>IFERROR(__xludf.DUMMYFUNCTION("GOOGLETRANSLATE(B2449)"),"暴動")</f>
        <v>暴動</v>
      </c>
    </row>
    <row r="2450" ht="15.75" customHeight="1">
      <c r="A2450" s="4">
        <v>8242.0</v>
      </c>
      <c r="B2450" s="4" t="s">
        <v>3781</v>
      </c>
      <c r="C2450" s="4" t="s">
        <v>3782</v>
      </c>
      <c r="D2450" s="4" t="s">
        <v>3783</v>
      </c>
      <c r="E2450" s="4">
        <v>1.0</v>
      </c>
      <c r="F2450" s="4" t="str">
        <f>IFERROR(__xludf.DUMMYFUNCTION("GOOGLETRANSLATE(D2450)"),"但政府不會在意。警方最終將制止抗議者的暴動。最終，一些摩天大樓被植物覆蓋。")</f>
        <v>但政府不會在意。警方最終將制止抗議者的暴動。最終，一些摩天大樓被植物覆蓋。</v>
      </c>
      <c r="G2450" s="4" t="str">
        <f>IFERROR(__xludf.DUMMYFUNCTION("GOOGLETRANSLATE(B2450)"),"騷亂")</f>
        <v>騷亂</v>
      </c>
    </row>
    <row r="2451" ht="15.75" customHeight="1">
      <c r="A2451" s="4">
        <v>8244.0</v>
      </c>
      <c r="B2451" s="4" t="s">
        <v>3781</v>
      </c>
      <c r="D2451" s="4" t="s">
        <v>3784</v>
      </c>
      <c r="E2451" s="4">
        <v>1.0</v>
      </c>
      <c r="F2451" s="4" t="str">
        <f>IFERROR(__xludf.DUMMYFUNCTION("GOOGLETRANSLATE(D2451)"),"1974 年埃里克·克萊普頓 (Eric Clapton) 槍殺了治安官，猜猜有多少人發生了騷亂？對，沒有。")</f>
        <v>1974 年埃里克·克萊普頓 (Eric Clapton) 槍殺了治安官，猜猜有多少人發生了騷亂？對，沒有。</v>
      </c>
      <c r="G2451" s="4" t="str">
        <f>IFERROR(__xludf.DUMMYFUNCTION("GOOGLETRANSLATE(B2451)"),"騷亂")</f>
        <v>騷亂</v>
      </c>
    </row>
    <row r="2452" ht="15.75" customHeight="1">
      <c r="A2452" s="4">
        <v>8246.0</v>
      </c>
      <c r="B2452" s="4" t="s">
        <v>3781</v>
      </c>
      <c r="C2452" s="4" t="s">
        <v>3785</v>
      </c>
      <c r="D2452" s="4" t="s">
        <v>3786</v>
      </c>
      <c r="E2452" s="4">
        <v>1.0</v>
      </c>
      <c r="F2452" s="4" t="str">
        <f>IFERROR(__xludf.DUMMYFUNCTION("GOOGLETRANSLATE(D2452)"),"「金錢買不到幸福」只是我們告訴窮人的謊言，以防止他們發生騷亂。")</f>
        <v>「金錢買不到幸福」只是我們告訴窮人的謊言，以防止他們發生騷亂。</v>
      </c>
      <c r="G2452" s="4" t="str">
        <f>IFERROR(__xludf.DUMMYFUNCTION("GOOGLETRANSLATE(B2452)"),"騷亂")</f>
        <v>騷亂</v>
      </c>
    </row>
    <row r="2453" ht="15.75" customHeight="1">
      <c r="A2453" s="4">
        <v>8247.0</v>
      </c>
      <c r="B2453" s="4" t="s">
        <v>3781</v>
      </c>
      <c r="D2453" s="4" t="s">
        <v>3787</v>
      </c>
      <c r="E2453" s="4">
        <v>1.0</v>
      </c>
      <c r="F2453" s="4" t="str">
        <f>IFERROR(__xludf.DUMMYFUNCTION("GOOGLETRANSLATE(D2453)"),"媽的，已經升級成「暴亂」了。 #誇張#saintsfc")</f>
        <v>媽的，已經升級成「暴亂」了。 #誇張#saintsfc</v>
      </c>
      <c r="G2453" s="4" t="str">
        <f>IFERROR(__xludf.DUMMYFUNCTION("GOOGLETRANSLATE(B2453)"),"騷亂")</f>
        <v>騷亂</v>
      </c>
    </row>
    <row r="2454" ht="15.75" customHeight="1">
      <c r="A2454" s="4">
        <v>8250.0</v>
      </c>
      <c r="B2454" s="4" t="s">
        <v>3781</v>
      </c>
      <c r="C2454" s="4" t="s">
        <v>54</v>
      </c>
      <c r="D2454" s="4" t="s">
        <v>3788</v>
      </c>
      <c r="E2454" s="4">
        <v>1.0</v>
      </c>
      <c r="F2454" s="4" t="str">
        <f>IFERROR(__xludf.DUMMYFUNCTION("GOOGLETRANSLATE(D2454)"),"Twitter 正在倒數巴西的騷亂和金融崩潰#Rio2016 http://t.co/9mtrq5Jf4d")</f>
        <v>Twitter 正在倒數巴西的騷亂和金融崩潰#Rio2016 http://t.co/9mtrq5Jf4d</v>
      </c>
      <c r="G2454" s="4" t="str">
        <f>IFERROR(__xludf.DUMMYFUNCTION("GOOGLETRANSLATE(B2454)"),"騷亂")</f>
        <v>騷亂</v>
      </c>
    </row>
    <row r="2455" ht="15.75" customHeight="1">
      <c r="A2455" s="4">
        <v>8254.0</v>
      </c>
      <c r="B2455" s="4" t="s">
        <v>3781</v>
      </c>
      <c r="C2455" s="4" t="s">
        <v>3789</v>
      </c>
      <c r="D2455" s="4" t="s">
        <v>3790</v>
      </c>
      <c r="E2455" s="4">
        <v>1.0</v>
      </c>
      <c r="F2455" s="4" t="str">
        <f>IFERROR(__xludf.DUMMYFUNCTION("GOOGLETRANSLATE(D2455)"),"http://t.co/wspuXOrEWb Cindy Noonan@CindyNoonan-Heartbreak in #Baltimore #Rioting #YAHIstorical #UndergroundRailraod")</f>
        <v>http://t.co/wspuXOrEWb Cindy Noonan@CindyNoonan-Heartbreak in #Baltimore #Rioting #YAHIstorical #UndergroundRailraod</v>
      </c>
      <c r="G2455" s="4" t="str">
        <f>IFERROR(__xludf.DUMMYFUNCTION("GOOGLETRANSLATE(B2455)"),"騷亂")</f>
        <v>騷亂</v>
      </c>
    </row>
    <row r="2456" ht="15.75" customHeight="1">
      <c r="A2456" s="4">
        <v>8256.0</v>
      </c>
      <c r="B2456" s="4" t="s">
        <v>3781</v>
      </c>
      <c r="C2456" s="4" t="s">
        <v>3791</v>
      </c>
      <c r="D2456" s="4" t="s">
        <v>3792</v>
      </c>
      <c r="E2456" s="4">
        <v>1.0</v>
      </c>
      <c r="F2456" s="4" t="str">
        <f>IFERROR(__xludf.DUMMYFUNCTION("GOOGLETRANSLATE(D2456)"),"利茲聯球迷......在巴西航空工業銀行的低級別/聯賽杯決賽中發生騷亂...... dee dum")</f>
        <v>利茲聯球迷......在巴西航空工業銀行的低級別/聯賽杯決賽中發生騷亂...... dee dum</v>
      </c>
      <c r="G2456" s="4" t="str">
        <f>IFERROR(__xludf.DUMMYFUNCTION("GOOGLETRANSLATE(B2456)"),"騷亂")</f>
        <v>騷亂</v>
      </c>
    </row>
    <row r="2457" ht="15.75" customHeight="1">
      <c r="A2457" s="4">
        <v>8257.0</v>
      </c>
      <c r="B2457" s="4" t="s">
        <v>3781</v>
      </c>
      <c r="D2457" s="4" t="s">
        <v>3793</v>
      </c>
      <c r="E2457" s="4">
        <v>1.0</v>
      </c>
      <c r="F2457" s="4" t="str">
        <f>IFERROR(__xludf.DUMMYFUNCTION("GOOGLETRANSLATE(D2457)"),"距離我必須起床上課還有幾個小時，騷亂仍在繼續。")</f>
        <v>距離我必須起床上課還有幾個小時，騷亂仍在繼續。</v>
      </c>
      <c r="G2457" s="4" t="str">
        <f>IFERROR(__xludf.DUMMYFUNCTION("GOOGLETRANSLATE(B2457)"),"騷亂")</f>
        <v>騷亂</v>
      </c>
    </row>
    <row r="2458" ht="15.75" customHeight="1">
      <c r="A2458" s="4">
        <v>8259.0</v>
      </c>
      <c r="B2458" s="4" t="s">
        <v>3781</v>
      </c>
      <c r="C2458" s="4" t="s">
        <v>3794</v>
      </c>
      <c r="D2458" s="4" t="s">
        <v>3795</v>
      </c>
      <c r="E2458" s="4">
        <v>1.0</v>
      </c>
      <c r="F2458" s="4" t="str">
        <f>IFERROR(__xludf.DUMMYFUNCTION("GOOGLETRANSLATE(D2458)"),"@evacide 弗格森騷亂起了作用。下次你說騷亂時，這不會改變任何事。
已經幫你解決了。")</f>
        <v>@evacide 弗格森騷亂起了作用。下次你說騷亂時，這不會改變任何事。
已經幫你解決了。</v>
      </c>
      <c r="G2458" s="4" t="str">
        <f>IFERROR(__xludf.DUMMYFUNCTION("GOOGLETRANSLATE(B2458)"),"騷亂")</f>
        <v>騷亂</v>
      </c>
    </row>
    <row r="2459" ht="15.75" customHeight="1">
      <c r="A2459" s="4">
        <v>8261.0</v>
      </c>
      <c r="B2459" s="4" t="s">
        <v>3781</v>
      </c>
      <c r="C2459" s="4" t="s">
        <v>3796</v>
      </c>
      <c r="D2459" s="4" t="s">
        <v>3797</v>
      </c>
      <c r="E2459" s="4">
        <v>1.0</v>
      </c>
      <c r="F2459" s="4" t="str">
        <f>IFERROR(__xludf.DUMMYFUNCTION("GOOGLETRANSLATE(D2459)"),"`bbc新聞屁股。英國保險公司表示，這場騷亂將使保險公司損失 1.63 億美元。但盲目控制脂肪導致警察人數減少")</f>
        <v>`bbc新聞屁股。英國保險公司表示，這場騷亂將使保險公司損失 1.63 億美元。但盲目控制脂肪導致警察人數減少</v>
      </c>
      <c r="G2459" s="4" t="str">
        <f>IFERROR(__xludf.DUMMYFUNCTION("GOOGLETRANSLATE(B2459)"),"騷亂")</f>
        <v>騷亂</v>
      </c>
    </row>
    <row r="2460" ht="15.75" customHeight="1">
      <c r="A2460" s="4">
        <v>8262.0</v>
      </c>
      <c r="B2460" s="4" t="s">
        <v>3781</v>
      </c>
      <c r="C2460" s="4" t="s">
        <v>3798</v>
      </c>
      <c r="D2460" s="4" t="s">
        <v>3799</v>
      </c>
      <c r="E2460" s="4">
        <v>1.0</v>
      </c>
      <c r="F2460" s="4" t="str">
        <f>IFERROR(__xludf.DUMMYFUNCTION("GOOGLETRANSLATE(D2460)"),"#BHRAMABULL 觀看 Run The Jewels 用事實來捍衛弗格森的騷亂：這對具有社會意識的二人組面對... http://t.co/Ld5P1sIa2N")</f>
        <v>#BHRAMABULL 觀看 Run The Jewels 用事實來捍衛弗格森的騷亂：這對具有社會意識的二人組面對... http://t.co/Ld5P1sIa2N</v>
      </c>
      <c r="G2460" s="4" t="str">
        <f>IFERROR(__xludf.DUMMYFUNCTION("GOOGLETRANSLATE(B2460)"),"騷亂")</f>
        <v>騷亂</v>
      </c>
    </row>
    <row r="2461" ht="15.75" customHeight="1">
      <c r="A2461" s="4">
        <v>8266.0</v>
      </c>
      <c r="B2461" s="4" t="s">
        <v>3781</v>
      </c>
      <c r="D2461" s="4" t="s">
        <v>3800</v>
      </c>
      <c r="E2461" s="4">
        <v>1.0</v>
      </c>
      <c r="F2461" s="4" t="str">
        <f>IFERROR(__xludf.DUMMYFUNCTION("GOOGLETRANSLATE(D2461)"),"@BLutz10 人們沒有騷亂，因為正義已經得到伸張，兇手已經入獄。簡單的！沒有正義=沒有和平 正義=和平。")</f>
        <v>@BLutz10 人們沒有騷亂，因為正義已經得到伸張，兇手已經入獄。簡單的！沒有正義=沒有和平 正義=和平。</v>
      </c>
      <c r="G2461" s="4" t="str">
        <f>IFERROR(__xludf.DUMMYFUNCTION("GOOGLETRANSLATE(B2461)"),"騷亂")</f>
        <v>騷亂</v>
      </c>
    </row>
    <row r="2462" ht="15.75" customHeight="1">
      <c r="A2462" s="4">
        <v>8270.0</v>
      </c>
      <c r="B2462" s="4" t="s">
        <v>3781</v>
      </c>
      <c r="C2462" s="4" t="s">
        <v>3801</v>
      </c>
      <c r="D2462" s="4" t="s">
        <v>3802</v>
      </c>
      <c r="E2462" s="4">
        <v>1.0</v>
      </c>
      <c r="F2462" s="4" t="str">
        <f>IFERROR(__xludf.DUMMYFUNCTION("GOOGLETRANSLATE(D2462)"),"@jasalhad @brianboru67 @Jimskiv92 @hijinks1967 暴動。")</f>
        <v>@jasalhad @brianboru67 @Jimskiv92 @hijinks1967 暴動。</v>
      </c>
      <c r="G2462" s="4" t="str">
        <f>IFERROR(__xludf.DUMMYFUNCTION("GOOGLETRANSLATE(B2462)"),"騷亂")</f>
        <v>騷亂</v>
      </c>
    </row>
    <row r="2463" ht="15.75" customHeight="1">
      <c r="A2463" s="4">
        <v>8274.0</v>
      </c>
      <c r="B2463" s="4" t="s">
        <v>3781</v>
      </c>
      <c r="D2463" s="4" t="s">
        <v>3803</v>
      </c>
      <c r="E2463" s="4">
        <v>1.0</v>
      </c>
      <c r="F2463" s="4" t="str">
        <f>IFERROR(__xludf.DUMMYFUNCTION("GOOGLETRANSLATE(D2463)"),"RT：為什麼瑞典不是委內瑞拉：委內瑞拉連續幾天發生騷亂，騷亂針對grÛ_ http://t.co/GJfd85vuf2")</f>
        <v>RT：為什麼瑞典不是委內瑞拉：委內瑞拉連續幾天發生騷亂，騷亂針對grÛ_ http://t.co/GJfd85vuf2</v>
      </c>
      <c r="G2463" s="4" t="str">
        <f>IFERROR(__xludf.DUMMYFUNCTION("GOOGLETRANSLATE(B2463)"),"騷亂")</f>
        <v>騷亂</v>
      </c>
    </row>
    <row r="2464" ht="15.75" customHeight="1">
      <c r="A2464" s="4">
        <v>8278.0</v>
      </c>
      <c r="B2464" s="4" t="s">
        <v>3781</v>
      </c>
      <c r="D2464" s="4" t="s">
        <v>3804</v>
      </c>
      <c r="E2464" s="4">
        <v>1.0</v>
      </c>
      <c r="F2464" s="4" t="str">
        <f>IFERROR(__xludf.DUMMYFUNCTION("GOOGLETRANSLATE(D2464)"),"@aelinrhee 一群塗睫毛膏的女孩騷亂我想會很可怕")</f>
        <v>@aelinrhee 一群塗睫毛膏的女孩騷亂我想會很可怕</v>
      </c>
      <c r="G2464" s="4" t="str">
        <f>IFERROR(__xludf.DUMMYFUNCTION("GOOGLETRANSLATE(B2464)"),"騷亂")</f>
        <v>騷亂</v>
      </c>
    </row>
    <row r="2465" ht="15.75" customHeight="1">
      <c r="A2465" s="4">
        <v>8279.0</v>
      </c>
      <c r="B2465" s="4" t="s">
        <v>3781</v>
      </c>
      <c r="D2465" s="4" t="s">
        <v>3805</v>
      </c>
      <c r="E2465" s="4">
        <v>1.0</v>
      </c>
      <c r="F2465" s="4" t="str">
        <f>IFERROR(__xludf.DUMMYFUNCTION("GOOGLETRANSLATE(D2465)"),"上次一個知名人士要為 #nffc 簽名時，這座城市發生了騷亂！韋斯利·維爾霍克 (Wesley Verhoek) 現在是家喻戶曉的名字！ #請勿恐慌")</f>
        <v>上次一個知名人士要為 #nffc 簽名時，這座城市發生了騷亂！韋斯利·維爾霍克 (Wesley Verhoek) 現在是家喻戶曉的名字！ #請勿恐慌</v>
      </c>
      <c r="G2465" s="4" t="str">
        <f>IFERROR(__xludf.DUMMYFUNCTION("GOOGLETRANSLATE(B2465)"),"騷亂")</f>
        <v>騷亂</v>
      </c>
    </row>
    <row r="2466" ht="15.75" customHeight="1">
      <c r="A2466" s="4">
        <v>8283.0</v>
      </c>
      <c r="B2466" s="4" t="s">
        <v>3781</v>
      </c>
      <c r="C2466" s="4" t="s">
        <v>3806</v>
      </c>
      <c r="D2466" s="4" t="s">
        <v>3807</v>
      </c>
      <c r="E2466" s="4">
        <v>1.0</v>
      </c>
      <c r="F2466" s="4" t="str">
        <f>IFERROR(__xludf.DUMMYFUNCTION("GOOGLETRANSLATE(D2466)"),"@halljh1720。我厭倦了罪犯的父母和朋友被警察殺害後發生的騷亂。當警官在的時候，你根本不在乎。")</f>
        <v>@halljh1720。我厭倦了罪犯的父母和朋友被警察殺害後發生的騷亂。當警官在的時候，你根本不在乎。</v>
      </c>
      <c r="G2466" s="4" t="str">
        <f>IFERROR(__xludf.DUMMYFUNCTION("GOOGLETRANSLATE(B2466)"),"騷亂")</f>
        <v>騷亂</v>
      </c>
    </row>
    <row r="2467" ht="15.75" customHeight="1">
      <c r="A2467" s="4">
        <v>8284.0</v>
      </c>
      <c r="B2467" s="4" t="s">
        <v>3781</v>
      </c>
      <c r="D2467" s="4" t="s">
        <v>3808</v>
      </c>
      <c r="E2467" s="4">
        <v>1.0</v>
      </c>
      <c r="F2467" s="4" t="str">
        <f>IFERROR(__xludf.DUMMYFUNCTION("GOOGLETRANSLATE(D2467)"),"@BLutz10 但是騷亂是在起訴書決定之前就開始的，所以你現在並沒有真正講道理Û_")</f>
        <v>@BLutz10 但是騷亂是在起訴書決定之前就開始的，所以你現在並沒有真正講道理Û_</v>
      </c>
      <c r="G2467" s="4" t="str">
        <f>IFERROR(__xludf.DUMMYFUNCTION("GOOGLETRANSLATE(B2467)"),"騷亂")</f>
        <v>騷亂</v>
      </c>
    </row>
    <row r="2468" ht="15.75" customHeight="1">
      <c r="A2468" s="4">
        <v>8285.0</v>
      </c>
      <c r="B2468" s="4" t="s">
        <v>3781</v>
      </c>
      <c r="C2468" s="4" t="s">
        <v>34</v>
      </c>
      <c r="D2468" s="4" t="s">
        <v>3809</v>
      </c>
      <c r="E2468" s="4">
        <v>1.0</v>
      </c>
      <c r="F2468" s="4" t="str">
        <f>IFERROR(__xludf.DUMMYFUNCTION("GOOGLETRANSLATE(D2468)"),"灰燼測試賽目前比愚蠢的國會騷亂更有趣...")</f>
        <v>灰燼測試賽目前比愚蠢的國會騷亂更有趣...</v>
      </c>
      <c r="G2468" s="4" t="str">
        <f>IFERROR(__xludf.DUMMYFUNCTION("GOOGLETRANSLATE(B2468)"),"騷亂")</f>
        <v>騷亂</v>
      </c>
    </row>
    <row r="2469" ht="15.75" customHeight="1">
      <c r="A2469" s="4">
        <v>8286.0</v>
      </c>
      <c r="B2469" s="4" t="s">
        <v>3781</v>
      </c>
      <c r="C2469" s="4" t="s">
        <v>3810</v>
      </c>
      <c r="D2469" s="4" t="s">
        <v>3811</v>
      </c>
      <c r="E2469" s="4">
        <v>1.0</v>
      </c>
      <c r="F2469" s="4" t="str">
        <f>IFERROR(__xludf.DUMMYFUNCTION("GOOGLETRANSLATE(D2469)"),"人們到處騷亂，我想我也會成為其中之一。”
宇佐美桑＜3")</f>
        <v>人們到處騷亂，我想我也會成為其中之一。”
宇佐美桑＜3</v>
      </c>
      <c r="G2469" s="4" t="str">
        <f>IFERROR(__xludf.DUMMYFUNCTION("GOOGLETRANSLATE(B2469)"),"騷亂")</f>
        <v>騷亂</v>
      </c>
    </row>
    <row r="2470" ht="15.75" customHeight="1">
      <c r="A2470" s="4">
        <v>8287.0</v>
      </c>
      <c r="B2470" s="4" t="s">
        <v>3781</v>
      </c>
      <c r="D2470" s="4" t="s">
        <v>3812</v>
      </c>
      <c r="E2470" s="4">
        <v>1.0</v>
      </c>
      <c r="F2470" s="4" t="str">
        <f>IFERROR(__xludf.DUMMYFUNCTION("GOOGLETRANSLATE(D2470)"),"因蘇格蘭比賽前騷亂而入獄的足球流氓已被禁止參加英格蘭比賽#UkNews http://t.co/q5mp2Q6Hy8")</f>
        <v>因蘇格蘭比賽前騷亂而入獄的足球流氓已被禁止參加英格蘭比賽#UkNews http://t.co/q5mp2Q6Hy8</v>
      </c>
      <c r="G2470" s="4" t="str">
        <f>IFERROR(__xludf.DUMMYFUNCTION("GOOGLETRANSLATE(B2470)"),"騷亂")</f>
        <v>騷亂</v>
      </c>
    </row>
    <row r="2471" ht="15.75" customHeight="1">
      <c r="A2471" s="4">
        <v>8289.0</v>
      </c>
      <c r="B2471" s="4" t="s">
        <v>3781</v>
      </c>
      <c r="C2471" s="4" t="s">
        <v>3796</v>
      </c>
      <c r="D2471" s="4" t="s">
        <v>3813</v>
      </c>
      <c r="E2471" s="4">
        <v>1.0</v>
      </c>
      <c r="F2471" s="4" t="str">
        <f>IFERROR(__xludf.DUMMYFUNCTION("GOOGLETRANSLATE(D2471)"),"AM `bbcnews 英國保險公司稱騷亂將給保險公司造成 163 百萬美元的損失。但警察人數卻因盲目的肥胖控制者而減少。")</f>
        <v>AM `bbcnews 英國保險公司稱騷亂將給保險公司造成 163 百萬美元的損失。但警察人數卻因盲目的肥胖控制者而減少。</v>
      </c>
      <c r="G2471" s="4" t="str">
        <f>IFERROR(__xludf.DUMMYFUNCTION("GOOGLETRANSLATE(B2471)"),"騷亂")</f>
        <v>騷亂</v>
      </c>
    </row>
    <row r="2472" ht="15.75" customHeight="1">
      <c r="A2472" s="4">
        <v>8291.0</v>
      </c>
      <c r="B2472" s="4" t="s">
        <v>3781</v>
      </c>
      <c r="C2472" s="4" t="s">
        <v>3814</v>
      </c>
      <c r="D2472" s="4" t="s">
        <v>3815</v>
      </c>
      <c r="E2472" s="4">
        <v>1.0</v>
      </c>
      <c r="F2472" s="4" t="str">
        <f>IFERROR(__xludf.DUMMYFUNCTION("GOOGLETRANSLATE(D2472)"),"@fa07af174a71408 我住過&amp;amp;我的家人住在某些國家，搶劫者一看到就會被槍殺，而暴動是不能容忍的。為什麼在這裡")</f>
        <v>@fa07af174a71408 我住過&amp;amp;我的家人住在某些國家，搶劫者一看到就會被槍殺，而暴動是不能容忍的。為什麼在這裡</v>
      </c>
      <c r="G2472" s="4" t="str">
        <f>IFERROR(__xludf.DUMMYFUNCTION("GOOGLETRANSLATE(B2472)"),"騷亂")</f>
        <v>騷亂</v>
      </c>
    </row>
    <row r="2473" ht="15.75" customHeight="1">
      <c r="A2473" s="4">
        <v>8296.0</v>
      </c>
      <c r="B2473" s="4" t="s">
        <v>3816</v>
      </c>
      <c r="D2473" s="4" t="s">
        <v>3817</v>
      </c>
      <c r="E2473" s="4">
        <v>1.0</v>
      </c>
      <c r="F2473" s="4" t="str">
        <f>IFERROR(__xludf.DUMMYFUNCTION("GOOGLETRANSLATE(D2473)"),"@accionempresa 今年夏天中國股市崩盤引發了逢低吸納的興趣... http://t.co/s0Eyq1wEHE @gerenciatodos å¡")</f>
        <v>@accionempresa 今年夏天中國股市崩盤引發了逢低吸納的興趣... http://t.co/s0Eyq1wEHE @gerenciatodos å¡</v>
      </c>
      <c r="G2473" s="4" t="str">
        <f>IFERROR(__xludf.DUMMYFUNCTION("GOOGLETRANSLATE(B2473)"),"瓦礫")</f>
        <v>瓦礫</v>
      </c>
    </row>
    <row r="2474" ht="15.75" customHeight="1">
      <c r="A2474" s="4">
        <v>8309.0</v>
      </c>
      <c r="B2474" s="4" t="s">
        <v>3816</v>
      </c>
      <c r="C2474" s="4" t="s">
        <v>3818</v>
      </c>
      <c r="D2474" s="4" t="s">
        <v>3819</v>
      </c>
      <c r="E2474" s="4">
        <v>1.0</v>
      </c>
      <c r="F2474" s="4" t="str">
        <f>IFERROR(__xludf.DUMMYFUNCTION("GOOGLETRANSLATE(D2474)"),"#forbes #europe 中國股市崩盤：瓦礫中有寶石嗎？ http://t.co/C0SlAbBP7j")</f>
        <v>#forbes #europe 中國股市崩盤：瓦礫中有寶石嗎？ http://t.co/C0SlAbBP7j</v>
      </c>
      <c r="G2474" s="4" t="str">
        <f>IFERROR(__xludf.DUMMYFUNCTION("GOOGLETRANSLATE(B2474)"),"瓦礫")</f>
        <v>瓦礫</v>
      </c>
    </row>
    <row r="2475" ht="15.75" customHeight="1">
      <c r="A2475" s="4">
        <v>8311.0</v>
      </c>
      <c r="B2475" s="4" t="s">
        <v>3816</v>
      </c>
      <c r="C2475" s="4" t="s">
        <v>3820</v>
      </c>
      <c r="D2475" s="4" t="s">
        <v>3821</v>
      </c>
      <c r="E2475" s="4">
        <v>1.0</v>
      </c>
      <c r="F2475" s="4" t="str">
        <f>IFERROR(__xludf.DUMMYFUNCTION("GOOGLETRANSLATE(D2475)"),"@JasonPope2 @JohnFugelsang 我又沒說是。我指的是主要的兩棟建築。 7人被瓦礫擊中")</f>
        <v>@JasonPope2 @JohnFugelsang 我又沒說是。我指的是主要的兩棟建築。 7人被瓦礫擊中</v>
      </c>
      <c r="G2475" s="4" t="str">
        <f>IFERROR(__xludf.DUMMYFUNCTION("GOOGLETRANSLATE(B2475)"),"瓦礫")</f>
        <v>瓦礫</v>
      </c>
    </row>
    <row r="2476" ht="15.75" customHeight="1">
      <c r="A2476" s="4">
        <v>8314.0</v>
      </c>
      <c r="B2476" s="4" t="s">
        <v>3816</v>
      </c>
      <c r="C2476" s="4" t="s">
        <v>183</v>
      </c>
      <c r="D2476" s="4" t="s">
        <v>3822</v>
      </c>
      <c r="E2476" s="4">
        <v>1.0</v>
      </c>
      <c r="F2476" s="4" t="str">
        <f>IFERROR(__xludf.DUMMYFUNCTION("GOOGLETRANSLATE(D2476)"),"#360WiseNews：中國股市崩盤：瓦礫中有寶石嗎？ http://t.co/9Naw3QOQOL")</f>
        <v>#360WiseNews：中國股市崩盤：瓦礫中有寶石嗎？ http://t.co/9Naw3QOQOL</v>
      </c>
      <c r="G2476" s="4" t="str">
        <f>IFERROR(__xludf.DUMMYFUNCTION("GOOGLETRANSLATE(B2476)"),"瓦礫")</f>
        <v>瓦礫</v>
      </c>
    </row>
    <row r="2477" ht="15.75" customHeight="1">
      <c r="A2477" s="4">
        <v>8315.0</v>
      </c>
      <c r="B2477" s="4" t="s">
        <v>3816</v>
      </c>
      <c r="D2477" s="4" t="s">
        <v>3823</v>
      </c>
      <c r="E2477" s="4">
        <v>1.0</v>
      </c>
      <c r="F2477" s="4" t="str">
        <f>IFERROR(__xludf.DUMMYFUNCTION("GOOGLETRANSLATE(D2477)"),"2015 年 6 月。也門人在 San¤Ûªa 舊城區的房屋廢墟下尋找倖存者... http://t.co/11JUzHlgmT")</f>
        <v>2015 年 6 月。也門人在 San¤Ûªa 舊城區的房屋廢墟下尋找倖存者... http://t.co/11JUzHlgmT</v>
      </c>
      <c r="G2477" s="4" t="str">
        <f>IFERROR(__xludf.DUMMYFUNCTION("GOOGLETRANSLATE(B2477)"),"瓦礫")</f>
        <v>瓦礫</v>
      </c>
    </row>
    <row r="2478" ht="15.75" customHeight="1">
      <c r="A2478" s="4">
        <v>8317.0</v>
      </c>
      <c r="B2478" s="4" t="s">
        <v>3816</v>
      </c>
      <c r="C2478" s="4" t="s">
        <v>3824</v>
      </c>
      <c r="D2478" s="4" t="s">
        <v>3825</v>
      </c>
      <c r="E2478" s="4">
        <v>1.0</v>
      </c>
      <c r="F2478" s="4" t="str">
        <f>IFERROR(__xludf.DUMMYFUNCTION("GOOGLETRANSLATE(D2478)"),"中國股市崩盤：瓦礫中有寶石嗎？ http://t.co/j4ggmKINEy #forbesasia")</f>
        <v>中國股市崩盤：瓦礫中有寶石嗎？ http://t.co/j4ggmKINEy #forbesasia</v>
      </c>
      <c r="G2478" s="4" t="str">
        <f>IFERROR(__xludf.DUMMYFUNCTION("GOOGLETRANSLATE(B2478)"),"瓦礫")</f>
        <v>瓦礫</v>
      </c>
    </row>
    <row r="2479" ht="15.75" customHeight="1">
      <c r="A2479" s="4">
        <v>8318.0</v>
      </c>
      <c r="B2479" s="4" t="s">
        <v>3816</v>
      </c>
      <c r="C2479" s="4" t="s">
        <v>3826</v>
      </c>
      <c r="D2479" s="4" t="s">
        <v>3827</v>
      </c>
      <c r="E2479" s="4">
        <v>1.0</v>
      </c>
      <c r="F2479" s="4" t="str">
        <f>IFERROR(__xludf.DUMMYFUNCTION("GOOGLETRANSLATE(D2479)"),"史蒂夫·布西密 (Steve Buscemi) 是一名 B4 級消防員，享有盛譽。我 12 小時輪班工作，在世貿中心廢墟中挖掘，尋找 4 名倖存者。 http://t.co/L9fJpNSZuO")</f>
        <v>史蒂夫·布西密 (Steve Buscemi) 是一名 B4 級消防員，享有盛譽。我 12 小時輪班工作，在世貿中心廢墟中挖掘，尋找 4 名倖存者。 http://t.co/L9fJpNSZuO</v>
      </c>
      <c r="G2479" s="4" t="str">
        <f>IFERROR(__xludf.DUMMYFUNCTION("GOOGLETRANSLATE(B2479)"),"瓦礫")</f>
        <v>瓦礫</v>
      </c>
    </row>
    <row r="2480" ht="15.75" customHeight="1">
      <c r="A2480" s="4">
        <v>8329.0</v>
      </c>
      <c r="B2480" s="4" t="s">
        <v>3816</v>
      </c>
      <c r="C2480" s="4" t="s">
        <v>3828</v>
      </c>
      <c r="D2480" s="4" t="s">
        <v>3829</v>
      </c>
      <c r="E2480" s="4">
        <v>1.0</v>
      </c>
      <c r="F2480" s="4" t="str">
        <f>IFERROR(__xludf.DUMMYFUNCTION("GOOGLETRANSLATE(D2480)"),"#TNN：中國股市崩盤：瓦礫中有寶石嗎？ http://t.co/9LO0hZwJPZ")</f>
        <v>#TNN：中國股市崩盤：瓦礫中有寶石嗎？ http://t.co/9LO0hZwJPZ</v>
      </c>
      <c r="G2480" s="4" t="str">
        <f>IFERROR(__xludf.DUMMYFUNCTION("GOOGLETRANSLATE(B2480)"),"瓦礫")</f>
        <v>瓦礫</v>
      </c>
    </row>
    <row r="2481" ht="15.75" customHeight="1">
      <c r="A2481" s="4">
        <v>8330.0</v>
      </c>
      <c r="B2481" s="4" t="s">
        <v>3816</v>
      </c>
      <c r="C2481" s="4" t="s">
        <v>2744</v>
      </c>
      <c r="D2481" s="4" t="s">
        <v>3830</v>
      </c>
      <c r="E2481" s="4">
        <v>1.0</v>
      </c>
      <c r="F2481" s="4" t="str">
        <f>IFERROR(__xludf.DUMMYFUNCTION("GOOGLETRANSLATE(D2481)"),"中國股市崩盤：瓦礫中有寶石嗎？ http://t.co/BqBLWiw08g #ROIMentor #yycwalks")</f>
        <v>中國股市崩盤：瓦礫中有寶石嗎？ http://t.co/BqBLWiw08g #ROIMentor #yycwalks</v>
      </c>
      <c r="G2481" s="4" t="str">
        <f>IFERROR(__xludf.DUMMYFUNCTION("GOOGLETRANSLATE(B2481)"),"瓦礫")</f>
        <v>瓦礫</v>
      </c>
    </row>
    <row r="2482" ht="15.75" customHeight="1">
      <c r="A2482" s="4">
        <v>8334.0</v>
      </c>
      <c r="B2482" s="4" t="s">
        <v>3816</v>
      </c>
      <c r="C2482" s="4" t="s">
        <v>3831</v>
      </c>
      <c r="D2482" s="4" t="s">
        <v>3832</v>
      </c>
      <c r="E2482" s="4">
        <v>1.0</v>
      </c>
      <c r="F2482" s="4" t="str">
        <f>IFERROR(__xludf.DUMMYFUNCTION("GOOGLETRANSLATE(D2482)"),"#360WiseNews：中國股市崩盤：瓦礫中有寶石嗎？ http://t.co/aOd2ftBMGU")</f>
        <v>#360WiseNews：中國股市崩盤：瓦礫中有寶石嗎？ http://t.co/aOd2ftBMGU</v>
      </c>
      <c r="G2482" s="4" t="str">
        <f>IFERROR(__xludf.DUMMYFUNCTION("GOOGLETRANSLATE(B2482)"),"瓦礫")</f>
        <v>瓦礫</v>
      </c>
    </row>
    <row r="2483" ht="15.75" customHeight="1">
      <c r="A2483" s="4">
        <v>8363.0</v>
      </c>
      <c r="B2483" s="4" t="s">
        <v>3833</v>
      </c>
      <c r="C2483" s="4" t="s">
        <v>3834</v>
      </c>
      <c r="D2483" s="4" t="s">
        <v>3835</v>
      </c>
      <c r="E2483" s="4">
        <v>1.0</v>
      </c>
      <c r="F2483" s="4" t="str">
        <f>IFERROR(__xludf.DUMMYFUNCTION("GOOGLETRANSLATE(D2483)"),"可能毀掉您人身傷害事故索賠的四件事 http://t.co/ZU9YYdF5DI")</f>
        <v>可能毀掉您人身傷害事故索賠的四件事 http://t.co/ZU9YYdF5DI</v>
      </c>
      <c r="G2483" s="4" t="str">
        <f>IFERROR(__xludf.DUMMYFUNCTION("GOOGLETRANSLATE(B2483)"),"廢墟")</f>
        <v>廢墟</v>
      </c>
    </row>
    <row r="2484" ht="15.75" customHeight="1">
      <c r="A2484" s="4">
        <v>8393.0</v>
      </c>
      <c r="B2484" s="4" t="s">
        <v>3836</v>
      </c>
      <c r="C2484" s="4" t="s">
        <v>38</v>
      </c>
      <c r="D2484" s="4" t="s">
        <v>3837</v>
      </c>
      <c r="E2484" s="4">
        <v>1.0</v>
      </c>
      <c r="F2484" s="4" t="str">
        <f>IFERROR(__xludf.DUMMYFUNCTION("GOOGLETRANSLATE(D2484)"),"觀看這個機場在一分鐘內被沙塵暴吞沒 http://t.co/mkWyvM3i8r")</f>
        <v>觀看這個機場在一分鐘內被沙塵暴吞沒 http://t.co/mkWyvM3i8r</v>
      </c>
      <c r="G2484" s="4" t="str">
        <f>IFERROR(__xludf.DUMMYFUNCTION("GOOGLETRANSLATE(B2484)"),"沙暴")</f>
        <v>沙暴</v>
      </c>
    </row>
    <row r="2485" ht="15.75" customHeight="1">
      <c r="A2485" s="4">
        <v>8394.0</v>
      </c>
      <c r="B2485" s="4" t="s">
        <v>3836</v>
      </c>
      <c r="D2485" s="4" t="s">
        <v>3838</v>
      </c>
      <c r="E2485" s="4">
        <v>1.0</v>
      </c>
      <c r="F2485" s="4" t="str">
        <f>IFERROR(__xludf.DUMMYFUNCTION("GOOGLETRANSLATE(D2485)"),"觀看此機場在一分鐘內被沙塵暴吞沒 http://t.co/aZL4XydvzK")</f>
        <v>觀看此機場在一分鐘內被沙塵暴吞沒 http://t.co/aZL4XydvzK</v>
      </c>
      <c r="G2485" s="4" t="str">
        <f>IFERROR(__xludf.DUMMYFUNCTION("GOOGLETRANSLATE(B2485)"),"沙暴")</f>
        <v>沙暴</v>
      </c>
    </row>
    <row r="2486" ht="15.75" customHeight="1">
      <c r="A2486" s="4">
        <v>8397.0</v>
      </c>
      <c r="B2486" s="4" t="s">
        <v>3836</v>
      </c>
      <c r="D2486" s="4" t="s">
        <v>3839</v>
      </c>
      <c r="E2486" s="4">
        <v>1.0</v>
      </c>
      <c r="F2486" s="4" t="str">
        <f>IFERROR(__xludf.DUMMYFUNCTION("GOOGLETRANSLATE(D2486)"),"觀看這個機場在一分鐘內被沙塵暴吞沒 http://t.co/Z2Ph0ArzYI")</f>
        <v>觀看這個機場在一分鐘內被沙塵暴吞沒 http://t.co/Z2Ph0ArzYI</v>
      </c>
      <c r="G2486" s="4" t="str">
        <f>IFERROR(__xludf.DUMMYFUNCTION("GOOGLETRANSLATE(B2486)"),"沙暴")</f>
        <v>沙暴</v>
      </c>
    </row>
    <row r="2487" ht="15.75" customHeight="1">
      <c r="A2487" s="4">
        <v>8400.0</v>
      </c>
      <c r="B2487" s="4" t="s">
        <v>3836</v>
      </c>
      <c r="C2487" s="4" t="s">
        <v>38</v>
      </c>
      <c r="D2487" s="4" t="s">
        <v>3840</v>
      </c>
      <c r="E2487" s="4">
        <v>1.0</v>
      </c>
      <c r="F2487" s="4" t="str">
        <f>IFERROR(__xludf.DUMMYFUNCTION("GOOGLETRANSLATE(D2487)"),"觀看這個機場在一分鐘內被沙塵暴吞沒 http://t.co/brctMNybjy")</f>
        <v>觀看這個機場在一分鐘內被沙塵暴吞沒 http://t.co/brctMNybjy</v>
      </c>
      <c r="G2487" s="4" t="str">
        <f>IFERROR(__xludf.DUMMYFUNCTION("GOOGLETRANSLATE(B2487)"),"沙暴")</f>
        <v>沙暴</v>
      </c>
    </row>
    <row r="2488" ht="15.75" customHeight="1">
      <c r="A2488" s="4">
        <v>8401.0</v>
      </c>
      <c r="B2488" s="4" t="s">
        <v>3836</v>
      </c>
      <c r="C2488" s="4" t="s">
        <v>3841</v>
      </c>
      <c r="D2488" s="4" t="s">
        <v>3842</v>
      </c>
      <c r="E2488" s="4">
        <v>1.0</v>
      </c>
      <c r="F2488" s="4" t="str">
        <f>IFERROR(__xludf.DUMMYFUNCTION("GOOGLETRANSLATE(D2488)"),"觀看這個機場在一分鐘內被沙塵暴吞沒 http://t.co/NX2d83A4Du")</f>
        <v>觀看這個機場在一分鐘內被沙塵暴吞沒 http://t.co/NX2d83A4Du</v>
      </c>
      <c r="G2488" s="4" t="str">
        <f>IFERROR(__xludf.DUMMYFUNCTION("GOOGLETRANSLATE(B2488)"),"沙暴")</f>
        <v>沙暴</v>
      </c>
    </row>
    <row r="2489" ht="15.75" customHeight="1">
      <c r="A2489" s="4">
        <v>8402.0</v>
      </c>
      <c r="B2489" s="4" t="s">
        <v>3836</v>
      </c>
      <c r="C2489" s="4" t="s">
        <v>405</v>
      </c>
      <c r="D2489" s="4" t="s">
        <v>3843</v>
      </c>
      <c r="E2489" s="4">
        <v>1.0</v>
      </c>
      <c r="F2489" s="4" t="str">
        <f>IFERROR(__xludf.DUMMYFUNCTION("GOOGLETRANSLATE(D2489)"),"觀看這個機場在一分鐘內被沙塵暴吞沒 http://t.co/GaotrG4mTr")</f>
        <v>觀看這個機場在一分鐘內被沙塵暴吞沒 http://t.co/GaotrG4mTr</v>
      </c>
      <c r="G2489" s="4" t="str">
        <f>IFERROR(__xludf.DUMMYFUNCTION("GOOGLETRANSLATE(B2489)"),"沙暴")</f>
        <v>沙暴</v>
      </c>
    </row>
    <row r="2490" ht="15.75" customHeight="1">
      <c r="A2490" s="4">
        <v>8404.0</v>
      </c>
      <c r="B2490" s="4" t="s">
        <v>3836</v>
      </c>
      <c r="C2490" s="4" t="s">
        <v>38</v>
      </c>
      <c r="D2490" s="4" t="s">
        <v>3844</v>
      </c>
      <c r="E2490" s="4">
        <v>1.0</v>
      </c>
      <c r="F2490" s="4" t="str">
        <f>IFERROR(__xludf.DUMMYFUNCTION("GOOGLETRANSLATE(D2490)"),"觀看這個機場在一分鐘內被沙塵暴吞沒 http://t.co/rkU0IDM6aQ")</f>
        <v>觀看這個機場在一分鐘內被沙塵暴吞沒 http://t.co/rkU0IDM6aQ</v>
      </c>
      <c r="G2490" s="4" t="str">
        <f>IFERROR(__xludf.DUMMYFUNCTION("GOOGLETRANSLATE(B2490)"),"沙暴")</f>
        <v>沙暴</v>
      </c>
    </row>
    <row r="2491" ht="15.75" customHeight="1">
      <c r="A2491" s="4">
        <v>8405.0</v>
      </c>
      <c r="B2491" s="4" t="s">
        <v>3836</v>
      </c>
      <c r="C2491" s="4" t="s">
        <v>38</v>
      </c>
      <c r="D2491" s="4" t="s">
        <v>3845</v>
      </c>
      <c r="E2491" s="4">
        <v>1.0</v>
      </c>
      <c r="F2491" s="4" t="str">
        <f>IFERROR(__xludf.DUMMYFUNCTION("GOOGLETRANSLATE(D2491)"),"觀看這個機場在一分鐘內被沙塵暴吞沒 http://t.co/7IJlZ6BcSP")</f>
        <v>觀看這個機場在一分鐘內被沙塵暴吞沒 http://t.co/7IJlZ6BcSP</v>
      </c>
      <c r="G2491" s="4" t="str">
        <f>IFERROR(__xludf.DUMMYFUNCTION("GOOGLETRANSLATE(B2491)"),"沙暴")</f>
        <v>沙暴</v>
      </c>
    </row>
    <row r="2492" ht="15.75" customHeight="1">
      <c r="A2492" s="4">
        <v>8406.0</v>
      </c>
      <c r="B2492" s="4" t="s">
        <v>3836</v>
      </c>
      <c r="D2492" s="4" t="s">
        <v>3846</v>
      </c>
      <c r="E2492" s="4">
        <v>1.0</v>
      </c>
      <c r="F2492" s="4" t="str">
        <f>IFERROR(__xludf.DUMMYFUNCTION("GOOGLETRANSLATE(D2492)"),"約旦的一場沙塵暴給中東最大的難民營覆蓋了一層沙礫 http://t.co/hVJmuuaLXV http://t.co/T8Nz6h9Zz4")</f>
        <v>約旦的一場沙塵暴給中東最大的難民營覆蓋了一層沙礫 http://t.co/hVJmuuaLXV http://t.co/T8Nz6h9Zz4</v>
      </c>
      <c r="G2492" s="4" t="str">
        <f>IFERROR(__xludf.DUMMYFUNCTION("GOOGLETRANSLATE(B2492)"),"沙暴")</f>
        <v>沙暴</v>
      </c>
    </row>
    <row r="2493" ht="15.75" customHeight="1">
      <c r="A2493" s="4">
        <v>8408.0</v>
      </c>
      <c r="B2493" s="4" t="s">
        <v>3836</v>
      </c>
      <c r="C2493" s="4" t="s">
        <v>3847</v>
      </c>
      <c r="D2493" s="4" t="s">
        <v>3848</v>
      </c>
      <c r="E2493" s="4">
        <v>1.0</v>
      </c>
      <c r="F2493" s="4" t="str">
        <f>IFERROR(__xludf.DUMMYFUNCTION("GOOGLETRANSLATE(D2493)"),"沙暴！！！嗚呼！！")</f>
        <v>沙暴！！！嗚呼！！</v>
      </c>
      <c r="G2493" s="4" t="str">
        <f>IFERROR(__xludf.DUMMYFUNCTION("GOOGLETRANSLATE(B2493)"),"沙暴")</f>
        <v>沙暴</v>
      </c>
    </row>
    <row r="2494" ht="15.75" customHeight="1">
      <c r="A2494" s="4">
        <v>8409.0</v>
      </c>
      <c r="B2494" s="4" t="s">
        <v>3836</v>
      </c>
      <c r="C2494" s="4" t="s">
        <v>627</v>
      </c>
      <c r="D2494" s="4" t="s">
        <v>3849</v>
      </c>
      <c r="E2494" s="4">
        <v>1.0</v>
      </c>
      <c r="F2494" s="4" t="str">
        <f>IFERROR(__xludf.DUMMYFUNCTION("GOOGLETRANSLATE(D2494)"),"觀看這個機場在一分鐘內被沙塵暴吞沒 http://t.co/VZPKn23RX4")</f>
        <v>觀看這個機場在一分鐘內被沙塵暴吞沒 http://t.co/VZPKn23RX4</v>
      </c>
      <c r="G2494" s="4" t="str">
        <f>IFERROR(__xludf.DUMMYFUNCTION("GOOGLETRANSLATE(B2494)"),"沙暴")</f>
        <v>沙暴</v>
      </c>
    </row>
    <row r="2495" ht="15.75" customHeight="1">
      <c r="A2495" s="4">
        <v>8410.0</v>
      </c>
      <c r="B2495" s="4" t="s">
        <v>3836</v>
      </c>
      <c r="C2495" s="4" t="s">
        <v>38</v>
      </c>
      <c r="D2495" s="4" t="s">
        <v>3850</v>
      </c>
      <c r="E2495" s="4">
        <v>1.0</v>
      </c>
      <c r="F2495" s="4" t="str">
        <f>IFERROR(__xludf.DUMMYFUNCTION("GOOGLETRANSLATE(D2495)"),"觀看這個機場在一分鐘內被沙塵暴吞沒 http://t.co/Rm50vCVjsh")</f>
        <v>觀看這個機場在一分鐘內被沙塵暴吞沒 http://t.co/Rm50vCVjsh</v>
      </c>
      <c r="G2495" s="4" t="str">
        <f>IFERROR(__xludf.DUMMYFUNCTION("GOOGLETRANSLATE(B2495)"),"沙暴")</f>
        <v>沙暴</v>
      </c>
    </row>
    <row r="2496" ht="15.75" customHeight="1">
      <c r="A2496" s="4">
        <v>8411.0</v>
      </c>
      <c r="B2496" s="4" t="s">
        <v>3836</v>
      </c>
      <c r="C2496" s="4" t="s">
        <v>38</v>
      </c>
      <c r="D2496" s="4" t="s">
        <v>3851</v>
      </c>
      <c r="E2496" s="4">
        <v>1.0</v>
      </c>
      <c r="F2496" s="4" t="str">
        <f>IFERROR(__xludf.DUMMYFUNCTION("GOOGLETRANSLATE(D2496)"),"觀看這個機場在一分鐘內被沙塵暴吞沒 http://t.co/1tr2KvXCTW")</f>
        <v>觀看這個機場在一分鐘內被沙塵暴吞沒 http://t.co/1tr2KvXCTW</v>
      </c>
      <c r="G2496" s="4" t="str">
        <f>IFERROR(__xludf.DUMMYFUNCTION("GOOGLETRANSLATE(B2496)"),"沙暴")</f>
        <v>沙暴</v>
      </c>
    </row>
    <row r="2497" ht="15.75" customHeight="1">
      <c r="A2497" s="4">
        <v>8412.0</v>
      </c>
      <c r="B2497" s="4" t="s">
        <v>3836</v>
      </c>
      <c r="C2497" s="4" t="s">
        <v>38</v>
      </c>
      <c r="D2497" s="4" t="s">
        <v>3852</v>
      </c>
      <c r="E2497" s="4">
        <v>1.0</v>
      </c>
      <c r="F2497" s="4" t="str">
        <f>IFERROR(__xludf.DUMMYFUNCTION("GOOGLETRANSLATE(D2497)"),"觀看這個機場在一分鐘內被沙塵暴吞沒 http://t.co/Q0X7e84R4e")</f>
        <v>觀看這個機場在一分鐘內被沙塵暴吞沒 http://t.co/Q0X7e84R4e</v>
      </c>
      <c r="G2497" s="4" t="str">
        <f>IFERROR(__xludf.DUMMYFUNCTION("GOOGLETRANSLATE(B2497)"),"沙暴")</f>
        <v>沙暴</v>
      </c>
    </row>
    <row r="2498" ht="15.75" customHeight="1">
      <c r="A2498" s="4">
        <v>8415.0</v>
      </c>
      <c r="B2498" s="4" t="s">
        <v>3836</v>
      </c>
      <c r="C2498" s="4" t="s">
        <v>3853</v>
      </c>
      <c r="D2498" s="4" t="s">
        <v>3854</v>
      </c>
      <c r="E2498" s="4">
        <v>1.0</v>
      </c>
      <c r="F2498" s="4" t="str">
        <f>IFERROR(__xludf.DUMMYFUNCTION("GOOGLETRANSLATE(D2498)"),"SocialWOTS：GLOBI_inclusion：RT NRC_MiddleEast：沙塵暴吞沒了 #Zaatari 難民營中的大篷車和帳篷 Û_ http://t.co/XBNLSBzzgI")</f>
        <v>SocialWOTS：GLOBI_inclusion：RT NRC_MiddleEast：沙塵暴吞沒了 #Zaatari 難民營中的大篷車和帳篷 Û_ http://t.co/XBNLSBzzgI</v>
      </c>
      <c r="G2498" s="4" t="str">
        <f>IFERROR(__xludf.DUMMYFUNCTION("GOOGLETRANSLATE(B2498)"),"沙暴")</f>
        <v>沙暴</v>
      </c>
    </row>
    <row r="2499" ht="15.75" customHeight="1">
      <c r="A2499" s="4">
        <v>8416.0</v>
      </c>
      <c r="B2499" s="4" t="s">
        <v>3836</v>
      </c>
      <c r="C2499" s="4" t="s">
        <v>627</v>
      </c>
      <c r="D2499" s="4" t="s">
        <v>3855</v>
      </c>
      <c r="E2499" s="4">
        <v>1.0</v>
      </c>
      <c r="F2499" s="4" t="str">
        <f>IFERROR(__xludf.DUMMYFUNCTION("GOOGLETRANSLATE(D2499)"),"觀看這個機場在一分鐘內被沙塵暴吞沒 http://t.co/H84R1TIh8J")</f>
        <v>觀看這個機場在一分鐘內被沙塵暴吞沒 http://t.co/H84R1TIh8J</v>
      </c>
      <c r="G2499" s="4" t="str">
        <f>IFERROR(__xludf.DUMMYFUNCTION("GOOGLETRANSLATE(B2499)"),"沙暴")</f>
        <v>沙暴</v>
      </c>
    </row>
    <row r="2500" ht="15.75" customHeight="1">
      <c r="A2500" s="4">
        <v>8418.0</v>
      </c>
      <c r="B2500" s="4" t="s">
        <v>3836</v>
      </c>
      <c r="C2500" s="4" t="s">
        <v>38</v>
      </c>
      <c r="D2500" s="4" t="s">
        <v>3856</v>
      </c>
      <c r="E2500" s="4">
        <v>1.0</v>
      </c>
      <c r="F2500" s="4" t="str">
        <f>IFERROR(__xludf.DUMMYFUNCTION("GOOGLETRANSLATE(D2500)"),"觀看這個機場在一分鐘內被沙塵暴吞沒 http://t.co/sEquWmvFx4")</f>
        <v>觀看這個機場在一分鐘內被沙塵暴吞沒 http://t.co/sEquWmvFx4</v>
      </c>
      <c r="G2500" s="4" t="str">
        <f>IFERROR(__xludf.DUMMYFUNCTION("GOOGLETRANSLATE(B2500)"),"沙暴")</f>
        <v>沙暴</v>
      </c>
    </row>
    <row r="2501" ht="15.75" customHeight="1">
      <c r="A2501" s="4">
        <v>8419.0</v>
      </c>
      <c r="B2501" s="4" t="s">
        <v>3836</v>
      </c>
      <c r="C2501" s="4" t="s">
        <v>38</v>
      </c>
      <c r="D2501" s="4" t="s">
        <v>3857</v>
      </c>
      <c r="E2501" s="4">
        <v>1.0</v>
      </c>
      <c r="F2501" s="4" t="str">
        <f>IFERROR(__xludf.DUMMYFUNCTION("GOOGLETRANSLATE(D2501)"),"觀看這個機場在一分鐘內被沙塵暴吞沒 http://t.co/akNyNPv461")</f>
        <v>觀看這個機場在一分鐘內被沙塵暴吞沒 http://t.co/akNyNPv461</v>
      </c>
      <c r="G2501" s="4" t="str">
        <f>IFERROR(__xludf.DUMMYFUNCTION("GOOGLETRANSLATE(B2501)"),"沙暴")</f>
        <v>沙暴</v>
      </c>
    </row>
    <row r="2502" ht="15.75" customHeight="1">
      <c r="A2502" s="4">
        <v>8422.0</v>
      </c>
      <c r="B2502" s="4" t="s">
        <v>3836</v>
      </c>
      <c r="C2502" s="4" t="s">
        <v>38</v>
      </c>
      <c r="D2502" s="4" t="s">
        <v>3858</v>
      </c>
      <c r="E2502" s="4">
        <v>1.0</v>
      </c>
      <c r="F2502" s="4" t="str">
        <f>IFERROR(__xludf.DUMMYFUNCTION("GOOGLETRANSLATE(D2502)"),"觀看這個機場在一分鐘內被沙塵暴吞沒 http://t.co/C9t2F6DLtM")</f>
        <v>觀看這個機場在一分鐘內被沙塵暴吞沒 http://t.co/C9t2F6DLtM</v>
      </c>
      <c r="G2502" s="4" t="str">
        <f>IFERROR(__xludf.DUMMYFUNCTION("GOOGLETRANSLATE(B2502)"),"沙暴")</f>
        <v>沙暴</v>
      </c>
    </row>
    <row r="2503" ht="15.75" customHeight="1">
      <c r="A2503" s="4">
        <v>8423.0</v>
      </c>
      <c r="B2503" s="4" t="s">
        <v>3836</v>
      </c>
      <c r="C2503" s="4" t="s">
        <v>38</v>
      </c>
      <c r="D2503" s="4" t="s">
        <v>3859</v>
      </c>
      <c r="E2503" s="4">
        <v>1.0</v>
      </c>
      <c r="F2503" s="4" t="str">
        <f>IFERROR(__xludf.DUMMYFUNCTION("GOOGLETRANSLATE(D2503)"),"觀看這個機場在一分鐘內被沙塵暴吞沒 http://t.co/xSZicdWxq0")</f>
        <v>觀看這個機場在一分鐘內被沙塵暴吞沒 http://t.co/xSZicdWxq0</v>
      </c>
      <c r="G2503" s="4" t="str">
        <f>IFERROR(__xludf.DUMMYFUNCTION("GOOGLETRANSLATE(B2503)"),"沙暴")</f>
        <v>沙暴</v>
      </c>
    </row>
    <row r="2504" ht="15.75" customHeight="1">
      <c r="A2504" s="4">
        <v>8428.0</v>
      </c>
      <c r="B2504" s="4" t="s">
        <v>3836</v>
      </c>
      <c r="C2504" s="4" t="s">
        <v>38</v>
      </c>
      <c r="D2504" s="4" t="s">
        <v>3860</v>
      </c>
      <c r="E2504" s="4">
        <v>1.0</v>
      </c>
      <c r="F2504" s="4" t="str">
        <f>IFERROR(__xludf.DUMMYFUNCTION("GOOGLETRANSLATE(D2504)"),"觀看這個機場在一分鐘內被沙塵暴吞沒 http://t.co/qr6BtDCqCj")</f>
        <v>觀看這個機場在一分鐘內被沙塵暴吞沒 http://t.co/qr6BtDCqCj</v>
      </c>
      <c r="G2504" s="4" t="str">
        <f>IFERROR(__xludf.DUMMYFUNCTION("GOOGLETRANSLATE(B2504)"),"沙暴")</f>
        <v>沙暴</v>
      </c>
    </row>
    <row r="2505" ht="15.75" customHeight="1">
      <c r="A2505" s="4">
        <v>8429.0</v>
      </c>
      <c r="B2505" s="4" t="s">
        <v>3836</v>
      </c>
      <c r="D2505" s="4" t="s">
        <v>3861</v>
      </c>
      <c r="E2505" s="4">
        <v>1.0</v>
      </c>
      <c r="F2505" s="4" t="str">
        <f>IFERROR(__xludf.DUMMYFUNCTION("GOOGLETRANSLATE(D2505)"),"觀看這個機場在一分鐘內被沙塵暴吞沒 http://t.co/wD9ODwjj9L")</f>
        <v>觀看這個機場在一分鐘內被沙塵暴吞沒 http://t.co/wD9ODwjj9L</v>
      </c>
      <c r="G2505" s="4" t="str">
        <f>IFERROR(__xludf.DUMMYFUNCTION("GOOGLETRANSLATE(B2505)"),"沙暴")</f>
        <v>沙暴</v>
      </c>
    </row>
    <row r="2506" ht="15.75" customHeight="1">
      <c r="A2506" s="4">
        <v>8431.0</v>
      </c>
      <c r="B2506" s="4" t="s">
        <v>3836</v>
      </c>
      <c r="C2506" s="4" t="s">
        <v>38</v>
      </c>
      <c r="D2506" s="4" t="s">
        <v>3862</v>
      </c>
      <c r="E2506" s="4">
        <v>1.0</v>
      </c>
      <c r="F2506" s="4" t="str">
        <f>IFERROR(__xludf.DUMMYFUNCTION("GOOGLETRANSLATE(D2506)"),"觀看這個機場在一分鐘內被沙塵暴吞沒 http://t.co/87H5MbA3N1")</f>
        <v>觀看這個機場在一分鐘內被沙塵暴吞沒 http://t.co/87H5MbA3N1</v>
      </c>
      <c r="G2506" s="4" t="str">
        <f>IFERROR(__xludf.DUMMYFUNCTION("GOOGLETRANSLATE(B2506)"),"沙暴")</f>
        <v>沙暴</v>
      </c>
    </row>
    <row r="2507" ht="15.75" customHeight="1">
      <c r="A2507" s="4">
        <v>8432.0</v>
      </c>
      <c r="B2507" s="4" t="s">
        <v>3836</v>
      </c>
      <c r="C2507" s="4" t="s">
        <v>38</v>
      </c>
      <c r="D2507" s="4" t="s">
        <v>3863</v>
      </c>
      <c r="E2507" s="4">
        <v>1.0</v>
      </c>
      <c r="F2507" s="4" t="str">
        <f>IFERROR(__xludf.DUMMYFUNCTION("GOOGLETRANSLATE(D2507)"),"觀看這個機場在一分鐘內被沙塵暴吞沒 http://t.co/8L4RFFZD0P")</f>
        <v>觀看這個機場在一分鐘內被沙塵暴吞沒 http://t.co/8L4RFFZD0P</v>
      </c>
      <c r="G2507" s="4" t="str">
        <f>IFERROR(__xludf.DUMMYFUNCTION("GOOGLETRANSLATE(B2507)"),"沙暴")</f>
        <v>沙暴</v>
      </c>
    </row>
    <row r="2508" ht="15.75" customHeight="1">
      <c r="A2508" s="4">
        <v>8433.0</v>
      </c>
      <c r="B2508" s="4" t="s">
        <v>3836</v>
      </c>
      <c r="C2508" s="4" t="s">
        <v>38</v>
      </c>
      <c r="D2508" s="4" t="s">
        <v>3864</v>
      </c>
      <c r="E2508" s="4">
        <v>1.0</v>
      </c>
      <c r="F2508" s="4" t="str">
        <f>IFERROR(__xludf.DUMMYFUNCTION("GOOGLETRANSLATE(D2508)"),"觀看這個機場在一分鐘內被沙塵暴吞沒 http://t.co/TvYQczGJdy")</f>
        <v>觀看這個機場在一分鐘內被沙塵暴吞沒 http://t.co/TvYQczGJdy</v>
      </c>
      <c r="G2508" s="4" t="str">
        <f>IFERROR(__xludf.DUMMYFUNCTION("GOOGLETRANSLATE(B2508)"),"沙暴")</f>
        <v>沙暴</v>
      </c>
    </row>
    <row r="2509" ht="15.75" customHeight="1">
      <c r="A2509" s="4">
        <v>8434.0</v>
      </c>
      <c r="B2509" s="4" t="s">
        <v>3836</v>
      </c>
      <c r="C2509" s="4" t="s">
        <v>2176</v>
      </c>
      <c r="D2509" s="4" t="s">
        <v>3865</v>
      </c>
      <c r="E2509" s="4">
        <v>1.0</v>
      </c>
      <c r="F2509" s="4" t="str">
        <f>IFERROR(__xludf.DUMMYFUNCTION("GOOGLETRANSLATE(D2509)"),"8 月 15 日在 Lower Woodland 參加 Sandstorm 選拔賽！
MS 試用：下午 3-4:30
HS 試訓：下午 4:30-6")</f>
        <v>8 月 15 日在 Lower Woodland 參加 Sandstorm 選拔賽！
MS 試用：下午 3-4:30
HS 試訓：下午 4:30-6</v>
      </c>
      <c r="G2509" s="4" t="str">
        <f>IFERROR(__xludf.DUMMYFUNCTION("GOOGLETRANSLATE(B2509)"),"沙暴")</f>
        <v>沙暴</v>
      </c>
    </row>
    <row r="2510" ht="15.75" customHeight="1">
      <c r="A2510" s="4">
        <v>8435.0</v>
      </c>
      <c r="B2510" s="4" t="s">
        <v>3836</v>
      </c>
      <c r="C2510" s="4" t="s">
        <v>38</v>
      </c>
      <c r="D2510" s="4" t="s">
        <v>3866</v>
      </c>
      <c r="E2510" s="4">
        <v>1.0</v>
      </c>
      <c r="F2510" s="4" t="str">
        <f>IFERROR(__xludf.DUMMYFUNCTION("GOOGLETRANSLATE(D2510)"),"觀看這個機場在一分鐘內被沙塵暴吞沒 http://t.co/BB7TTdVJWE")</f>
        <v>觀看這個機場在一分鐘內被沙塵暴吞沒 http://t.co/BB7TTdVJWE</v>
      </c>
      <c r="G2510" s="4" t="str">
        <f>IFERROR(__xludf.DUMMYFUNCTION("GOOGLETRANSLATE(B2510)"),"沙暴")</f>
        <v>沙暴</v>
      </c>
    </row>
    <row r="2511" ht="15.75" customHeight="1">
      <c r="A2511" s="4">
        <v>8441.0</v>
      </c>
      <c r="B2511" s="4" t="s">
        <v>3836</v>
      </c>
      <c r="C2511" s="4" t="s">
        <v>38</v>
      </c>
      <c r="D2511" s="4" t="s">
        <v>3867</v>
      </c>
      <c r="E2511" s="4">
        <v>1.0</v>
      </c>
      <c r="F2511" s="4" t="str">
        <f>IFERROR(__xludf.DUMMYFUNCTION("GOOGLETRANSLATE(D2511)"),"觀看這個機場在一分鐘內被沙塵暴吞沒 http://t.co/bgM4cSrbVd")</f>
        <v>觀看這個機場在一分鐘內被沙塵暴吞沒 http://t.co/bgM4cSrbVd</v>
      </c>
      <c r="G2511" s="4" t="str">
        <f>IFERROR(__xludf.DUMMYFUNCTION("GOOGLETRANSLATE(B2511)"),"沙暴")</f>
        <v>沙暴</v>
      </c>
    </row>
    <row r="2512" ht="15.75" customHeight="1">
      <c r="A2512" s="4">
        <v>8448.0</v>
      </c>
      <c r="B2512" s="4" t="s">
        <v>3868</v>
      </c>
      <c r="C2512" s="4" t="s">
        <v>3869</v>
      </c>
      <c r="D2512" s="4" t="s">
        <v>3870</v>
      </c>
      <c r="E2512" s="4">
        <v>1.0</v>
      </c>
      <c r="F2512" s="4" t="str">
        <f>IFERROR(__xludf.DUMMYFUNCTION("GOOGLETRANSLATE(D2512)"),"@GodOf_Mischief_ - 她把洛基的匕首拔出來，塞進米娜的大腿裡。當米娜尖叫著抓住她的腿時——")</f>
        <v>@GodOf_Mischief_ - 她把洛基的匕首拔出來，塞進米娜的大腿裡。當米娜尖叫著抓住她的腿時——</v>
      </c>
      <c r="G2512" s="4" t="str">
        <f>IFERROR(__xludf.DUMMYFUNCTION("GOOGLETRANSLATE(B2512)"),"尖叫著")</f>
        <v>尖叫著</v>
      </c>
    </row>
    <row r="2513" ht="15.75" customHeight="1">
      <c r="A2513" s="4">
        <v>8450.0</v>
      </c>
      <c r="B2513" s="4" t="s">
        <v>3868</v>
      </c>
      <c r="C2513" s="4" t="s">
        <v>3871</v>
      </c>
      <c r="D2513" s="4" t="s">
        <v>3872</v>
      </c>
      <c r="E2513" s="4">
        <v>1.0</v>
      </c>
      <c r="F2513" s="4" t="str">
        <f>IFERROR(__xludf.DUMMYFUNCTION("GOOGLETRANSLATE(D2513)"),"天哪？？
沒想到Drag Me Down是Pandora演奏的第一首歌
我的天哪，我尖叫得太大聲了
我的同事很害怕 http://t.co/VzcvAdkcQp")</f>
        <v>天哪？？
沒想到Drag Me Down是Pandora演奏的第一首歌
我的天哪，我尖叫得太大聲了
我的同事很害怕 http://t.co/VzcvAdkcQp</v>
      </c>
      <c r="G2513" s="4" t="str">
        <f>IFERROR(__xludf.DUMMYFUNCTION("GOOGLETRANSLATE(B2513)"),"尖叫著")</f>
        <v>尖叫著</v>
      </c>
    </row>
    <row r="2514" ht="15.75" customHeight="1">
      <c r="A2514" s="4">
        <v>8472.0</v>
      </c>
      <c r="B2514" s="4" t="s">
        <v>3868</v>
      </c>
      <c r="C2514" s="4" t="s">
        <v>3873</v>
      </c>
      <c r="D2514" s="4" t="s">
        <v>3874</v>
      </c>
      <c r="E2514" s="4">
        <v>1.0</v>
      </c>
      <c r="F2514" s="4" t="str">
        <f>IFERROR(__xludf.DUMMYFUNCTION("GOOGLETRANSLATE(D2514)"),"假期更新：在我害怕地尖叫後，我的姑姑徒手殺死了一隻蜘蛛。 ＃兇猛的")</f>
        <v>假期更新：在我害怕地尖叫後，我的姑姑徒手殺死了一隻蜘蛛。 ＃兇猛的</v>
      </c>
      <c r="G2514" s="4" t="str">
        <f>IFERROR(__xludf.DUMMYFUNCTION("GOOGLETRANSLATE(B2514)"),"尖叫著")</f>
        <v>尖叫著</v>
      </c>
    </row>
    <row r="2515" ht="15.75" customHeight="1">
      <c r="A2515" s="4">
        <v>8489.0</v>
      </c>
      <c r="B2515" s="4" t="s">
        <v>3868</v>
      </c>
      <c r="C2515" s="4" t="s">
        <v>3875</v>
      </c>
      <c r="D2515" s="4" t="s">
        <v>3876</v>
      </c>
      <c r="E2515" s="4">
        <v>1.0</v>
      </c>
      <c r="F2515" s="4" t="str">
        <f>IFERROR(__xludf.DUMMYFUNCTION("GOOGLETRANSLATE(D2515)"),"我剛剛尖叫了@toddyrockstar http://t.co/JDtPirnm76")</f>
        <v>我剛剛尖叫了@toddyrockstar http://t.co/JDtPirnm76</v>
      </c>
      <c r="G2515" s="4" t="str">
        <f>IFERROR(__xludf.DUMMYFUNCTION("GOOGLETRANSLATE(B2515)"),"尖叫著")</f>
        <v>尖叫著</v>
      </c>
    </row>
    <row r="2516" ht="15.75" customHeight="1">
      <c r="A2516" s="4">
        <v>8500.0</v>
      </c>
      <c r="B2516" s="4" t="s">
        <v>3877</v>
      </c>
      <c r="C2516" s="4" t="s">
        <v>3878</v>
      </c>
      <c r="D2516" s="4" t="s">
        <v>3879</v>
      </c>
      <c r="E2516" s="4">
        <v>1.0</v>
      </c>
      <c r="F2516" s="4" t="str">
        <f>IFERROR(__xludf.DUMMYFUNCTION("GOOGLETRANSLATE(D2516)"),"@camilacabello97 內部和外部尖叫")</f>
        <v>@camilacabello97 內部和外部尖叫</v>
      </c>
      <c r="G2516" s="4" t="str">
        <f>IFERROR(__xludf.DUMMYFUNCTION("GOOGLETRANSLATE(B2516)"),"尖叫")</f>
        <v>尖叫</v>
      </c>
    </row>
    <row r="2517" ht="15.75" customHeight="1">
      <c r="A2517" s="4">
        <v>8528.0</v>
      </c>
      <c r="B2517" s="4" t="s">
        <v>3877</v>
      </c>
      <c r="D2517" s="4" t="s">
        <v>3880</v>
      </c>
      <c r="E2517" s="4">
        <v>1.0</v>
      </c>
      <c r="F2517" s="4" t="str">
        <f>IFERROR(__xludf.DUMMYFUNCTION("GOOGLETRANSLATE(D2517)"),"#NoChill盧克漢明斯
我正在喊叫")</f>
        <v>#NoChill盧克漢明斯
我正在喊叫</v>
      </c>
      <c r="G2517" s="4" t="str">
        <f>IFERROR(__xludf.DUMMYFUNCTION("GOOGLETRANSLATE(B2517)"),"尖叫")</f>
        <v>尖叫</v>
      </c>
    </row>
    <row r="2518" ht="15.75" customHeight="1">
      <c r="A2518" s="4">
        <v>8545.0</v>
      </c>
      <c r="B2518" s="4" t="s">
        <v>3881</v>
      </c>
      <c r="C2518" s="4" t="s">
        <v>3882</v>
      </c>
      <c r="D2518" s="4" t="s">
        <v>3883</v>
      </c>
      <c r="E2518" s="4">
        <v>1.0</v>
      </c>
      <c r="F2518" s="4" t="str">
        <f>IFERROR(__xludf.DUMMYFUNCTION("GOOGLETRANSLATE(D2518)"),"//遠處傳來尖叫聲// http://t.co/Cfe9HUQN0h")</f>
        <v>//遠處傳來尖叫聲// http://t.co/Cfe9HUQN0h</v>
      </c>
      <c r="G2518" s="4" t="str">
        <f>IFERROR(__xludf.DUMMYFUNCTION("GOOGLETRANSLATE(B2518)"),"尖叫聲")</f>
        <v>尖叫聲</v>
      </c>
    </row>
    <row r="2519" ht="15.75" customHeight="1">
      <c r="A2519" s="4">
        <v>8577.0</v>
      </c>
      <c r="B2519" s="4" t="s">
        <v>3881</v>
      </c>
      <c r="C2519" s="4" t="s">
        <v>3884</v>
      </c>
      <c r="D2519" s="4" t="s">
        <v>3885</v>
      </c>
      <c r="E2519" s="4">
        <v>1.0</v>
      </c>
      <c r="F2519" s="4" t="str">
        <f>IFERROR(__xludf.DUMMYFUNCTION("GOOGLETRANSLATE(D2519)"),"@OllyMursAus 我確實為他感到難過！他不是一塊肉！他是個好人……人們不需要沖他衝他，當著他的面尖叫！")</f>
        <v>@OllyMursAus 我確實為他感到難過！他不是一塊肉！他是個好人……人們不需要沖他衝他，當著他的面尖叫！</v>
      </c>
      <c r="G2519" s="4" t="str">
        <f>IFERROR(__xludf.DUMMYFUNCTION("GOOGLETRANSLATE(B2519)"),"尖叫聲")</f>
        <v>尖叫聲</v>
      </c>
    </row>
    <row r="2520" ht="15.75" customHeight="1">
      <c r="A2520" s="4">
        <v>8578.0</v>
      </c>
      <c r="B2520" s="4" t="s">
        <v>3881</v>
      </c>
      <c r="C2520" s="4" t="s">
        <v>3886</v>
      </c>
      <c r="D2520" s="4" t="s">
        <v>3887</v>
      </c>
      <c r="E2520" s="4">
        <v>1.0</v>
      </c>
      <c r="F2520" s="4" t="str">
        <f>IFERROR(__xludf.DUMMYFUNCTION("GOOGLETRANSLATE(D2520)"),"我同意某些文化挪用的事情，但老實說，如果你看看我的房子，你會尖叫著挪用佛陀之類的東西——")</f>
        <v>我同意某些文化挪用的事情，但老實說，如果你看看我的房子，你會尖叫著挪用佛陀之類的東西——</v>
      </c>
      <c r="G2520" s="4" t="str">
        <f>IFERROR(__xludf.DUMMYFUNCTION("GOOGLETRANSLATE(B2520)"),"尖叫聲")</f>
        <v>尖叫聲</v>
      </c>
    </row>
    <row r="2521" ht="15.75" customHeight="1">
      <c r="A2521" s="4">
        <v>8584.0</v>
      </c>
      <c r="B2521" s="4" t="s">
        <v>3881</v>
      </c>
      <c r="C2521" s="4" t="s">
        <v>3888</v>
      </c>
      <c r="D2521" s="4" t="s">
        <v>3889</v>
      </c>
      <c r="E2521" s="4">
        <v>1.0</v>
      </c>
      <c r="F2521" s="4" t="str">
        <f>IFERROR(__xludf.DUMMYFUNCTION("GOOGLETRANSLATE(D2521)"),"當你去聽一場音樂會，有人在你耳邊尖叫……看起來我很快就會失去聽力？？？")</f>
        <v>當你去聽一場音樂會，有人在你耳邊尖叫……看起來我很快就會失去聽力？？？</v>
      </c>
      <c r="G2521" s="4" t="str">
        <f>IFERROR(__xludf.DUMMYFUNCTION("GOOGLETRANSLATE(B2521)"),"尖叫聲")</f>
        <v>尖叫聲</v>
      </c>
    </row>
    <row r="2522" ht="15.75" customHeight="1">
      <c r="A2522" s="4">
        <v>8586.0</v>
      </c>
      <c r="B2522" s="4" t="s">
        <v>3881</v>
      </c>
      <c r="C2522" s="4" t="s">
        <v>231</v>
      </c>
      <c r="D2522" s="4" t="s">
        <v>3890</v>
      </c>
      <c r="E2522" s="4">
        <v>1.0</v>
      </c>
      <c r="F2522" s="4" t="str">
        <f>IFERROR(__xludf.DUMMYFUNCTION("GOOGLETRANSLATE(D2522)"),"我旁邊的小女孩看到天空中的聚光燈，尖叫道：“媽媽！”看，我看到天上有天使！” ????")</f>
        <v>我旁邊的小女孩看到天空中的聚光燈，尖叫道：“媽媽！”看，我看到天上有天使！” ????</v>
      </c>
      <c r="G2522" s="4" t="str">
        <f>IFERROR(__xludf.DUMMYFUNCTION("GOOGLETRANSLATE(B2522)"),"尖叫聲")</f>
        <v>尖叫聲</v>
      </c>
    </row>
    <row r="2523" ht="15.75" customHeight="1">
      <c r="A2523" s="4">
        <v>8595.0</v>
      </c>
      <c r="B2523" s="4" t="s">
        <v>3891</v>
      </c>
      <c r="C2523" s="4" t="s">
        <v>3892</v>
      </c>
      <c r="D2523" s="4" t="s">
        <v>3893</v>
      </c>
      <c r="E2523" s="4">
        <v>1.0</v>
      </c>
      <c r="F2523" s="4" t="str">
        <f>IFERROR(__xludf.DUMMYFUNCTION("GOOGLETRANSLATE(D2523)"),"石油和天然氣勘探 http://t.co/PckF0nl2yN")</f>
        <v>石油和天然氣勘探 http://t.co/PckF0nl2yN</v>
      </c>
      <c r="G2523" s="4" t="str">
        <f>IFERROR(__xludf.DUMMYFUNCTION("GOOGLETRANSLATE(B2523)"),"地震")</f>
        <v>地震</v>
      </c>
    </row>
    <row r="2524" ht="15.75" customHeight="1">
      <c r="A2524" s="4">
        <v>8598.0</v>
      </c>
      <c r="B2524" s="4" t="s">
        <v>3891</v>
      </c>
      <c r="D2524" s="4" t="s">
        <v>3894</v>
      </c>
      <c r="E2524" s="4">
        <v>1.0</v>
      </c>
      <c r="F2524" s="4" t="str">
        <f>IFERROR(__xludf.DUMMYFUNCTION("GOOGLETRANSLATE(D2524)"),"地震風險：兩個案例研究之間的比較：卡拉布里亞和馬耳他 http://t.co/HmRtqEykyI")</f>
        <v>地震風險：兩個案例研究之間的比較：卡拉布里亞和馬耳他 http://t.co/HmRtqEykyI</v>
      </c>
      <c r="G2524" s="4" t="str">
        <f>IFERROR(__xludf.DUMMYFUNCTION("GOOGLETRANSLATE(B2524)"),"地震")</f>
        <v>地震</v>
      </c>
    </row>
    <row r="2525" ht="15.75" customHeight="1">
      <c r="A2525" s="4">
        <v>8606.0</v>
      </c>
      <c r="B2525" s="4" t="s">
        <v>3891</v>
      </c>
      <c r="C2525" s="4" t="s">
        <v>3895</v>
      </c>
      <c r="D2525" s="4" t="s">
        <v>3896</v>
      </c>
      <c r="E2525" s="4">
        <v>1.0</v>
      </c>
      <c r="F2525" s="4" t="str">
        <f>IFERROR(__xludf.DUMMYFUNCTION("GOOGLETRANSLATE(D2525)"),"勘探帶來#Gabon 到 #Somalia 的地震轉變 http://t.co/kLtIt88AS3")</f>
        <v>勘探帶來#Gabon 到 #Somalia 的地震轉變 http://t.co/kLtIt88AS3</v>
      </c>
      <c r="G2525" s="4" t="str">
        <f>IFERROR(__xludf.DUMMYFUNCTION("GOOGLETRANSLATE(B2525)"),"地震")</f>
        <v>地震</v>
      </c>
    </row>
    <row r="2526" ht="15.75" customHeight="1">
      <c r="A2526" s="4">
        <v>8609.0</v>
      </c>
      <c r="B2526" s="4" t="s">
        <v>3891</v>
      </c>
      <c r="D2526" s="4" t="s">
        <v>3897</v>
      </c>
      <c r="E2526" s="4">
        <v>1.0</v>
      </c>
      <c r="F2526" s="4" t="str">
        <f>IFERROR(__xludf.DUMMYFUNCTION("GOOGLETRANSLATE(D2526)"),"2015 年 8 月 6 日阿拉巴馬州地震摘要與 #earthquake #news &amp;amp;歷史 http://t.co/zM6VcZqvWk http://t.co/DKNlZNom6n")</f>
        <v>2015 年 8 月 6 日阿拉巴馬州地震摘要與 #earthquake #news &amp;amp;歷史 http://t.co/zM6VcZqvWk http://t.co/DKNlZNom6n</v>
      </c>
      <c r="G2526" s="4" t="str">
        <f>IFERROR(__xludf.DUMMYFUNCTION("GOOGLETRANSLATE(B2526)"),"地震")</f>
        <v>地震</v>
      </c>
    </row>
    <row r="2527" ht="15.75" customHeight="1">
      <c r="A2527" s="4">
        <v>8615.0</v>
      </c>
      <c r="B2527" s="4" t="s">
        <v>3891</v>
      </c>
      <c r="D2527" s="4" t="s">
        <v>3898</v>
      </c>
      <c r="E2527" s="4">
        <v>1.0</v>
      </c>
      <c r="F2527" s="4" t="str">
        <f>IFERROR(__xludf.DUMMYFUNCTION("GOOGLETRANSLATE(D2527)"),"#Sismo DETECTADO #JapÌ_n [報告 1] 01:01:56 沖繩島地區 M4.0 深度 10km 最大地震強度 3 JST #??")</f>
        <v>#Sismo DETECTADO #JapÌ_n [報告 1] 01:01:56 沖繩島地區 M4.0 深度 10km 最大地震強度 3 JST #??</v>
      </c>
      <c r="G2527" s="4" t="str">
        <f>IFERROR(__xludf.DUMMYFUNCTION("GOOGLETRANSLATE(B2527)"),"地震")</f>
        <v>地震</v>
      </c>
    </row>
    <row r="2528" ht="15.75" customHeight="1">
      <c r="A2528" s="4">
        <v>8620.0</v>
      </c>
      <c r="B2528" s="4" t="s">
        <v>3891</v>
      </c>
      <c r="C2528" s="4" t="s">
        <v>3474</v>
      </c>
      <c r="D2528" s="4" t="s">
        <v>3899</v>
      </c>
      <c r="E2528" s="4">
        <v>1.0</v>
      </c>
      <c r="F2528" s="4" t="str">
        <f>IFERROR(__xludf.DUMMYFUNCTION("GOOGLETRANSLATE(D2528)"),"【報告5】18:22:45 茨城縣近海 M5.5 深度 60km 最大地震強度 4 #地震")</f>
        <v>【報告5】18:22:45 茨城縣近海 M5.5 深度 60km 最大地震強度 4 #地震</v>
      </c>
      <c r="G2528" s="4" t="str">
        <f>IFERROR(__xludf.DUMMYFUNCTION("GOOGLETRANSLATE(B2528)"),"地震")</f>
        <v>地震</v>
      </c>
    </row>
    <row r="2529" ht="15.75" customHeight="1">
      <c r="A2529" s="4">
        <v>8623.0</v>
      </c>
      <c r="B2529" s="4" t="s">
        <v>3891</v>
      </c>
      <c r="C2529" s="4" t="s">
        <v>3900</v>
      </c>
      <c r="D2529" s="4" t="s">
        <v>3901</v>
      </c>
      <c r="E2529" s="4">
        <v>1.0</v>
      </c>
      <c r="F2529" s="4" t="str">
        <f>IFERROR(__xludf.DUMMYFUNCTION("GOOGLETRANSLATE(D2529)"),"石油和天然氣勘探從加彭轉向索馬利亞 - 彭博社 http://t.co/bEKrPjnYHs #??????? #索馬利亞")</f>
        <v>石油和天然氣勘探從加彭轉向索馬利亞 - 彭博社 http://t.co/bEKrPjnYHs #??????? #索馬利亞</v>
      </c>
      <c r="G2529" s="4" t="str">
        <f>IFERROR(__xludf.DUMMYFUNCTION("GOOGLETRANSLATE(B2529)"),"地震")</f>
        <v>地震</v>
      </c>
    </row>
    <row r="2530" ht="15.75" customHeight="1">
      <c r="A2530" s="4">
        <v>8625.0</v>
      </c>
      <c r="B2530" s="4" t="s">
        <v>3891</v>
      </c>
      <c r="D2530" s="4" t="s">
        <v>3902</v>
      </c>
      <c r="E2530" s="4">
        <v>1.0</v>
      </c>
      <c r="F2530" s="4" t="str">
        <f>IFERROR(__xludf.DUMMYFUNCTION("GOOGLETRANSLATE(D2530)"),"#Sismo DETECTADO #JapÌ_n [報告3] 01:02:17 沖繩島地區 M3.8 深度 10km 最大地震強度 3 JST #??")</f>
        <v>#Sismo DETECTADO #JapÌ_n [報告3] 01:02:17 沖繩島地區 M3.8 深度 10km 最大地震強度 3 JST #??</v>
      </c>
      <c r="G2530" s="4" t="str">
        <f>IFERROR(__xludf.DUMMYFUNCTION("GOOGLETRANSLATE(B2530)"),"地震")</f>
        <v>地震</v>
      </c>
    </row>
    <row r="2531" ht="15.75" customHeight="1">
      <c r="A2531" s="4">
        <v>8631.0</v>
      </c>
      <c r="B2531" s="4" t="s">
        <v>3891</v>
      </c>
      <c r="C2531" s="4" t="s">
        <v>3903</v>
      </c>
      <c r="D2531" s="4" t="s">
        <v>3904</v>
      </c>
      <c r="E2531" s="4">
        <v>1.0</v>
      </c>
      <c r="F2531" s="4" t="str">
        <f>IFERROR(__xludf.DUMMYFUNCTION("GOOGLETRANSLATE(D2531)"),"#OilandGas 勘探將 #Gabon 的地震轉變為 #Somalia http://t.co/oHHolJ9vEV 來自 @business")</f>
        <v>#OilandGas 勘探將 #Gabon 的地震轉變為 #Somalia http://t.co/oHHolJ9vEV 來自 @business</v>
      </c>
      <c r="G2531" s="4" t="str">
        <f>IFERROR(__xludf.DUMMYFUNCTION("GOOGLETRANSLATE(B2531)"),"地震")</f>
        <v>地震</v>
      </c>
    </row>
    <row r="2532" ht="15.75" customHeight="1">
      <c r="A2532" s="4">
        <v>8633.0</v>
      </c>
      <c r="B2532" s="4" t="s">
        <v>3891</v>
      </c>
      <c r="C2532" s="4" t="s">
        <v>3905</v>
      </c>
      <c r="D2532" s="4" t="s">
        <v>3906</v>
      </c>
      <c r="E2532" s="4">
        <v>1.0</v>
      </c>
      <c r="F2532" s="4" t="str">
        <f>IFERROR(__xludf.DUMMYFUNCTION("GOOGLETRANSLATE(D2532)"),"勘探帶來#Gabon 到#Somalia 的地震轉變
http://t.co/Ltf6jL5keU http://t.co/Zlq8tHcTkW")</f>
        <v>勘探帶來#Gabon 到#Somalia 的地震轉變
http://t.co/Ltf6jL5keU http://t.co/Zlq8tHcTkW</v>
      </c>
      <c r="G2532" s="4" t="str">
        <f>IFERROR(__xludf.DUMMYFUNCTION("GOOGLETRANSLATE(B2532)"),"地震")</f>
        <v>地震</v>
      </c>
    </row>
    <row r="2533" ht="15.75" customHeight="1">
      <c r="A2533" s="4">
        <v>8636.0</v>
      </c>
      <c r="B2533" s="4" t="s">
        <v>3891</v>
      </c>
      <c r="C2533" s="4" t="s">
        <v>3907</v>
      </c>
      <c r="D2533" s="4" t="s">
        <v>3908</v>
      </c>
      <c r="E2533" s="4">
        <v>1.0</v>
      </c>
      <c r="F2533" s="4" t="str">
        <f>IFERROR(__xludf.DUMMYFUNCTION("GOOGLETRANSLATE(D2533)"),"地震事件後全景資源公司裁員 http://t.co/mUwmfJGzYh")</f>
        <v>地震事件後全景資源公司裁員 http://t.co/mUwmfJGzYh</v>
      </c>
      <c r="G2533" s="4" t="str">
        <f>IFERROR(__xludf.DUMMYFUNCTION("GOOGLETRANSLATE(B2533)"),"地震")</f>
        <v>地震</v>
      </c>
    </row>
    <row r="2534" ht="15.75" customHeight="1">
      <c r="A2534" s="4">
        <v>8638.0</v>
      </c>
      <c r="B2534" s="4" t="s">
        <v>3891</v>
      </c>
      <c r="D2534" s="4" t="s">
        <v>3909</v>
      </c>
      <c r="E2534" s="4">
        <v>1.0</v>
      </c>
      <c r="F2534" s="4" t="str">
        <f>IFERROR(__xludf.DUMMYFUNCTION("GOOGLETRANSLATE(D2534)"),"法國地震勘探集團 CGG 的一名分包商在開羅被綁架，並被伊斯蘭國扣押。該公司於 WÛ_ 表示")</f>
        <v>法國地震勘探集團 CGG 的一名分包商在開羅被綁架，並被伊斯蘭國扣押。該公司於 WÛ_ 表示</v>
      </c>
      <c r="G2534" s="4" t="str">
        <f>IFERROR(__xludf.DUMMYFUNCTION("GOOGLETRANSLATE(B2534)"),"地震")</f>
        <v>地震</v>
      </c>
    </row>
    <row r="2535" ht="15.75" customHeight="1">
      <c r="A2535" s="4">
        <v>8640.0</v>
      </c>
      <c r="B2535" s="4" t="s">
        <v>3891</v>
      </c>
      <c r="D2535" s="4" t="s">
        <v>3910</v>
      </c>
      <c r="E2535" s="4">
        <v>1.0</v>
      </c>
      <c r="F2535" s="4" t="str">
        <f>IFERROR(__xludf.DUMMYFUNCTION("GOOGLETRANSLATE(D2535)"),"#地震偵測#日本 06:32:43 宮城縣 預計地震強度 0 JST #??")</f>
        <v>#地震偵測#日本 06:32:43 宮城縣 預計地震強度 0 JST #??</v>
      </c>
      <c r="G2535" s="4" t="str">
        <f>IFERROR(__xludf.DUMMYFUNCTION("GOOGLETRANSLATE(B2535)"),"地震")</f>
        <v>地震</v>
      </c>
    </row>
    <row r="2536" ht="15.75" customHeight="1">
      <c r="A2536" s="4">
        <v>8643.0</v>
      </c>
      <c r="B2536" s="4" t="s">
        <v>3911</v>
      </c>
      <c r="D2536" s="4" t="s">
        <v>3912</v>
      </c>
      <c r="E2536" s="4">
        <v>1.0</v>
      </c>
      <c r="F2536" s="4" t="str">
        <f>IFERROR(__xludf.DUMMYFUNCTION("GOOGLETRANSLATE(D2536)"),"MRW 當一個天坑在我和我的朋友下面打開時... #gif #funny #lol #comedy #iFunny #video #image #RT http://t.co/XiYdYfptru")</f>
        <v>MRW 當一個天坑在我和我的朋友下面打開時... #gif #funny #lol #comedy #iFunny #video #image #RT http://t.co/XiYdYfptru</v>
      </c>
      <c r="G2536" s="4" t="str">
        <f>IFERROR(__xludf.DUMMYFUNCTION("GOOGLETRANSLATE(B2536)"),"天坑")</f>
        <v>天坑</v>
      </c>
    </row>
    <row r="2537" ht="15.75" customHeight="1">
      <c r="A2537" s="4">
        <v>8647.0</v>
      </c>
      <c r="B2537" s="4" t="s">
        <v>3911</v>
      </c>
      <c r="C2537" s="4" t="s">
        <v>3913</v>
      </c>
      <c r="D2537" s="4" t="s">
        <v>3914</v>
      </c>
      <c r="E2537" s="4">
        <v>1.0</v>
      </c>
      <c r="F2537" s="4" t="str">
        <f>IFERROR(__xludf.DUMMYFUNCTION("GOOGLETRANSLATE(D2537)"),"喬治亞州朗茲郡的大天坑吞噬了整個池塘：大天坑Û_ http://t.co/bCLDQmMEHg #Occasion2B")</f>
        <v>喬治亞州朗茲郡的大天坑吞噬了整個池塘：大天坑Û_ http://t.co/bCLDQmMEHg #Occasion2B</v>
      </c>
      <c r="G2537" s="4" t="str">
        <f>IFERROR(__xludf.DUMMYFUNCTION("GOOGLETRANSLATE(B2537)"),"天坑")</f>
        <v>天坑</v>
      </c>
    </row>
    <row r="2538" ht="15.75" customHeight="1">
      <c r="A2538" s="4">
        <v>8648.0</v>
      </c>
      <c r="B2538" s="4" t="s">
        <v>3911</v>
      </c>
      <c r="C2538" s="4" t="s">
        <v>3915</v>
      </c>
      <c r="D2538" s="4" t="s">
        <v>3916</v>
      </c>
      <c r="E2538" s="4">
        <v>1.0</v>
      </c>
      <c r="F2538" s="4" t="str">
        <f>IFERROR(__xludf.DUMMYFUNCTION("GOOGLETRANSLATE(D2538)"),"10新聞？總水管破裂中斷電車服務 http://t.co/pAug7a68i0")</f>
        <v>10新聞？總水管破裂中斷電車服務 http://t.co/pAug7a68i0</v>
      </c>
      <c r="G2538" s="4" t="str">
        <f>IFERROR(__xludf.DUMMYFUNCTION("GOOGLETRANSLATE(B2538)"),"天坑")</f>
        <v>天坑</v>
      </c>
    </row>
    <row r="2539" ht="15.75" customHeight="1">
      <c r="A2539" s="4">
        <v>8650.0</v>
      </c>
      <c r="B2539" s="4" t="s">
        <v>3911</v>
      </c>
      <c r="C2539" s="4" t="s">
        <v>2345</v>
      </c>
      <c r="D2539" s="4" t="s">
        <v>3917</v>
      </c>
      <c r="E2539" s="4">
        <v>1.0</v>
      </c>
      <c r="F2539" s="4" t="str">
        <f>IFERROR(__xludf.DUMMYFUNCTION("GOOGLETRANSLATE(D2539)"),"Sinkhole 關閉了伯利恆鎮的 Falmer Drive http://t.co/6TVVlG2fNi")</f>
        <v>Sinkhole 關閉了伯利恆鎮的 Falmer Drive http://t.co/6TVVlG2fNi</v>
      </c>
      <c r="G2539" s="4" t="str">
        <f>IFERROR(__xludf.DUMMYFUNCTION("GOOGLETRANSLATE(B2539)"),"天坑")</f>
        <v>天坑</v>
      </c>
    </row>
    <row r="2540" ht="15.75" customHeight="1">
      <c r="A2540" s="4">
        <v>8651.0</v>
      </c>
      <c r="B2540" s="4" t="s">
        <v>3911</v>
      </c>
      <c r="D2540" s="4" t="s">
        <v>3918</v>
      </c>
      <c r="E2540" s="4">
        <v>1.0</v>
      </c>
      <c r="F2540" s="4" t="str">
        <f>IFERROR(__xludf.DUMMYFUNCTION("GOOGLETRANSLATE(D2540)"),"布魯克林出現天坑：六公尺深的火山口吞噬了街道 http://t.co/gkPrvzQ6lk")</f>
        <v>布魯克林出現天坑：六公尺深的火山口吞噬了街道 http://t.co/gkPrvzQ6lk</v>
      </c>
      <c r="G2540" s="4" t="str">
        <f>IFERROR(__xludf.DUMMYFUNCTION("GOOGLETRANSLATE(B2540)"),"天坑")</f>
        <v>天坑</v>
      </c>
    </row>
    <row r="2541" ht="15.75" customHeight="1">
      <c r="A2541" s="4">
        <v>8654.0</v>
      </c>
      <c r="B2541" s="4" t="s">
        <v>3911</v>
      </c>
      <c r="C2541" s="4" t="s">
        <v>3919</v>
      </c>
      <c r="D2541" s="4" t="s">
        <v>3920</v>
      </c>
      <c r="E2541" s="4">
        <v>1.0</v>
      </c>
      <c r="F2541" s="4" t="str">
        <f>IFERROR(__xludf.DUMMYFUNCTION("GOOGLETRANSLATE(D2541)"),"紐約布魯克林出現巨大的天坑 http://t.co/0xA6FCjyec")</f>
        <v>紐約布魯克林出現巨大的天坑 http://t.co/0xA6FCjyec</v>
      </c>
      <c r="G2541" s="4" t="str">
        <f>IFERROR(__xludf.DUMMYFUNCTION("GOOGLETRANSLATE(B2541)"),"天坑")</f>
        <v>天坑</v>
      </c>
    </row>
    <row r="2542" ht="15.75" customHeight="1">
      <c r="A2542" s="4">
        <v>8655.0</v>
      </c>
      <c r="B2542" s="4" t="s">
        <v>3911</v>
      </c>
      <c r="C2542" s="4" t="s">
        <v>3921</v>
      </c>
      <c r="D2542" s="4" t="s">
        <v>3922</v>
      </c>
      <c r="E2542" s="4">
        <v>1.0</v>
      </c>
      <c r="F2542" s="4" t="str">
        <f>IFERROR(__xludf.DUMMYFUNCTION("GOOGLETRANSLATE(D2542)"),"ÛÏ@FDNY：今天早上#FDNY 對 #Brooklyn 的一個天坑做出了回應。 @NYCBuildings &amp;amp; 單位仍留在現場。其他的。 http://t.co/M78ir0IK01Û")</f>
        <v>ÛÏ@FDNY：今天早上#FDNY 對 #Brooklyn 的一個天坑做出了回應。 @NYCBuildings &amp;amp; 單位仍留在現場。其他的。 http://t.co/M78ir0IK01Û</v>
      </c>
      <c r="G2542" s="4" t="str">
        <f>IFERROR(__xludf.DUMMYFUNCTION("GOOGLETRANSLATE(B2542)"),"天坑")</f>
        <v>天坑</v>
      </c>
    </row>
    <row r="2543" ht="15.75" customHeight="1">
      <c r="A2543" s="4">
        <v>8656.0</v>
      </c>
      <c r="B2543" s="4" t="s">
        <v>3911</v>
      </c>
      <c r="C2543" s="4" t="s">
        <v>3923</v>
      </c>
      <c r="D2543" s="4" t="s">
        <v>3924</v>
      </c>
      <c r="E2543" s="4">
        <v>1.0</v>
      </c>
      <c r="F2543" s="4" t="str">
        <f>IFERROR(__xludf.DUMMYFUNCTION("GOOGLETRANSLATE(D2543)"),"朗茲縣住宅區開設 150 英尺天坑
WCTV-35 分鐘前")</f>
        <v>朗茲縣住宅區開設 150 英尺天坑
WCTV-35 分鐘前</v>
      </c>
      <c r="G2543" s="4" t="str">
        <f>IFERROR(__xludf.DUMMYFUNCTION("GOOGLETRANSLATE(B2543)"),"天坑")</f>
        <v>天坑</v>
      </c>
    </row>
    <row r="2544" ht="15.75" customHeight="1">
      <c r="A2544" s="4">
        <v>8657.0</v>
      </c>
      <c r="B2544" s="4" t="s">
        <v>3911</v>
      </c>
      <c r="C2544" s="4" t="s">
        <v>3913</v>
      </c>
      <c r="D2544" s="4" t="s">
        <v>3925</v>
      </c>
      <c r="E2544" s="4">
        <v>1.0</v>
      </c>
      <c r="F2544" s="4" t="str">
        <f>IFERROR(__xludf.DUMMYFUNCTION("GOOGLETRANSLATE(D2544)"),"喬治亞州朗茲郡的大天坑吞噬了整個池塘 http://t.co/wKPzp1JCAu #YoNews")</f>
        <v>喬治亞州朗茲郡的大天坑吞噬了整個池塘 http://t.co/wKPzp1JCAu #YoNews</v>
      </c>
      <c r="G2544" s="4" t="str">
        <f>IFERROR(__xludf.DUMMYFUNCTION("GOOGLETRANSLATE(B2544)"),"天坑")</f>
        <v>天坑</v>
      </c>
    </row>
    <row r="2545" ht="15.75" customHeight="1">
      <c r="A2545" s="4">
        <v>8661.0</v>
      </c>
      <c r="B2545" s="4" t="s">
        <v>3911</v>
      </c>
      <c r="D2545" s="4" t="s">
        <v>3926</v>
      </c>
      <c r="E2545" s="4">
        <v>1.0</v>
      </c>
      <c r="F2545" s="4" t="str">
        <f>IFERROR(__xludf.DUMMYFUNCTION("GOOGLETRANSLATE(D2545)"),"朗茲縣住宅區開設 150 英尺天坑 http://t.co/0YAxrJICRR")</f>
        <v>朗茲縣住宅區開設 150 英尺天坑 http://t.co/0YAxrJICRR</v>
      </c>
      <c r="G2545" s="4" t="str">
        <f>IFERROR(__xludf.DUMMYFUNCTION("GOOGLETRANSLATE(B2545)"),"天坑")</f>
        <v>天坑</v>
      </c>
    </row>
    <row r="2546" ht="15.75" customHeight="1">
      <c r="A2546" s="4">
        <v>8662.0</v>
      </c>
      <c r="B2546" s="4" t="s">
        <v>3911</v>
      </c>
      <c r="C2546" s="4" t="s">
        <v>3927</v>
      </c>
      <c r="D2546" s="4" t="s">
        <v>3928</v>
      </c>
      <c r="E2546" s="4">
        <v>1.0</v>
      </c>
      <c r="F2546" s="4" t="str">
        <f>IFERROR(__xludf.DUMMYFUNCTION("GOOGLETRANSLATE(D2546)"),"#聖地牙哥 #News 天坑擾亂市中心電車服務：事件發生在星期三... http://t.co/RVMuT3GvC #Algeria #???????")</f>
        <v>#聖地牙哥 #News 天坑擾亂市中心電車服務：事件發生在星期三... http://t.co/RVMuT3GvC #Algeria #???????</v>
      </c>
      <c r="G2546" s="4" t="str">
        <f>IFERROR(__xludf.DUMMYFUNCTION("GOOGLETRANSLATE(B2546)"),"天坑")</f>
        <v>天坑</v>
      </c>
    </row>
    <row r="2547" ht="15.75" customHeight="1">
      <c r="A2547" s="4">
        <v>8663.0</v>
      </c>
      <c r="B2547" s="4" t="s">
        <v>3911</v>
      </c>
      <c r="D2547" s="4" t="s">
        <v>3929</v>
      </c>
      <c r="E2547" s="4">
        <v>1.0</v>
      </c>
      <c r="F2547" s="4" t="str">
        <f>IFERROR(__xludf.DUMMYFUNCTION("GOOGLETRANSLATE(D2547)"),"beforeitsnews : 布魯克林出現一個天坑：六米深的火山口吞噬了街道 Û_ http://t.co/QWo7q1AMh8) http://t.co/esRkmazEq9")</f>
        <v>beforeitsnews : 布魯克林出現一個天坑：六米深的火山口吞噬了街道 Û_ http://t.co/QWo7q1AMh8) http://t.co/esRkmazEq9</v>
      </c>
      <c r="G2547" s="4" t="str">
        <f>IFERROR(__xludf.DUMMYFUNCTION("GOOGLETRANSLATE(B2547)"),"天坑")</f>
        <v>天坑</v>
      </c>
    </row>
    <row r="2548" ht="15.75" customHeight="1">
      <c r="A2548" s="4">
        <v>8664.0</v>
      </c>
      <c r="B2548" s="4" t="s">
        <v>3911</v>
      </c>
      <c r="D2548" s="4" t="s">
        <v>3930</v>
      </c>
      <c r="E2548" s="4">
        <v>1.0</v>
      </c>
      <c r="F2548" s="4" t="str">
        <f>IFERROR(__xludf.DUMMYFUNCTION("GOOGLETRANSLATE(D2548)"),"布魯克林出現巨大天坑 http://t.co/n3Ow73Oasw http://t.co/Gs9bmplbHH")</f>
        <v>布魯克林出現巨大天坑 http://t.co/n3Ow73Oasw http://t.co/Gs9bmplbHH</v>
      </c>
      <c r="G2548" s="4" t="str">
        <f>IFERROR(__xludf.DUMMYFUNCTION("GOOGLETRANSLATE(B2548)"),"天坑")</f>
        <v>天坑</v>
      </c>
    </row>
    <row r="2549" ht="15.75" customHeight="1">
      <c r="A2549" s="4">
        <v>8665.0</v>
      </c>
      <c r="B2549" s="4" t="s">
        <v>3911</v>
      </c>
      <c r="C2549" s="4" t="s">
        <v>3931</v>
      </c>
      <c r="D2549" s="4" t="s">
        <v>3932</v>
      </c>
      <c r="E2549" s="4">
        <v>1.0</v>
      </c>
      <c r="F2549" s="4" t="str">
        <f>IFERROR(__xludf.DUMMYFUNCTION("GOOGLETRANSLATE(D2549)"),"#LoMasVisto 成千上萬的潮人擔心迷失：巨大的天坑吞噬布魯克林十字路口...... http://t.co/qwtk1b2fMC #CadenaDeSeguidores")</f>
        <v>#LoMasVisto 成千上萬的潮人擔心迷失：巨大的天坑吞噬布魯克林十字路口...... http://t.co/qwtk1b2fMC #CadenaDeSeguidores</v>
      </c>
      <c r="G2549" s="4" t="str">
        <f>IFERROR(__xludf.DUMMYFUNCTION("GOOGLETRANSLATE(B2549)"),"天坑")</f>
        <v>天坑</v>
      </c>
    </row>
    <row r="2550" ht="15.75" customHeight="1">
      <c r="A2550" s="4">
        <v>8667.0</v>
      </c>
      <c r="B2550" s="4" t="s">
        <v>3911</v>
      </c>
      <c r="C2550" s="4" t="s">
        <v>2345</v>
      </c>
      <c r="D2550" s="4" t="s">
        <v>3933</v>
      </c>
      <c r="E2550" s="4">
        <v>1.0</v>
      </c>
      <c r="F2550" s="4" t="str">
        <f>IFERROR(__xludf.DUMMYFUNCTION("GOOGLETRANSLATE(D2550)"),"朗茲縣住宅區開設 150 英尺天坑 http://t.co/cBAxCuBA0h")</f>
        <v>朗茲縣住宅區開設 150 英尺天坑 http://t.co/cBAxCuBA0h</v>
      </c>
      <c r="G2550" s="4" t="str">
        <f>IFERROR(__xludf.DUMMYFUNCTION("GOOGLETRANSLATE(B2550)"),"天坑")</f>
        <v>天坑</v>
      </c>
    </row>
    <row r="2551" ht="15.75" customHeight="1">
      <c r="A2551" s="4">
        <v>8668.0</v>
      </c>
      <c r="B2551" s="4" t="s">
        <v>3911</v>
      </c>
      <c r="C2551" s="4" t="s">
        <v>38</v>
      </c>
      <c r="D2551" s="4" t="s">
        <v>3934</v>
      </c>
      <c r="E2551" s="4">
        <v>1.0</v>
      </c>
      <c r="F2551" s="4" t="str">
        <f>IFERROR(__xludf.DUMMYFUNCTION("GOOGLETRANSLATE(D2551)"),"天坑擾亂市中心電車服務#SanDiego - http://t.co/9tb82ZMr2X")</f>
        <v>天坑擾亂市中心電車服務#SanDiego - http://t.co/9tb82ZMr2X</v>
      </c>
      <c r="G2551" s="4" t="str">
        <f>IFERROR(__xludf.DUMMYFUNCTION("GOOGLETRANSLATE(B2551)"),"天坑")</f>
        <v>天坑</v>
      </c>
    </row>
    <row r="2552" ht="15.75" customHeight="1">
      <c r="A2552" s="4">
        <v>8669.0</v>
      </c>
      <c r="B2552" s="4" t="s">
        <v>3911</v>
      </c>
      <c r="D2552" s="4" t="s">
        <v>3935</v>
      </c>
      <c r="E2552" s="4">
        <v>1.0</v>
      </c>
      <c r="F2552" s="4" t="str">
        <f>IFERROR(__xludf.DUMMYFUNCTION("GOOGLETRANSLATE(D2552)"),"天坑吞噬布魯克林十字路口 ÛÒ 影片 http://t.co/1yBE5mgZL4 http://t.co/7Zog3DpdU9")</f>
        <v>天坑吞噬布魯克林十字路口 ÛÒ 影片 http://t.co/1yBE5mgZL4 http://t.co/7Zog3DpdU9</v>
      </c>
      <c r="G2552" s="4" t="str">
        <f>IFERROR(__xludf.DUMMYFUNCTION("GOOGLETRANSLATE(B2552)"),"天坑")</f>
        <v>天坑</v>
      </c>
    </row>
    <row r="2553" ht="15.75" customHeight="1">
      <c r="A2553" s="4">
        <v>8673.0</v>
      </c>
      <c r="B2553" s="4" t="s">
        <v>3911</v>
      </c>
      <c r="C2553" s="4" t="s">
        <v>3936</v>
      </c>
      <c r="D2553" s="4" t="s">
        <v>3937</v>
      </c>
      <c r="E2553" s="4">
        <v>1.0</v>
      </c>
      <c r="F2553" s="4" t="str">
        <f>IFERROR(__xludf.DUMMYFUNCTION("GOOGLETRANSLATE(D2553)"),"該死的日落時的天坑？？？")</f>
        <v>該死的日落時的天坑？？？</v>
      </c>
      <c r="G2553" s="4" t="str">
        <f>IFERROR(__xludf.DUMMYFUNCTION("GOOGLETRANSLATE(B2553)"),"天坑")</f>
        <v>天坑</v>
      </c>
    </row>
    <row r="2554" ht="15.75" customHeight="1">
      <c r="A2554" s="4">
        <v>8674.0</v>
      </c>
      <c r="B2554" s="4" t="s">
        <v>3911</v>
      </c>
      <c r="C2554" s="4" t="s">
        <v>3658</v>
      </c>
      <c r="D2554" s="4" t="s">
        <v>3938</v>
      </c>
      <c r="E2554" s="4">
        <v>1.0</v>
      </c>
      <c r="F2554" s="4" t="str">
        <f>IFERROR(__xludf.DUMMYFUNCTION("GOOGLETRANSLATE(D2554)"),"總水管破裂中斷電車服務 http://t.co/kff8ojrZP4 #sandiego http://t.co/JoB4GGtpAl")</f>
        <v>總水管破裂中斷電車服務 http://t.co/kff8ojrZP4 #sandiego http://t.co/JoB4GGtpAl</v>
      </c>
      <c r="G2554" s="4" t="str">
        <f>IFERROR(__xludf.DUMMYFUNCTION("GOOGLETRANSLATE(B2554)"),"天坑")</f>
        <v>天坑</v>
      </c>
    </row>
    <row r="2555" ht="15.75" customHeight="1">
      <c r="A2555" s="4">
        <v>8676.0</v>
      </c>
      <c r="B2555" s="4" t="s">
        <v>3911</v>
      </c>
      <c r="C2555" s="4" t="s">
        <v>3871</v>
      </c>
      <c r="D2555" s="4" t="s">
        <v>3939</v>
      </c>
      <c r="E2555" s="4">
        <v>1.0</v>
      </c>
      <c r="F2555" s="4" t="str">
        <f>IFERROR(__xludf.DUMMYFUNCTION("GOOGLETRANSLATE(D2555)"),"RT twit_san_diego '可能的天坑擾亂了電車服務：SaÛ_ 市中心部分瀝青中的凹陷 http://t.co/ANrIOMbHQN'")</f>
        <v>RT twit_san_diego '可能的天坑擾亂了電車服務：SaÛ_ 市中心部分瀝青中的凹陷 http://t.co/ANrIOMbHQN'</v>
      </c>
      <c r="G2555" s="4" t="str">
        <f>IFERROR(__xludf.DUMMYFUNCTION("GOOGLETRANSLATE(B2555)"),"天坑")</f>
        <v>天坑</v>
      </c>
    </row>
    <row r="2556" ht="15.75" customHeight="1">
      <c r="A2556" s="4">
        <v>8680.0</v>
      </c>
      <c r="B2556" s="4" t="s">
        <v>3911</v>
      </c>
      <c r="C2556" s="4" t="s">
        <v>3940</v>
      </c>
      <c r="D2556" s="4" t="s">
        <v>3941</v>
      </c>
      <c r="E2556" s="4">
        <v>1.0</v>
      </c>
      <c r="F2556" s="4" t="str">
        <f>IFERROR(__xludf.DUMMYFUNCTION("GOOGLETRANSLATE(D2556)"),"一些埃文斯維爾居民被告知因污水坑建設而限制用水：一些埃文斯維爾居民有Û_ http://t.co/SJNyFszCu1")</f>
        <v>一些埃文斯維爾居民被告知因污水坑建設而限制用水：一些埃文斯維爾居民有Û_ http://t.co/SJNyFszCu1</v>
      </c>
      <c r="G2556" s="4" t="str">
        <f>IFERROR(__xludf.DUMMYFUNCTION("GOOGLETRANSLATE(B2556)"),"天坑")</f>
        <v>天坑</v>
      </c>
    </row>
    <row r="2557" ht="15.75" customHeight="1">
      <c r="A2557" s="4">
        <v>8683.0</v>
      </c>
      <c r="B2557" s="4" t="s">
        <v>3911</v>
      </c>
      <c r="C2557" s="4" t="s">
        <v>2357</v>
      </c>
      <c r="D2557" s="4" t="s">
        <v>3942</v>
      </c>
      <c r="E2557" s="4">
        <v>1.0</v>
      </c>
      <c r="F2557" s="4" t="str">
        <f>IFERROR(__xludf.DUMMYFUNCTION("GOOGLETRANSLATE(D2557)"),"西側的天坑損壞汽車通過@WEWS http://t.co/S7grbZNwlr")</f>
        <v>西側的天坑損壞汽車通過@WEWS http://t.co/S7grbZNwlr</v>
      </c>
      <c r="G2557" s="4" t="str">
        <f>IFERROR(__xludf.DUMMYFUNCTION("GOOGLETRANSLATE(B2557)"),"天坑")</f>
        <v>天坑</v>
      </c>
    </row>
    <row r="2558" ht="15.75" customHeight="1">
      <c r="A2558" s="4">
        <v>8684.0</v>
      </c>
      <c r="B2558" s="4" t="s">
        <v>3911</v>
      </c>
      <c r="C2558" s="4" t="s">
        <v>2345</v>
      </c>
      <c r="D2558" s="4" t="s">
        <v>3943</v>
      </c>
      <c r="E2558" s="4">
        <v>1.0</v>
      </c>
      <c r="F2558" s="4" t="str">
        <f>IFERROR(__xludf.DUMMYFUNCTION("GOOGLETRANSLATE(D2558)"),"喬治亞州天坑關閉，道路吞沒整個池塘 http://t.co/cPEQv52LNA")</f>
        <v>喬治亞州天坑關閉，道路吞沒整個池塘 http://t.co/cPEQv52LNA</v>
      </c>
      <c r="G2558" s="4" t="str">
        <f>IFERROR(__xludf.DUMMYFUNCTION("GOOGLETRANSLATE(B2558)"),"天坑")</f>
        <v>天坑</v>
      </c>
    </row>
    <row r="2559" ht="15.75" customHeight="1">
      <c r="A2559" s="4">
        <v>8686.0</v>
      </c>
      <c r="B2559" s="4" t="s">
        <v>3911</v>
      </c>
      <c r="C2559" s="4" t="s">
        <v>3923</v>
      </c>
      <c r="D2559" s="4" t="s">
        <v>3944</v>
      </c>
      <c r="E2559" s="4">
        <v>1.0</v>
      </c>
      <c r="F2559" s="4" t="str">
        <f>IFERROR(__xludf.DUMMYFUNCTION("GOOGLETRANSLATE(D2559)"),"住宅社區污水坑漏水
愛爾蘭獨立報 - 2015 年 8 月 3 日")</f>
        <v>住宅社區污水坑漏水
愛爾蘭獨立報 - 2015 年 8 月 3 日</v>
      </c>
      <c r="G2559" s="4" t="str">
        <f>IFERROR(__xludf.DUMMYFUNCTION("GOOGLETRANSLATE(B2559)"),"天坑")</f>
        <v>天坑</v>
      </c>
    </row>
    <row r="2560" ht="15.75" customHeight="1">
      <c r="A2560" s="4">
        <v>8689.0</v>
      </c>
      <c r="B2560" s="4" t="s">
        <v>3911</v>
      </c>
      <c r="C2560" s="4" t="s">
        <v>3871</v>
      </c>
      <c r="D2560" s="4" t="s">
        <v>3945</v>
      </c>
      <c r="E2560" s="4">
        <v>1.0</v>
      </c>
      <c r="F2560" s="4" t="str">
        <f>IFERROR(__xludf.DUMMYFUNCTION("GOOGLETRANSLATE(D2560)"),"#MTSAlert 橙色 &amp;amp;藍線乘客：由於 4 街和 4 街附近出現天坑，預計市中心會延誤。 C街.")</f>
        <v>#MTSAlert 橙色 &amp;amp;藍線乘客：由於 4 街和 4 街附近出現天坑，預計市中心會延誤。 C街.</v>
      </c>
      <c r="G2560" s="4" t="str">
        <f>IFERROR(__xludf.DUMMYFUNCTION("GOOGLETRANSLATE(B2560)"),"天坑")</f>
        <v>天坑</v>
      </c>
    </row>
    <row r="2561" ht="15.75" customHeight="1">
      <c r="A2561" s="4">
        <v>8690.0</v>
      </c>
      <c r="B2561" s="4" t="s">
        <v>3911</v>
      </c>
      <c r="D2561" s="4" t="s">
        <v>3946</v>
      </c>
      <c r="E2561" s="4">
        <v>1.0</v>
      </c>
      <c r="F2561" s="4" t="str">
        <f>IFERROR(__xludf.DUMMYFUNCTION("GOOGLETRANSLATE(D2561)"),"布魯克林有天坑？！")</f>
        <v>布魯克林有天坑？！</v>
      </c>
      <c r="G2561" s="4" t="str">
        <f>IFERROR(__xludf.DUMMYFUNCTION("GOOGLETRANSLATE(B2561)"),"天坑")</f>
        <v>天坑</v>
      </c>
    </row>
    <row r="2562" ht="15.75" customHeight="1">
      <c r="A2562" s="4">
        <v>8691.0</v>
      </c>
      <c r="B2562" s="4" t="s">
        <v>3911</v>
      </c>
      <c r="D2562" s="4" t="s">
        <v>3947</v>
      </c>
      <c r="E2562" s="4">
        <v>1.0</v>
      </c>
      <c r="F2562" s="4" t="str">
        <f>IFERROR(__xludf.DUMMYFUNCTION("GOOGLETRANSLATE(D2562)"),"分享喬治亞州朗茲縣的一個大天坑吞噬了整個池塘 http://t.co/HvBJ30aj9s #YoNews")</f>
        <v>分享喬治亞州朗茲縣的一個大天坑吞噬了整個池塘 http://t.co/HvBJ30aj9s #YoNews</v>
      </c>
      <c r="G2562" s="4" t="str">
        <f>IFERROR(__xludf.DUMMYFUNCTION("GOOGLETRANSLATE(B2562)"),"天坑")</f>
        <v>天坑</v>
      </c>
    </row>
    <row r="2563" ht="15.75" customHeight="1">
      <c r="A2563" s="4">
        <v>8693.0</v>
      </c>
      <c r="B2563" s="4" t="s">
        <v>3948</v>
      </c>
      <c r="C2563" s="4" t="s">
        <v>1096</v>
      </c>
      <c r="D2563" s="4" t="s">
        <v>3949</v>
      </c>
      <c r="E2563" s="4">
        <v>1.0</v>
      </c>
      <c r="F2563" s="4" t="str">
        <f>IFERROR(__xludf.DUMMYFUNCTION("GOOGLETRANSLATE(D2563)"),"幾年後，浮動退休金計畫再次開始下降 http://t.co/4cEEuzWHvf")</f>
        <v>幾年後，浮動退休金計畫再次開始下降 http://t.co/4cEEuzWHvf</v>
      </c>
      <c r="G2563" s="4" t="str">
        <f>IFERROR(__xludf.DUMMYFUNCTION("GOOGLETRANSLATE(B2563)"),"下沉")</f>
        <v>下沉</v>
      </c>
    </row>
    <row r="2564" ht="15.75" customHeight="1">
      <c r="A2564" s="4">
        <v>8698.0</v>
      </c>
      <c r="B2564" s="4" t="s">
        <v>3948</v>
      </c>
      <c r="C2564" s="4" t="s">
        <v>3950</v>
      </c>
      <c r="D2564" s="4" t="s">
        <v>3951</v>
      </c>
      <c r="E2564" s="4">
        <v>1.0</v>
      </c>
      <c r="F2564" s="4" t="str">
        <f>IFERROR(__xludf.DUMMYFUNCTION("GOOGLETRANSLATE(D2564)"),"當你在家玩手機一段時間後發現它一直處於 3G 模式時，那種可怕的沮喪感")</f>
        <v>當你在家玩手機一段時間後發現它一直處於 3G 模式時，那種可怕的沮喪感</v>
      </c>
      <c r="G2564" s="4" t="str">
        <f>IFERROR(__xludf.DUMMYFUNCTION("GOOGLETRANSLATE(B2564)"),"下沉")</f>
        <v>下沉</v>
      </c>
    </row>
    <row r="2565" ht="15.75" customHeight="1">
      <c r="A2565" s="4">
        <v>8704.0</v>
      </c>
      <c r="B2565" s="4" t="s">
        <v>3948</v>
      </c>
      <c r="D2565" s="4" t="s">
        <v>3952</v>
      </c>
      <c r="E2565" s="4">
        <v>1.0</v>
      </c>
      <c r="F2565" s="4" t="str">
        <f>IFERROR(__xludf.DUMMYFUNCTION("GOOGLETRANSLATE(D2565)"),"4 種設備在挖掘您的家庭互聯網愛好時打破自我，除了與沉沒的術語：dfLJEV")</f>
        <v>4 種設備在挖掘您的家庭互聯網愛好時打破自我，除了與沉沒的術語：dfLJEV</v>
      </c>
      <c r="G2565" s="4" t="str">
        <f>IFERROR(__xludf.DUMMYFUNCTION("GOOGLETRANSLATE(B2565)"),"下沉")</f>
        <v>下沉</v>
      </c>
    </row>
    <row r="2566" ht="15.75" customHeight="1">
      <c r="A2566" s="4">
        <v>8710.0</v>
      </c>
      <c r="B2566" s="4" t="s">
        <v>3948</v>
      </c>
      <c r="C2566" s="4" t="s">
        <v>126</v>
      </c>
      <c r="D2566" s="4" t="s">
        <v>3953</v>
      </c>
      <c r="E2566" s="4">
        <v>1.0</v>
      </c>
      <c r="F2566" s="4" t="str">
        <f>IFERROR(__xludf.DUMMYFUNCTION("GOOGLETRANSLATE(D2566)"),"@美聯社
 地中海沉船報告太慢太可惜了")</f>
        <v>@美聯社
 地中海沉船報告太慢太可惜了</v>
      </c>
      <c r="G2566" s="4" t="str">
        <f>IFERROR(__xludf.DUMMYFUNCTION("GOOGLETRANSLATE(B2566)"),"下沉")</f>
        <v>下沉</v>
      </c>
    </row>
    <row r="2567" ht="15.75" customHeight="1">
      <c r="A2567" s="4">
        <v>8721.0</v>
      </c>
      <c r="B2567" s="4" t="s">
        <v>3948</v>
      </c>
      <c r="C2567" s="4" t="s">
        <v>1139</v>
      </c>
      <c r="D2567" s="4" t="s">
        <v>3954</v>
      </c>
      <c r="E2567" s="4">
        <v>1.0</v>
      </c>
      <c r="F2567" s="4" t="str">
        <f>IFERROR(__xludf.DUMMYFUNCTION("GOOGLETRANSLATE(D2567)"),"您是否覺得自己陷入低自我形象的境地？參加測驗：http://t.co/bJoJVM0pjX http://t.co/wHOc7LHb5F")</f>
        <v>您是否覺得自己陷入低自我形象的境地？參加測驗：http://t.co/bJoJVM0pjX http://t.co/wHOc7LHb5F</v>
      </c>
      <c r="G2567" s="4" t="str">
        <f>IFERROR(__xludf.DUMMYFUNCTION("GOOGLETRANSLATE(B2567)"),"下沉")</f>
        <v>下沉</v>
      </c>
    </row>
    <row r="2568" ht="15.75" customHeight="1">
      <c r="A2568" s="4">
        <v>8735.0</v>
      </c>
      <c r="B2568" s="4" t="s">
        <v>3948</v>
      </c>
      <c r="D2568" s="4" t="s">
        <v>3955</v>
      </c>
      <c r="E2568" s="4">
        <v>1.0</v>
      </c>
      <c r="F2568" s="4" t="str">
        <f>IFERROR(__xludf.DUMMYFUNCTION("GOOGLETRANSLATE(D2568)"),"當你在家裡玩手機一段時間後發現它一直都是 3G 時，那種可怕的沉淪感")</f>
        <v>當你在家裡玩手機一段時間後發現它一直都是 3G 時，那種可怕的沉淪感</v>
      </c>
      <c r="G2568" s="4" t="str">
        <f>IFERROR(__xludf.DUMMYFUNCTION("GOOGLETRANSLATE(B2568)"),"下沉")</f>
        <v>下沉</v>
      </c>
    </row>
    <row r="2569" ht="15.75" customHeight="1">
      <c r="A2569" s="4">
        <v>8738.0</v>
      </c>
      <c r="B2569" s="4" t="s">
        <v>3948</v>
      </c>
      <c r="C2569" s="4" t="s">
        <v>3956</v>
      </c>
      <c r="D2569" s="4" t="s">
        <v>3957</v>
      </c>
      <c r="E2569" s="4">
        <v>1.0</v>
      </c>
      <c r="F2569" s="4" t="str">
        <f>IFERROR(__xludf.DUMMYFUNCTION("GOOGLETRANSLATE(D2569)"),"#Tribe 每天都在不斷下沉，而且看起來速度更快。就今年而言，這是一場巨大的災難。")</f>
        <v>#Tribe 每天都在不斷下沉，而且看起來速度更快。就今年而言，這是一場巨大的災難。</v>
      </c>
      <c r="G2569" s="4" t="str">
        <f>IFERROR(__xludf.DUMMYFUNCTION("GOOGLETRANSLATE(B2569)"),"下沉")</f>
        <v>下沉</v>
      </c>
    </row>
    <row r="2570" ht="15.75" customHeight="1">
      <c r="A2570" s="4">
        <v>8739.0</v>
      </c>
      <c r="B2570" s="4" t="s">
        <v>3948</v>
      </c>
      <c r="C2570" s="4" t="s">
        <v>3958</v>
      </c>
      <c r="D2570" s="4" t="s">
        <v>3951</v>
      </c>
      <c r="E2570" s="4">
        <v>1.0</v>
      </c>
      <c r="F2570" s="4" t="str">
        <f>IFERROR(__xludf.DUMMYFUNCTION("GOOGLETRANSLATE(D2570)"),"當你在家玩手機一段時間後發現它一直處於 3G 模式時，那種可怕的沮喪感")</f>
        <v>當你在家玩手機一段時間後發現它一直處於 3G 模式時，那種可怕的沮喪感</v>
      </c>
      <c r="G2570" s="4" t="str">
        <f>IFERROR(__xludf.DUMMYFUNCTION("GOOGLETRANSLATE(B2570)"),"下沉")</f>
        <v>下沉</v>
      </c>
    </row>
    <row r="2571" ht="15.75" customHeight="1">
      <c r="A2571" s="4">
        <v>8747.0</v>
      </c>
      <c r="B2571" s="4" t="s">
        <v>3959</v>
      </c>
      <c r="C2571" s="4" t="s">
        <v>3960</v>
      </c>
      <c r="D2571" s="4" t="s">
        <v>3961</v>
      </c>
      <c r="E2571" s="4">
        <v>1.0</v>
      </c>
      <c r="F2571" s="4" t="str">
        <f>IFERROR(__xludf.DUMMYFUNCTION("GOOGLETRANSLATE(D2571)"),"《業餘之夜》女演員再次出演“海妖” - HorrorMovies.ca #horror http://t.co/W9Cd6OFfcj")</f>
        <v>《業餘之夜》女演員再次出演“海妖” - HorrorMovies.ca #horror http://t.co/W9Cd6OFfcj</v>
      </c>
      <c r="G2571" s="4" t="str">
        <f>IFERROR(__xludf.DUMMYFUNCTION("GOOGLETRANSLATE(B2571)"),"警笛")</f>
        <v>警笛</v>
      </c>
    </row>
    <row r="2572" ht="15.75" customHeight="1">
      <c r="A2572" s="4">
        <v>8761.0</v>
      </c>
      <c r="B2572" s="4" t="s">
        <v>3959</v>
      </c>
      <c r="C2572" s="4" t="s">
        <v>3962</v>
      </c>
      <c r="D2572" s="4" t="s">
        <v>3963</v>
      </c>
      <c r="E2572" s="4">
        <v>1.0</v>
      </c>
      <c r="F2572" s="4" t="str">
        <f>IFERROR(__xludf.DUMMYFUNCTION("GOOGLETRANSLATE(D2572)"),"這裡響起了奇怪的警報聲…我希望亨特斯頓不會把自己炸成碎片…")</f>
        <v>這裡響起了奇怪的警報聲…我希望亨特斯頓不會把自己炸成碎片…</v>
      </c>
      <c r="G2572" s="4" t="str">
        <f>IFERROR(__xludf.DUMMYFUNCTION("GOOGLETRANSLATE(B2572)"),"警笛")</f>
        <v>警笛</v>
      </c>
    </row>
    <row r="2573" ht="15.75" customHeight="1">
      <c r="A2573" s="4">
        <v>8762.0</v>
      </c>
      <c r="B2573" s="4" t="s">
        <v>3959</v>
      </c>
      <c r="C2573" s="4" t="s">
        <v>3964</v>
      </c>
      <c r="D2573" s="4" t="s">
        <v>3965</v>
      </c>
      <c r="E2573" s="4">
        <v>1.0</v>
      </c>
      <c r="F2573" s="4" t="str">
        <f>IFERROR(__xludf.DUMMYFUNCTION("GOOGLETRANSLATE(D2573)"),"@tomarse99 他們都打算去。只等風停。警報器剛剛響起，示意他們允許離開競技場。沒有人離開")</f>
        <v>@tomarse99 他們都打算去。只等風停。警報器剛剛響起，示意他們允許離開競技場。沒有人離開</v>
      </c>
      <c r="G2573" s="4" t="str">
        <f>IFERROR(__xludf.DUMMYFUNCTION("GOOGLETRANSLATE(B2573)"),"警笛")</f>
        <v>警笛</v>
      </c>
    </row>
    <row r="2574" ht="15.75" customHeight="1">
      <c r="A2574" s="4">
        <v>8780.0</v>
      </c>
      <c r="B2574" s="4" t="s">
        <v>3959</v>
      </c>
      <c r="D2574" s="4" t="s">
        <v>3966</v>
      </c>
      <c r="E2574" s="4">
        <v>1.0</v>
      </c>
      <c r="F2574" s="4" t="str">
        <f>IFERROR(__xludf.DUMMYFUNCTION("GOOGLETRANSLATE(D2574)"),"真正的問題是為什麼龍捲風警報會在戴爾斯堡響起？")</f>
        <v>真正的問題是為什麼龍捲風警報會在戴爾斯堡響起？</v>
      </c>
      <c r="G2574" s="4" t="str">
        <f>IFERROR(__xludf.DUMMYFUNCTION("GOOGLETRANSLATE(B2574)"),"警笛")</f>
        <v>警笛</v>
      </c>
    </row>
    <row r="2575" ht="15.75" customHeight="1">
      <c r="A2575" s="4">
        <v>8786.0</v>
      </c>
      <c r="B2575" s="4" t="s">
        <v>3959</v>
      </c>
      <c r="C2575" s="4" t="s">
        <v>3967</v>
      </c>
      <c r="D2575" s="4" t="s">
        <v>3968</v>
      </c>
      <c r="E2575" s="4">
        <v>1.0</v>
      </c>
      <c r="F2575" s="4" t="str">
        <f>IFERROR(__xludf.DUMMYFUNCTION("GOOGLETRANSLATE(D2575)"),"@SoonerMagic_ 我的意思是我是粉絲，但我不需要一個聽起來像該死的警報器的女孩")</f>
        <v>@SoonerMagic_ 我的意思是我是粉絲，但我不需要一個聽起來像該死的警報器的女孩</v>
      </c>
      <c r="G2575" s="4" t="str">
        <f>IFERROR(__xludf.DUMMYFUNCTION("GOOGLETRANSLATE(B2575)"),"警笛")</f>
        <v>警笛</v>
      </c>
    </row>
    <row r="2576" ht="15.75" customHeight="1">
      <c r="A2576" s="4">
        <v>8793.0</v>
      </c>
      <c r="B2576" s="4" t="s">
        <v>3969</v>
      </c>
      <c r="D2576" s="4" t="s">
        <v>3970</v>
      </c>
      <c r="E2576" s="4">
        <v>1.0</v>
      </c>
      <c r="F2576" s="4" t="str">
        <f>IFERROR(__xludf.DUMMYFUNCTION("GOOGLETRANSLATE(D2576)"),"我今天應該去扭曲的原因：托尼扮演的問題出現在睡覺，警報扮演阿提拉是否有問題問題")</f>
        <v>我今天應該去扭曲的原因：托尼扮演的問題出現在睡覺，警報扮演阿提拉是否有問題問題</v>
      </c>
      <c r="G2576" s="4" t="str">
        <f>IFERROR(__xludf.DUMMYFUNCTION("GOOGLETRANSLATE(B2576)"),"警報器")</f>
        <v>警報器</v>
      </c>
    </row>
    <row r="2577" ht="15.75" customHeight="1">
      <c r="A2577" s="4">
        <v>8795.0</v>
      </c>
      <c r="B2577" s="4" t="s">
        <v>3969</v>
      </c>
      <c r="C2577" s="4" t="s">
        <v>3971</v>
      </c>
      <c r="D2577" s="4" t="s">
        <v>3972</v>
      </c>
      <c r="E2577" s="4">
        <v>1.0</v>
      </c>
      <c r="F2577" s="4" t="str">
        <f>IFERROR(__xludf.DUMMYFUNCTION("GOOGLETRANSLATE(D2577)"),"2015 年 8 月 6 日星期四 01:20:32 GMT+0000 (UTC)
#millcityio #20150613
塞拉明警報器")</f>
        <v>2015 年 8 月 6 日星期四 01:20:32 GMT+0000 (UTC)
#millcityio #20150613
塞拉明警報器</v>
      </c>
      <c r="G2577" s="4" t="str">
        <f>IFERROR(__xludf.DUMMYFUNCTION("GOOGLETRANSLATE(B2577)"),"警報器")</f>
        <v>警報器</v>
      </c>
    </row>
    <row r="2578" ht="15.75" customHeight="1">
      <c r="A2578" s="4">
        <v>8802.0</v>
      </c>
      <c r="B2578" s="4" t="s">
        <v>3969</v>
      </c>
      <c r="C2578" s="4" t="s">
        <v>3973</v>
      </c>
      <c r="D2578" s="4" t="s">
        <v>3974</v>
      </c>
      <c r="E2578" s="4">
        <v>1.0</v>
      </c>
      <c r="F2578" s="4" t="str">
        <f>IFERROR(__xludf.DUMMYFUNCTION("GOOGLETRANSLATE(D2578)"),"我爸爸說我看起來比平常瘦，但我真的在這裡，就像http://t.co/bnwyGx6luh")</f>
        <v>我爸爸說我看起來比平常瘦，但我真的在這裡，就像http://t.co/bnwyGx6luh</v>
      </c>
      <c r="G2578" s="4" t="str">
        <f>IFERROR(__xludf.DUMMYFUNCTION("GOOGLETRANSLATE(B2578)"),"警報器")</f>
        <v>警報器</v>
      </c>
    </row>
    <row r="2579" ht="15.75" customHeight="1">
      <c r="A2579" s="4">
        <v>8810.0</v>
      </c>
      <c r="B2579" s="4" t="s">
        <v>3969</v>
      </c>
      <c r="C2579" s="4" t="s">
        <v>800</v>
      </c>
      <c r="D2579" s="4" t="s">
        <v>3975</v>
      </c>
      <c r="E2579" s="4">
        <v>1.0</v>
      </c>
      <c r="F2579" s="4" t="str">
        <f>IFERROR(__xludf.DUMMYFUNCTION("GOOGLETRANSLATE(D2579)"),"@KIRO7Seattle 剛剛看到一輛拆彈小組的汽車在埃利奧特上向北行駛，警報拉響 - 有關於他們要去哪裡的消息嗎？")</f>
        <v>@KIRO7Seattle 剛剛看到一輛拆彈小組的汽車在埃利奧特上向北行駛，警報拉響 - 有關於他們要去哪裡的消息嗎？</v>
      </c>
      <c r="G2579" s="4" t="str">
        <f>IFERROR(__xludf.DUMMYFUNCTION("GOOGLETRANSLATE(B2579)"),"警報器")</f>
        <v>警報器</v>
      </c>
    </row>
    <row r="2580" ht="15.75" customHeight="1">
      <c r="A2580" s="4">
        <v>8816.0</v>
      </c>
      <c r="B2580" s="4" t="s">
        <v>3969</v>
      </c>
      <c r="C2580" s="4" t="s">
        <v>3976</v>
      </c>
      <c r="D2580" s="4" t="s">
        <v>3977</v>
      </c>
      <c r="E2580" s="4">
        <v>1.0</v>
      </c>
      <c r="F2580" s="4" t="str">
        <f>IFERROR(__xludf.DUMMYFUNCTION("GOOGLETRANSLATE(D2580)"),"@TravelElixir 知道發生了什麼事嗎？我沒有聽到警報聲，但這該死的直升機飛得太低了，我的公寓都在搖晃！")</f>
        <v>@TravelElixir 知道發生了什麼事嗎？我沒有聽到警報聲，但這該死的直升機飛得太低了，我的公寓都在搖晃！</v>
      </c>
      <c r="G2580" s="4" t="str">
        <f>IFERROR(__xludf.DUMMYFUNCTION("GOOGLETRANSLATE(B2580)"),"警報器")</f>
        <v>警報器</v>
      </c>
    </row>
    <row r="2581" ht="15.75" customHeight="1">
      <c r="A2581" s="4">
        <v>8825.0</v>
      </c>
      <c r="B2581" s="4" t="s">
        <v>3969</v>
      </c>
      <c r="C2581" s="4" t="s">
        <v>3978</v>
      </c>
      <c r="D2581" s="4" t="s">
        <v>3979</v>
      </c>
      <c r="E2581" s="4">
        <v>1.0</v>
      </c>
      <c r="F2581" s="4" t="str">
        <f>IFERROR(__xludf.DUMMYFUNCTION("GOOGLETRANSLATE(D2581)"),"照片集：hakogaku：？我是庫德人。我出生在戰場上。在戰場上長大的。槍聲警報... http://t.co/obp595W7tm")</f>
        <v>照片集：hakogaku：？我是庫德人。我出生在戰場上。在戰場上長大的。槍聲警報... http://t.co/obp595W7tm</v>
      </c>
      <c r="G2581" s="4" t="str">
        <f>IFERROR(__xludf.DUMMYFUNCTION("GOOGLETRANSLATE(B2581)"),"警報器")</f>
        <v>警報器</v>
      </c>
    </row>
    <row r="2582" ht="15.75" customHeight="1">
      <c r="A2582" s="4">
        <v>8832.0</v>
      </c>
      <c r="B2582" s="4" t="s">
        <v>3969</v>
      </c>
      <c r="C2582" s="4" t="s">
        <v>3980</v>
      </c>
      <c r="D2582" s="4" t="s">
        <v>3981</v>
      </c>
      <c r="E2582" s="4">
        <v>1.0</v>
      </c>
      <c r="F2582" s="4" t="str">
        <f>IFERROR(__xludf.DUMMYFUNCTION("GOOGLETRANSLATE(D2582)"),"康納·弗蘭塔：該死的警報器，我希望每個人都沒事。
丹·豪厄爾：你能在另一條街上被謀殺嗎")</f>
        <v>康納·弗蘭塔：該死的警報器，我希望每個人都沒事。
丹·豪厄爾：你能在另一條街上被謀殺嗎</v>
      </c>
      <c r="G2582" s="4" t="str">
        <f>IFERROR(__xludf.DUMMYFUNCTION("GOOGLETRANSLATE(B2582)"),"警報器")</f>
        <v>警報器</v>
      </c>
    </row>
    <row r="2583" ht="15.75" customHeight="1">
      <c r="A2583" s="4">
        <v>8863.0</v>
      </c>
      <c r="B2583" s="4" t="s">
        <v>3982</v>
      </c>
      <c r="C2583" s="4" t="s">
        <v>3983</v>
      </c>
      <c r="D2583" s="4" t="s">
        <v>3984</v>
      </c>
      <c r="E2583" s="4">
        <v>1.0</v>
      </c>
      <c r="F2583" s="4" t="str">
        <f>IFERROR(__xludf.DUMMYFUNCTION("GOOGLETRANSLATE(D2583)"),"@PianoHands 你不知道，因為你不吸煙。讓計程車和公車過來的方法是在等待時點一支煙。")</f>
        <v>@PianoHands 你不知道，因為你不吸煙。讓計程車和公車過來的方法是在等待時點一支煙。</v>
      </c>
      <c r="G2583" s="4" t="str">
        <f>IFERROR(__xludf.DUMMYFUNCTION("GOOGLETRANSLATE(B2583)"),"抽煙")</f>
        <v>抽煙</v>
      </c>
    </row>
    <row r="2584" ht="15.75" customHeight="1">
      <c r="A2584" s="4">
        <v>8872.0</v>
      </c>
      <c r="B2584" s="4" t="s">
        <v>3982</v>
      </c>
      <c r="D2584" s="4" t="s">
        <v>3985</v>
      </c>
      <c r="E2584" s="4">
        <v>1.0</v>
      </c>
      <c r="F2584" s="4" t="str">
        <f>IFERROR(__xludf.DUMMYFUNCTION("GOOGLETRANSLATE(D2584)"),"@BillMcCabe 天空看起來晴朗…火災中沒有煙霧。享受您在太浩湖的時光。我最喜歡的地方之一！")</f>
        <v>@BillMcCabe 天空看起來晴朗…火災中沒有煙霧。享受您在太浩湖的時光。我最喜歡的地方之一！</v>
      </c>
      <c r="G2584" s="4" t="str">
        <f>IFERROR(__xludf.DUMMYFUNCTION("GOOGLETRANSLATE(B2584)"),"抽煙")</f>
        <v>抽煙</v>
      </c>
    </row>
    <row r="2585" ht="15.75" customHeight="1">
      <c r="A2585" s="4">
        <v>8880.0</v>
      </c>
      <c r="B2585" s="4" t="s">
        <v>3982</v>
      </c>
      <c r="C2585" s="4" t="s">
        <v>3986</v>
      </c>
      <c r="D2585" s="4" t="s">
        <v>3987</v>
      </c>
      <c r="E2585" s="4">
        <v>1.0</v>
      </c>
      <c r="F2585" s="4" t="str">
        <f>IFERROR(__xludf.DUMMYFUNCTION("GOOGLETRANSLATE(D2585)"),"我可以安靜地抽煙")</f>
        <v>我可以安靜地抽煙</v>
      </c>
      <c r="G2585" s="4" t="str">
        <f>IFERROR(__xludf.DUMMYFUNCTION("GOOGLETRANSLATE(B2585)"),"抽煙")</f>
        <v>抽煙</v>
      </c>
    </row>
    <row r="2586" ht="15.75" customHeight="1">
      <c r="A2586" s="4">
        <v>8893.0</v>
      </c>
      <c r="B2586" s="4" t="s">
        <v>3988</v>
      </c>
      <c r="C2586" s="4" t="s">
        <v>3989</v>
      </c>
      <c r="D2586" s="4" t="s">
        <v>3990</v>
      </c>
      <c r="E2586" s="4">
        <v>1.0</v>
      </c>
      <c r="F2586" s="4" t="str">
        <f>IFERROR(__xludf.DUMMYFUNCTION("GOOGLETRANSLATE(D2586)"),"曼努埃爾希望布法羅能早日迎來暴風雪，這樣他的準確性就會提高。")</f>
        <v>曼努埃爾希望布法羅能早日迎來暴風雪，這樣他的準確性就會提高。</v>
      </c>
      <c r="G2586" s="4" t="str">
        <f>IFERROR(__xludf.DUMMYFUNCTION("GOOGLETRANSLATE(B2586)"),"暴風雪")</f>
        <v>暴風雪</v>
      </c>
    </row>
    <row r="2587" ht="15.75" customHeight="1">
      <c r="A2587" s="4">
        <v>8902.0</v>
      </c>
      <c r="B2587" s="4" t="s">
        <v>3988</v>
      </c>
      <c r="C2587" s="4" t="s">
        <v>3991</v>
      </c>
      <c r="D2587" s="4" t="s">
        <v>3992</v>
      </c>
      <c r="E2587" s="4">
        <v>1.0</v>
      </c>
      <c r="F2587" s="4" t="str">
        <f>IFERROR(__xludf.DUMMYFUNCTION("GOOGLETRANSLATE(D2587)"),"時髦的城市女孩鄉村猛男被困在大煙山暴風雪中 #AoMS http://t.co/nkKcTttsD9 #ibooklove #bookboost")</f>
        <v>時髦的城市女孩鄉村猛男被困在大煙山暴風雪中 #AoMS http://t.co/nkKcTttsD9 #ibooklove #bookboost</v>
      </c>
      <c r="G2587" s="4" t="str">
        <f>IFERROR(__xludf.DUMMYFUNCTION("GOOGLETRANSLATE(B2587)"),"暴風雪")</f>
        <v>暴風雪</v>
      </c>
    </row>
    <row r="2588" ht="15.75" customHeight="1">
      <c r="A2588" s="4">
        <v>8905.0</v>
      </c>
      <c r="B2588" s="4" t="s">
        <v>3988</v>
      </c>
      <c r="C2588" s="4" t="s">
        <v>3993</v>
      </c>
      <c r="D2588" s="4" t="s">
        <v>3994</v>
      </c>
      <c r="E2588" s="4">
        <v>1.0</v>
      </c>
      <c r="F2588" s="4" t="str">
        <f>IFERROR(__xludf.DUMMYFUNCTION("GOOGLETRANSLATE(D2588)"),"新的 #photo 暴風雪中的橡樹 http://t.co/HK9Yf72OVA 於 #winter 在 #SouthDowns #Hampshire #photography #art #tree #treeporn 拍攝")</f>
        <v>新的 #photo 暴風雪中的橡樹 http://t.co/HK9Yf72OVA 於 #winter 在 #SouthDowns #Hampshire #photography #art #tree #treeporn 拍攝</v>
      </c>
      <c r="G2588" s="4" t="str">
        <f>IFERROR(__xludf.DUMMYFUNCTION("GOOGLETRANSLATE(B2588)"),"暴風雪")</f>
        <v>暴風雪</v>
      </c>
    </row>
    <row r="2589" ht="15.75" customHeight="1">
      <c r="A2589" s="4">
        <v>8908.0</v>
      </c>
      <c r="B2589" s="4" t="s">
        <v>3988</v>
      </c>
      <c r="C2589" s="4" t="s">
        <v>54</v>
      </c>
      <c r="D2589" s="4" t="s">
        <v>3995</v>
      </c>
      <c r="E2589" s="4">
        <v>1.0</v>
      </c>
      <c r="F2589" s="4" t="str">
        <f>IFERROR(__xludf.DUMMYFUNCTION("GOOGLETRANSLATE(D2589)"),"@Habbo 帶回過去的遊戲。暴風雪。井字遊戲。戰艦。速食.火柴木。")</f>
        <v>@Habbo 帶回過去的遊戲。暴風雪。井字遊戲。戰艦。速食.火柴木。</v>
      </c>
      <c r="G2589" s="4" t="str">
        <f>IFERROR(__xludf.DUMMYFUNCTION("GOOGLETRANSLATE(B2589)"),"暴風雪")</f>
        <v>暴風雪</v>
      </c>
    </row>
    <row r="2590" ht="15.75" customHeight="1">
      <c r="A2590" s="4">
        <v>8913.0</v>
      </c>
      <c r="B2590" s="4" t="s">
        <v>3988</v>
      </c>
      <c r="D2590" s="4" t="s">
        <v>3996</v>
      </c>
      <c r="E2590" s="4">
        <v>1.0</v>
      </c>
      <c r="F2590" s="4" t="str">
        <f>IFERROR(__xludf.DUMMYFUNCTION("GOOGLETRANSLATE(D2590)"),"@德克_特羅森
我還有一些暴風雪/冰雹！")</f>
        <v>@德克_特羅森
我還有一些暴風雪/冰雹！</v>
      </c>
      <c r="G2590" s="4" t="str">
        <f>IFERROR(__xludf.DUMMYFUNCTION("GOOGLETRANSLATE(B2590)"),"暴風雪")</f>
        <v>暴風雪</v>
      </c>
    </row>
    <row r="2591" ht="15.75" customHeight="1">
      <c r="A2591" s="4">
        <v>8916.0</v>
      </c>
      <c r="B2591" s="4" t="s">
        <v>3988</v>
      </c>
      <c r="C2591" s="4" t="s">
        <v>3997</v>
      </c>
      <c r="D2591" s="4" t="s">
        <v>3998</v>
      </c>
      <c r="E2591" s="4">
        <v>1.0</v>
      </c>
      <c r="F2591" s="4" t="str">
        <f>IFERROR(__xludf.DUMMYFUNCTION("GOOGLETRANSLATE(D2591)"),"ÛÏ@LordBrathwaite：這裡的每個人：啊，我討厭雪！
我：哈哈，你管這叫暴風雪嗎..？
#growupincoloradoÛ")</f>
        <v>ÛÏ@LordBrathwaite：這裡的每個人：啊，我討厭雪！
我：哈哈，你管這叫暴風雪嗎..？
#growupincoloradoÛ</v>
      </c>
      <c r="G2591" s="4" t="str">
        <f>IFERROR(__xludf.DUMMYFUNCTION("GOOGLETRANSLATE(B2591)"),"暴風雪")</f>
        <v>暴風雪</v>
      </c>
    </row>
    <row r="2592" ht="15.75" customHeight="1">
      <c r="A2592" s="4">
        <v>8923.0</v>
      </c>
      <c r="B2592" s="4" t="s">
        <v>3988</v>
      </c>
      <c r="C2592" s="4" t="s">
        <v>3252</v>
      </c>
      <c r="D2592" s="4" t="s">
        <v>3999</v>
      </c>
      <c r="E2592" s="4">
        <v>1.0</v>
      </c>
      <c r="F2592" s="4" t="str">
        <f>IFERROR(__xludf.DUMMYFUNCTION("GOOGLETRANSLATE(D2592)"),"交通面板顯示了懷俄明州暴風雪中 18 輪汽車連環相撞的影片。崩潰崩潰崩潰ÛÏ讓它停止！Û #AMSsummer")</f>
        <v>交通面板顯示了懷俄明州暴風雪中 18 輪汽車連環相撞的影片。崩潰崩潰崩潰ÛÏ讓它停止！Û #AMSsummer</v>
      </c>
      <c r="G2592" s="4" t="str">
        <f>IFERROR(__xludf.DUMMYFUNCTION("GOOGLETRANSLATE(B2592)"),"暴風雪")</f>
        <v>暴風雪</v>
      </c>
    </row>
    <row r="2593" ht="15.75" customHeight="1">
      <c r="A2593" s="4">
        <v>8924.0</v>
      </c>
      <c r="B2593" s="4" t="s">
        <v>3988</v>
      </c>
      <c r="C2593" s="4" t="s">
        <v>3991</v>
      </c>
      <c r="D2593" s="4" t="s">
        <v>4000</v>
      </c>
      <c r="E2593" s="4">
        <v>1.0</v>
      </c>
      <c r="F2593" s="4" t="str">
        <f>IFERROR(__xludf.DUMMYFUNCTION("GOOGLETRANSLATE(D2593)"),"時髦的城市女孩鄉村猛男被困在大煙山暴風雪中 #AoMS http://t.co/HDJS9RNtJ4 #ibooklove #bookboost")</f>
        <v>時髦的城市女孩鄉村猛男被困在大煙山暴風雪中 #AoMS http://t.co/HDJS9RNtJ4 #ibooklove #bookboost</v>
      </c>
      <c r="G2593" s="4" t="str">
        <f>IFERROR(__xludf.DUMMYFUNCTION("GOOGLETRANSLATE(B2593)"),"暴風雪")</f>
        <v>暴風雪</v>
      </c>
    </row>
    <row r="2594" ht="15.75" customHeight="1">
      <c r="A2594" s="4">
        <v>8926.0</v>
      </c>
      <c r="B2594" s="4" t="s">
        <v>3988</v>
      </c>
      <c r="D2594" s="4" t="s">
        <v>4001</v>
      </c>
      <c r="E2594" s="4">
        <v>1.0</v>
      </c>
      <c r="F2594" s="4" t="str">
        <f>IFERROR(__xludf.DUMMYFUNCTION("GOOGLETRANSLATE(D2594)"),"@PyrBliss 啊我記得那些日子。也是在暴風雪中。")</f>
        <v>@PyrBliss 啊我記得那些日子。也是在暴風雪中。</v>
      </c>
      <c r="G2594" s="4" t="str">
        <f>IFERROR(__xludf.DUMMYFUNCTION("GOOGLETRANSLATE(B2594)"),"暴風雪")</f>
        <v>暴風雪</v>
      </c>
    </row>
    <row r="2595" ht="15.75" customHeight="1">
      <c r="A2595" s="4">
        <v>8934.0</v>
      </c>
      <c r="B2595" s="4" t="s">
        <v>3988</v>
      </c>
      <c r="C2595" s="4" t="s">
        <v>4002</v>
      </c>
      <c r="D2595" s="4" t="s">
        <v>4003</v>
      </c>
      <c r="E2595" s="4">
        <v>1.0</v>
      </c>
      <c r="F2595" s="4" t="str">
        <f>IFERROR(__xludf.DUMMYFUNCTION("GOOGLETRANSLATE(D2595)"),"我喜歡 @YouTube 影片 http://t.co/z8Cp77lVza 波音 737 在暴風雪中起飛。高清駕駛艙視圖 + ATC 音訊 - 第 18 集")</f>
        <v>我喜歡 @YouTube 影片 http://t.co/z8Cp77lVza 波音 737 在暴風雪中起飛。高清駕駛艙視圖 + ATC 音訊 - 第 18 集</v>
      </c>
      <c r="G2595" s="4" t="str">
        <f>IFERROR(__xludf.DUMMYFUNCTION("GOOGLETRANSLATE(B2595)"),"暴風雪")</f>
        <v>暴風雪</v>
      </c>
    </row>
    <row r="2596" ht="15.75" customHeight="1">
      <c r="A2596" s="4">
        <v>8935.0</v>
      </c>
      <c r="B2596" s="4" t="s">
        <v>3988</v>
      </c>
      <c r="C2596" s="4" t="s">
        <v>4004</v>
      </c>
      <c r="D2596" s="4" t="s">
        <v>4005</v>
      </c>
      <c r="E2596" s="4">
        <v>1.0</v>
      </c>
      <c r="F2596" s="4" t="str">
        <f>IFERROR(__xludf.DUMMYFUNCTION("GOOGLETRANSLATE(D2596)"),"照片：mothernaturenetwork：什麼是雷雪？在暴風雪期間聽到雷聲是極為罕見的... http://t.co/eYdAPauPvG")</f>
        <v>照片：mothernaturenetwork：什麼是雷雪？在暴風雪期間聽到雷聲是極為罕見的... http://t.co/eYdAPauPvG</v>
      </c>
      <c r="G2596" s="4" t="str">
        <f>IFERROR(__xludf.DUMMYFUNCTION("GOOGLETRANSLATE(B2596)"),"暴風雪")</f>
        <v>暴風雪</v>
      </c>
    </row>
    <row r="2597" ht="15.75" customHeight="1">
      <c r="A2597" s="4">
        <v>8936.0</v>
      </c>
      <c r="B2597" s="4" t="s">
        <v>3988</v>
      </c>
      <c r="C2597" s="4" t="s">
        <v>4006</v>
      </c>
      <c r="D2597" s="4" t="s">
        <v>4007</v>
      </c>
      <c r="E2597" s="4">
        <v>1.0</v>
      </c>
      <c r="F2597" s="4" t="str">
        <f>IFERROR(__xludf.DUMMYFUNCTION("GOOGLETRANSLATE(D2597)"),"#LakeEffect #Snowstorm 斜紋牛仔夾克 *** 我購買此設計商品的所有收益都將消失_ https://t.co/TxTpx4umqH")</f>
        <v>#LakeEffect #Snowstorm 斜紋牛仔夾克 *** 我購買此設計商品的所有收益都將消失_ https://t.co/TxTpx4umqH</v>
      </c>
      <c r="G2597" s="4" t="str">
        <f>IFERROR(__xludf.DUMMYFUNCTION("GOOGLETRANSLATE(B2597)"),"暴風雪")</f>
        <v>暴風雪</v>
      </c>
    </row>
    <row r="2598" ht="15.75" customHeight="1">
      <c r="A2598" s="4">
        <v>8939.0</v>
      </c>
      <c r="B2598" s="4" t="s">
        <v>3988</v>
      </c>
      <c r="C2598" s="4" t="s">
        <v>215</v>
      </c>
      <c r="D2598" s="4" t="s">
        <v>4008</v>
      </c>
      <c r="E2598" s="4">
        <v>1.0</v>
      </c>
      <c r="F2598" s="4" t="str">
        <f>IFERROR(__xludf.DUMMYFUNCTION("GOOGLETRANSLATE(D2598)"),"@PrablematicLA @Adweek 我現在實際上已經為暴風雪做好了準備……儘管正值德克薩斯州的仲夏。謝謝辦公室空調。")</f>
        <v>@PrablematicLA @Adweek 我現在實際上已經為暴風雪做好了準備……儘管正值德克薩斯州的仲夏。謝謝辦公室空調。</v>
      </c>
      <c r="G2598" s="4" t="str">
        <f>IFERROR(__xludf.DUMMYFUNCTION("GOOGLETRANSLATE(B2598)"),"暴風雪")</f>
        <v>暴風雪</v>
      </c>
    </row>
    <row r="2599" ht="15.75" customHeight="1">
      <c r="A2599" s="4">
        <v>8945.0</v>
      </c>
      <c r="B2599" s="4" t="s">
        <v>4009</v>
      </c>
      <c r="C2599" s="4" t="s">
        <v>4010</v>
      </c>
      <c r="D2599" s="4" t="s">
        <v>4011</v>
      </c>
      <c r="E2599" s="4">
        <v>1.0</v>
      </c>
      <c r="F2599" s="4" t="str">
        <f>IFERROR(__xludf.DUMMYFUNCTION("GOOGLETRANSLATE(D2599)"),"這張令人難以置信的美國宇航局照片中捕捉到了颱風蘇迪勒在前往台灣的途中！ http://t.co/dGGm5b0w4L http://t.co/eYr2Xx5l1p")</f>
        <v>這張令人難以置信的美國宇航局照片中捕捉到了颱風蘇迪勒在前往台灣的途中！ http://t.co/dGGm5b0w4L http://t.co/eYr2Xx5l1p</v>
      </c>
      <c r="G2599" s="4" t="str">
        <f>IFERROR(__xludf.DUMMYFUNCTION("GOOGLETRANSLATE(B2599)"),"風暴")</f>
        <v>風暴</v>
      </c>
    </row>
    <row r="2600" ht="15.75" customHeight="1">
      <c r="A2600" s="4">
        <v>8946.0</v>
      </c>
      <c r="B2600" s="4" t="s">
        <v>4009</v>
      </c>
      <c r="D2600" s="4" t="s">
        <v>4012</v>
      </c>
      <c r="E2600" s="4">
        <v>1.0</v>
      </c>
      <c r="F2600" s="4" t="str">
        <f>IFERROR(__xludf.DUMMYFUNCTION("GOOGLETRANSLATE(D2600)"),"所以這場風暴是憑空而來的。 .他媽的我太酷了")</f>
        <v>所以這場風暴是憑空而來的。 .他媽的我太酷了</v>
      </c>
      <c r="G2600" s="4" t="str">
        <f>IFERROR(__xludf.DUMMYFUNCTION("GOOGLETRANSLATE(B2600)"),"風暴")</f>
        <v>風暴</v>
      </c>
    </row>
    <row r="2601" ht="15.75" customHeight="1">
      <c r="A2601" s="4">
        <v>8949.0</v>
      </c>
      <c r="B2601" s="4" t="s">
        <v>4009</v>
      </c>
      <c r="C2601" s="4" t="s">
        <v>1205</v>
      </c>
      <c r="D2601" s="4" t="s">
        <v>4013</v>
      </c>
      <c r="E2601" s="4">
        <v>1.0</v>
      </c>
      <c r="F2601" s="4" t="str">
        <f>IFERROR(__xludf.DUMMYFUNCTION("GOOGLETRANSLATE(D2601)"),"如何為#storm 準備#property：
http://t.co/KhYqQsi6My http://t.co/G6Vs3XEinb")</f>
        <v>如何為#storm 準備#property：
http://t.co/KhYqQsi6My http://t.co/G6Vs3XEinb</v>
      </c>
      <c r="G2601" s="4" t="str">
        <f>IFERROR(__xludf.DUMMYFUNCTION("GOOGLETRANSLATE(B2601)"),"風暴")</f>
        <v>風暴</v>
      </c>
    </row>
    <row r="2602" ht="15.75" customHeight="1">
      <c r="A2602" s="4">
        <v>8952.0</v>
      </c>
      <c r="B2602" s="4" t="s">
        <v>4009</v>
      </c>
      <c r="D2602" s="4" t="s">
        <v>4014</v>
      </c>
      <c r="E2602" s="4">
        <v>1.0</v>
      </c>
      <c r="F2602" s="4" t="str">
        <f>IFERROR(__xludf.DUMMYFUNCTION("GOOGLETRANSLATE(D2602)"),"kesabaran membuahkan hasil indah pada saat tepat！生活不是等待暴風雨過去，而是學會在雨中跳舞。")</f>
        <v>kesabaran membuahkan hasil indah pada saat tepat！生活不是等待暴風雨過去，而是學會在雨中跳舞。</v>
      </c>
      <c r="G2602" s="4" t="str">
        <f>IFERROR(__xludf.DUMMYFUNCTION("GOOGLETRANSLATE(B2602)"),"風暴")</f>
        <v>風暴</v>
      </c>
    </row>
    <row r="2603" ht="15.75" customHeight="1">
      <c r="A2603" s="4">
        <v>8953.0</v>
      </c>
      <c r="B2603" s="4" t="s">
        <v>4009</v>
      </c>
      <c r="C2603" s="4" t="s">
        <v>4015</v>
      </c>
      <c r="D2603" s="4" t="s">
        <v>4016</v>
      </c>
      <c r="E2603" s="4">
        <v>1.0</v>
      </c>
      <c r="F2603" s="4" t="str">
        <f>IFERROR(__xludf.DUMMYFUNCTION("GOOGLETRANSLATE(D2603)"),"@Jenniferarri_來吧！ ……但是為什麼要暴風雨呢")</f>
        <v>@Jenniferarri_來吧！ ……但是為什麼要暴風雨呢</v>
      </c>
      <c r="G2603" s="4" t="str">
        <f>IFERROR(__xludf.DUMMYFUNCTION("GOOGLETRANSLATE(B2603)"),"風暴")</f>
        <v>風暴</v>
      </c>
    </row>
    <row r="2604" ht="15.75" customHeight="1">
      <c r="A2604" s="4">
        <v>8957.0</v>
      </c>
      <c r="B2604" s="4" t="s">
        <v>4009</v>
      </c>
      <c r="D2604" s="4" t="s">
        <v>4017</v>
      </c>
      <c r="E2604" s="4">
        <v>1.0</v>
      </c>
      <c r="F2604" s="4" t="str">
        <f>IFERROR(__xludf.DUMMYFUNCTION("GOOGLETRANSLATE(D2604)"),"說我有點害怕暴風雨而我們正處於暴風雨中是不是很糟糕？？？幫助")</f>
        <v>說我有點害怕暴風雨而我們正處於暴風雨中是不是很糟糕？？？幫助</v>
      </c>
      <c r="G2604" s="4" t="str">
        <f>IFERROR(__xludf.DUMMYFUNCTION("GOOGLETRANSLATE(B2604)"),"風暴")</f>
        <v>風暴</v>
      </c>
    </row>
    <row r="2605" ht="15.75" customHeight="1">
      <c r="A2605" s="4">
        <v>8959.0</v>
      </c>
      <c r="B2605" s="4" t="s">
        <v>4009</v>
      </c>
      <c r="C2605" s="4" t="s">
        <v>4018</v>
      </c>
      <c r="D2605" s="4" t="s">
        <v>4019</v>
      </c>
      <c r="E2605" s="4">
        <v>1.0</v>
      </c>
      <c r="F2605" s="4" t="str">
        <f>IFERROR(__xludf.DUMMYFUNCTION("GOOGLETRANSLATE(D2605)"),"看來一個完美的無暴風雨的夜晚即將到來。請參閱 http://t.co/hUzrHgmkSY #EventsPalmBeach 上的戶外活動。")</f>
        <v>看來一個完美的無暴風雨的夜晚即將到來。請參閱 http://t.co/hUzrHgmkSY #EventsPalmBeach 上的戶外活動。</v>
      </c>
      <c r="G2605" s="4" t="str">
        <f>IFERROR(__xludf.DUMMYFUNCTION("GOOGLETRANSLATE(B2605)"),"風暴")</f>
        <v>風暴</v>
      </c>
    </row>
    <row r="2606" ht="15.75" customHeight="1">
      <c r="A2606" s="4">
        <v>8961.0</v>
      </c>
      <c r="B2606" s="4" t="s">
        <v>4009</v>
      </c>
      <c r="C2606" s="4" t="s">
        <v>407</v>
      </c>
      <c r="D2606" s="4" t="s">
        <v>4020</v>
      </c>
      <c r="E2606" s="4">
        <v>1.0</v>
      </c>
      <c r="F2606" s="4" t="str">
        <f>IFERROR(__xludf.DUMMYFUNCTION("GOOGLETRANSLATE(D2606)"),"瘋狂的風暴襲來，我被困在業餘愛好大廳 AMA 中 http://t.co/8qc8Bcxoko")</f>
        <v>瘋狂的風暴襲來，我被困在業餘愛好大廳 AMA 中 http://t.co/8qc8Bcxoko</v>
      </c>
      <c r="G2606" s="4" t="str">
        <f>IFERROR(__xludf.DUMMYFUNCTION("GOOGLETRANSLATE(B2606)"),"風暴")</f>
        <v>風暴</v>
      </c>
    </row>
    <row r="2607" ht="15.75" customHeight="1">
      <c r="A2607" s="4">
        <v>8966.0</v>
      </c>
      <c r="B2607" s="4" t="s">
        <v>4009</v>
      </c>
      <c r="D2607" s="4" t="s">
        <v>4021</v>
      </c>
      <c r="E2607" s="4">
        <v>1.0</v>
      </c>
      <c r="F2607" s="4" t="str">
        <f>IFERROR(__xludf.DUMMYFUNCTION("GOOGLETRANSLATE(D2607)"),"什麼熱帶風暴？ #guillermo by hawaiianpaddlesports http://t.co/LgPgAjgomY http://t.co/FKd1mBTB68")</f>
        <v>什麼熱帶風暴？ #guillermo by hawaiianpaddlesports http://t.co/LgPgAjgomY http://t.co/FKd1mBTB68</v>
      </c>
      <c r="G2607" s="4" t="str">
        <f>IFERROR(__xludf.DUMMYFUNCTION("GOOGLETRANSLATE(B2607)"),"風暴")</f>
        <v>風暴</v>
      </c>
    </row>
    <row r="2608" ht="15.75" customHeight="1">
      <c r="A2608" s="4">
        <v>8971.0</v>
      </c>
      <c r="B2608" s="4" t="s">
        <v>4009</v>
      </c>
      <c r="C2608" s="4" t="s">
        <v>3252</v>
      </c>
      <c r="D2608" s="4" t="s">
        <v>4022</v>
      </c>
      <c r="E2608" s="4">
        <v>1.0</v>
      </c>
      <c r="F2608" s="4" t="str">
        <f>IFERROR(__xludf.DUMMYFUNCTION("GOOGLETRANSLATE(D2608)"),"風暴預報中心已將「輕微風險」區域擴大到北卡羅來納州中部的更多地區。 #TWCNews #ncwx http://t.co/DgBeH5L9DS")</f>
        <v>風暴預報中心已將「輕微風險」區域擴大到北卡羅來納州中部的更多地區。 #TWCNews #ncwx http://t.co/DgBeH5L9DS</v>
      </c>
      <c r="G2608" s="4" t="str">
        <f>IFERROR(__xludf.DUMMYFUNCTION("GOOGLETRANSLATE(B2608)"),"風暴")</f>
        <v>風暴</v>
      </c>
    </row>
    <row r="2609" ht="15.75" customHeight="1">
      <c r="A2609" s="4">
        <v>8972.0</v>
      </c>
      <c r="B2609" s="4" t="s">
        <v>4009</v>
      </c>
      <c r="C2609" s="4" t="s">
        <v>4023</v>
      </c>
      <c r="D2609" s="4" t="s">
        <v>4024</v>
      </c>
      <c r="E2609" s="4">
        <v>1.0</v>
      </c>
      <c r="F2609" s="4" t="str">
        <f>IFERROR(__xludf.DUMMYFUNCTION("GOOGLETRANSLATE(D2609)"),"「卡加利人對風暴保險公司忙於處理電話感到震驚」#abstorm http://t.co/fkFa9vSssZ")</f>
        <v>「卡加利人對風暴保險公司忙於處理電話感到震驚」#abstorm http://t.co/fkFa9vSssZ</v>
      </c>
      <c r="G2609" s="4" t="str">
        <f>IFERROR(__xludf.DUMMYFUNCTION("GOOGLETRANSLATE(B2609)"),"風暴")</f>
        <v>風暴</v>
      </c>
    </row>
    <row r="2610" ht="15.75" customHeight="1">
      <c r="A2610" s="4">
        <v>8974.0</v>
      </c>
      <c r="B2610" s="4" t="s">
        <v>4009</v>
      </c>
      <c r="C2610" s="4" t="s">
        <v>4025</v>
      </c>
      <c r="D2610" s="4" t="s">
        <v>4026</v>
      </c>
      <c r="E2610" s="4">
        <v>1.0</v>
      </c>
      <c r="F2610" s="4" t="str">
        <f>IFERROR(__xludf.DUMMYFUNCTION("GOOGLETRANSLATE(D2610)"),"為這場風暴做好準備")</f>
        <v>為這場風暴做好準備</v>
      </c>
      <c r="G2610" s="4" t="str">
        <f>IFERROR(__xludf.DUMMYFUNCTION("GOOGLETRANSLATE(B2610)"),"風暴")</f>
        <v>風暴</v>
      </c>
    </row>
    <row r="2611" ht="15.75" customHeight="1">
      <c r="A2611" s="4">
        <v>8976.0</v>
      </c>
      <c r="B2611" s="4" t="s">
        <v>4009</v>
      </c>
      <c r="C2611" s="4" t="s">
        <v>1821</v>
      </c>
      <c r="D2611" s="4" t="s">
        <v>4027</v>
      </c>
      <c r="E2611" s="4">
        <v>1.0</v>
      </c>
      <c r="F2611" s="4" t="str">
        <f>IFERROR(__xludf.DUMMYFUNCTION("GOOGLETRANSLATE(D2611)"),"聯合縣強颱風警報 ~ 下午 3:45。最大的威脅包括大雨、閃電和閃電。破壞性的風。 http://t.co/XWOevMK0aA")</f>
        <v>聯合縣強颱風警報 ~ 下午 3:45。最大的威脅包括大雨、閃電和閃電。破壞性的風。 http://t.co/XWOevMK0aA</v>
      </c>
      <c r="G2611" s="4" t="str">
        <f>IFERROR(__xludf.DUMMYFUNCTION("GOOGLETRANSLATE(B2611)"),"風暴")</f>
        <v>風暴</v>
      </c>
    </row>
    <row r="2612" ht="15.75" customHeight="1">
      <c r="A2612" s="4">
        <v>8979.0</v>
      </c>
      <c r="B2612" s="4" t="s">
        <v>4009</v>
      </c>
      <c r="C2612" s="4" t="s">
        <v>4028</v>
      </c>
      <c r="D2612" s="4" t="s">
        <v>4029</v>
      </c>
      <c r="E2612" s="4">
        <v>1.0</v>
      </c>
      <c r="F2612" s="4" t="str">
        <f>IFERROR(__xludf.DUMMYFUNCTION("GOOGLETRANSLATE(D2612)"),"美國太空總署颶風？東太平洋 *全面更新* 衛星觀測到東太平洋熱帶風暴希爾達的形成
ThÛ_ http://t.co/KsXTo8NKNl")</f>
        <v>美國太空總署颶風？東太平洋 *全面更新* 衛星觀測到東太平洋熱帶風暴希爾達的形成
ThÛ_ http://t.co/KsXTo8NKNl</v>
      </c>
      <c r="G2612" s="4" t="str">
        <f>IFERROR(__xludf.DUMMYFUNCTION("GOOGLETRANSLATE(B2612)"),"風暴")</f>
        <v>風暴</v>
      </c>
    </row>
    <row r="2613" ht="15.75" customHeight="1">
      <c r="A2613" s="4">
        <v>8985.0</v>
      </c>
      <c r="B2613" s="4" t="s">
        <v>4009</v>
      </c>
      <c r="C2613" s="4" t="s">
        <v>2749</v>
      </c>
      <c r="D2613" s="4" t="s">
        <v>4030</v>
      </c>
      <c r="E2613" s="4">
        <v>1.0</v>
      </c>
      <c r="F2613" s="4" t="str">
        <f>IFERROR(__xludf.DUMMYFUNCTION("GOOGLETRANSLATE(D2613)"),"#NASA 宣布一場大規模的#solar 風暴正直奔我們而來：http://t.co/CM5u55MiOl")</f>
        <v>#NASA 宣布一場大規模的#solar 風暴正直奔我們而來：http://t.co/CM5u55MiOl</v>
      </c>
      <c r="G2613" s="4" t="str">
        <f>IFERROR(__xludf.DUMMYFUNCTION("GOOGLETRANSLATE(B2613)"),"風暴")</f>
        <v>風暴</v>
      </c>
    </row>
    <row r="2614" ht="15.75" customHeight="1">
      <c r="A2614" s="4">
        <v>8986.0</v>
      </c>
      <c r="B2614" s="4" t="s">
        <v>4009</v>
      </c>
      <c r="C2614" s="4" t="s">
        <v>4031</v>
      </c>
      <c r="D2614" s="4" t="s">
        <v>4032</v>
      </c>
      <c r="E2614" s="4">
        <v>1.0</v>
      </c>
      <c r="F2614" s="4" t="str">
        <f>IFERROR(__xludf.DUMMYFUNCTION("GOOGLETRANSLATE(D2614)"),"我的最後兩張 8 月 2 日暴風雨天氣照片。氣溫下降、風力增強後，人們很快就收拾好行李了。")</f>
        <v>我的最後兩張 8 月 2 日暴風雨天氣照片。氣溫下降、風力增強後，人們很快就收拾好行李了。</v>
      </c>
      <c r="G2614" s="4" t="str">
        <f>IFERROR(__xludf.DUMMYFUNCTION("GOOGLETRANSLATE(B2614)"),"風暴")</f>
        <v>風暴</v>
      </c>
    </row>
    <row r="2615" ht="15.75" customHeight="1">
      <c r="A2615" s="4">
        <v>8987.0</v>
      </c>
      <c r="B2615" s="4" t="s">
        <v>4009</v>
      </c>
      <c r="C2615" s="4" t="s">
        <v>4033</v>
      </c>
      <c r="D2615" s="4" t="s">
        <v>4034</v>
      </c>
      <c r="E2615" s="4">
        <v>1.0</v>
      </c>
      <c r="F2615" s="4" t="str">
        <f>IFERROR(__xludf.DUMMYFUNCTION("GOOGLETRANSLATE(D2615)"),"鴿子 - 風暴 + 最偉大的丹尼爾 (Electric Proms Pt4) http://t.co/xjTpV4OydL")</f>
        <v>鴿子 - 風暴 + 最偉大的丹尼爾 (Electric Proms Pt4) http://t.co/xjTpV4OydL</v>
      </c>
      <c r="G2615" s="4" t="str">
        <f>IFERROR(__xludf.DUMMYFUNCTION("GOOGLETRANSLATE(B2615)"),"風暴")</f>
        <v>風暴</v>
      </c>
    </row>
    <row r="2616" ht="15.75" customHeight="1">
      <c r="A2616" s="4">
        <v>8989.0</v>
      </c>
      <c r="B2616" s="4" t="s">
        <v>4009</v>
      </c>
      <c r="D2616" s="4" t="s">
        <v>4035</v>
      </c>
      <c r="E2616" s="4">
        <v>1.0</v>
      </c>
      <c r="F2616" s="4" t="str">
        <f>IFERROR(__xludf.DUMMYFUNCTION("GOOGLETRANSLATE(D2616)"),"今天的風暴將會過去；讓明天的光芒用一個吻迎接你。沐浴在這愛的溫暖之中；讓你的靈魂回歸幸福。")</f>
        <v>今天的風暴將會過去；讓明天的光芒用一個吻迎接你。沐浴在這愛的溫暖之中；讓你的靈魂回歸幸福。</v>
      </c>
      <c r="G2616" s="4" t="str">
        <f>IFERROR(__xludf.DUMMYFUNCTION("GOOGLETRANSLATE(B2616)"),"風暴")</f>
        <v>風暴</v>
      </c>
    </row>
    <row r="2617" ht="15.75" customHeight="1">
      <c r="A2617" s="4">
        <v>9029.0</v>
      </c>
      <c r="B2617" s="4" t="s">
        <v>4036</v>
      </c>
      <c r="C2617" s="4" t="s">
        <v>4037</v>
      </c>
      <c r="D2617" s="4" t="s">
        <v>4038</v>
      </c>
      <c r="E2617" s="4">
        <v>1.0</v>
      </c>
      <c r="F2617" s="4" t="str">
        <f>IFERROR(__xludf.DUMMYFUNCTION("GOOGLETRANSLATE(D2617)"),"保持鞋子形狀??#Amazon #foot #adjust #shape #shoe 迷你鞋樹擔架塑形器寬度延長器可調整http://t.co/8cPcz2xoHb")</f>
        <v>保持鞋子形狀??#Amazon #foot #adjust #shape #shoe 迷你鞋樹擔架塑形器寬度延長器可調整http://t.co/8cPcz2xoHb</v>
      </c>
      <c r="G2617" s="4" t="str">
        <f>IFERROR(__xludf.DUMMYFUNCTION("GOOGLETRANSLATE(B2617)"),"擔架")</f>
        <v>擔架</v>
      </c>
    </row>
    <row r="2618" ht="15.75" customHeight="1">
      <c r="A2618" s="4">
        <v>9034.0</v>
      </c>
      <c r="B2618" s="4" t="s">
        <v>4036</v>
      </c>
      <c r="C2618" s="4" t="s">
        <v>4039</v>
      </c>
      <c r="D2618" s="4" t="s">
        <v>4040</v>
      </c>
      <c r="E2618" s="4">
        <v>1.0</v>
      </c>
      <c r="F2618" s="4" t="str">
        <f>IFERROR(__xludf.DUMMYFUNCTION("GOOGLETRANSLATE(D2618)"),"聖安東尼奧的可怕事。明星隊總教練丹休斯在場邊被撞倒，從椅子上摔倒在地板上。擔架現已出")</f>
        <v>聖安東尼奧的可怕事。明星隊總教練丹休斯在場邊被撞倒，從椅子上摔倒在地板上。擔架現已出</v>
      </c>
      <c r="G2618" s="4" t="str">
        <f>IFERROR(__xludf.DUMMYFUNCTION("GOOGLETRANSLATE(B2618)"),"擔架")</f>
        <v>擔架</v>
      </c>
    </row>
    <row r="2619" ht="15.75" customHeight="1">
      <c r="A2619" s="4">
        <v>9040.0</v>
      </c>
      <c r="B2619" s="4" t="s">
        <v>4036</v>
      </c>
      <c r="D2619" s="4" t="s">
        <v>4041</v>
      </c>
      <c r="E2619" s="4">
        <v>1.0</v>
      </c>
      <c r="F2619" s="4" t="str">
        <f>IFERROR(__xludf.DUMMYFUNCTION("GOOGLETRANSLATE(D2619)"),"@Stretcher @witter @Rexyy @Towel 給我看一張它的照片")</f>
        <v>@Stretcher @witter @Rexyy @Towel 給我看一張它的照片</v>
      </c>
      <c r="G2619" s="4" t="str">
        <f>IFERROR(__xludf.DUMMYFUNCTION("GOOGLETRANSLATE(B2619)"),"擔架")</f>
        <v>擔架</v>
      </c>
    </row>
    <row r="2620" ht="15.75" customHeight="1">
      <c r="A2620" s="4">
        <v>9042.0</v>
      </c>
      <c r="B2620" s="4" t="s">
        <v>4042</v>
      </c>
      <c r="C2620" s="4" t="s">
        <v>1400</v>
      </c>
      <c r="D2620" s="4" t="s">
        <v>4043</v>
      </c>
      <c r="E2620" s="4">
        <v>1.0</v>
      </c>
      <c r="F2620" s="4" t="str">
        <f>IFERROR(__xludf.DUMMYFUNCTION("GOOGLETRANSLATE(D2620)"),"1) “調查人員表示，維珍銀河飛船墜毀是由於副駕駛提前解鎖煞車系統後結構故障造成的”")</f>
        <v>1) “調查人員表示，維珍銀河飛船墜毀是由於副駕駛提前解鎖煞車系統後結構故障造成的”</v>
      </c>
      <c r="G2620" s="4" t="str">
        <f>IFERROR(__xludf.DUMMYFUNCTION("GOOGLETRANSLATE(B2620)"),"結構%20失敗")</f>
        <v>結構%20失敗</v>
      </c>
    </row>
    <row r="2621" ht="15.75" customHeight="1">
      <c r="A2621" s="4">
        <v>9044.0</v>
      </c>
      <c r="B2621" s="4" t="s">
        <v>4042</v>
      </c>
      <c r="C2621" s="4" t="s">
        <v>126</v>
      </c>
      <c r="D2621" s="4" t="s">
        <v>4044</v>
      </c>
      <c r="E2621" s="4">
        <v>1.0</v>
      </c>
      <c r="F2621" s="4" t="str">
        <f>IFERROR(__xludf.DUMMYFUNCTION("GOOGLETRANSLATE(D2621)"),"SpaceX 創辦人馬斯克：結構性故障導致獵鷹 9 號墜毀 http://t.co/LvIzO9CSSR")</f>
        <v>SpaceX 創辦人馬斯克：結構性故障導致獵鷹 9 號墜毀 http://t.co/LvIzO9CSSR</v>
      </c>
      <c r="G2621" s="4" t="str">
        <f>IFERROR(__xludf.DUMMYFUNCTION("GOOGLETRANSLATE(B2621)"),"結構%20失敗")</f>
        <v>結構%20失敗</v>
      </c>
    </row>
    <row r="2622" ht="15.75" customHeight="1">
      <c r="A2622" s="4">
        <v>9047.0</v>
      </c>
      <c r="B2622" s="4" t="s">
        <v>4042</v>
      </c>
      <c r="D2622" s="4" t="s">
        <v>4045</v>
      </c>
      <c r="E2622" s="4">
        <v>1.0</v>
      </c>
      <c r="F2622" s="4" t="str">
        <f>IFERROR(__xludf.DUMMYFUNCTION("GOOGLETRANSLATE(D2622)"),"維珍銀河墜毀：煞車提前解鎖引發結構故障 http://t.co/Kp1hDchfNZ")</f>
        <v>維珍銀河墜毀：煞車提前解鎖引發結構故障 http://t.co/Kp1hDchfNZ</v>
      </c>
      <c r="G2622" s="4" t="str">
        <f>IFERROR(__xludf.DUMMYFUNCTION("GOOGLETRANSLATE(B2622)"),"結構%20失敗")</f>
        <v>結構%20失敗</v>
      </c>
    </row>
    <row r="2623" ht="15.75" customHeight="1">
      <c r="A2623" s="4">
        <v>9051.0</v>
      </c>
      <c r="B2623" s="4" t="s">
        <v>4042</v>
      </c>
      <c r="D2623" s="4" t="s">
        <v>4046</v>
      </c>
      <c r="E2623" s="4">
        <v>1.0</v>
      </c>
      <c r="F2623" s="4" t="str">
        <f>IFERROR(__xludf.DUMMYFUNCTION("GOOGLETRANSLATE(D2623)"),"影片：維珍銀河墜毀：煞車歸咎：調查人員表示，維珍銀河太空船墜毀是由結構故障造成的。")</f>
        <v>影片：維珍銀河墜毀：煞車歸咎：調查人員表示，維珍銀河太空船墜毀是由結構故障造成的。</v>
      </c>
      <c r="G2623" s="4" t="str">
        <f>IFERROR(__xludf.DUMMYFUNCTION("GOOGLETRANSLATE(B2623)"),"結構%20失敗")</f>
        <v>結構%20失敗</v>
      </c>
    </row>
    <row r="2624" ht="15.75" customHeight="1">
      <c r="A2624" s="4">
        <v>9052.0</v>
      </c>
      <c r="B2624" s="4" t="s">
        <v>4042</v>
      </c>
      <c r="C2624" s="4" t="s">
        <v>4047</v>
      </c>
      <c r="D2624" s="4" t="s">
        <v>4048</v>
      </c>
      <c r="E2624" s="4">
        <v>1.0</v>
      </c>
      <c r="F2624" s="4" t="str">
        <f>IFERROR(__xludf.DUMMYFUNCTION("GOOGLETRANSLATE(D2624)"),"調查人員表示，維珍銀河飛船墜毀是由於副駕駛後結構故障造成的…http://t.co/imAWVMzs3A")</f>
        <v>調查人員表示，維珍銀河飛船墜毀是由於副駕駛後結構故障造成的…http://t.co/imAWVMzs3A</v>
      </c>
      <c r="G2624" s="4" t="str">
        <f>IFERROR(__xludf.DUMMYFUNCTION("GOOGLETRANSLATE(B2624)"),"結構%20失敗")</f>
        <v>結構%20失敗</v>
      </c>
    </row>
    <row r="2625" ht="15.75" customHeight="1">
      <c r="A2625" s="4">
        <v>9053.0</v>
      </c>
      <c r="B2625" s="4" t="s">
        <v>4042</v>
      </c>
      <c r="C2625" s="4" t="s">
        <v>4049</v>
      </c>
      <c r="D2625" s="4" t="s">
        <v>4050</v>
      </c>
      <c r="E2625" s="4">
        <v>1.0</v>
      </c>
      <c r="F2625" s="4" t="str">
        <f>IFERROR(__xludf.DUMMYFUNCTION("GOOGLETRANSLATE(D2625)"),"調查人員表示，去年維珍銀河太空船致命事故是由結構性故障造成的…http://t.co/FPrt7NwrOt")</f>
        <v>調查人員表示，去年維珍銀河太空船致命事故是由結構性故障造成的…http://t.co/FPrt7NwrOt</v>
      </c>
      <c r="G2625" s="4" t="str">
        <f>IFERROR(__xludf.DUMMYFUNCTION("GOOGLETRANSLATE(B2625)"),"結構%20失敗")</f>
        <v>結構%20失敗</v>
      </c>
    </row>
    <row r="2626" ht="15.75" customHeight="1">
      <c r="A2626" s="4">
        <v>9057.0</v>
      </c>
      <c r="B2626" s="4" t="s">
        <v>4042</v>
      </c>
      <c r="C2626" s="4" t="s">
        <v>4051</v>
      </c>
      <c r="D2626" s="4" t="s">
        <v>4052</v>
      </c>
      <c r="E2626" s="4">
        <v>1.0</v>
      </c>
      <c r="F2626" s="4" t="str">
        <f>IFERROR(__xludf.DUMMYFUNCTION("GOOGLETRANSLATE(D2626)"),"未能糾正西方金融市場崩潰的結構性問題的結果 https://t.co/DvieABlOFz")</f>
        <v>未能糾正西方金融市場崩潰的結構性問題的結果 https://t.co/DvieABlOFz</v>
      </c>
      <c r="G2626" s="4" t="str">
        <f>IFERROR(__xludf.DUMMYFUNCTION("GOOGLETRANSLATE(B2626)"),"結構%20失敗")</f>
        <v>結構%20失敗</v>
      </c>
    </row>
    <row r="2627" ht="15.75" customHeight="1">
      <c r="A2627" s="4">
        <v>9059.0</v>
      </c>
      <c r="B2627" s="4" t="s">
        <v>4042</v>
      </c>
      <c r="C2627" s="4" t="s">
        <v>38</v>
      </c>
      <c r="D2627" s="4" t="s">
        <v>4053</v>
      </c>
      <c r="E2627" s="4">
        <v>1.0</v>
      </c>
      <c r="F2627" s="4" t="str">
        <f>IFERROR(__xludf.DUMMYFUNCTION("GOOGLETRANSLATE(D2627)"),"維珍銀河墜毀：煞車提前解鎖引發結構性故障 - 愛爾蘭審查員 http://t.co/ocMCvfDZkv")</f>
        <v>維珍銀河墜毀：煞車提前解鎖引發結構性故障 - 愛爾蘭審查員 http://t.co/ocMCvfDZkv</v>
      </c>
      <c r="G2627" s="4" t="str">
        <f>IFERROR(__xludf.DUMMYFUNCTION("GOOGLETRANSLATE(B2627)"),"結構%20失敗")</f>
        <v>結構%20失敗</v>
      </c>
    </row>
    <row r="2628" ht="15.75" customHeight="1">
      <c r="A2628" s="4">
        <v>9061.0</v>
      </c>
      <c r="B2628" s="4" t="s">
        <v>4042</v>
      </c>
      <c r="D2628" s="4" t="s">
        <v>4054</v>
      </c>
      <c r="E2628" s="4">
        <v>1.0</v>
      </c>
      <c r="F2628" s="4" t="str">
        <f>IFERROR(__xludf.DUMMYFUNCTION("GOOGLETRANSLATE(D2628)"),"調查人員表示，去年維珍銀河太空船的致命事故是因為事故後結構性故障造成的。")</f>
        <v>調查人員表示，去年維珍銀河太空船的致命事故是因為事故後結構性故障造成的。</v>
      </c>
      <c r="G2628" s="4" t="str">
        <f>IFERROR(__xludf.DUMMYFUNCTION("GOOGLETRANSLATE(B2628)"),"結構%20失敗")</f>
        <v>結構%20失敗</v>
      </c>
    </row>
    <row r="2629" ht="15.75" customHeight="1">
      <c r="A2629" s="4">
        <v>9064.0</v>
      </c>
      <c r="B2629" s="4" t="s">
        <v>4042</v>
      </c>
      <c r="C2629" s="4" t="s">
        <v>3068</v>
      </c>
      <c r="D2629" s="4" t="s">
        <v>4055</v>
      </c>
      <c r="E2629" s="4">
        <v>1.0</v>
      </c>
      <c r="F2629" s="4" t="str">
        <f>IFERROR(__xludf.DUMMYFUNCTION("GOOGLETRANSLATE(D2629)"),"Rightways：建構結構完整性與安全性失敗：檢查損壞缺陷測試修復http://t.co/vz1irH0Nmm來自@rightwaystan")</f>
        <v>Rightways：建構結構完整性與安全性失敗：檢查損壞缺陷測試修復http://t.co/vz1irH0Nmm來自@rightwaystan</v>
      </c>
      <c r="G2629" s="4" t="str">
        <f>IFERROR(__xludf.DUMMYFUNCTION("GOOGLETRANSLATE(B2629)"),"結構%20失敗")</f>
        <v>結構%20失敗</v>
      </c>
    </row>
    <row r="2630" ht="15.75" customHeight="1">
      <c r="A2630" s="4">
        <v>9067.0</v>
      </c>
      <c r="B2630" s="4" t="s">
        <v>4042</v>
      </c>
      <c r="C2630" s="4" t="s">
        <v>4056</v>
      </c>
      <c r="D2630" s="4" t="s">
        <v>4057</v>
      </c>
      <c r="E2630" s="4">
        <v>1.0</v>
      </c>
      <c r="F2630" s="4" t="str">
        <f>IFERROR(__xludf.DUMMYFUNCTION("GOOGLETRANSLATE(D2630)"),"NTSB：維珍銀河的 SpaceshipTwo 因制動系統提前解鎖時結構故障而墜毀 http://t.co/EYSbLYX6L6 來自 @KPCC @AP")</f>
        <v>NTSB：維珍銀河的 SpaceshipTwo 因制動系統提前解鎖時結構故障而墜毀 http://t.co/EYSbLYX6L6 來自 @KPCC @AP</v>
      </c>
      <c r="G2630" s="4" t="str">
        <f>IFERROR(__xludf.DUMMYFUNCTION("GOOGLETRANSLATE(B2630)"),"結構%20失敗")</f>
        <v>結構%20失敗</v>
      </c>
    </row>
    <row r="2631" ht="15.75" customHeight="1">
      <c r="A2631" s="4">
        <v>9071.0</v>
      </c>
      <c r="B2631" s="4" t="s">
        <v>4042</v>
      </c>
      <c r="C2631" s="4" t="s">
        <v>112</v>
      </c>
      <c r="D2631" s="4" t="s">
        <v>4058</v>
      </c>
      <c r="E2631" s="4">
        <v>1.0</v>
      </c>
      <c r="F2631" s="4" t="str">
        <f>IFERROR(__xludf.DUMMYFUNCTION("GOOGLETRANSLATE(D2631)"),"調查人員表示，維珍銀河太空船墜毀是由於副駕駛後結構故障造成的…http://t.co/PnhPLJHo8E")</f>
        <v>調查人員表示，維珍銀河太空船墜毀是由於副駕駛後結構故障造成的…http://t.co/PnhPLJHo8E</v>
      </c>
      <c r="G2631" s="4" t="str">
        <f>IFERROR(__xludf.DUMMYFUNCTION("GOOGLETRANSLATE(B2631)"),"結構%20失敗")</f>
        <v>結構%20失敗</v>
      </c>
    </row>
    <row r="2632" ht="15.75" customHeight="1">
      <c r="A2632" s="4">
        <v>9072.0</v>
      </c>
      <c r="B2632" s="4" t="s">
        <v>4042</v>
      </c>
      <c r="D2632" s="4" t="s">
        <v>4059</v>
      </c>
      <c r="E2632" s="4">
        <v>1.0</v>
      </c>
      <c r="F2632" s="4" t="str">
        <f>IFERROR(__xludf.DUMMYFUNCTION("GOOGLETRANSLATE(D2632)"),"調查人員裁定 2014 年發生了災難性的結構故障...... http://t.co/AdZ8kbuRt7")</f>
        <v>調查人員裁定 2014 年發生了災難性的結構故障...... http://t.co/AdZ8kbuRt7</v>
      </c>
      <c r="G2632" s="4" t="str">
        <f>IFERROR(__xludf.DUMMYFUNCTION("GOOGLETRANSLATE(B2632)"),"結構%20失敗")</f>
        <v>結構%20失敗</v>
      </c>
    </row>
    <row r="2633" ht="15.75" customHeight="1">
      <c r="A2633" s="4">
        <v>9074.0</v>
      </c>
      <c r="B2633" s="4" t="s">
        <v>4042</v>
      </c>
      <c r="C2633" s="4" t="s">
        <v>4049</v>
      </c>
      <c r="D2633" s="4" t="s">
        <v>4060</v>
      </c>
      <c r="E2633" s="4">
        <v>1.0</v>
      </c>
      <c r="F2633" s="4" t="str">
        <f>IFERROR(__xludf.DUMMYFUNCTION("GOOGLETRANSLATE(D2633)"),"調查人員表示，維珍銀河太空船墜毀是由於副駕駛後結構故障造成的…http://t.co/WC69XAJIs4")</f>
        <v>調查人員表示，維珍銀河太空船墜毀是由於副駕駛後結構故障造成的…http://t.co/WC69XAJIs4</v>
      </c>
      <c r="G2633" s="4" t="str">
        <f>IFERROR(__xludf.DUMMYFUNCTION("GOOGLETRANSLATE(B2633)"),"結構%20失敗")</f>
        <v>結構%20失敗</v>
      </c>
    </row>
    <row r="2634" ht="15.75" customHeight="1">
      <c r="A2634" s="4">
        <v>9075.0</v>
      </c>
      <c r="B2634" s="4" t="s">
        <v>4042</v>
      </c>
      <c r="D2634" s="4" t="s">
        <v>4061</v>
      </c>
      <c r="E2634" s="4">
        <v>1.0</v>
      </c>
      <c r="F2634" s="4" t="str">
        <f>IFERROR(__xludf.DUMMYFUNCTION("GOOGLETRANSLATE(D2634)"),"調查人員表示，維珍銀河太空船墜毀是由於副駕駛解鎖煞車系統後結構故障造成的")</f>
        <v>調查人員表示，維珍銀河太空船墜毀是由於副駕駛解鎖煞車系統後結構故障造成的</v>
      </c>
      <c r="G2634" s="4" t="str">
        <f>IFERROR(__xludf.DUMMYFUNCTION("GOOGLETRANSLATE(B2634)"),"結構%20失敗")</f>
        <v>結構%20失敗</v>
      </c>
    </row>
    <row r="2635" ht="15.75" customHeight="1">
      <c r="A2635" s="4">
        <v>9082.0</v>
      </c>
      <c r="B2635" s="4" t="s">
        <v>4042</v>
      </c>
      <c r="D2635" s="4" t="s">
        <v>4062</v>
      </c>
      <c r="E2635" s="4">
        <v>1.0</v>
      </c>
      <c r="F2635" s="4" t="str">
        <f>IFERROR(__xludf.DUMMYFUNCTION("GOOGLETRANSLATE(D2635)"),"貧民窟是國家未能為國民提供住房的表現。非法言論混淆了結構性問題。 #stopevictions")</f>
        <v>貧民窟是國家未能為國民提供住房的表現。非法言論混淆了結構性問題。 #stopevictions</v>
      </c>
      <c r="G2635" s="4" t="str">
        <f>IFERROR(__xludf.DUMMYFUNCTION("GOOGLETRANSLATE(B2635)"),"結構%20失敗")</f>
        <v>結構%20失敗</v>
      </c>
    </row>
    <row r="2636" ht="15.75" customHeight="1">
      <c r="A2636" s="4">
        <v>9083.0</v>
      </c>
      <c r="B2636" s="4" t="s">
        <v>4042</v>
      </c>
      <c r="D2636" s="4" t="s">
        <v>4063</v>
      </c>
      <c r="E2636" s="4">
        <v>1.0</v>
      </c>
      <c r="F2636" s="4" t="str">
        <f>IFERROR(__xludf.DUMMYFUNCTION("GOOGLETRANSLATE(D2636)"),"調查人員表示，去年維珍銀河飛船致命失事是因為結構故障造成的…http://t.co/BgRAb7lK8D")</f>
        <v>調查人員表示，去年維珍銀河飛船致命失事是因為結構故障造成的…http://t.co/BgRAb7lK8D</v>
      </c>
      <c r="G2636" s="4" t="str">
        <f>IFERROR(__xludf.DUMMYFUNCTION("GOOGLETRANSLATE(B2636)"),"結構%20失敗")</f>
        <v>結構%20失敗</v>
      </c>
    </row>
    <row r="2637" ht="15.75" customHeight="1">
      <c r="A2637" s="4">
        <v>9085.0</v>
      </c>
      <c r="B2637" s="4" t="s">
        <v>4042</v>
      </c>
      <c r="C2637" s="4" t="s">
        <v>4064</v>
      </c>
      <c r="D2637" s="4" t="s">
        <v>4065</v>
      </c>
      <c r="E2637" s="4">
        <v>1.0</v>
      </c>
      <c r="F2637" s="4" t="str">
        <f>IFERROR(__xludf.DUMMYFUNCTION("GOOGLETRANSLATE(D2637)"),"“噴射燃料無法熔化鋼鐵”
“結構性失敗是不合邏輯的”
“第二架飛機撞向大樓是假的”
“這是一枚炸彈”")</f>
        <v>“噴射燃料無法熔化鋼鐵”
“結構性失敗是不合邏輯的”
“第二架飛機撞向大樓是假的”
“這是一枚炸彈”</v>
      </c>
      <c r="G2637" s="4" t="str">
        <f>IFERROR(__xludf.DUMMYFUNCTION("GOOGLETRANSLATE(B2637)"),"結構%20失敗")</f>
        <v>結構%20失敗</v>
      </c>
    </row>
    <row r="2638" ht="15.75" customHeight="1">
      <c r="A2638" s="4">
        <v>9086.0</v>
      </c>
      <c r="B2638" s="4" t="s">
        <v>4042</v>
      </c>
      <c r="D2638" s="4" t="s">
        <v>4066</v>
      </c>
      <c r="E2638" s="4">
        <v>1.0</v>
      </c>
      <c r="F2638" s="4" t="str">
        <f>IFERROR(__xludf.DUMMYFUNCTION("GOOGLETRANSLATE(D2638)"),"調查人員裁定 2014 年發生了災難性的結構故障...http://t.co/QU1IUg3E9r")</f>
        <v>調查人員裁定 2014 年發生了災難性的結構故障...http://t.co/QU1IUg3E9r</v>
      </c>
      <c r="G2638" s="4" t="str">
        <f>IFERROR(__xludf.DUMMYFUNCTION("GOOGLETRANSLATE(B2638)"),"結構%20失敗")</f>
        <v>結構%20失敗</v>
      </c>
    </row>
    <row r="2639" ht="15.75" customHeight="1">
      <c r="A2639" s="4">
        <v>9087.0</v>
      </c>
      <c r="B2639" s="4" t="s">
        <v>4042</v>
      </c>
      <c r="D2639" s="4" t="s">
        <v>4067</v>
      </c>
      <c r="E2639" s="4">
        <v>1.0</v>
      </c>
      <c r="F2639" s="4" t="str">
        <f>IFERROR(__xludf.DUMMYFUNCTION("GOOGLETRANSLATE(D2639)"),"維珍銀河墜毀：煞車提前解鎖引發結構性故障：維珍銀河墜毀...... http://t.co/x3VqxdouVT")</f>
        <v>維珍銀河墜毀：煞車提前解鎖引發結構性故障：維珍銀河墜毀...... http://t.co/x3VqxdouVT</v>
      </c>
      <c r="G2639" s="4" t="str">
        <f>IFERROR(__xludf.DUMMYFUNCTION("GOOGLETRANSLATE(B2639)"),"結構%20失敗")</f>
        <v>結構%20失敗</v>
      </c>
    </row>
    <row r="2640" ht="15.75" customHeight="1">
      <c r="A2640" s="4">
        <v>9088.0</v>
      </c>
      <c r="B2640" s="4" t="s">
        <v>4042</v>
      </c>
      <c r="D2640" s="4" t="s">
        <v>4068</v>
      </c>
      <c r="E2640" s="4">
        <v>1.0</v>
      </c>
      <c r="F2640" s="4" t="str">
        <f>IFERROR(__xludf.DUMMYFUNCTION("GOOGLETRANSLATE(D2640)"),"調查人員裁定 2014 Virg 是災難性的結構故障導致的。相關文章：http://t.co/Cy1LFeNyV8")</f>
        <v>調查人員裁定 2014 Virg 是災難性的結構故障導致的。相關文章：http://t.co/Cy1LFeNyV8</v>
      </c>
      <c r="G2640" s="4" t="str">
        <f>IFERROR(__xludf.DUMMYFUNCTION("GOOGLETRANSLATE(B2640)"),"結構%20失敗")</f>
        <v>結構%20失敗</v>
      </c>
    </row>
    <row r="2641" ht="15.75" customHeight="1">
      <c r="A2641" s="4">
        <v>9089.0</v>
      </c>
      <c r="B2641" s="4" t="s">
        <v>4042</v>
      </c>
      <c r="C2641" s="4" t="s">
        <v>1205</v>
      </c>
      <c r="D2641" s="4" t="s">
        <v>4069</v>
      </c>
      <c r="E2641" s="4">
        <v>1.0</v>
      </c>
      <c r="F2641" s="4" t="str">
        <f>IFERROR(__xludf.DUMMYFUNCTION("GOOGLETRANSLATE(D2641)"),"NTSB：維珍銀河墜毀是由於煞車過早解鎖時觸發的結構故障造成的 http://t.co/iKnyOk9zZr http://t.co/QCKqcX4Hw9")</f>
        <v>NTSB：維珍銀河墜毀是由於煞車過早解鎖時觸發的結構故障造成的 http://t.co/iKnyOk9zZr http://t.co/QCKqcX4Hw9</v>
      </c>
      <c r="G2641" s="4" t="str">
        <f>IFERROR(__xludf.DUMMYFUNCTION("GOOGLETRANSLATE(B2641)"),"結構%20失敗")</f>
        <v>結構%20失敗</v>
      </c>
    </row>
    <row r="2642" ht="15.75" customHeight="1">
      <c r="A2642" s="4">
        <v>9090.0</v>
      </c>
      <c r="B2642" s="4" t="s">
        <v>4042</v>
      </c>
      <c r="D2642" s="4" t="s">
        <v>4070</v>
      </c>
      <c r="E2642" s="4">
        <v>1.0</v>
      </c>
      <c r="F2642" s="4" t="str">
        <f>IFERROR(__xludf.DUMMYFUNCTION("GOOGLETRANSLATE(D2642)"),"調查人員表示，去年維珍銀河太空船的致命事故是由於副駕駛解鎖煞車後結構故障造成的")</f>
        <v>調查人員表示，去年維珍銀河太空船的致命事故是由於副駕駛解鎖煞車後結構故障造成的</v>
      </c>
      <c r="G2642" s="4" t="str">
        <f>IFERROR(__xludf.DUMMYFUNCTION("GOOGLETRANSLATE(B2642)"),"結構%20失敗")</f>
        <v>結構%20失敗</v>
      </c>
    </row>
    <row r="2643" ht="15.75" customHeight="1">
      <c r="A2643" s="4">
        <v>9095.0</v>
      </c>
      <c r="B2643" s="4" t="s">
        <v>4071</v>
      </c>
      <c r="C2643" s="4" t="s">
        <v>656</v>
      </c>
      <c r="D2643" s="4" t="s">
        <v>4072</v>
      </c>
      <c r="E2643" s="4">
        <v>1.0</v>
      </c>
      <c r="F2643" s="4" t="str">
        <f>IFERROR(__xludf.DUMMYFUNCTION("GOOGLETRANSLATE(D2643)"),"#Bestnaijamade：16 歲的庫德工人黨自殺式炸彈襲擊者在... http://t.co/KSAwlYuX02 bestnaijamade bestnaijamade bestnaijamade beÛ_")</f>
        <v>#Bestnaijamade：16 歲的庫德工人黨自殺式炸彈襲擊者在... http://t.co/KSAwlYuX02 bestnaijamade bestnaijamade bestnaijamade beÛ_</v>
      </c>
      <c r="G2643" s="4" t="str">
        <f>IFERROR(__xludf.DUMMYFUNCTION("GOOGLETRANSLATE(B2643)"),"自殺%20炸彈")</f>
        <v>自殺%20炸彈</v>
      </c>
    </row>
    <row r="2644" ht="15.75" customHeight="1">
      <c r="A2644" s="4">
        <v>9096.0</v>
      </c>
      <c r="B2644" s="4" t="s">
        <v>4071</v>
      </c>
      <c r="C2644" s="4" t="s">
        <v>4073</v>
      </c>
      <c r="D2644" s="4" t="s">
        <v>4074</v>
      </c>
      <c r="E2644" s="4">
        <v>1.0</v>
      </c>
      <c r="F2644" s="4" t="str">
        <f>IFERROR(__xludf.DUMMYFUNCTION("GOOGLETRANSLATE(D2644)"),"16 歲庫德工人黨自殺式炸彈襲擊者在土耳其陸軍戰壕引爆炸彈的照片發布 http://t.co/1yB8SiZarG http://t.co/69iIzvyQYC")</f>
        <v>16 歲庫德工人黨自殺式炸彈襲擊者在土耳其陸軍戰壕引爆炸彈的照片發布 http://t.co/1yB8SiZarG http://t.co/69iIzvyQYC</v>
      </c>
      <c r="G2644" s="4" t="str">
        <f>IFERROR(__xludf.DUMMYFUNCTION("GOOGLETRANSLATE(B2644)"),"自殺%20炸彈")</f>
        <v>自殺%20炸彈</v>
      </c>
    </row>
    <row r="2645" ht="15.75" customHeight="1">
      <c r="A2645" s="4">
        <v>9097.0</v>
      </c>
      <c r="B2645" s="4" t="s">
        <v>4071</v>
      </c>
      <c r="D2645" s="4" t="s">
        <v>4075</v>
      </c>
      <c r="E2645" s="4">
        <v>1.0</v>
      </c>
      <c r="F2645" s="4" t="str">
        <f>IFERROR(__xludf.DUMMYFUNCTION("GOOGLETRANSLATE(D2645)"),"16 歲庫德工人黨自殺式炸彈襲擊者在土耳其陸軍戰壕引爆炸彈的照片發布 http://t.co/uWfvWMjepU http://t.co/pxONlrqUsm")</f>
        <v>16 歲庫德工人黨自殺式炸彈襲擊者在土耳其陸軍戰壕引爆炸彈的照片發布 http://t.co/uWfvWMjepU http://t.co/pxONlrqUsm</v>
      </c>
      <c r="G2645" s="4" t="str">
        <f>IFERROR(__xludf.DUMMYFUNCTION("GOOGLETRANSLATE(B2645)"),"自殺%20炸彈")</f>
        <v>自殺%20炸彈</v>
      </c>
    </row>
    <row r="2646" ht="15.75" customHeight="1">
      <c r="A2646" s="4">
        <v>9098.0</v>
      </c>
      <c r="B2646" s="4" t="s">
        <v>4071</v>
      </c>
      <c r="C2646" s="4" t="s">
        <v>656</v>
      </c>
      <c r="D2646" s="4" t="s">
        <v>4072</v>
      </c>
      <c r="E2646" s="4">
        <v>1.0</v>
      </c>
      <c r="F2646" s="4" t="str">
        <f>IFERROR(__xludf.DUMMYFUNCTION("GOOGLETRANSLATE(D2646)"),"#Bestnaijamade：16 歲的庫德工人黨自殺式炸彈襲擊者在... http://t.co/KSAwlYuX02 bestnaijamade bestnaijamade bestnaijamade beÛ_")</f>
        <v>#Bestnaijamade：16 歲的庫德工人黨自殺式炸彈襲擊者在... http://t.co/KSAwlYuX02 bestnaijamade bestnaijamade bestnaijamade beÛ_</v>
      </c>
      <c r="G2646" s="4" t="str">
        <f>IFERROR(__xludf.DUMMYFUNCTION("GOOGLETRANSLATE(B2646)"),"自殺%20炸彈")</f>
        <v>自殺%20炸彈</v>
      </c>
    </row>
    <row r="2647" ht="15.75" customHeight="1">
      <c r="A2647" s="4">
        <v>9099.0</v>
      </c>
      <c r="B2647" s="4" t="s">
        <v>4071</v>
      </c>
      <c r="D2647" s="4" t="s">
        <v>4076</v>
      </c>
      <c r="E2647" s="4">
        <v>1.0</v>
      </c>
      <c r="F2647" s="4" t="str">
        <f>IFERROR(__xludf.DUMMYFUNCTION("GOOGLETRANSLATE(D2647)"),"@AlfaPedia 它可能只是像炸彈一樣爆炸，使他成為自殺式炸彈襲擊者")</f>
        <v>@AlfaPedia 它可能只是像炸彈一樣爆炸，使他成為自殺式炸彈襲擊者</v>
      </c>
      <c r="G2647" s="4" t="str">
        <f>IFERROR(__xludf.DUMMYFUNCTION("GOOGLETRANSLATE(B2647)"),"自殺%20炸彈")</f>
        <v>自殺%20炸彈</v>
      </c>
    </row>
    <row r="2648" ht="15.75" customHeight="1">
      <c r="A2648" s="4">
        <v>9100.0</v>
      </c>
      <c r="B2648" s="4" t="s">
        <v>4071</v>
      </c>
      <c r="C2648" s="4" t="s">
        <v>1337</v>
      </c>
      <c r="D2648" s="4" t="s">
        <v>4077</v>
      </c>
      <c r="E2648" s="4">
        <v>1.0</v>
      </c>
      <c r="F2648" s="4" t="str">
        <f>IFERROR(__xludf.DUMMYFUNCTION("GOOGLETRANSLATE(D2648)"),"16 歲庫德工人黨自殺式炸彈襲擊者在土耳其陸軍戰壕引爆炸彈的照片發布 http://t.co/uJNRGFAnGj http://t.co/TmIpEgQyeV")</f>
        <v>16 歲庫德工人黨自殺式炸彈襲擊者在土耳其陸軍戰壕引爆炸彈的照片發布 http://t.co/uJNRGFAnGj http://t.co/TmIpEgQyeV</v>
      </c>
      <c r="G2648" s="4" t="str">
        <f>IFERROR(__xludf.DUMMYFUNCTION("GOOGLETRANSLATE(B2648)"),"自殺%20炸彈")</f>
        <v>自殺%20炸彈</v>
      </c>
    </row>
    <row r="2649" ht="15.75" customHeight="1">
      <c r="A2649" s="4">
        <v>9101.0</v>
      </c>
      <c r="B2649" s="4" t="s">
        <v>4071</v>
      </c>
      <c r="C2649" s="4" t="s">
        <v>656</v>
      </c>
      <c r="D2649" s="4" t="s">
        <v>4078</v>
      </c>
      <c r="E2649" s="4">
        <v>1.0</v>
      </c>
      <c r="F2649" s="4" t="str">
        <f>IFERROR(__xludf.DUMMYFUNCTION("GOOGLETRANSLATE(D2649)"),"16 歲庫德工人黨自殺式炸彈襲擊者在土耳其陸軍戰壕引爆炸彈的照片發布 http://t.co/pOL92mn8YZ")</f>
        <v>16 歲庫德工人黨自殺式炸彈襲擊者在土耳其陸軍戰壕引爆炸彈的照片發布 http://t.co/pOL92mn8YZ</v>
      </c>
      <c r="G2649" s="4" t="str">
        <f>IFERROR(__xludf.DUMMYFUNCTION("GOOGLETRANSLATE(B2649)"),"自殺%20炸彈")</f>
        <v>自殺%20炸彈</v>
      </c>
    </row>
    <row r="2650" ht="15.75" customHeight="1">
      <c r="A2650" s="4">
        <v>9102.0</v>
      </c>
      <c r="B2650" s="4" t="s">
        <v>4071</v>
      </c>
      <c r="D2650" s="4" t="s">
        <v>4079</v>
      </c>
      <c r="E2650" s="4">
        <v>1.0</v>
      </c>
      <c r="F2650" s="4" t="str">
        <f>IFERROR(__xludf.DUMMYFUNCTION("GOOGLETRANSLATE(D2650)"),"...//..// whao.. 在土耳其陸軍戰壕引爆炸彈的 16 歲 PKK 自殺式炸彈襲擊者的照片發布 http://t.co/tuVbR4lEP3")</f>
        <v>...//..// whao.. 在土耳其陸軍戰壕引爆炸彈的 16 歲 PKK 自殺式炸彈襲擊者的照片發布 http://t.co/tuVbR4lEP3</v>
      </c>
      <c r="G2650" s="4" t="str">
        <f>IFERROR(__xludf.DUMMYFUNCTION("GOOGLETRANSLATE(B2650)"),"自殺%20炸彈")</f>
        <v>自殺%20炸彈</v>
      </c>
    </row>
    <row r="2651" ht="15.75" customHeight="1">
      <c r="A2651" s="4">
        <v>9103.0</v>
      </c>
      <c r="B2651" s="4" t="s">
        <v>4071</v>
      </c>
      <c r="C2651" s="4" t="s">
        <v>4080</v>
      </c>
      <c r="D2651" s="4" t="s">
        <v>4081</v>
      </c>
      <c r="E2651" s="4">
        <v>1.0</v>
      </c>
      <c r="F2651" s="4" t="str">
        <f>IFERROR(__xludf.DUMMYFUNCTION("GOOGLETRANSLATE(D2651)"),"看看之前的戰鬥吧。公民紛紛自殺，以免受到美國的控制。炸彈是唯一的辦法。 @NBC新聞")</f>
        <v>看看之前的戰鬥吧。公民紛紛自殺，以免受到美國的控制。炸彈是唯一的辦法。 @NBC新聞</v>
      </c>
      <c r="G2651" s="4" t="str">
        <f>IFERROR(__xludf.DUMMYFUNCTION("GOOGLETRANSLATE(B2651)"),"自殺%20炸彈")</f>
        <v>自殺%20炸彈</v>
      </c>
    </row>
    <row r="2652" ht="15.75" customHeight="1">
      <c r="A2652" s="4">
        <v>9107.0</v>
      </c>
      <c r="B2652" s="4" t="s">
        <v>4071</v>
      </c>
      <c r="C2652" s="4" t="s">
        <v>656</v>
      </c>
      <c r="D2652" s="4" t="s">
        <v>4072</v>
      </c>
      <c r="E2652" s="4">
        <v>1.0</v>
      </c>
      <c r="F2652" s="4" t="str">
        <f>IFERROR(__xludf.DUMMYFUNCTION("GOOGLETRANSLATE(D2652)"),"#Bestnaijamade：16 歲的庫德工人黨自殺式炸彈襲擊者在... http://t.co/KSAwlYuX02 bestnaijamade bestnaijamade bestnaijamade beÛ_")</f>
        <v>#Bestnaijamade：16 歲的庫德工人黨自殺式炸彈襲擊者在... http://t.co/KSAwlYuX02 bestnaijamade bestnaijamade bestnaijamade beÛ_</v>
      </c>
      <c r="G2652" s="4" t="str">
        <f>IFERROR(__xludf.DUMMYFUNCTION("GOOGLETRANSLATE(B2652)"),"自殺%20炸彈")</f>
        <v>自殺%20炸彈</v>
      </c>
    </row>
    <row r="2653" ht="15.75" customHeight="1">
      <c r="A2653" s="4">
        <v>9109.0</v>
      </c>
      <c r="B2653" s="4" t="s">
        <v>4071</v>
      </c>
      <c r="C2653" s="4" t="s">
        <v>4082</v>
      </c>
      <c r="D2653" s="4" t="s">
        <v>4083</v>
      </c>
      <c r="E2653" s="4">
        <v>1.0</v>
      </c>
      <c r="F2653" s="4" t="str">
        <f>IFERROR(__xludf.DUMMYFUNCTION("GOOGLETRANSLATE(D2653)"),"16 歲庫德工人黨自殺式炸彈襲擊者在土耳其陸軍戰壕引爆炸彈的照片發布 http://t.co/IUh718KCy0 http://t.co/9pQyx4xOOL")</f>
        <v>16 歲庫德工人黨自殺式炸彈襲擊者在土耳其陸軍戰壕引爆炸彈的照片發布 http://t.co/IUh718KCy0 http://t.co/9pQyx4xOOL</v>
      </c>
      <c r="G2653" s="4" t="str">
        <f>IFERROR(__xludf.DUMMYFUNCTION("GOOGLETRANSLATE(B2653)"),"自殺%20炸彈")</f>
        <v>自殺%20炸彈</v>
      </c>
    </row>
    <row r="2654" ht="15.75" customHeight="1">
      <c r="A2654" s="4">
        <v>9110.0</v>
      </c>
      <c r="B2654" s="4" t="s">
        <v>4071</v>
      </c>
      <c r="C2654" s="4" t="s">
        <v>4084</v>
      </c>
      <c r="D2654" s="4" t="s">
        <v>4085</v>
      </c>
      <c r="E2654" s="4">
        <v>1.0</v>
      </c>
      <c r="F2654" s="4" t="str">
        <f>IFERROR(__xludf.DUMMYFUNCTION("GOOGLETRANSLATE(D2654)"),"看看在土耳其陸軍戰壕中引爆炸彈的 16 歲庫德工人黨自殺式炸彈襲擊者Û_ http://t.co/ZdiEodWbog via @MsOreo_ http://t.co/V6nyLVdPeD")</f>
        <v>看看在土耳其陸軍戰壕中引爆炸彈的 16 歲庫德工人黨自殺式炸彈襲擊者Û_ http://t.co/ZdiEodWbog via @MsOreo_ http://t.co/V6nyLVdPeD</v>
      </c>
      <c r="G2654" s="4" t="str">
        <f>IFERROR(__xludf.DUMMYFUNCTION("GOOGLETRANSLATE(B2654)"),"自殺%20炸彈")</f>
        <v>自殺%20炸彈</v>
      </c>
    </row>
    <row r="2655" ht="15.75" customHeight="1">
      <c r="A2655" s="4">
        <v>9112.0</v>
      </c>
      <c r="B2655" s="4" t="s">
        <v>4071</v>
      </c>
      <c r="D2655" s="4" t="s">
        <v>4086</v>
      </c>
      <c r="E2655" s="4">
        <v>1.0</v>
      </c>
      <c r="F2655" s="4" t="str">
        <f>IFERROR(__xludf.DUMMYFUNCTION("GOOGLETRANSLATE(D2655)"),"//./../.. 在土耳其陸軍戰壕引爆炸彈的 16 歲庫德工人黨自殺式炸彈襲擊者的照片發布 http://t.co/Sj57BoKsiB -/")</f>
        <v>//./../.. 在土耳其陸軍戰壕引爆炸彈的 16 歲庫德工人黨自殺式炸彈襲擊者的照片發布 http://t.co/Sj57BoKsiB -/</v>
      </c>
      <c r="G2655" s="4" t="str">
        <f>IFERROR(__xludf.DUMMYFUNCTION("GOOGLETRANSLATE(B2655)"),"自殺%20炸彈")</f>
        <v>自殺%20炸彈</v>
      </c>
    </row>
    <row r="2656" ht="15.75" customHeight="1">
      <c r="A2656" s="4">
        <v>9113.0</v>
      </c>
      <c r="B2656" s="4" t="s">
        <v>4071</v>
      </c>
      <c r="C2656" s="4" t="s">
        <v>656</v>
      </c>
      <c r="D2656" s="4" t="s">
        <v>4072</v>
      </c>
      <c r="E2656" s="4">
        <v>1.0</v>
      </c>
      <c r="F2656" s="4" t="str">
        <f>IFERROR(__xludf.DUMMYFUNCTION("GOOGLETRANSLATE(D2656)"),"#Bestnaijamade：16 歲的庫德工人黨自殺式炸彈襲擊者在... http://t.co/KSAwlYuX02 bestnaijamade bestnaijamade bestnaijamade beÛ_")</f>
        <v>#Bestnaijamade：16 歲的庫德工人黨自殺式炸彈襲擊者在... http://t.co/KSAwlYuX02 bestnaijamade bestnaijamade bestnaijamade beÛ_</v>
      </c>
      <c r="G2656" s="4" t="str">
        <f>IFERROR(__xludf.DUMMYFUNCTION("GOOGLETRANSLATE(B2656)"),"自殺%20炸彈")</f>
        <v>自殺%20炸彈</v>
      </c>
    </row>
    <row r="2657" ht="15.75" customHeight="1">
      <c r="A2657" s="4">
        <v>9114.0</v>
      </c>
      <c r="B2657" s="4" t="s">
        <v>4071</v>
      </c>
      <c r="C2657" s="4" t="s">
        <v>656</v>
      </c>
      <c r="D2657" s="4" t="s">
        <v>4072</v>
      </c>
      <c r="E2657" s="4">
        <v>1.0</v>
      </c>
      <c r="F2657" s="4" t="str">
        <f>IFERROR(__xludf.DUMMYFUNCTION("GOOGLETRANSLATE(D2657)"),"#Bestnaijamade：16 歲的庫德工人黨自殺式炸彈襲擊者在... http://t.co/KSAwlYuX02 bestnaijamade bestnaijamade bestnaijamade beÛ_")</f>
        <v>#Bestnaijamade：16 歲的庫德工人黨自殺式炸彈襲擊者在... http://t.co/KSAwlYuX02 bestnaijamade bestnaijamade bestnaijamade beÛ_</v>
      </c>
      <c r="G2657" s="4" t="str">
        <f>IFERROR(__xludf.DUMMYFUNCTION("GOOGLETRANSLATE(B2657)"),"自殺%20炸彈")</f>
        <v>自殺%20炸彈</v>
      </c>
    </row>
    <row r="2658" ht="15.75" customHeight="1">
      <c r="A2658" s="4">
        <v>9116.0</v>
      </c>
      <c r="B2658" s="4" t="s">
        <v>4071</v>
      </c>
      <c r="D2658" s="4" t="s">
        <v>4087</v>
      </c>
      <c r="E2658" s="4">
        <v>1.0</v>
      </c>
      <c r="F2658" s="4" t="str">
        <f>IFERROR(__xludf.DUMMYFUNCTION("GOOGLETRANSLATE(D2658)"),"//./../.. 16 歲庫德工人黨自殺式炸彈襲擊者在土耳其陸軍戰壕引爆炸彈的照片發布 http://t.co/fqSk7QCawO -/")</f>
        <v>//./../.. 16 歲庫德工人黨自殺式炸彈襲擊者在土耳其陸軍戰壕引爆炸彈的照片發布 http://t.co/fqSk7QCawO -/</v>
      </c>
      <c r="G2658" s="4" t="str">
        <f>IFERROR(__xludf.DUMMYFUNCTION("GOOGLETRANSLATE(B2658)"),"自殺%20炸彈")</f>
        <v>自殺%20炸彈</v>
      </c>
    </row>
    <row r="2659" ht="15.75" customHeight="1">
      <c r="A2659" s="4">
        <v>9118.0</v>
      </c>
      <c r="B2659" s="4" t="s">
        <v>4071</v>
      </c>
      <c r="D2659" s="4" t="s">
        <v>4088</v>
      </c>
      <c r="E2659" s="4">
        <v>1.0</v>
      </c>
      <c r="F2659" s="4" t="str">
        <f>IFERROR(__xludf.DUMMYFUNCTION("GOOGLETRANSLATE(D2659)"),"重述/ 16 歲庫德工人黨自殺式炸彈襲擊者在土耳其陸軍戰壕引爆炸彈的照片發布 http://t.co/6jzCEdaYRG")</f>
        <v>重述/ 16 歲庫德工人黨自殺式炸彈襲擊者在土耳其陸軍戰壕引爆炸彈的照片發布 http://t.co/6jzCEdaYRG</v>
      </c>
      <c r="G2659" s="4" t="str">
        <f>IFERROR(__xludf.DUMMYFUNCTION("GOOGLETRANSLATE(B2659)"),"自殺%20炸彈")</f>
        <v>自殺%20炸彈</v>
      </c>
    </row>
    <row r="2660" ht="15.75" customHeight="1">
      <c r="A2660" s="4">
        <v>9119.0</v>
      </c>
      <c r="B2660" s="4" t="s">
        <v>4071</v>
      </c>
      <c r="C2660" s="4" t="s">
        <v>4089</v>
      </c>
      <c r="D2660" s="4" t="s">
        <v>4090</v>
      </c>
      <c r="E2660" s="4">
        <v>1.0</v>
      </c>
      <c r="F2660" s="4" t="str">
        <f>IFERROR(__xludf.DUMMYFUNCTION("GOOGLETRANSLATE(D2660)"),"敘利亞霍姆斯東部空軍基地 ISIS 自殺式炸彈攻擊造成 11 名士兵死亡ZAMAN ALWSL - http://t.co/V8juC5eK1A #ISIS #Homs")</f>
        <v>敘利亞霍姆斯東部空軍基地 ISIS 自殺式炸彈攻擊造成 11 名士兵死亡ZAMAN ALWSL - http://t.co/V8juC5eK1A #ISIS #Homs</v>
      </c>
      <c r="G2660" s="4" t="str">
        <f>IFERROR(__xludf.DUMMYFUNCTION("GOOGLETRANSLATE(B2660)"),"自殺%20炸彈")</f>
        <v>自殺%20炸彈</v>
      </c>
    </row>
    <row r="2661" ht="15.75" customHeight="1">
      <c r="A2661" s="4">
        <v>9120.0</v>
      </c>
      <c r="B2661" s="4" t="s">
        <v>4071</v>
      </c>
      <c r="C2661" s="4" t="s">
        <v>4091</v>
      </c>
      <c r="D2661" s="4" t="s">
        <v>4092</v>
      </c>
      <c r="E2661" s="4">
        <v>1.0</v>
      </c>
      <c r="F2661" s="4" t="str">
        <f>IFERROR(__xludf.DUMMYFUNCTION("GOOGLETRANSLATE(D2661)"),"在土耳其陸軍戰壕引爆炸彈的 16 歲庫德工人黨自殺式炸彈襲擊者被釋放 http://t.co/mGZslZz1wF")</f>
        <v>在土耳其陸軍戰壕引爆炸彈的 16 歲庫德工人黨自殺式炸彈襲擊者被釋放 http://t.co/mGZslZz1wF</v>
      </c>
      <c r="G2661" s="4" t="str">
        <f>IFERROR(__xludf.DUMMYFUNCTION("GOOGLETRANSLATE(B2661)"),"自殺%20炸彈")</f>
        <v>自殺%20炸彈</v>
      </c>
    </row>
    <row r="2662" ht="15.75" customHeight="1">
      <c r="A2662" s="4">
        <v>9121.0</v>
      </c>
      <c r="B2662" s="4" t="s">
        <v>4071</v>
      </c>
      <c r="D2662" s="4" t="s">
        <v>4093</v>
      </c>
      <c r="E2662" s="4">
        <v>1.0</v>
      </c>
      <c r="F2662" s="4" t="str">
        <f>IFERROR(__xludf.DUMMYFUNCTION("GOOGLETRANSLATE(D2662)"),"在土耳其陸軍戰壕引爆炸彈的 16 歲庫德工人黨自殺式炸彈襲擊者被釋放 http://t.co/5orTB8p51c")</f>
        <v>在土耳其陸軍戰壕引爆炸彈的 16 歲庫德工人黨自殺式炸彈襲擊者被釋放 http://t.co/5orTB8p51c</v>
      </c>
      <c r="G2662" s="4" t="str">
        <f>IFERROR(__xludf.DUMMYFUNCTION("GOOGLETRANSLATE(B2662)"),"自殺%20炸彈")</f>
        <v>自殺%20炸彈</v>
      </c>
    </row>
    <row r="2663" ht="15.75" customHeight="1">
      <c r="A2663" s="4">
        <v>9123.0</v>
      </c>
      <c r="B2663" s="4" t="s">
        <v>4071</v>
      </c>
      <c r="C2663" s="4" t="s">
        <v>4094</v>
      </c>
      <c r="D2663" s="4" t="s">
        <v>4095</v>
      </c>
      <c r="E2663" s="4">
        <v>1.0</v>
      </c>
      <c r="F2663" s="4" t="str">
        <f>IFERROR(__xludf.DUMMYFUNCTION("GOOGLETRANSLATE(D2663)"),"在土耳其陸軍戰壕引爆炸彈的 16 歲庫德工人黨自殺式炸彈襲擊者被釋放 http://t.co/n7Yst76ku3")</f>
        <v>在土耳其陸軍戰壕引爆炸彈的 16 歲庫德工人黨自殺式炸彈襲擊者被釋放 http://t.co/n7Yst76ku3</v>
      </c>
      <c r="G2663" s="4" t="str">
        <f>IFERROR(__xludf.DUMMYFUNCTION("GOOGLETRANSLATE(B2663)"),"自殺%20炸彈")</f>
        <v>自殺%20炸彈</v>
      </c>
    </row>
    <row r="2664" ht="15.75" customHeight="1">
      <c r="A2664" s="4">
        <v>9124.0</v>
      </c>
      <c r="B2664" s="4" t="s">
        <v>4071</v>
      </c>
      <c r="C2664" s="4" t="s">
        <v>283</v>
      </c>
      <c r="D2664" s="4" t="s">
        <v>4096</v>
      </c>
      <c r="E2664" s="4">
        <v>1.0</v>
      </c>
      <c r="F2664" s="4" t="str">
        <f>IFERROR(__xludf.DUMMYFUNCTION("GOOGLETRANSLATE(D2664)"),"16 歲庫德工人黨自殺式炸彈襲擊者在土耳其陸軍戰壕引爆炸彈的照片發布 http://t.co/gnynJHnE6j http://t.co/1fuNEMes7M")</f>
        <v>16 歲庫德工人黨自殺式炸彈襲擊者在土耳其陸軍戰壕引爆炸彈的照片發布 http://t.co/gnynJHnE6j http://t.co/1fuNEMes7M</v>
      </c>
      <c r="G2664" s="4" t="str">
        <f>IFERROR(__xludf.DUMMYFUNCTION("GOOGLETRANSLATE(B2664)"),"自殺%20炸彈")</f>
        <v>自殺%20炸彈</v>
      </c>
    </row>
    <row r="2665" ht="15.75" customHeight="1">
      <c r="A2665" s="4">
        <v>9126.0</v>
      </c>
      <c r="B2665" s="4" t="s">
        <v>4071</v>
      </c>
      <c r="D2665" s="4" t="s">
        <v>4097</v>
      </c>
      <c r="E2665" s="4">
        <v>1.0</v>
      </c>
      <c r="F2665" s="4" t="str">
        <f>IFERROR(__xludf.DUMMYFUNCTION("GOOGLETRANSLATE(D2665)"),"wo 在土耳其陸軍戰壕引爆炸彈的 16 歲庫德工人黨自殺式炸彈襲擊者的照片發布 http://t.co/5v29w19tFX /'/'//")</f>
        <v>wo 在土耳其陸軍戰壕引爆炸彈的 16 歲庫德工人黨自殺式炸彈襲擊者的照片發布 http://t.co/5v29w19tFX /'/'//</v>
      </c>
      <c r="G2665" s="4" t="str">
        <f>IFERROR(__xludf.DUMMYFUNCTION("GOOGLETRANSLATE(B2665)"),"自殺%20炸彈")</f>
        <v>自殺%20炸彈</v>
      </c>
    </row>
    <row r="2666" ht="15.75" customHeight="1">
      <c r="A2666" s="4">
        <v>9128.0</v>
      </c>
      <c r="B2666" s="4" t="s">
        <v>4071</v>
      </c>
      <c r="C2666" s="4" t="s">
        <v>4098</v>
      </c>
      <c r="D2666" s="4" t="s">
        <v>4099</v>
      </c>
      <c r="E2666" s="4">
        <v>1.0</v>
      </c>
      <c r="F2666" s="4" t="str">
        <f>IFERROR(__xludf.DUMMYFUNCTION("GOOGLETRANSLATE(D2666)"),"16 歲庫德工人黨自殺式炸彈襲擊者在土耳其陸軍戰壕中引爆炸彈的照片發布 http://t.co/FVXHoPdf3W")</f>
        <v>16 歲庫德工人黨自殺式炸彈襲擊者在土耳其陸軍戰壕中引爆炸彈的照片發布 http://t.co/FVXHoPdf3W</v>
      </c>
      <c r="G2666" s="4" t="str">
        <f>IFERROR(__xludf.DUMMYFUNCTION("GOOGLETRANSLATE(B2666)"),"自殺%20炸彈")</f>
        <v>自殺%20炸彈</v>
      </c>
    </row>
    <row r="2667" ht="15.75" customHeight="1">
      <c r="A2667" s="4">
        <v>9130.0</v>
      </c>
      <c r="B2667" s="4" t="s">
        <v>4071</v>
      </c>
      <c r="D2667" s="4" t="s">
        <v>4100</v>
      </c>
      <c r="E2667" s="4">
        <v>1.0</v>
      </c>
      <c r="F2667" s="4" t="str">
        <f>IFERROR(__xludf.DUMMYFUNCTION("GOOGLETRANSLATE(D2667)"),"伊拉克 - Hashd Shaabi 竊 ISIS 自殺式汽車炸彈 http://t.co/2AG9auABr3 #ISIS http://t.co/Qna4TUBnWh")</f>
        <v>伊拉克 - Hashd Shaabi 竊 ISIS 自殺式汽車炸彈 http://t.co/2AG9auABr3 #ISIS http://t.co/Qna4TUBnWh</v>
      </c>
      <c r="G2667" s="4" t="str">
        <f>IFERROR(__xludf.DUMMYFUNCTION("GOOGLETRANSLATE(B2667)"),"自殺%20炸彈")</f>
        <v>自殺%20炸彈</v>
      </c>
    </row>
    <row r="2668" ht="15.75" customHeight="1">
      <c r="A2668" s="4">
        <v>9131.0</v>
      </c>
      <c r="B2668" s="4" t="s">
        <v>4071</v>
      </c>
      <c r="D2668" s="4" t="s">
        <v>4101</v>
      </c>
      <c r="E2668" s="4">
        <v>1.0</v>
      </c>
      <c r="F2668" s="4" t="str">
        <f>IFERROR(__xludf.DUMMYFUNCTION("GOOGLETRANSLATE(D2668)"),"ll//ll= 在土耳其陸軍戰壕引爆炸彈的 16 歲庫德工人黨自殺式炸彈襲擊者照片發布 http://t.co/uoNEbAHH3h/")</f>
        <v>ll//ll= 在土耳其陸軍戰壕引爆炸彈的 16 歲庫德工人黨自殺式炸彈襲擊者照片發布 http://t.co/uoNEbAHH3h/</v>
      </c>
      <c r="G2668" s="4" t="str">
        <f>IFERROR(__xludf.DUMMYFUNCTION("GOOGLETRANSLATE(B2668)"),"自殺%20炸彈")</f>
        <v>自殺%20炸彈</v>
      </c>
    </row>
    <row r="2669" ht="15.75" customHeight="1">
      <c r="A2669" s="4">
        <v>9132.0</v>
      </c>
      <c r="B2669" s="4" t="s">
        <v>4071</v>
      </c>
      <c r="C2669" s="4" t="s">
        <v>4102</v>
      </c>
      <c r="D2669" s="4" t="s">
        <v>4103</v>
      </c>
      <c r="E2669" s="4">
        <v>1.0</v>
      </c>
      <c r="F2669" s="4" t="str">
        <f>IFERROR(__xludf.DUMMYFUNCTION("GOOGLETRANSLATE(D2669)"),"在土耳其陸軍戰壕引爆炸彈的 16 歲庫德工人黨自殺式炸彈襲擊者被釋放 http://t.co/mMkLapX2ok")</f>
        <v>在土耳其陸軍戰壕引爆炸彈的 16 歲庫德工人黨自殺式炸彈襲擊者被釋放 http://t.co/mMkLapX2ok</v>
      </c>
      <c r="G2669" s="4" t="str">
        <f>IFERROR(__xludf.DUMMYFUNCTION("GOOGLETRANSLATE(B2669)"),"自殺%20炸彈")</f>
        <v>自殺%20炸彈</v>
      </c>
    </row>
    <row r="2670" ht="15.75" customHeight="1">
      <c r="A2670" s="4">
        <v>9134.0</v>
      </c>
      <c r="B2670" s="4" t="s">
        <v>4071</v>
      </c>
      <c r="C2670" s="4" t="s">
        <v>656</v>
      </c>
      <c r="D2670" s="4" t="s">
        <v>4104</v>
      </c>
      <c r="E2670" s="4">
        <v>1.0</v>
      </c>
      <c r="F2670" s="4" t="str">
        <f>IFERROR(__xludf.DUMMYFUNCTION("GOOGLETRANSLATE(D2670)"),"#GRupdates 在土耳其陸軍戰壕中引爆炸彈的 16 歲庫德工人黨自殺式炸彈襲擊者的照片已發布 --&gt; http://t.co/fqcDPhccg7")</f>
        <v>#GRupdates 在土耳其陸軍戰壕中引爆炸彈的 16 歲庫德工人黨自殺式炸彈襲擊者的照片已發布 --&gt; http://t.co/fqcDPhccg7</v>
      </c>
      <c r="G2670" s="4" t="str">
        <f>IFERROR(__xludf.DUMMYFUNCTION("GOOGLETRANSLATE(B2670)"),"自殺%20炸彈")</f>
        <v>自殺%20炸彈</v>
      </c>
    </row>
    <row r="2671" ht="15.75" customHeight="1">
      <c r="A2671" s="4">
        <v>9135.0</v>
      </c>
      <c r="B2671" s="4" t="s">
        <v>4071</v>
      </c>
      <c r="C2671" s="4" t="s">
        <v>656</v>
      </c>
      <c r="D2671" s="4" t="s">
        <v>4072</v>
      </c>
      <c r="E2671" s="4">
        <v>1.0</v>
      </c>
      <c r="F2671" s="4" t="str">
        <f>IFERROR(__xludf.DUMMYFUNCTION("GOOGLETRANSLATE(D2671)"),"#Bestnaijamade：16 歲的庫德工人黨自殺式炸彈襲擊者在... http://t.co/KSAwlYuX02 bestnaijamade bestnaijamade bestnaijamade beÛ_")</f>
        <v>#Bestnaijamade：16 歲的庫德工人黨自殺式炸彈襲擊者在... http://t.co/KSAwlYuX02 bestnaijamade bestnaijamade bestnaijamade beÛ_</v>
      </c>
      <c r="G2671" s="4" t="str">
        <f>IFERROR(__xludf.DUMMYFUNCTION("GOOGLETRANSLATE(B2671)"),"自殺%20炸彈")</f>
        <v>自殺%20炸彈</v>
      </c>
    </row>
    <row r="2672" ht="15.75" customHeight="1">
      <c r="A2672" s="4">
        <v>9137.0</v>
      </c>
      <c r="B2672" s="4" t="s">
        <v>4071</v>
      </c>
      <c r="C2672" s="4" t="s">
        <v>283</v>
      </c>
      <c r="D2672" s="4" t="s">
        <v>4105</v>
      </c>
      <c r="E2672" s="4">
        <v>1.0</v>
      </c>
      <c r="F2672" s="4" t="str">
        <f>IFERROR(__xludf.DUMMYFUNCTION("GOOGLETRANSLATE(D2672)"),"？ 2015年7月17日以來的第19天－奈及利亞：自殺式炸彈攻擊造成64人死亡；指責：博科聖地 [洛杉磯]時報/美聯社] | http://t.co/O2cdKpSDfp")</f>
        <v>？ 2015年7月17日以來的第19天－奈及利亞：自殺式炸彈攻擊造成64人死亡；指責：博科聖地 [洛杉磯]時報/美聯社] | http://t.co/O2cdKpSDfp</v>
      </c>
      <c r="G2672" s="4" t="str">
        <f>IFERROR(__xludf.DUMMYFUNCTION("GOOGLETRANSLATE(B2672)"),"自殺%20炸彈")</f>
        <v>自殺%20炸彈</v>
      </c>
    </row>
    <row r="2673" ht="15.75" customHeight="1">
      <c r="A2673" s="4">
        <v>9139.0</v>
      </c>
      <c r="B2673" s="4" t="s">
        <v>4071</v>
      </c>
      <c r="C2673" s="4" t="s">
        <v>656</v>
      </c>
      <c r="D2673" s="4" t="s">
        <v>4106</v>
      </c>
      <c r="E2673" s="4">
        <v>1.0</v>
      </c>
      <c r="F2673" s="4" t="str">
        <f>IFERROR(__xludf.DUMMYFUNCTION("GOOGLETRANSLATE(D2673)"),"16 歲男孩照片庫德工人黨自殺式炸彈襲擊者在土耳其陸軍戰壕中引爆炸彈 http://t.co/H3SXfV5mtC http://t.co/IEWDreNauK")</f>
        <v>16 歲男孩照片庫德工人黨自殺式炸彈襲擊者在土耳其陸軍戰壕中引爆炸彈 http://t.co/H3SXfV5mtC http://t.co/IEWDreNauK</v>
      </c>
      <c r="G2673" s="4" t="str">
        <f>IFERROR(__xludf.DUMMYFUNCTION("GOOGLETRANSLATE(B2673)"),"自殺%20炸彈")</f>
        <v>自殺%20炸彈</v>
      </c>
    </row>
    <row r="2674" ht="15.75" customHeight="1">
      <c r="A2674" s="4">
        <v>9141.0</v>
      </c>
      <c r="B2674" s="4" t="s">
        <v>4071</v>
      </c>
      <c r="C2674" s="4" t="s">
        <v>602</v>
      </c>
      <c r="D2674" s="4" t="s">
        <v>4107</v>
      </c>
      <c r="E2674" s="4">
        <v>1.0</v>
      </c>
      <c r="F2674" s="4" t="str">
        <f>IFERROR(__xludf.DUMMYFUNCTION("GOOGLETRANSLATE(D2674)"),"新貼文：在土耳其陸軍戰壕引爆炸彈的 16 歲庫德工人黨自殺式炸彈襲擊者的照片發布 http://t.co/LWDcrPEhTN")</f>
        <v>新貼文：在土耳其陸軍戰壕引爆炸彈的 16 歲庫德工人黨自殺式炸彈襲擊者的照片發布 http://t.co/LWDcrPEhTN</v>
      </c>
      <c r="G2674" s="4" t="str">
        <f>IFERROR(__xludf.DUMMYFUNCTION("GOOGLETRANSLATE(B2674)"),"自殺%20炸彈")</f>
        <v>自殺%20炸彈</v>
      </c>
    </row>
    <row r="2675" ht="15.75" customHeight="1">
      <c r="A2675" s="4">
        <v>9142.0</v>
      </c>
      <c r="B2675" s="4" t="s">
        <v>4108</v>
      </c>
      <c r="D2675" s="4" t="s">
        <v>4109</v>
      </c>
      <c r="E2675" s="4">
        <v>1.0</v>
      </c>
      <c r="F2675" s="4" t="str">
        <f>IFERROR(__xludf.DUMMYFUNCTION("GOOGLETRANSLATE(D2675)"),"自殺式炸彈襲擊者在沙烏地阿拉伯安全站點清真寺造成 15 人死亡 http://t.co/ETyZY8GB2A #mercados")</f>
        <v>自殺式炸彈襲擊者在沙烏地阿拉伯安全站點清真寺造成 15 人死亡 http://t.co/ETyZY8GB2A #mercados</v>
      </c>
      <c r="G2675" s="4" t="str">
        <f>IFERROR(__xludf.DUMMYFUNCTION("GOOGLETRANSLATE(B2675)"),"自殺%20轟炸機")</f>
        <v>自殺%20轟炸機</v>
      </c>
    </row>
    <row r="2676" ht="15.75" customHeight="1">
      <c r="A2676" s="4">
        <v>9143.0</v>
      </c>
      <c r="B2676" s="4" t="s">
        <v>4108</v>
      </c>
      <c r="D2676" s="4" t="s">
        <v>4110</v>
      </c>
      <c r="E2676" s="4">
        <v>1.0</v>
      </c>
      <c r="F2676" s="4" t="str">
        <f>IFERROR(__xludf.DUMMYFUNCTION("GOOGLETRANSLATE(D2676)"),"自殺式炸彈襲擊者在沙烏地阿拉伯清真寺殺死 13 人 http://t.co/oZ1DS3Xu0D #Saudi #Tripoli #Libya")</f>
        <v>自殺式炸彈襲擊者在沙烏地阿拉伯清真寺殺死 13 人 http://t.co/oZ1DS3Xu0D #Saudi #Tripoli #Libya</v>
      </c>
      <c r="G2676" s="4" t="str">
        <f>IFERROR(__xludf.DUMMYFUNCTION("GOOGLETRANSLATE(B2676)"),"自殺%20轟炸機")</f>
        <v>自殺%20轟炸機</v>
      </c>
    </row>
    <row r="2677" ht="15.75" customHeight="1">
      <c r="A2677" s="4">
        <v>9144.0</v>
      </c>
      <c r="B2677" s="4" t="s">
        <v>4108</v>
      </c>
      <c r="D2677" s="4" t="s">
        <v>4111</v>
      </c>
      <c r="E2677" s="4">
        <v>1.0</v>
      </c>
      <c r="F2677" s="4" t="str">
        <f>IFERROR(__xludf.DUMMYFUNCTION("GOOGLETRANSLATE(D2677)"),"週四，一名塔利班自殺式炸彈襲擊者在東部警察大院外引爆了一輛裝有炸藥的卡車，造成六人死亡。")</f>
        <v>週四，一名塔利班自殺式炸彈襲擊者在東部警察大院外引爆了一輛裝有炸藥的卡車，造成六人死亡。</v>
      </c>
      <c r="G2677" s="4" t="str">
        <f>IFERROR(__xludf.DUMMYFUNCTION("GOOGLETRANSLATE(B2677)"),"自殺%20轟炸機")</f>
        <v>自殺%20轟炸機</v>
      </c>
    </row>
    <row r="2678" ht="15.75" customHeight="1">
      <c r="A2678" s="4">
        <v>9145.0</v>
      </c>
      <c r="B2678" s="4" t="s">
        <v>4108</v>
      </c>
      <c r="D2678" s="4" t="s">
        <v>4112</v>
      </c>
      <c r="E2678" s="4">
        <v>1.0</v>
      </c>
      <c r="F2678" s="4" t="str">
        <f>IFERROR(__xludf.DUMMYFUNCTION("GOOGLETRANSLATE(D2678)"),"ISIS 聲稱對沙烏地阿拉伯清真寺自殺式爆炸事件負責 http://t.co/Wpilp4mymf http://t.co/8NHD9iDaJs")</f>
        <v>ISIS 聲稱對沙烏地阿拉伯清真寺自殺式爆炸事件負責 http://t.co/Wpilp4mymf http://t.co/8NHD9iDaJs</v>
      </c>
      <c r="G2678" s="4" t="str">
        <f>IFERROR(__xludf.DUMMYFUNCTION("GOOGLETRANSLATE(B2678)"),"自殺%20轟炸機")</f>
        <v>自殺%20轟炸機</v>
      </c>
    </row>
    <row r="2679" ht="15.75" customHeight="1">
      <c r="A2679" s="4">
        <v>9146.0</v>
      </c>
      <c r="B2679" s="4" t="s">
        <v>4108</v>
      </c>
      <c r="D2679" s="4" t="s">
        <v>4113</v>
      </c>
      <c r="E2679" s="4">
        <v>1.0</v>
      </c>
      <c r="F2679" s="4" t="str">
        <f>IFERROR(__xludf.DUMMYFUNCTION("GOOGLETRANSLATE(D2679)"),"自殺式炸彈襲擊者在沙烏地阿拉伯安全站點清真寺造成 15 人死亡 http://t.co/AxhcLfErSU")</f>
        <v>自殺式炸彈襲擊者在沙烏地阿拉伯安全站點清真寺造成 15 人死亡 http://t.co/AxhcLfErSU</v>
      </c>
      <c r="G2679" s="4" t="str">
        <f>IFERROR(__xludf.DUMMYFUNCTION("GOOGLETRANSLATE(B2679)"),"自殺%20轟炸機")</f>
        <v>自殺%20轟炸機</v>
      </c>
    </row>
    <row r="2680" ht="15.75" customHeight="1">
      <c r="A2680" s="4">
        <v>9148.0</v>
      </c>
      <c r="B2680" s="4" t="s">
        <v>4108</v>
      </c>
      <c r="D2680" s="4" t="s">
        <v>4114</v>
      </c>
      <c r="E2680" s="4">
        <v>1.0</v>
      </c>
      <c r="F2680" s="4" t="str">
        <f>IFERROR(__xludf.DUMMYFUNCTION("GOOGLETRANSLATE(D2680)"),"#ISIS 聲稱對沙烏地阿拉伯自殺式爆炸事件負責 http://t.co/jlMICJ6jE5")</f>
        <v>#ISIS 聲稱對沙烏地阿拉伯自殺式爆炸事件負責 http://t.co/jlMICJ6jE5</v>
      </c>
      <c r="G2680" s="4" t="str">
        <f>IFERROR(__xludf.DUMMYFUNCTION("GOOGLETRANSLATE(B2680)"),"自殺%20轟炸機")</f>
        <v>自殺%20轟炸機</v>
      </c>
    </row>
    <row r="2681" ht="15.75" customHeight="1">
      <c r="A2681" s="4">
        <v>9149.0</v>
      </c>
      <c r="B2681" s="4" t="s">
        <v>4108</v>
      </c>
      <c r="C2681" s="4" t="s">
        <v>4115</v>
      </c>
      <c r="D2681" s="4" t="s">
        <v>4116</v>
      </c>
      <c r="E2681" s="4">
        <v>1.0</v>
      </c>
      <c r="F2681" s="4" t="str">
        <f>IFERROR(__xludf.DUMMYFUNCTION("GOOGLETRANSLATE(D2681)"),"伊斯蘭國聲稱沙烏地阿拉伯清真寺發生自殺式爆炸事件：十名緊急服務人員... http://t.co/mpOaEFQl6k 來自 @josephjett")</f>
        <v>伊斯蘭國聲稱沙烏地阿拉伯清真寺發生自殺式爆炸事件：十名緊急服務人員... http://t.co/mpOaEFQl6k 來自 @josephjett</v>
      </c>
      <c r="G2681" s="4" t="str">
        <f>IFERROR(__xludf.DUMMYFUNCTION("GOOGLETRANSLATE(B2681)"),"自殺%20轟炸機")</f>
        <v>自殺%20轟炸機</v>
      </c>
    </row>
    <row r="2682" ht="15.75" customHeight="1">
      <c r="A2682" s="4">
        <v>9151.0</v>
      </c>
      <c r="B2682" s="4" t="s">
        <v>4108</v>
      </c>
      <c r="C2682" s="4" t="s">
        <v>4117</v>
      </c>
      <c r="D2682" s="4" t="s">
        <v>4118</v>
      </c>
      <c r="E2682" s="4">
        <v>1.0</v>
      </c>
      <c r="F2682" s="4" t="str">
        <f>IFERROR(__xludf.DUMMYFUNCTION("GOOGLETRANSLATE(D2682)"),"#saudiarabia 13 人確認因自殺式炸彈襲擊沙烏地阿拉伯清真寺而死亡 - The I... http://t.co/LwAnE9vupg - http://t.co/CpQguFZB28")</f>
        <v>#saudiarabia 13 人確認因自殺式炸彈襲擊沙烏地阿拉伯清真寺而死亡 - The I... http://t.co/LwAnE9vupg - http://t.co/CpQguFZB28</v>
      </c>
      <c r="G2682" s="4" t="str">
        <f>IFERROR(__xludf.DUMMYFUNCTION("GOOGLETRANSLATE(B2682)"),"自殺%20轟炸機")</f>
        <v>自殺%20轟炸機</v>
      </c>
    </row>
    <row r="2683" ht="15.75" customHeight="1">
      <c r="A2683" s="4">
        <v>9154.0</v>
      </c>
      <c r="B2683" s="4" t="s">
        <v>4108</v>
      </c>
      <c r="D2683" s="4" t="s">
        <v>4119</v>
      </c>
      <c r="E2683" s="4">
        <v>1.0</v>
      </c>
      <c r="F2683" s="4" t="str">
        <f>IFERROR(__xludf.DUMMYFUNCTION("GOOGLETRANSLATE(D2683)"),"自殺式炸彈襲擊者在沙烏地阿拉伯安全站點清真寺造成 15 人死亡 - 路透社加拿大：路透社加拿大自殺式炸彈襲擊者殺死 15 人... http://t.co/Ktd5IG9M5o")</f>
        <v>自殺式炸彈襲擊者在沙烏地阿拉伯安全站點清真寺造成 15 人死亡 - 路透社加拿大：路透社加拿大自殺式炸彈襲擊者殺死 15 人... http://t.co/Ktd5IG9M5o</v>
      </c>
      <c r="G2683" s="4" t="str">
        <f>IFERROR(__xludf.DUMMYFUNCTION("GOOGLETRANSLATE(B2683)"),"自殺%20轟炸機")</f>
        <v>自殺%20轟炸機</v>
      </c>
    </row>
    <row r="2684" ht="15.75" customHeight="1">
      <c r="A2684" s="4">
        <v>9156.0</v>
      </c>
      <c r="B2684" s="4" t="s">
        <v>4108</v>
      </c>
      <c r="C2684" s="4" t="s">
        <v>4120</v>
      </c>
      <c r="D2684" s="4" t="s">
        <v>4121</v>
      </c>
      <c r="E2684" s="4">
        <v>1.0</v>
      </c>
      <c r="F2684" s="4" t="str">
        <f>IFERROR(__xludf.DUMMYFUNCTION("GOOGLETRANSLATE(D2684)"),"自殺式炸彈襲擊者在沙特安全站點清真寺造成 15 人死亡 http://t.co/YyTKP1Z5kG 來自 @Reuters")</f>
        <v>自殺式炸彈襲擊者在沙特安全站點清真寺造成 15 人死亡 http://t.co/YyTKP1Z5kG 來自 @Reuters</v>
      </c>
      <c r="G2684" s="4" t="str">
        <f>IFERROR(__xludf.DUMMYFUNCTION("GOOGLETRANSLATE(B2684)"),"自殺%20轟炸機")</f>
        <v>自殺%20轟炸機</v>
      </c>
    </row>
    <row r="2685" ht="15.75" customHeight="1">
      <c r="A2685" s="4">
        <v>9157.0</v>
      </c>
      <c r="B2685" s="4" t="s">
        <v>4108</v>
      </c>
      <c r="D2685" s="4" t="s">
        <v>4122</v>
      </c>
      <c r="E2685" s="4">
        <v>1.0</v>
      </c>
      <c r="F2685" s="4" t="str">
        <f>IFERROR(__xludf.DUMMYFUNCTION("GOOGLETRANSLATE(D2685)"),"新聞：「伊斯蘭國聲稱沙烏地阿拉伯清真寺發生自殺式爆炸事件」http://t.co/vIJfNHl630")</f>
        <v>新聞：「伊斯蘭國聲稱沙烏地阿拉伯清真寺發生自殺式爆炸事件」http://t.co/vIJfNHl630</v>
      </c>
      <c r="G2685" s="4" t="str">
        <f>IFERROR(__xludf.DUMMYFUNCTION("GOOGLETRANSLATE(B2685)"),"自殺%20轟炸機")</f>
        <v>自殺%20轟炸機</v>
      </c>
    </row>
    <row r="2686" ht="15.75" customHeight="1">
      <c r="A2686" s="4">
        <v>9159.0</v>
      </c>
      <c r="B2686" s="4" t="s">
        <v>4108</v>
      </c>
      <c r="C2686" s="4" t="s">
        <v>283</v>
      </c>
      <c r="D2686" s="4" t="s">
        <v>4123</v>
      </c>
      <c r="E2686" s="4">
        <v>1.0</v>
      </c>
      <c r="F2686" s="4" t="str">
        <f>IFERROR(__xludf.DUMMYFUNCTION("GOOGLETRANSLATE(D2686)"),"聖阿拉伯清真寺自殺式爆炸造成17人死亡
一名自殺式炸彈襲擊者襲擊了沙烏地阿拉伯西南部阿西爾的一座清真寺... http://t.co/pMTQhiVsXX")</f>
        <v>聖阿拉伯清真寺自殺式爆炸造成17人死亡
一名自殺式炸彈襲擊者襲擊了沙烏地阿拉伯西南部阿西爾的一座清真寺... http://t.co/pMTQhiVsXX</v>
      </c>
      <c r="G2686" s="4" t="str">
        <f>IFERROR(__xludf.DUMMYFUNCTION("GOOGLETRANSLATE(B2686)"),"自殺%20轟炸機")</f>
        <v>自殺%20轟炸機</v>
      </c>
    </row>
    <row r="2687" ht="15.75" customHeight="1">
      <c r="A2687" s="4">
        <v>9161.0</v>
      </c>
      <c r="B2687" s="4" t="s">
        <v>4108</v>
      </c>
      <c r="C2687" s="4" t="s">
        <v>92</v>
      </c>
      <c r="D2687" s="4" t="s">
        <v>4124</v>
      </c>
      <c r="E2687" s="4">
        <v>1.0</v>
      </c>
      <c r="F2687" s="4" t="str">
        <f>IFERROR(__xludf.DUMMYFUNCTION("GOOGLETRANSLATE(D2687)"),"清真寺爆炸襲擊沙烏地特種部隊；至少 15 人死亡：一名自殺式炸彈襲擊者襲擊了一座清真寺... http://t.co/gigW51IZpK #news")</f>
        <v>清真寺爆炸襲擊沙烏地特種部隊；至少 15 人死亡：一名自殺式炸彈襲擊者襲擊了一座清真寺... http://t.co/gigW51IZpK #news</v>
      </c>
      <c r="G2687" s="4" t="str">
        <f>IFERROR(__xludf.DUMMYFUNCTION("GOOGLETRANSLATE(B2687)"),"自殺%20轟炸機")</f>
        <v>自殺%20轟炸機</v>
      </c>
    </row>
    <row r="2688" ht="15.75" customHeight="1">
      <c r="A2688" s="4">
        <v>9162.0</v>
      </c>
      <c r="B2688" s="4" t="s">
        <v>4108</v>
      </c>
      <c r="C2688" s="4" t="s">
        <v>627</v>
      </c>
      <c r="D2688" s="4" t="s">
        <v>4125</v>
      </c>
      <c r="E2688" s="4">
        <v>1.0</v>
      </c>
      <c r="F2688" s="4" t="str">
        <f>IFERROR(__xludf.DUMMYFUNCTION("GOOGLETRANSLATE(D2688)"),"自殺式炸彈客「攻擊沙烏地阿拉伯清真寺」http://t.co/kE6DjxAnmm")</f>
        <v>自殺式炸彈客「攻擊沙烏地阿拉伯清真寺」http://t.co/kE6DjxAnmm</v>
      </c>
      <c r="G2688" s="4" t="str">
        <f>IFERROR(__xludf.DUMMYFUNCTION("GOOGLETRANSLATE(B2688)"),"自殺%20轟炸機")</f>
        <v>自殺%20轟炸機</v>
      </c>
    </row>
    <row r="2689" ht="15.75" customHeight="1">
      <c r="A2689" s="4">
        <v>9164.0</v>
      </c>
      <c r="B2689" s="4" t="s">
        <v>4108</v>
      </c>
      <c r="D2689" s="4" t="s">
        <v>4126</v>
      </c>
      <c r="E2689" s="4">
        <v>1.0</v>
      </c>
      <c r="F2689" s="4" t="str">
        <f>IFERROR(__xludf.DUMMYFUNCTION("GOOGLETRANSLATE(D2689)"),"沙烏地阿拉伯清真寺發生自殺式爆炸攻擊 17 人死亡 http://t.co/xycKgxZv9s")</f>
        <v>沙烏地阿拉伯清真寺發生自殺式爆炸攻擊 17 人死亡 http://t.co/xycKgxZv9s</v>
      </c>
      <c r="G2689" s="4" t="str">
        <f>IFERROR(__xludf.DUMMYFUNCTION("GOOGLETRANSLATE(B2689)"),"自殺%20轟炸機")</f>
        <v>自殺%20轟炸機</v>
      </c>
    </row>
    <row r="2690" ht="15.75" customHeight="1">
      <c r="A2690" s="4">
        <v>9166.0</v>
      </c>
      <c r="B2690" s="4" t="s">
        <v>4108</v>
      </c>
      <c r="D2690" s="4" t="s">
        <v>4127</v>
      </c>
      <c r="E2690" s="4">
        <v>1.0</v>
      </c>
      <c r="F2690" s="4" t="str">
        <f>IFERROR(__xludf.DUMMYFUNCTION("GOOGLETRANSLATE(D2690)"),"自殺式炸彈襲擊者在沙烏地阿拉伯安全站點清真寺造成 15 人死亡 - 一名自殺式炸彈襲擊者在襲擊中造成至少 15 人死亡... http://t.co/FY0r9o7Xsl")</f>
        <v>自殺式炸彈襲擊者在沙烏地阿拉伯安全站點清真寺造成 15 人死亡 - 一名自殺式炸彈襲擊者在襲擊中造成至少 15 人死亡... http://t.co/FY0r9o7Xsl</v>
      </c>
      <c r="G2690" s="4" t="str">
        <f>IFERROR(__xludf.DUMMYFUNCTION("GOOGLETRANSLATE(B2690)"),"自殺%20轟炸機")</f>
        <v>自殺%20轟炸機</v>
      </c>
    </row>
    <row r="2691" ht="15.75" customHeight="1">
      <c r="A2691" s="4">
        <v>9169.0</v>
      </c>
      <c r="B2691" s="4" t="s">
        <v>4108</v>
      </c>
      <c r="C2691" s="4" t="s">
        <v>112</v>
      </c>
      <c r="D2691" s="4" t="s">
        <v>4128</v>
      </c>
      <c r="E2691" s="4">
        <v>1.0</v>
      </c>
      <c r="F2691" s="4" t="str">
        <f>IFERROR(__xludf.DUMMYFUNCTION("GOOGLETRANSLATE(D2691)"),"自殺式炸彈襲擊者在沙烏地阿拉伯安全站點清真寺造成 15 人死亡 - 路透社 http://t.co/37DqvJHNCv")</f>
        <v>自殺式炸彈襲擊者在沙烏地阿拉伯安全站點清真寺造成 15 人死亡 - 路透社 http://t.co/37DqvJHNCv</v>
      </c>
      <c r="G2691" s="4" t="str">
        <f>IFERROR(__xludf.DUMMYFUNCTION("GOOGLETRANSLATE(B2691)"),"自殺%20轟炸機")</f>
        <v>自殺%20轟炸機</v>
      </c>
    </row>
    <row r="2692" ht="15.75" customHeight="1">
      <c r="A2692" s="4">
        <v>9171.0</v>
      </c>
      <c r="B2692" s="4" t="s">
        <v>4108</v>
      </c>
      <c r="D2692" s="4" t="s">
        <v>4129</v>
      </c>
      <c r="E2692" s="4">
        <v>1.0</v>
      </c>
      <c r="F2692" s="4" t="str">
        <f>IFERROR(__xludf.DUMMYFUNCTION("GOOGLETRANSLATE(D2692)"),"#?? #?? #??? #???自殺式炸彈襲擊者在沙烏地阿拉伯安全站點清真寺造成 15 人死亡 - 路透社 http://t.co/LgpNe5HkaO")</f>
        <v>#?? #?? #??? #???自殺式炸彈襲擊者在沙烏地阿拉伯安全站點清真寺造成 15 人死亡 - 路透社 http://t.co/LgpNe5HkaO</v>
      </c>
      <c r="G2692" s="4" t="str">
        <f>IFERROR(__xludf.DUMMYFUNCTION("GOOGLETRANSLATE(B2692)"),"自殺%20轟炸機")</f>
        <v>自殺%20轟炸機</v>
      </c>
    </row>
    <row r="2693" ht="15.75" customHeight="1">
      <c r="A2693" s="4">
        <v>9172.0</v>
      </c>
      <c r="B2693" s="4" t="s">
        <v>4108</v>
      </c>
      <c r="D2693" s="4" t="s">
        <v>4130</v>
      </c>
      <c r="E2693" s="4">
        <v>1.0</v>
      </c>
      <c r="F2693" s="4" t="str">
        <f>IFERROR(__xludf.DUMMYFUNCTION("GOOGLETRANSLATE(D2693)"),"@Abu_Baraa1 自殺式炸彈襲擊者襲擊沙烏地阿拉伯清真寺，造成至少 13 人死亡 - 自殺式襲擊者襲擊沙烏地阿拉伯清真寺，造成至少 13 人死亡
這是荒唐的")</f>
        <v>@Abu_Baraa1 自殺式炸彈襲擊者襲擊沙烏地阿拉伯清真寺，造成至少 13 人死亡 - 自殺式襲擊者襲擊沙烏地阿拉伯清真寺，造成至少 13 人死亡
這是荒唐的</v>
      </c>
      <c r="G2693" s="4" t="str">
        <f>IFERROR(__xludf.DUMMYFUNCTION("GOOGLETRANSLATE(B2693)"),"自殺%20轟炸機")</f>
        <v>自殺%20轟炸機</v>
      </c>
    </row>
    <row r="2694" ht="15.75" customHeight="1">
      <c r="A2694" s="4">
        <v>9173.0</v>
      </c>
      <c r="B2694" s="4" t="s">
        <v>4108</v>
      </c>
      <c r="D2694" s="4" t="s">
        <v>4131</v>
      </c>
      <c r="E2694" s="4">
        <v>1.0</v>
      </c>
      <c r="F2694" s="4" t="str">
        <f>IFERROR(__xludf.DUMMYFUNCTION("GOOGLETRANSLATE(D2694)"),"http://t.co/9k1tqsAarM 自殺式炸彈客在沙烏地阿拉伯安全站點清真寺造成 15 人死亡 - 路透社 http://t.co/Ev3nX9scx3")</f>
        <v>http://t.co/9k1tqsAarM 自殺式炸彈客在沙烏地阿拉伯安全站點清真寺造成 15 人死亡 - 路透社 http://t.co/Ev3nX9scx3</v>
      </c>
      <c r="G2694" s="4" t="str">
        <f>IFERROR(__xludf.DUMMYFUNCTION("GOOGLETRANSLATE(B2694)"),"自殺%20轟炸機")</f>
        <v>自殺%20轟炸機</v>
      </c>
    </row>
    <row r="2695" ht="15.75" customHeight="1">
      <c r="A2695" s="4">
        <v>9174.0</v>
      </c>
      <c r="B2695" s="4" t="s">
        <v>4108</v>
      </c>
      <c r="D2695" s="4" t="s">
        <v>4132</v>
      </c>
      <c r="E2695" s="4">
        <v>1.0</v>
      </c>
      <c r="F2695" s="4" t="str">
        <f>IFERROR(__xludf.DUMMYFUNCTION("GOOGLETRANSLATE(D2695)"),"#德艾#？？？ #??? #???自殺式炸彈襲擊者在沙烏地阿拉伯安全站點清真寺造成 15 人死亡 - 路透社 http://t.co/SqydkslFzp")</f>
        <v>#德艾#？？？ #??? #???自殺式炸彈襲擊者在沙烏地阿拉伯安全站點清真寺造成 15 人死亡 - 路透社 http://t.co/SqydkslFzp</v>
      </c>
      <c r="G2695" s="4" t="str">
        <f>IFERROR(__xludf.DUMMYFUNCTION("GOOGLETRANSLATE(B2695)"),"自殺%20轟炸機")</f>
        <v>自殺%20轟炸機</v>
      </c>
    </row>
    <row r="2696" ht="15.75" customHeight="1">
      <c r="A2696" s="4">
        <v>9175.0</v>
      </c>
      <c r="B2696" s="4" t="s">
        <v>4108</v>
      </c>
      <c r="C2696" s="4" t="s">
        <v>4133</v>
      </c>
      <c r="D2696" s="4" t="s">
        <v>4134</v>
      </c>
      <c r="E2696" s="4">
        <v>1.0</v>
      </c>
      <c r="F2696" s="4" t="str">
        <f>IFERROR(__xludf.DUMMYFUNCTION("GOOGLETRANSLATE(D2696)"),"自殺式炸彈客在沙烏地阿拉伯清真寺造成十幾人死亡：沙烏地阿拉伯已經開始經歷一些恐怖分子... http://t.co/PIoY1O54f4")</f>
        <v>自殺式炸彈客在沙烏地阿拉伯清真寺造成十幾人死亡：沙烏地阿拉伯已經開始經歷一些恐怖分子... http://t.co/PIoY1O54f4</v>
      </c>
      <c r="G2696" s="4" t="str">
        <f>IFERROR(__xludf.DUMMYFUNCTION("GOOGLETRANSLATE(B2696)"),"自殺%20轟炸機")</f>
        <v>自殺%20轟炸機</v>
      </c>
    </row>
    <row r="2697" ht="15.75" customHeight="1">
      <c r="A2697" s="4">
        <v>9177.0</v>
      </c>
      <c r="B2697" s="4" t="s">
        <v>4108</v>
      </c>
      <c r="C2697" s="4" t="s">
        <v>4135</v>
      </c>
      <c r="D2697" s="4" t="s">
        <v>4136</v>
      </c>
      <c r="E2697" s="4">
        <v>1.0</v>
      </c>
      <c r="F2697" s="4" t="str">
        <f>IFERROR(__xludf.DUMMYFUNCTION("GOOGLETRANSLATE(D2697)"),"自殺式炸彈客在沙烏地阿拉伯清真寺造成 13 人死亡 http://t.co/h99bHB29xt")</f>
        <v>自殺式炸彈客在沙烏地阿拉伯清真寺造成 13 人死亡 http://t.co/h99bHB29xt</v>
      </c>
      <c r="G2697" s="4" t="str">
        <f>IFERROR(__xludf.DUMMYFUNCTION("GOOGLETRANSLATE(B2697)"),"自殺%20轟炸機")</f>
        <v>自殺%20轟炸機</v>
      </c>
    </row>
    <row r="2698" ht="15.75" customHeight="1">
      <c r="A2698" s="4">
        <v>9179.0</v>
      </c>
      <c r="B2698" s="4" t="s">
        <v>4108</v>
      </c>
      <c r="D2698" s="4" t="s">
        <v>4137</v>
      </c>
      <c r="E2698" s="4">
        <v>1.0</v>
      </c>
      <c r="F2698" s="4" t="str">
        <f>IFERROR(__xludf.DUMMYFUNCTION("GOOGLETRANSLATE(D2698)"),"自殺式炸彈襲擊者在沙烏地阿拉伯安全站點清真寺造成 15 人死亡 http://t.co/axK9XNo6Yz #mercados")</f>
        <v>自殺式炸彈襲擊者在沙烏地阿拉伯安全站點清真寺造成 15 人死亡 http://t.co/axK9XNo6Yz #mercados</v>
      </c>
      <c r="G2698" s="4" t="str">
        <f>IFERROR(__xludf.DUMMYFUNCTION("GOOGLETRANSLATE(B2698)"),"自殺%20轟炸機")</f>
        <v>自殺%20轟炸機</v>
      </c>
    </row>
    <row r="2699" ht="15.75" customHeight="1">
      <c r="A2699" s="4">
        <v>9180.0</v>
      </c>
      <c r="B2699" s="4" t="s">
        <v>4108</v>
      </c>
      <c r="D2699" s="4" t="s">
        <v>4138</v>
      </c>
      <c r="E2699" s="4">
        <v>1.0</v>
      </c>
      <c r="F2699" s="4" t="str">
        <f>IFERROR(__xludf.DUMMYFUNCTION("GOOGLETRANSLATE(D2699)"),"IS聲稱針對沙烏地阿拉伯警察發動自殺式爆炸：週四，一名伊斯蘭國組織自殺式炸彈襲擊者引爆了... http://t.co/Dn5Buo7GSK")</f>
        <v>IS聲稱針對沙烏地阿拉伯警察發動自殺式爆炸：週四，一名伊斯蘭國組織自殺式炸彈襲擊者引爆了... http://t.co/Dn5Buo7GSK</v>
      </c>
      <c r="G2699" s="4" t="str">
        <f>IFERROR(__xludf.DUMMYFUNCTION("GOOGLETRANSLATE(B2699)"),"自殺%20轟炸機")</f>
        <v>自殺%20轟炸機</v>
      </c>
    </row>
    <row r="2700" ht="15.75" customHeight="1">
      <c r="A2700" s="4">
        <v>9181.0</v>
      </c>
      <c r="B2700" s="4" t="s">
        <v>4108</v>
      </c>
      <c r="D2700" s="4" t="s">
        <v>4139</v>
      </c>
      <c r="E2700" s="4">
        <v>1.0</v>
      </c>
      <c r="F2700" s="4" t="str">
        <f>IFERROR(__xludf.DUMMYFUNCTION("GOOGLETRANSLATE(D2700)"),"@bbclaurak 為什麼沒有人談論自殺式炸彈襲擊者隱藏在歐洲隧道火車上偷渡的移民中的風險？")</f>
        <v>@bbclaurak 為什麼沒有人談論自殺式炸彈襲擊者隱藏在歐洲隧道火車上偷渡的移民中的風險？</v>
      </c>
      <c r="G2700" s="4" t="str">
        <f>IFERROR(__xludf.DUMMYFUNCTION("GOOGLETRANSLATE(B2700)"),"自殺%20轟炸機")</f>
        <v>自殺%20轟炸機</v>
      </c>
    </row>
    <row r="2701" ht="15.75" customHeight="1">
      <c r="A2701" s="4">
        <v>9183.0</v>
      </c>
      <c r="B2701" s="4" t="s">
        <v>4108</v>
      </c>
      <c r="C2701" s="4" t="s">
        <v>4140</v>
      </c>
      <c r="D2701" s="4" t="s">
        <v>4141</v>
      </c>
      <c r="E2701" s="4">
        <v>1.0</v>
      </c>
      <c r="F2701" s="4" t="str">
        <f>IFERROR(__xludf.DUMMYFUNCTION("GOOGLETRANSLATE(D2701)"),"伊斯蘭國聲稱針對沙烏地阿拉伯警察發動自殺式爆炸：利雅德（法新社） - 週四，一名伊斯蘭國組織自殺式炸彈襲擊者... http://t.co/IBypE1kaz5")</f>
        <v>伊斯蘭國聲稱針對沙烏地阿拉伯警察發動自殺式爆炸：利雅德（法新社） - 週四，一名伊斯蘭國組織自殺式炸彈襲擊者... http://t.co/IBypE1kaz5</v>
      </c>
      <c r="G2701" s="4" t="str">
        <f>IFERROR(__xludf.DUMMYFUNCTION("GOOGLETRANSLATE(B2701)"),"自殺%20轟炸機")</f>
        <v>自殺%20轟炸機</v>
      </c>
    </row>
    <row r="2702" ht="15.75" customHeight="1">
      <c r="A2702" s="4">
        <v>9185.0</v>
      </c>
      <c r="B2702" s="4" t="s">
        <v>4108</v>
      </c>
      <c r="C2702" s="4" t="s">
        <v>4142</v>
      </c>
      <c r="D2702" s="4" t="s">
        <v>4143</v>
      </c>
      <c r="E2702" s="4">
        <v>1.0</v>
      </c>
      <c r="F2702" s="4" t="str">
        <f>IFERROR(__xludf.DUMMYFUNCTION("GOOGLETRANSLATE(D2702)"),"自殺式炸彈客在沙烏地阿拉伯清真寺殺死十幾人：沙烏地阿拉伯已經開始經歷一些恐怖分子... http://t.co/GuAJ2t910b")</f>
        <v>自殺式炸彈客在沙烏地阿拉伯清真寺殺死十幾人：沙烏地阿拉伯已經開始經歷一些恐怖分子... http://t.co/GuAJ2t910b</v>
      </c>
      <c r="G2702" s="4" t="str">
        <f>IFERROR(__xludf.DUMMYFUNCTION("GOOGLETRANSLATE(B2702)"),"自殺%20轟炸機")</f>
        <v>自殺%20轟炸機</v>
      </c>
    </row>
    <row r="2703" ht="15.75" customHeight="1">
      <c r="A2703" s="4">
        <v>9187.0</v>
      </c>
      <c r="B2703" s="4" t="s">
        <v>4108</v>
      </c>
      <c r="D2703" s="4" t="s">
        <v>4144</v>
      </c>
      <c r="E2703" s="4">
        <v>1.0</v>
      </c>
      <c r="F2703" s="4" t="str">
        <f>IFERROR(__xludf.DUMMYFUNCTION("GOOGLETRANSLATE(D2703)"),"自殺式炸彈襲擊者在沙烏地阿拉伯安全地點清真寺造成 15 人死亡 #world #news")</f>
        <v>自殺式炸彈襲擊者在沙烏地阿拉伯安全地點清真寺造成 15 人死亡 #world #news</v>
      </c>
      <c r="G2703" s="4" t="str">
        <f>IFERROR(__xludf.DUMMYFUNCTION("GOOGLETRANSLATE(B2703)"),"自殺%20轟炸機")</f>
        <v>自殺%20轟炸機</v>
      </c>
    </row>
    <row r="2704" ht="15.75" customHeight="1">
      <c r="A2704" s="4">
        <v>9191.0</v>
      </c>
      <c r="B2704" s="4" t="s">
        <v>4108</v>
      </c>
      <c r="D2704" s="4" t="s">
        <v>4145</v>
      </c>
      <c r="E2704" s="4">
        <v>1.0</v>
      </c>
      <c r="F2704" s="4" t="str">
        <f>IFERROR(__xludf.DUMMYFUNCTION("GOOGLETRANSLATE(D2704)"),"#?? #?? #??? #???自殺式炸彈襲擊者在沙烏地阿拉伯安全站點清真寺造成 15 人死亡 - 路透社 http://t.co/txg7K2DO9v")</f>
        <v>#?? #?? #??? #???自殺式炸彈襲擊者在沙烏地阿拉伯安全站點清真寺造成 15 人死亡 - 路透社 http://t.co/txg7K2DO9v</v>
      </c>
      <c r="G2704" s="4" t="str">
        <f>IFERROR(__xludf.DUMMYFUNCTION("GOOGLETRANSLATE(B2704)"),"自殺%20轟炸機")</f>
        <v>自殺%20轟炸機</v>
      </c>
    </row>
    <row r="2705" ht="15.75" customHeight="1">
      <c r="A2705" s="4">
        <v>9192.0</v>
      </c>
      <c r="B2705" s="4" t="s">
        <v>4146</v>
      </c>
      <c r="D2705" s="4" t="s">
        <v>4147</v>
      </c>
      <c r="E2705" s="4">
        <v>1.0</v>
      </c>
      <c r="F2705" s="4" t="str">
        <f>IFERROR(__xludf.DUMMYFUNCTION("GOOGLETRANSLATE(D2705)"),"1970 年代，我在學校接受的教育是，海盜奴隸制和自殺式爆炸事件純粹是歷史事件。當時沒有人預料到它們會再次發生")</f>
        <v>1970 年代，我在學校接受的教育是，海盜奴隸制和自殺式爆炸事件純粹是歷史事件。當時沒有人預料到它們會再次發生</v>
      </c>
      <c r="G2705" s="4" t="str">
        <f>IFERROR(__xludf.DUMMYFUNCTION("GOOGLETRANSLATE(B2705)"),"自殺%20爆炸")</f>
        <v>自殺%20爆炸</v>
      </c>
    </row>
    <row r="2706" ht="15.75" customHeight="1">
      <c r="A2706" s="4">
        <v>9193.0</v>
      </c>
      <c r="B2706" s="4" t="s">
        <v>4146</v>
      </c>
      <c r="D2706" s="4" t="s">
        <v>4148</v>
      </c>
      <c r="E2706" s="4">
        <v>1.0</v>
      </c>
      <c r="F2706" s="4" t="str">
        <f>IFERROR(__xludf.DUMMYFUNCTION("GOOGLETRANSLATE(D2706)"),"在蘇魯發生導致 32 人死亡的自殺式爆炸事件後，土耳其對伊拉克境內的伊斯蘭國和庫德工人黨營地發動空襲。")</f>
        <v>在蘇魯發生導致 32 人死亡的自殺式爆炸事件後，土耳其對伊拉克境內的伊斯蘭國和庫德工人黨營地發動空襲。</v>
      </c>
      <c r="G2706" s="4" t="str">
        <f>IFERROR(__xludf.DUMMYFUNCTION("GOOGLETRANSLATE(B2706)"),"自殺%20爆炸")</f>
        <v>自殺%20爆炸</v>
      </c>
    </row>
    <row r="2707" ht="15.75" customHeight="1">
      <c r="A2707" s="4">
        <v>9194.0</v>
      </c>
      <c r="B2707" s="4" t="s">
        <v>4146</v>
      </c>
      <c r="C2707" s="4" t="s">
        <v>54</v>
      </c>
      <c r="D2707" s="4" t="s">
        <v>4149</v>
      </c>
      <c r="E2707" s="4">
        <v>1.0</v>
      </c>
      <c r="F2707" s="4" t="str">
        <f>IFERROR(__xludf.DUMMYFUNCTION("GOOGLETRANSLATE(D2707)"),"@daisycuttertz @GROGParty @Tony_Burke 他一直在向他的伊瑪目學習自殺式爆炸事件！")</f>
        <v>@daisycuttertz @GROGParty @Tony_Burke 他一直在向他的伊瑪目學習自殺式爆炸事件！</v>
      </c>
      <c r="G2707" s="4" t="str">
        <f>IFERROR(__xludf.DUMMYFUNCTION("GOOGLETRANSLATE(B2707)"),"自殺%20爆炸")</f>
        <v>自殺%20爆炸</v>
      </c>
    </row>
    <row r="2708" ht="15.75" customHeight="1">
      <c r="A2708" s="4">
        <v>9195.0</v>
      </c>
      <c r="B2708" s="4" t="s">
        <v>4146</v>
      </c>
      <c r="C2708" s="4" t="s">
        <v>4150</v>
      </c>
      <c r="D2708" s="4" t="s">
        <v>4151</v>
      </c>
      <c r="E2708" s="4">
        <v>1.0</v>
      </c>
      <c r="F2708" s="4" t="str">
        <f>IFERROR(__xludf.DUMMYFUNCTION("GOOGLETRANSLATE(D2708)"),"@sonofbobBOB @Shimmyfab @trickxie 通常我會同意。一旦整個砍伐過程結束，同性戀者就會從屋頂上被扔下來。自殺式爆炸開始")</f>
        <v>@sonofbobBOB @Shimmyfab @trickxie 通常我會同意。一旦整個砍伐過程結束，同性戀者就會從屋頂上被扔下來。自殺式爆炸開始</v>
      </c>
      <c r="G2708" s="4" t="str">
        <f>IFERROR(__xludf.DUMMYFUNCTION("GOOGLETRANSLATE(B2708)"),"自殺%20爆炸")</f>
        <v>自殺%20爆炸</v>
      </c>
    </row>
    <row r="2709" ht="15.75" customHeight="1">
      <c r="A2709" s="4">
        <v>9197.0</v>
      </c>
      <c r="B2709" s="4" t="s">
        <v>4146</v>
      </c>
      <c r="C2709" s="4" t="s">
        <v>4152</v>
      </c>
      <c r="D2709" s="4" t="s">
        <v>4153</v>
      </c>
      <c r="E2709" s="4">
        <v>1.0</v>
      </c>
      <c r="F2709" s="4" t="str">
        <f>IFERROR(__xludf.DUMMYFUNCTION("GOOGLETRANSLATE(D2709)"),"針對達伊沙的自殺式爆炸是（正確的）卑鄙行為。奧賈蘭/馬克思主義的自殺式爆炸？
= 他們分享「我們的價值觀」。 https://t.co/Gs0km0vlgk")</f>
        <v>針對達伊沙的自殺式爆炸是（正確的）卑鄙行為。奧賈蘭/馬克思主義的自殺式爆炸？
= 他們分享「我們的價值觀」。 https://t.co/Gs0km0vlgk</v>
      </c>
      <c r="G2709" s="4" t="str">
        <f>IFERROR(__xludf.DUMMYFUNCTION("GOOGLETRANSLATE(B2709)"),"自殺%20爆炸")</f>
        <v>自殺%20爆炸</v>
      </c>
    </row>
    <row r="2710" ht="15.75" customHeight="1">
      <c r="A2710" s="4">
        <v>9203.0</v>
      </c>
      <c r="B2710" s="4" t="s">
        <v>4146</v>
      </c>
      <c r="D2710" s="4" t="s">
        <v>4154</v>
      </c>
      <c r="E2710" s="4">
        <v>1.0</v>
      </c>
      <c r="F2710" s="4" t="str">
        <f>IFERROR(__xludf.DUMMYFUNCTION("GOOGLETRANSLATE(D2710)"),"&lt;科威特清真寺自殺式爆炸事件造成 25 人死亡，ISIS 分支聲稱對此負責 (http://t.co/eTITgPSrUN)")</f>
        <v>&lt;科威特清真寺自殺式爆炸事件造成 25 人死亡，ISIS 分支聲稱對此負責 (http://t.co/eTITgPSrUN)</v>
      </c>
      <c r="G2710" s="4" t="str">
        <f>IFERROR(__xludf.DUMMYFUNCTION("GOOGLETRANSLATE(B2710)"),"自殺%20爆炸")</f>
        <v>自殺%20爆炸</v>
      </c>
    </row>
    <row r="2711" ht="15.75" customHeight="1">
      <c r="A2711" s="4">
        <v>9206.0</v>
      </c>
      <c r="B2711" s="4" t="s">
        <v>4146</v>
      </c>
      <c r="D2711" s="4" t="s">
        <v>4155</v>
      </c>
      <c r="E2711" s="4">
        <v>1.0</v>
      </c>
      <c r="F2711" s="4" t="str">
        <f>IFERROR(__xludf.DUMMYFUNCTION("GOOGLETRANSLATE(D2711)"),"自殺式爆炸只是對孤獨死亡的恐懼")</f>
        <v>自殺式爆炸只是對孤獨死亡的恐懼</v>
      </c>
      <c r="G2711" s="4" t="str">
        <f>IFERROR(__xludf.DUMMYFUNCTION("GOOGLETRANSLATE(B2711)"),"自殺%20爆炸")</f>
        <v>自殺%20爆炸</v>
      </c>
    </row>
    <row r="2712" ht="15.75" customHeight="1">
      <c r="A2712" s="4">
        <v>9207.0</v>
      </c>
      <c r="B2712" s="4" t="s">
        <v>4146</v>
      </c>
      <c r="D2712" s="4" t="s">
        <v>4156</v>
      </c>
      <c r="E2712" s="4">
        <v>1.0</v>
      </c>
      <c r="F2712" s="4" t="str">
        <f>IFERROR(__xludf.DUMMYFUNCTION("GOOGLETRANSLATE(D2712)"),"「[地點]發生自殺式爆炸事件…」#premonitions http://t.co/iIkSsJGBDn")</f>
        <v>「[地點]發生自殺式爆炸事件…」#premonitions http://t.co/iIkSsJGBDn</v>
      </c>
      <c r="G2712" s="4" t="str">
        <f>IFERROR(__xludf.DUMMYFUNCTION("GOOGLETRANSLATE(B2712)"),"自殺%20爆炸")</f>
        <v>自殺%20爆炸</v>
      </c>
    </row>
    <row r="2713" ht="15.75" customHeight="1">
      <c r="A2713" s="4">
        <v>9208.0</v>
      </c>
      <c r="B2713" s="4" t="s">
        <v>4146</v>
      </c>
      <c r="D2713" s="4" t="s">
        <v>4157</v>
      </c>
      <c r="E2713" s="4">
        <v>1.0</v>
      </c>
      <c r="F2713" s="4" t="str">
        <f>IFERROR(__xludf.DUMMYFUNCTION("GOOGLETRANSLATE(D2713)"),"@JewhadiTM 想到有人認為自殺式爆炸實際上是個好主意，真是令人驚訝。")</f>
        <v>@JewhadiTM 想到有人認為自殺式爆炸實際上是個好主意，真是令人驚訝。</v>
      </c>
      <c r="G2713" s="4" t="str">
        <f>IFERROR(__xludf.DUMMYFUNCTION("GOOGLETRANSLATE(B2713)"),"自殺%20爆炸")</f>
        <v>自殺%20爆炸</v>
      </c>
    </row>
    <row r="2714" ht="15.75" customHeight="1">
      <c r="A2714" s="4">
        <v>9209.0</v>
      </c>
      <c r="B2714" s="4" t="s">
        <v>4146</v>
      </c>
      <c r="C2714" s="4" t="s">
        <v>4158</v>
      </c>
      <c r="D2714" s="4" t="s">
        <v>4159</v>
      </c>
      <c r="E2714" s="4">
        <v>1.0</v>
      </c>
      <c r="F2714" s="4" t="str">
        <f>IFERROR(__xludf.DUMMYFUNCTION("GOOGLETRANSLATE(D2714)"),"13名安全人員在伊拉克自殺式爆炸中喪生http://t.co/IbAZRHlSUr http://t.co/B6wWq2nYQI")</f>
        <v>13名安全人員在伊拉克自殺式爆炸中喪生http://t.co/IbAZRHlSUr http://t.co/B6wWq2nYQI</v>
      </c>
      <c r="G2714" s="4" t="str">
        <f>IFERROR(__xludf.DUMMYFUNCTION("GOOGLETRANSLATE(B2714)"),"自殺%20爆炸")</f>
        <v>自殺%20爆炸</v>
      </c>
    </row>
    <row r="2715" ht="15.75" customHeight="1">
      <c r="A2715" s="4">
        <v>9210.0</v>
      </c>
      <c r="B2715" s="4" t="s">
        <v>4146</v>
      </c>
      <c r="C2715" s="4" t="s">
        <v>38</v>
      </c>
      <c r="D2715" s="4" t="s">
        <v>4160</v>
      </c>
      <c r="E2715" s="4">
        <v>1.0</v>
      </c>
      <c r="F2715" s="4" t="str">
        <f>IFERROR(__xludf.DUMMYFUNCTION("GOOGLETRANSLATE(D2715)"),"土耳其軍隊在庫德族武裝「自殺式攻擊」中喪生 http://t.co/wD7s6S0vci")</f>
        <v>土耳其軍隊在庫德族武裝「自殺式攻擊」中喪生 http://t.co/wD7s6S0vci</v>
      </c>
      <c r="G2715" s="4" t="str">
        <f>IFERROR(__xludf.DUMMYFUNCTION("GOOGLETRANSLATE(B2715)"),"自殺%20爆炸")</f>
        <v>自殺%20爆炸</v>
      </c>
    </row>
    <row r="2716" ht="15.75" customHeight="1">
      <c r="A2716" s="4">
        <v>9211.0</v>
      </c>
      <c r="B2716" s="4" t="s">
        <v>4146</v>
      </c>
      <c r="D2716" s="4" t="s">
        <v>4161</v>
      </c>
      <c r="E2716" s="4">
        <v>1.0</v>
      </c>
      <c r="F2716" s="4" t="str">
        <f>IFERROR(__xludf.DUMMYFUNCTION("GOOGLETRANSLATE(D2716)"),"紀念菲律賓的 Rebecca Roga 40。埃格德 361 號公車自殺式爆炸事件中被哈馬斯恐怖分子殺害")</f>
        <v>紀念菲律賓的 Rebecca Roga 40。埃格德 361 號公車自殺式爆炸事件中被哈馬斯恐怖分子殺害</v>
      </c>
      <c r="G2716" s="4" t="str">
        <f>IFERROR(__xludf.DUMMYFUNCTION("GOOGLETRANSLATE(B2716)"),"自殺%20爆炸")</f>
        <v>自殺%20爆炸</v>
      </c>
    </row>
    <row r="2717" ht="15.75" customHeight="1">
      <c r="A2717" s="4">
        <v>9212.0</v>
      </c>
      <c r="B2717" s="4" t="s">
        <v>4146</v>
      </c>
      <c r="C2717" s="4" t="s">
        <v>4162</v>
      </c>
      <c r="D2717" s="4" t="s">
        <v>4163</v>
      </c>
      <c r="E2717" s="4">
        <v>1.0</v>
      </c>
      <c r="F2717" s="4" t="str">
        <f>IFERROR(__xludf.DUMMYFUNCTION("GOOGLETRANSLATE(D2717)"),"資訊圖表：自 Suruc 自殺式爆炸事件以來，至少 20 名土耳其安全官員在 PKK 和 ISIS 恐怖襲擊中喪生 http://t.co/UvAOJzcYcZ")</f>
        <v>資訊圖表：自 Suruc 自殺式爆炸事件以來，至少 20 名土耳其安全官員在 PKK 和 ISIS 恐怖襲擊中喪生 http://t.co/UvAOJzcYcZ</v>
      </c>
      <c r="G2717" s="4" t="str">
        <f>IFERROR(__xludf.DUMMYFUNCTION("GOOGLETRANSLATE(B2717)"),"自殺%20爆炸")</f>
        <v>自殺%20爆炸</v>
      </c>
    </row>
    <row r="2718" ht="15.75" customHeight="1">
      <c r="A2718" s="4">
        <v>9215.0</v>
      </c>
      <c r="B2718" s="4" t="s">
        <v>4146</v>
      </c>
      <c r="D2718" s="4" t="s">
        <v>4164</v>
      </c>
      <c r="E2718" s="4">
        <v>1.0</v>
      </c>
      <c r="F2718" s="4" t="str">
        <f>IFERROR(__xludf.DUMMYFUNCTION("GOOGLETRANSLATE(D2718)"),"馬利克·薩阿德（Malik Saad）是 KP 培養的最好的警官，他於 2007 年 1 月 27 日在自殺式爆炸襲擊中喪生，他對我來說不僅僅是兄弟。 #KPP警察。")</f>
        <v>馬利克·薩阿德（Malik Saad）是 KP 培養的最好的警官，他於 2007 年 1 月 27 日在自殺式爆炸襲擊中喪生，他對我來說不僅僅是兄弟。 #KPP警察。</v>
      </c>
      <c r="G2718" s="4" t="str">
        <f>IFERROR(__xludf.DUMMYFUNCTION("GOOGLETRANSLATE(B2718)"),"自殺%20爆炸")</f>
        <v>自殺%20爆炸</v>
      </c>
    </row>
    <row r="2719" ht="15.75" customHeight="1">
      <c r="A2719" s="4">
        <v>9216.0</v>
      </c>
      <c r="B2719" s="4" t="s">
        <v>4146</v>
      </c>
      <c r="C2719" s="4" t="s">
        <v>4165</v>
      </c>
      <c r="D2719" s="4" t="s">
        <v>4166</v>
      </c>
      <c r="E2719" s="4">
        <v>1.0</v>
      </c>
      <c r="F2719" s="4" t="str">
        <f>IFERROR(__xludf.DUMMYFUNCTION("GOOGLETRANSLATE(D2719)"),"即將進行自殺式爆炸 http://t.co/ZoIPkPBD6o")</f>
        <v>即將進行自殺式爆炸 http://t.co/ZoIPkPBD6o</v>
      </c>
      <c r="G2719" s="4" t="str">
        <f>IFERROR(__xludf.DUMMYFUNCTION("GOOGLETRANSLATE(B2719)"),"自殺%20爆炸")</f>
        <v>自殺%20爆炸</v>
      </c>
    </row>
    <row r="2720" ht="15.75" customHeight="1">
      <c r="A2720" s="4">
        <v>9217.0</v>
      </c>
      <c r="B2720" s="4" t="s">
        <v>4146</v>
      </c>
      <c r="D2720" s="4" t="s">
        <v>4167</v>
      </c>
      <c r="E2720" s="4">
        <v>1.0</v>
      </c>
      <c r="F2720" s="4" t="str">
        <f>IFERROR(__xludf.DUMMYFUNCTION("GOOGLETRANSLATE(D2720)"),"&lt;歐盟汽車自殺式爆炸在喀布爾造成至少三人死亡 http://t.co/o6aRmcgVbS")</f>
        <v>&lt;歐盟汽車自殺式爆炸在喀布爾造成至少三人死亡 http://t.co/o6aRmcgVbS</v>
      </c>
      <c r="G2720" s="4" t="str">
        <f>IFERROR(__xludf.DUMMYFUNCTION("GOOGLETRANSLATE(B2720)"),"自殺%20爆炸")</f>
        <v>自殺%20爆炸</v>
      </c>
    </row>
    <row r="2721" ht="15.75" customHeight="1">
      <c r="A2721" s="4">
        <v>9218.0</v>
      </c>
      <c r="B2721" s="4" t="s">
        <v>4146</v>
      </c>
      <c r="C2721" s="4" t="s">
        <v>4168</v>
      </c>
      <c r="D2721" s="4" t="s">
        <v>4169</v>
      </c>
      <c r="E2721" s="4">
        <v>1.0</v>
      </c>
      <c r="F2721" s="4" t="str">
        <f>IFERROR(__xludf.DUMMYFUNCTION("GOOGLETRANSLATE(D2721)"),"@RayquazaErk 確實有基督教恐怖分子，但我並不像伊斯蘭團體那樣經常使用自殺式爆炸。")</f>
        <v>@RayquazaErk 確實有基督教恐怖分子，但我並不像伊斯蘭團體那樣經常使用自殺式爆炸。</v>
      </c>
      <c r="G2721" s="4" t="str">
        <f>IFERROR(__xludf.DUMMYFUNCTION("GOOGLETRANSLATE(B2721)"),"自殺%20爆炸")</f>
        <v>自殺%20爆炸</v>
      </c>
    </row>
    <row r="2722" ht="15.75" customHeight="1">
      <c r="A2722" s="4">
        <v>9219.0</v>
      </c>
      <c r="B2722" s="4" t="s">
        <v>4146</v>
      </c>
      <c r="D2722" s="4" t="s">
        <v>4170</v>
      </c>
      <c r="E2722" s="4">
        <v>1.0</v>
      </c>
      <c r="F2722" s="4" t="str">
        <f>IFERROR(__xludf.DUMMYFUNCTION("GOOGLETRANSLATE(D2722)"),"土耳其軍隊在庫德族武裝「自殺式攻擊」中喪生 http://t.co/nVP6wrKL1E")</f>
        <v>土耳其軍隊在庫德族武裝「自殺式攻擊」中喪生 http://t.co/nVP6wrKL1E</v>
      </c>
      <c r="G2722" s="4" t="str">
        <f>IFERROR(__xludf.DUMMYFUNCTION("GOOGLETRANSLATE(B2722)"),"自殺%20爆炸")</f>
        <v>自殺%20爆炸</v>
      </c>
    </row>
    <row r="2723" ht="15.75" customHeight="1">
      <c r="A2723" s="4">
        <v>9220.0</v>
      </c>
      <c r="B2723" s="4" t="s">
        <v>4146</v>
      </c>
      <c r="C2723" s="4" t="s">
        <v>38</v>
      </c>
      <c r="D2723" s="4" t="s">
        <v>4171</v>
      </c>
      <c r="E2723" s="4">
        <v>1.0</v>
      </c>
      <c r="F2723" s="4" t="str">
        <f>IFERROR(__xludf.DUMMYFUNCTION("GOOGLETRANSLATE(D2723)"),"土耳其軍隊在庫德族武裝「自殺式攻擊」中喪生 http://t.co/7cIbxls55f")</f>
        <v>土耳其軍隊在庫德族武裝「自殺式攻擊」中喪生 http://t.co/7cIbxls55f</v>
      </c>
      <c r="G2723" s="4" t="str">
        <f>IFERROR(__xludf.DUMMYFUNCTION("GOOGLETRANSLATE(B2723)"),"自殺%20爆炸")</f>
        <v>自殺%20爆炸</v>
      </c>
    </row>
    <row r="2724" ht="15.75" customHeight="1">
      <c r="A2724" s="4">
        <v>9221.0</v>
      </c>
      <c r="B2724" s="4" t="s">
        <v>4146</v>
      </c>
      <c r="C2724" s="4" t="s">
        <v>4172</v>
      </c>
      <c r="D2724" s="4" t="s">
        <v>4173</v>
      </c>
      <c r="E2724" s="4">
        <v>1.0</v>
      </c>
      <c r="F2724" s="4" t="str">
        <f>IFERROR(__xludf.DUMMYFUNCTION("GOOGLETRANSLATE(D2724)"),"#科威特襲擊事件中的涉嫌司機“在 6 月 26 日自殺式爆炸襲擊前一天加入了達伊沙”，他在法庭上承認 http://t.co/Tmz6X1N2gQ")</f>
        <v>#科威特襲擊事件中的涉嫌司機“在 6 月 26 日自殺式爆炸襲擊前一天加入了達伊沙”，他在法庭上承認 http://t.co/Tmz6X1N2gQ</v>
      </c>
      <c r="G2724" s="4" t="str">
        <f>IFERROR(__xludf.DUMMYFUNCTION("GOOGLETRANSLATE(B2724)"),"自殺%20爆炸")</f>
        <v>自殺%20爆炸</v>
      </c>
    </row>
    <row r="2725" ht="15.75" customHeight="1">
      <c r="A2725" s="4">
        <v>9222.0</v>
      </c>
      <c r="B2725" s="4" t="s">
        <v>4146</v>
      </c>
      <c r="C2725" s="4" t="s">
        <v>4174</v>
      </c>
      <c r="D2725" s="4" t="s">
        <v>4175</v>
      </c>
      <c r="E2725" s="4">
        <v>1.0</v>
      </c>
      <c r="F2725" s="4" t="str">
        <f>IFERROR(__xludf.DUMMYFUNCTION("GOOGLETRANSLATE(D2725)"),"@Haji_Hunter762 @MiddleEastEye 也許有些毛茸茸的會自燃！這就像真主對他們進行自殺式爆炸的報復？？？？？？？？")</f>
        <v>@Haji_Hunter762 @MiddleEastEye 也許有些毛茸茸的會自燃！這就像真主對他們進行自殺式爆炸的報復？？？？？？？？</v>
      </c>
      <c r="G2725" s="4" t="str">
        <f>IFERROR(__xludf.DUMMYFUNCTION("GOOGLETRANSLATE(B2725)"),"自殺%20爆炸")</f>
        <v>自殺%20爆炸</v>
      </c>
    </row>
    <row r="2726" ht="15.75" customHeight="1">
      <c r="A2726" s="4">
        <v>9223.0</v>
      </c>
      <c r="B2726" s="4" t="s">
        <v>4146</v>
      </c>
      <c r="C2726" s="4" t="s">
        <v>4176</v>
      </c>
      <c r="D2726" s="4" t="s">
        <v>4177</v>
      </c>
      <c r="E2726" s="4">
        <v>1.0</v>
      </c>
      <c r="F2726" s="4" t="str">
        <f>IFERROR(__xludf.DUMMYFUNCTION("GOOGLETRANSLATE(D2726)"),"自從蘇魯克自殺式爆炸事件以來，庫德工人黨在恐怖攻擊中喪生的安全官員人數已達 22 人 https://t.co/OpJwuNUvG8")</f>
        <v>自從蘇魯克自殺式爆炸事件以來，庫德工人黨在恐怖攻擊中喪生的安全官員人數已達 22 人 https://t.co/OpJwuNUvG8</v>
      </c>
      <c r="G2726" s="4" t="str">
        <f>IFERROR(__xludf.DUMMYFUNCTION("GOOGLETRANSLATE(B2726)"),"自殺%20爆炸")</f>
        <v>自殺%20爆炸</v>
      </c>
    </row>
    <row r="2727" ht="15.75" customHeight="1">
      <c r="A2727" s="4">
        <v>9225.0</v>
      </c>
      <c r="B2727" s="4" t="s">
        <v>4146</v>
      </c>
      <c r="D2727" s="4" t="s">
        <v>4156</v>
      </c>
      <c r="E2727" s="4">
        <v>1.0</v>
      </c>
      <c r="F2727" s="4" t="str">
        <f>IFERROR(__xludf.DUMMYFUNCTION("GOOGLETRANSLATE(D2727)"),"「[地點]發生自殺式爆炸事件…」#premonitions http://t.co/iIkSsJGBDn")</f>
        <v>「[地點]發生自殺式爆炸事件…」#premonitions http://t.co/iIkSsJGBDn</v>
      </c>
      <c r="G2727" s="4" t="str">
        <f>IFERROR(__xludf.DUMMYFUNCTION("GOOGLETRANSLATE(B2727)"),"自殺%20爆炸")</f>
        <v>自殺%20爆炸</v>
      </c>
    </row>
    <row r="2728" ht="15.75" customHeight="1">
      <c r="A2728" s="4">
        <v>9226.0</v>
      </c>
      <c r="B2728" s="4" t="s">
        <v>4146</v>
      </c>
      <c r="C2728" s="4" t="s">
        <v>54</v>
      </c>
      <c r="D2728" s="4" t="s">
        <v>4178</v>
      </c>
      <c r="E2728" s="4">
        <v>1.0</v>
      </c>
      <c r="F2728" s="4" t="str">
        <f>IFERROR(__xludf.DUMMYFUNCTION("GOOGLETRANSLATE(D2728)"),"艾爾段的血腥策略：7 月 20 日，土耳其的自殺式爆炸奪去了蘇魯 31 名社會主義者的生命 http://t.co/z6xAUIDRXu @Shareaholic")</f>
        <v>艾爾段的血腥策略：7 月 20 日，土耳其的自殺式爆炸奪去了蘇魯 31 名社會主義者的生命 http://t.co/z6xAUIDRXu @Shareaholic</v>
      </c>
      <c r="G2728" s="4" t="str">
        <f>IFERROR(__xludf.DUMMYFUNCTION("GOOGLETRANSLATE(B2728)"),"自殺%20爆炸")</f>
        <v>自殺%20爆炸</v>
      </c>
    </row>
    <row r="2729" ht="15.75" customHeight="1">
      <c r="A2729" s="4">
        <v>9230.0</v>
      </c>
      <c r="B2729" s="4" t="s">
        <v>4146</v>
      </c>
      <c r="C2729" s="4" t="s">
        <v>398</v>
      </c>
      <c r="D2729" s="4" t="s">
        <v>4179</v>
      </c>
      <c r="E2729" s="4">
        <v>1.0</v>
      </c>
      <c r="F2729" s="4" t="str">
        <f>IFERROR(__xludf.DUMMYFUNCTION("GOOGLETRANSLATE(D2729)"),"庫德人自殺式攻擊殺死 2 名土耳其士兵 http://t.co/GHGHQm9e6d")</f>
        <v>庫德人自殺式攻擊殺死 2 名土耳其士兵 http://t.co/GHGHQm9e6d</v>
      </c>
      <c r="G2729" s="4" t="str">
        <f>IFERROR(__xludf.DUMMYFUNCTION("GOOGLETRANSLATE(B2729)"),"自殺%20爆炸")</f>
        <v>自殺%20爆炸</v>
      </c>
    </row>
    <row r="2730" ht="15.75" customHeight="1">
      <c r="A2730" s="4">
        <v>9231.0</v>
      </c>
      <c r="B2730" s="4" t="s">
        <v>4146</v>
      </c>
      <c r="C2730" s="4" t="s">
        <v>4180</v>
      </c>
      <c r="D2730" s="4" t="s">
        <v>4181</v>
      </c>
      <c r="E2730" s="4">
        <v>1.0</v>
      </c>
      <c r="F2730" s="4" t="str">
        <f>IFERROR(__xludf.DUMMYFUNCTION("GOOGLETRANSLATE(D2730)"),"@NBCPolitics Russia 以及 2015 年的反擊事件 看看發生了什麼 911 海軍陸戰隊兵營爆炸事件 自殺式炸彈襲擊者對世界各地的襲擊")</f>
        <v>@NBCPolitics Russia 以及 2015 年的反擊事件 看看發生了什麼 911 海軍陸戰隊兵營爆炸事件 自殺式炸彈襲擊者對世界各地的襲擊</v>
      </c>
      <c r="G2730" s="4" t="str">
        <f>IFERROR(__xludf.DUMMYFUNCTION("GOOGLETRANSLATE(B2730)"),"自殺%20爆炸")</f>
        <v>自殺%20爆炸</v>
      </c>
    </row>
    <row r="2731" ht="15.75" customHeight="1">
      <c r="A2731" s="4">
        <v>9233.0</v>
      </c>
      <c r="B2731" s="4" t="s">
        <v>4146</v>
      </c>
      <c r="C2731" s="4" t="s">
        <v>1337</v>
      </c>
      <c r="D2731" s="4" t="s">
        <v>4182</v>
      </c>
      <c r="E2731" s="4">
        <v>1.0</v>
      </c>
      <c r="F2731" s="4" t="str">
        <f>IFERROR(__xludf.DUMMYFUNCTION("GOOGLETRANSLATE(D2731)"),"想像一下，一所正在教授自殺式爆炸的學校，老師會對學生們說…
'請付款... http://t.co/zfiVVxYDZY")</f>
        <v>想像一下，一所正在教授自殺式爆炸的學校，老師會對學生們說…
'請付款... http://t.co/zfiVVxYDZY</v>
      </c>
      <c r="G2731" s="4" t="str">
        <f>IFERROR(__xludf.DUMMYFUNCTION("GOOGLETRANSLATE(B2731)"),"自殺%20爆炸")</f>
        <v>自殺%20爆炸</v>
      </c>
    </row>
    <row r="2732" ht="15.75" customHeight="1">
      <c r="A2732" s="4">
        <v>9235.0</v>
      </c>
      <c r="B2732" s="4" t="s">
        <v>4146</v>
      </c>
      <c r="C2732" s="4" t="s">
        <v>38</v>
      </c>
      <c r="D2732" s="4" t="s">
        <v>4183</v>
      </c>
      <c r="E2732" s="4">
        <v>1.0</v>
      </c>
      <c r="F2732" s="4" t="str">
        <f>IFERROR(__xludf.DUMMYFUNCTION("GOOGLETRANSLATE(D2732)"),"土耳其軍隊在庫德族武裝「自殺式攻擊」中喪生 http://t.co/7old5MJWph")</f>
        <v>土耳其軍隊在庫德族武裝「自殺式攻擊」中喪生 http://t.co/7old5MJWph</v>
      </c>
      <c r="G2732" s="4" t="str">
        <f>IFERROR(__xludf.DUMMYFUNCTION("GOOGLETRANSLATE(B2732)"),"自殺%20爆炸")</f>
        <v>自殺%20爆炸</v>
      </c>
    </row>
    <row r="2733" ht="15.75" customHeight="1">
      <c r="A2733" s="4">
        <v>9237.0</v>
      </c>
      <c r="B2733" s="4" t="s">
        <v>4146</v>
      </c>
      <c r="C2733" s="4" t="s">
        <v>4184</v>
      </c>
      <c r="D2733" s="4" t="s">
        <v>4185</v>
      </c>
      <c r="E2733" s="4">
        <v>1.0</v>
      </c>
      <c r="F2733" s="4" t="str">
        <f>IFERROR(__xludf.DUMMYFUNCTION("GOOGLETRANSLATE(D2733)"),"9）「如果沒有爆炸，你就得切腹自殺」。 http://t.co/UO0aQk9KR8 70 年前的廣島。")</f>
        <v>9）「如果沒有爆炸，你就得切腹自殺」。 http://t.co/UO0aQk9KR8 70 年前的廣島。</v>
      </c>
      <c r="G2733" s="4" t="str">
        <f>IFERROR(__xludf.DUMMYFUNCTION("GOOGLETRANSLATE(B2733)"),"自殺%20爆炸")</f>
        <v>自殺%20爆炸</v>
      </c>
    </row>
    <row r="2734" ht="15.75" customHeight="1">
      <c r="A2734" s="4">
        <v>9238.0</v>
      </c>
      <c r="B2734" s="4" t="s">
        <v>4146</v>
      </c>
      <c r="D2734" s="4" t="s">
        <v>4186</v>
      </c>
      <c r="E2734" s="4">
        <v>1.0</v>
      </c>
      <c r="F2734" s="4" t="str">
        <f>IFERROR(__xludf.DUMMYFUNCTION("GOOGLETRANSLATE(D2734)"),"紀念拉馬特貝特謝梅什的莫迪凱·耶胡達·弗里德曼 24 歲；埃格德 361 號公車自殺式爆炸事件中被哈馬斯恐怖分子殺害")</f>
        <v>紀念拉馬特貝特謝梅什的莫迪凱·耶胡達·弗里德曼 24 歲；埃格德 361 號公車自殺式爆炸事件中被哈馬斯恐怖分子殺害</v>
      </c>
      <c r="G2734" s="4" t="str">
        <f>IFERROR(__xludf.DUMMYFUNCTION("GOOGLETRANSLATE(B2734)"),"自殺%20爆炸")</f>
        <v>自殺%20爆炸</v>
      </c>
    </row>
    <row r="2735" ht="15.75" customHeight="1">
      <c r="A2735" s="4">
        <v>9239.0</v>
      </c>
      <c r="B2735" s="4" t="s">
        <v>4146</v>
      </c>
      <c r="D2735" s="4" t="s">
        <v>4187</v>
      </c>
      <c r="E2735" s="4">
        <v>1.0</v>
      </c>
      <c r="F2735" s="4" t="str">
        <f>IFERROR(__xludf.DUMMYFUNCTION("GOOGLETRANSLATE(D2735)"),"紀念 Moshav Safsufa 的 Marlene Menahem 22；埃格德 361 號公車自殺式爆炸事件中被哈馬斯恐怖分子殺害")</f>
        <v>紀念 Moshav Safsufa 的 Marlene Menahem 22；埃格德 361 號公車自殺式爆炸事件中被哈馬斯恐怖分子殺害</v>
      </c>
      <c r="G2735" s="4" t="str">
        <f>IFERROR(__xludf.DUMMYFUNCTION("GOOGLETRANSLATE(B2735)"),"自殺%20爆炸")</f>
        <v>自殺%20爆炸</v>
      </c>
    </row>
    <row r="2736" ht="15.75" customHeight="1">
      <c r="A2736" s="4">
        <v>9240.0</v>
      </c>
      <c r="B2736" s="4" t="s">
        <v>4146</v>
      </c>
      <c r="D2736" s="4" t="s">
        <v>4188</v>
      </c>
      <c r="E2736" s="4">
        <v>1.0</v>
      </c>
      <c r="F2736" s="4" t="str">
        <f>IFERROR(__xludf.DUMMYFUNCTION("GOOGLETRANSLATE(D2736)"),"自殺式爆炸的主要原因之一是缺乏性互動。")</f>
        <v>自殺式爆炸的主要原因之一是缺乏性互動。</v>
      </c>
      <c r="G2736" s="4" t="str">
        <f>IFERROR(__xludf.DUMMYFUNCTION("GOOGLETRANSLATE(B2736)"),"自殺%20爆炸")</f>
        <v>自殺%20爆炸</v>
      </c>
    </row>
    <row r="2737" ht="15.75" customHeight="1">
      <c r="A2737" s="4">
        <v>9242.0</v>
      </c>
      <c r="B2737" s="4" t="s">
        <v>4189</v>
      </c>
      <c r="C2737" s="4" t="s">
        <v>4190</v>
      </c>
      <c r="D2737" s="4" t="s">
        <v>4191</v>
      </c>
      <c r="E2737" s="4">
        <v>1.0</v>
      </c>
      <c r="F2737" s="4" t="str">
        <f>IFERROR(__xludf.DUMMYFUNCTION("GOOGLETRANSLATE(D2737)"),"這艘軍艦為何沒有被擊沉？ CNN：CNN 首先：伊朗軍艦將武器指向美國直升機官員稱 http://t.co/hfZk09McEN")</f>
        <v>這艘軍艦為何沒有被擊沉？ CNN：CNN 首先：伊朗軍艦將武器指向美國直升機官員稱 http://t.co/hfZk09McEN</v>
      </c>
      <c r="G2737" s="4" t="str">
        <f>IFERROR(__xludf.DUMMYFUNCTION("GOOGLETRANSLATE(B2737)"),"沉沒")</f>
        <v>沉沒</v>
      </c>
    </row>
    <row r="2738" ht="15.75" customHeight="1">
      <c r="A2738" s="4">
        <v>9247.0</v>
      </c>
      <c r="B2738" s="4" t="s">
        <v>4189</v>
      </c>
      <c r="D2738" s="4" t="s">
        <v>4192</v>
      </c>
      <c r="E2738" s="4">
        <v>1.0</v>
      </c>
      <c r="F2738" s="4" t="str">
        <f>IFERROR(__xludf.DUMMYFUNCTION("GOOGLETRANSLATE(D2738)"),"英國潛水員尼爾安東尼菲爾斯被發現死於一艘輪船殘骸中 - 《每日郵報》http://t.co/QP3GVvfoFq")</f>
        <v>英國潛水員尼爾安東尼菲爾斯被發現死於一艘輪船殘骸中 - 《每日郵報》http://t.co/QP3GVvfoFq</v>
      </c>
      <c r="G2738" s="4" t="str">
        <f>IFERROR(__xludf.DUMMYFUNCTION("GOOGLETRANSLATE(B2738)"),"沉沒")</f>
        <v>沉沒</v>
      </c>
    </row>
    <row r="2739" ht="15.75" customHeight="1">
      <c r="A2739" s="4">
        <v>9248.0</v>
      </c>
      <c r="B2739" s="4" t="s">
        <v>4189</v>
      </c>
      <c r="C2739" s="4" t="s">
        <v>4193</v>
      </c>
      <c r="D2739" s="4" t="s">
        <v>4194</v>
      </c>
      <c r="E2739" s="4">
        <v>1.0</v>
      </c>
      <c r="F2739" s="4" t="str">
        <f>IFERROR(__xludf.DUMMYFUNCTION("GOOGLETRANSLATE(D2739)"),"在他們附近的沙灘上，半凹著一張破碎的臉…http://t.co/0kCCG1BT06")</f>
        <v>在他們附近的沙灘上，半凹著一張破碎的臉…http://t.co/0kCCG1BT06</v>
      </c>
      <c r="G2739" s="4" t="str">
        <f>IFERROR(__xludf.DUMMYFUNCTION("GOOGLETRANSLATE(B2739)"),"沉沒")</f>
        <v>沉沒</v>
      </c>
    </row>
    <row r="2740" ht="15.75" customHeight="1">
      <c r="A2740" s="4">
        <v>9249.0</v>
      </c>
      <c r="B2740" s="4" t="s">
        <v>4189</v>
      </c>
      <c r="C2740" s="4" t="s">
        <v>291</v>
      </c>
      <c r="D2740" s="4" t="s">
        <v>4195</v>
      </c>
      <c r="E2740" s="4">
        <v>1.0</v>
      </c>
      <c r="F2740" s="4" t="str">
        <f>IFERROR(__xludf.DUMMYFUNCTION("GOOGLETRANSLATE(D2740)"),"水族館裝飾品沉船帆船沉船驅逐艦魚缸洞穴裝飾 - 完整閱讀 Û_ http://t.co/kNCm9jC8i9 http://t.co/swviAZSPHk")</f>
        <v>水族館裝飾品沉船帆船沉船驅逐艦魚缸洞穴裝飾 - 完整閱讀 Û_ http://t.co/kNCm9jC8i9 http://t.co/swviAZSPHk</v>
      </c>
      <c r="G2740" s="4" t="str">
        <f>IFERROR(__xludf.DUMMYFUNCTION("GOOGLETRANSLATE(B2740)"),"沉沒")</f>
        <v>沉沒</v>
      </c>
    </row>
    <row r="2741" ht="15.75" customHeight="1">
      <c r="A2741" s="4">
        <v>9255.0</v>
      </c>
      <c r="B2741" s="4" t="s">
        <v>4189</v>
      </c>
      <c r="D2741" s="4" t="s">
        <v>4196</v>
      </c>
      <c r="E2741" s="4">
        <v>1.0</v>
      </c>
      <c r="F2741" s="4" t="str">
        <f>IFERROR(__xludf.DUMMYFUNCTION("GOOGLETRANSLATE(D2741)"),"日本扶桑級戰艦山城海軍罩 1999 年二戰沉沒照片 Cachet http://t.co/Aq5ZliM7l4 http://t.co/FvR9jDQ71a")</f>
        <v>日本扶桑級戰艦山城海軍罩 1999 年二戰沉沒照片 Cachet http://t.co/Aq5ZliM7l4 http://t.co/FvR9jDQ71a</v>
      </c>
      <c r="G2741" s="4" t="str">
        <f>IFERROR(__xludf.DUMMYFUNCTION("GOOGLETRANSLATE(B2741)"),"沉沒")</f>
        <v>沉沒</v>
      </c>
    </row>
    <row r="2742" ht="15.75" customHeight="1">
      <c r="A2742" s="4">
        <v>9263.0</v>
      </c>
      <c r="B2742" s="4" t="s">
        <v>4189</v>
      </c>
      <c r="C2742" s="4" t="s">
        <v>4197</v>
      </c>
      <c r="D2742" s="4" t="s">
        <v>4198</v>
      </c>
      <c r="E2742" s="4">
        <v>1.0</v>
      </c>
      <c r="F2742" s="4" t="str">
        <f>IFERROR(__xludf.DUMMYFUNCTION("GOOGLETRANSLATE(D2742)"),"@SaintRobinho86 每個聯賽中都必須有人墊底。今晚清楚地證明了為什麼獅子隊會陷入現在的境地——沉沒！")</f>
        <v>@SaintRobinho86 每個聯賽中都必須有人墊底。今晚清楚地證明了為什麼獅子隊會陷入現在的境地——沉沒！</v>
      </c>
      <c r="G2742" s="4" t="str">
        <f>IFERROR(__xludf.DUMMYFUNCTION("GOOGLETRANSLATE(B2742)"),"沉沒")</f>
        <v>沉沒</v>
      </c>
    </row>
    <row r="2743" ht="15.75" customHeight="1">
      <c r="A2743" s="4">
        <v>9276.0</v>
      </c>
      <c r="B2743" s="4" t="s">
        <v>4189</v>
      </c>
      <c r="C2743" s="4" t="s">
        <v>291</v>
      </c>
      <c r="D2743" s="4" t="s">
        <v>4199</v>
      </c>
      <c r="E2743" s="4">
        <v>1.0</v>
      </c>
      <c r="F2743" s="4" t="str">
        <f>IFERROR(__xludf.DUMMYFUNCTION("GOOGLETRANSLATE(D2743)"),"水族館裝飾品沉船帆船沉船驅逐艦魚缸洞穴裝飾 - 完整閱讀 Û_ http://t.co/nosA8JJjiN http://t.co/WUKvdavUJu")</f>
        <v>水族館裝飾品沉船帆船沉船驅逐艦魚缸洞穴裝飾 - 完整閱讀 Û_ http://t.co/nosA8JJjiN http://t.co/WUKvdavUJu</v>
      </c>
      <c r="G2743" s="4" t="str">
        <f>IFERROR(__xludf.DUMMYFUNCTION("GOOGLETRANSLATE(B2743)"),"沉沒")</f>
        <v>沉沒</v>
      </c>
    </row>
    <row r="2744" ht="15.75" customHeight="1">
      <c r="A2744" s="4">
        <v>9286.0</v>
      </c>
      <c r="B2744" s="4" t="s">
        <v>4189</v>
      </c>
      <c r="C2744" s="4" t="s">
        <v>4200</v>
      </c>
      <c r="D2744" s="4" t="s">
        <v>4201</v>
      </c>
      <c r="E2744" s="4">
        <v>1.0</v>
      </c>
      <c r="F2744" s="4" t="str">
        <f>IFERROR(__xludf.DUMMYFUNCTION("GOOGLETRANSLATE(D2744)"),"@UnrealTouch 他媽的約翰天啊我的心沉了下去。")</f>
        <v>@UnrealTouch 他媽的約翰天啊我的心沉了下去。</v>
      </c>
      <c r="G2744" s="4" t="str">
        <f>IFERROR(__xludf.DUMMYFUNCTION("GOOGLETRANSLATE(B2744)"),"沉沒")</f>
        <v>沉沒</v>
      </c>
    </row>
    <row r="2745" ht="15.75" customHeight="1">
      <c r="A2745" s="4">
        <v>9290.0</v>
      </c>
      <c r="B2745" s="4" t="s">
        <v>4189</v>
      </c>
      <c r="D2745" s="4" t="s">
        <v>4202</v>
      </c>
      <c r="E2745" s="4">
        <v>1.0</v>
      </c>
      <c r="F2745" s="4" t="str">
        <f>IFERROR(__xludf.DUMMYFUNCTION("GOOGLETRANSLATE(D2745)"),"七大洋 - Giannis D. 號殘骸撞上 Û_ 的水下礁石後沉沒 http://t.co/Gn3WHNSFIb http://t.co/fWpOF5TwoC")</f>
        <v>七大洋 - Giannis D. 號殘骸撞上 Û_ 的水下礁石後沉沒 http://t.co/Gn3WHNSFIb http://t.co/fWpOF5TwoC</v>
      </c>
      <c r="G2745" s="4" t="str">
        <f>IFERROR(__xludf.DUMMYFUNCTION("GOOGLETRANSLATE(B2745)"),"沉沒")</f>
        <v>沉沒</v>
      </c>
    </row>
    <row r="2746" ht="15.75" customHeight="1">
      <c r="A2746" s="4">
        <v>9301.0</v>
      </c>
      <c r="B2746" s="4" t="s">
        <v>4203</v>
      </c>
      <c r="D2746" s="4" t="s">
        <v>4204</v>
      </c>
      <c r="E2746" s="4">
        <v>1.0</v>
      </c>
      <c r="F2746" s="4" t="str">
        <f>IFERROR(__xludf.DUMMYFUNCTION("GOOGLETRANSLATE(D2746)"),"今天發生了這麼多事情，我不知道我是如何度過這一切的")</f>
        <v>今天發生了這麼多事情，我不知道我是如何度過這一切的</v>
      </c>
      <c r="G2746" s="4" t="str">
        <f>IFERROR(__xludf.DUMMYFUNCTION("GOOGLETRANSLATE(B2746)"),"存活")</f>
        <v>存活</v>
      </c>
    </row>
    <row r="2747" ht="15.75" customHeight="1">
      <c r="A2747" s="4">
        <v>9314.0</v>
      </c>
      <c r="B2747" s="4" t="s">
        <v>4203</v>
      </c>
      <c r="D2747" s="4" t="s">
        <v>4205</v>
      </c>
      <c r="E2747" s="4">
        <v>1.0</v>
      </c>
      <c r="F2747" s="4" t="str">
        <f>IFERROR(__xludf.DUMMYFUNCTION("GOOGLETRANSLATE(D2747)"),"一個國家Chim才能生存！")</f>
        <v>一個國家Chim才能生存！</v>
      </c>
      <c r="G2747" s="4" t="str">
        <f>IFERROR(__xludf.DUMMYFUNCTION("GOOGLETRANSLATE(B2747)"),"存活")</f>
        <v>存活</v>
      </c>
    </row>
    <row r="2748" ht="15.75" customHeight="1">
      <c r="A2748" s="4">
        <v>9315.0</v>
      </c>
      <c r="B2748" s="4" t="s">
        <v>4203</v>
      </c>
      <c r="C2748" s="4" t="s">
        <v>4206</v>
      </c>
      <c r="D2748" s="4" t="s">
        <v>4207</v>
      </c>
      <c r="E2748" s="4">
        <v>1.0</v>
      </c>
      <c r="F2748" s="4" t="str">
        <f>IFERROR(__xludf.DUMMYFUNCTION("GOOGLETRANSLATE(D2748)"),"《我會生存》作者：Gloria Gaynor（與 Oktaviana Devi）ÛÓ https://t.co/HUkJZ1wT36")</f>
        <v>《我會生存》作者：Gloria Gaynor（與 Oktaviana Devi）ÛÓ https://t.co/HUkJZ1wT36</v>
      </c>
      <c r="G2748" s="4" t="str">
        <f>IFERROR(__xludf.DUMMYFUNCTION("GOOGLETRANSLATE(B2748)"),"存活")</f>
        <v>存活</v>
      </c>
    </row>
    <row r="2749" ht="15.75" customHeight="1">
      <c r="A2749" s="4">
        <v>9317.0</v>
      </c>
      <c r="B2749" s="4" t="s">
        <v>4203</v>
      </c>
      <c r="C2749" s="4" t="s">
        <v>4208</v>
      </c>
      <c r="D2749" s="4" t="s">
        <v>4209</v>
      </c>
      <c r="E2749" s="4">
        <v>1.0</v>
      </c>
      <c r="F2749" s="4" t="str">
        <f>IFERROR(__xludf.DUMMYFUNCTION("GOOGLETRANSLATE(D2749)"),"逃離綁架者是第一步。現在她必須在一場致命的風暴和災難中生存下來。一個外表狂野的隱士
背叛
http://t.co/0Q040STkCV
＃圖書")</f>
        <v>逃離綁架者是第一步。現在她必須在一場致命的風暴和災難中生存下來。一個外表狂野的隱士
背叛
http://t.co/0Q040STkCV
＃圖書</v>
      </c>
      <c r="G2749" s="4" t="str">
        <f>IFERROR(__xludf.DUMMYFUNCTION("GOOGLETRANSLATE(B2749)"),"存活")</f>
        <v>存活</v>
      </c>
    </row>
    <row r="2750" ht="15.75" customHeight="1">
      <c r="A2750" s="4">
        <v>9337.0</v>
      </c>
      <c r="B2750" s="4" t="s">
        <v>4203</v>
      </c>
      <c r="D2750" s="4" t="s">
        <v>4210</v>
      </c>
      <c r="E2750" s="4">
        <v>1.0</v>
      </c>
      <c r="F2750" s="4" t="str">
        <f>IFERROR(__xludf.DUMMYFUNCTION("GOOGLETRANSLATE(D2750)"),"#汽車保險業對無人駕駛汽車一無所知：#healthinsurance http://t.co/YdEtWgRibk")</f>
        <v>#汽車保險業對無人駕駛汽車一無所知：#healthinsurance http://t.co/YdEtWgRibk</v>
      </c>
      <c r="G2750" s="4" t="str">
        <f>IFERROR(__xludf.DUMMYFUNCTION("GOOGLETRANSLATE(B2750)"),"存活")</f>
        <v>存活</v>
      </c>
    </row>
    <row r="2751" ht="15.75" customHeight="1">
      <c r="A2751" s="4">
        <v>9343.0</v>
      </c>
      <c r="B2751" s="4" t="s">
        <v>4211</v>
      </c>
      <c r="D2751" s="4" t="s">
        <v>4212</v>
      </c>
      <c r="E2751" s="4">
        <v>1.0</v>
      </c>
      <c r="F2751" s="4" t="str">
        <f>IFERROR(__xludf.DUMMYFUNCTION("GOOGLETRANSLATE(D2751)"),"更新：我活了下來。沒有獨木舟。
不過，這可能是史上最快的餵食速度。")</f>
        <v>更新：我活了下來。沒有獨木舟。
不過，這可能是史上最快的餵食速度。</v>
      </c>
      <c r="G2751" s="4" t="str">
        <f>IFERROR(__xludf.DUMMYFUNCTION("GOOGLETRANSLATE(B2751)"),"倖存下來")</f>
        <v>倖存下來</v>
      </c>
    </row>
    <row r="2752" ht="15.75" customHeight="1">
      <c r="A2752" s="4">
        <v>9348.0</v>
      </c>
      <c r="B2752" s="4" t="s">
        <v>4211</v>
      </c>
      <c r="C2752" s="4" t="s">
        <v>1529</v>
      </c>
      <c r="D2752" s="4" t="s">
        <v>4213</v>
      </c>
      <c r="E2752" s="4">
        <v>1.0</v>
      </c>
      <c r="F2752" s="4" t="str">
        <f>IFERROR(__xludf.DUMMYFUNCTION("GOOGLETRANSLATE(D2752)"),"來認識廣島和長崎的倖存者 http://t.co/PNSsIa5e46 http://t.co/LSVsYSpdxX")</f>
        <v>來認識廣島和長崎的倖存者 http://t.co/PNSsIa5e46 http://t.co/LSVsYSpdxX</v>
      </c>
      <c r="G2752" s="4" t="str">
        <f>IFERROR(__xludf.DUMMYFUNCTION("GOOGLETRANSLATE(B2752)"),"倖存下來")</f>
        <v>倖存下來</v>
      </c>
    </row>
    <row r="2753" ht="15.75" customHeight="1">
      <c r="A2753" s="4">
        <v>9351.0</v>
      </c>
      <c r="B2753" s="4" t="s">
        <v>4211</v>
      </c>
      <c r="C2753" s="4" t="s">
        <v>1990</v>
      </c>
      <c r="D2753" s="4" t="s">
        <v>4214</v>
      </c>
      <c r="E2753" s="4">
        <v>1.0</v>
      </c>
      <c r="F2753" s="4" t="str">
        <f>IFERROR(__xludf.DUMMYFUNCTION("GOOGLETRANSLATE(D2753)"),"人類在經歷了歷史上最糟糕的日子後又存活了70年，真是個奇蹟。如果它能在接下來的 70 年內生存下來，那麼所有的賭注都將落空。")</f>
        <v>人類在經歷了歷史上最糟糕的日子後又存活了70年，真是個奇蹟。如果它能在接下來的 70 年內生存下來，那麼所有的賭注都將落空。</v>
      </c>
      <c r="G2753" s="4" t="str">
        <f>IFERROR(__xludf.DUMMYFUNCTION("GOOGLETRANSLATE(B2753)"),"倖存下來")</f>
        <v>倖存下來</v>
      </c>
    </row>
    <row r="2754" ht="15.75" customHeight="1">
      <c r="A2754" s="4">
        <v>9355.0</v>
      </c>
      <c r="B2754" s="4" t="s">
        <v>4211</v>
      </c>
      <c r="C2754" s="4" t="s">
        <v>4215</v>
      </c>
      <c r="D2754" s="4" t="s">
        <v>4216</v>
      </c>
      <c r="E2754" s="4">
        <v>1.0</v>
      </c>
      <c r="F2754" s="4" t="str">
        <f>IFERROR(__xludf.DUMMYFUNCTION("GOOGLETRANSLATE(D2754)"),"@TheSmallClark '如果他在槍擊中倖存下來，他會殺了我。我不太清楚。我逃離了現場並扣動了扳機——")</f>
        <v>@TheSmallClark '如果他在槍擊中倖存下來，他會殺了我。我不太清楚。我逃離了現場並扣動了扳機——</v>
      </c>
      <c r="G2754" s="4" t="str">
        <f>IFERROR(__xludf.DUMMYFUNCTION("GOOGLETRANSLATE(B2754)"),"倖存下來")</f>
        <v>倖存下來</v>
      </c>
    </row>
    <row r="2755" ht="15.75" customHeight="1">
      <c r="A2755" s="4">
        <v>9361.0</v>
      </c>
      <c r="B2755" s="4" t="s">
        <v>4211</v>
      </c>
      <c r="C2755" s="4" t="s">
        <v>4217</v>
      </c>
      <c r="D2755" s="4" t="s">
        <v>4218</v>
      </c>
      <c r="E2755" s="4">
        <v>1.0</v>
      </c>
      <c r="F2755" s="4" t="str">
        <f>IFERROR(__xludf.DUMMYFUNCTION("GOOGLETRANSLATE(D2755)"),"@rjkrraj @KarnakaranK @vimvith 無論壓力與否，即使 thalapathi 沒有釋放，NON wud 也無法倖存")</f>
        <v>@rjkrraj @KarnakaranK @vimvith 無論壓力與否，即使 thalapathi 沒有釋放，NON wud 也無法倖存</v>
      </c>
      <c r="G2755" s="4" t="str">
        <f>IFERROR(__xludf.DUMMYFUNCTION("GOOGLETRANSLATE(B2755)"),"倖存下來")</f>
        <v>倖存下來</v>
      </c>
    </row>
    <row r="2756" ht="15.75" customHeight="1">
      <c r="A2756" s="4">
        <v>9375.0</v>
      </c>
      <c r="B2756" s="4" t="s">
        <v>4211</v>
      </c>
      <c r="C2756" s="4" t="s">
        <v>4219</v>
      </c>
      <c r="D2756" s="4" t="s">
        <v>4220</v>
      </c>
      <c r="E2756" s="4">
        <v>1.0</v>
      </c>
      <c r="F2756" s="4" t="str">
        <f>IFERROR(__xludf.DUMMYFUNCTION("GOOGLETRANSLATE(D2756)"),"“390年前種植”，它被轉移到美國。這個盆景在廣島倖存下來，但它的故事幾乎失傳 http://t.co/jID4RO34gb 來自@NatGeo")</f>
        <v>“390年前種植”，它被轉移到美國。這個盆景在廣島倖存下來，但它的故事幾乎失傳 http://t.co/jID4RO34gb 來自@NatGeo</v>
      </c>
      <c r="G2756" s="4" t="str">
        <f>IFERROR(__xludf.DUMMYFUNCTION("GOOGLETRANSLATE(B2756)"),"倖存下來")</f>
        <v>倖存下來</v>
      </c>
    </row>
    <row r="2757" ht="15.75" customHeight="1">
      <c r="A2757" s="4">
        <v>9376.0</v>
      </c>
      <c r="B2757" s="4" t="s">
        <v>4211</v>
      </c>
      <c r="D2757" s="4" t="s">
        <v>4221</v>
      </c>
      <c r="E2757" s="4">
        <v>1.0</v>
      </c>
      <c r="F2757" s="4" t="str">
        <f>IFERROR(__xludf.DUMMYFUNCTION("GOOGLETRANSLATE(D2757)"),"據說只有一人在#廣島和#長崎的原子彈爆炸中倖存。 #OTD http://t.co/DaalPeNZp0")</f>
        <v>據說只有一人在#廣島和#長崎的原子彈爆炸中倖存。 #OTD http://t.co/DaalPeNZp0</v>
      </c>
      <c r="G2757" s="4" t="str">
        <f>IFERROR(__xludf.DUMMYFUNCTION("GOOGLETRANSLATE(B2757)"),"倖存下來")</f>
        <v>倖存下來</v>
      </c>
    </row>
    <row r="2758" ht="15.75" customHeight="1">
      <c r="A2758" s="4">
        <v>9382.0</v>
      </c>
      <c r="B2758" s="4" t="s">
        <v>4211</v>
      </c>
      <c r="C2758" s="4" t="s">
        <v>1196</v>
      </c>
      <c r="D2758" s="4" t="s">
        <v>4222</v>
      </c>
      <c r="E2758" s="4">
        <v>1.0</v>
      </c>
      <c r="F2758" s="4" t="str">
        <f>IFERROR(__xludf.DUMMYFUNCTION("GOOGLETRANSLATE(D2758)"),"先生說得好。我的表弟是一名戰俘。受到殘酷對待。倖存下來但從未談論過它。爆炸是合理的 https://t.co/SuDkK1wEEZ")</f>
        <v>先生說得好。我的表弟是一名戰俘。受到殘酷對待。倖存下來但從未談論過它。爆炸是合理的 https://t.co/SuDkK1wEEZ</v>
      </c>
      <c r="G2758" s="4" t="str">
        <f>IFERROR(__xludf.DUMMYFUNCTION("GOOGLETRANSLATE(B2758)"),"倖存下來")</f>
        <v>倖存下來</v>
      </c>
    </row>
    <row r="2759" ht="15.75" customHeight="1">
      <c r="A2759" s="4">
        <v>9385.0</v>
      </c>
      <c r="B2759" s="4" t="s">
        <v>4211</v>
      </c>
      <c r="D2759" s="4" t="s">
        <v>4223</v>
      </c>
      <c r="E2759" s="4">
        <v>1.0</v>
      </c>
      <c r="F2759" s="4" t="str">
        <f>IFERROR(__xludf.DUMMYFUNCTION("GOOGLETRANSLATE(D2759)"),"RT THR 'RT THRArchives：1928：米高梅獅子裡奧在飛機失事中倖存#TBT http://t.co/Wpkl2qNiQW http://t.co/BD52FxDvhQ'")</f>
        <v>RT THR 'RT THRArchives：1928：米高梅獅子裡奧在飛機失事中倖存#TBT http://t.co/Wpkl2qNiQW http://t.co/BD52FxDvhQ'</v>
      </c>
      <c r="G2759" s="4" t="str">
        <f>IFERROR(__xludf.DUMMYFUNCTION("GOOGLETRANSLATE(B2759)"),"倖存下來")</f>
        <v>倖存下來</v>
      </c>
    </row>
    <row r="2760" ht="15.75" customHeight="1">
      <c r="A2760" s="4">
        <v>9391.0</v>
      </c>
      <c r="B2760" s="4" t="s">
        <v>4211</v>
      </c>
      <c r="D2760" s="4" t="s">
        <v>4224</v>
      </c>
      <c r="E2760" s="4">
        <v>1.0</v>
      </c>
      <c r="F2760" s="4" t="str">
        <f>IFERROR(__xludf.DUMMYFUNCTION("GOOGLETRANSLATE(D2760)"),"ÛÏ@BBCWomansHour：Setsuko Thurlow 在#Hiroshima 原子彈中存活。這是她的故事：http://t.co/cvjYML7KrM http://t.co/FpH01U3eIiÛ")</f>
        <v>ÛÏ@BBCWomansHour：Setsuko Thurlow 在#Hiroshima 原子彈中存活。這是她的故事：http://t.co/cvjYML7KrM http://t.co/FpH01U3eIiÛ</v>
      </c>
      <c r="G2760" s="4" t="str">
        <f>IFERROR(__xludf.DUMMYFUNCTION("GOOGLETRANSLATE(B2760)"),"倖存下來")</f>
        <v>倖存下來</v>
      </c>
    </row>
    <row r="2761" ht="15.75" customHeight="1">
      <c r="A2761" s="4">
        <v>9393.0</v>
      </c>
      <c r="B2761" s="4" t="s">
        <v>4225</v>
      </c>
      <c r="C2761" s="4" t="s">
        <v>4226</v>
      </c>
      <c r="D2761" s="4" t="s">
        <v>4227</v>
      </c>
      <c r="E2761" s="4">
        <v>1.0</v>
      </c>
      <c r="F2761" s="4" t="str">
        <f>IFERROR(__xludf.DUMMYFUNCTION("GOOGLETRANSLATE(D2761)"),"#India 酸襲擊倖存者經營的咖啡館 http://t.co/qmiF0bLwOa http://t.co/l6PIf3LpEn")</f>
        <v>#India 酸襲擊倖存者經營的咖啡館 http://t.co/qmiF0bLwOa http://t.co/l6PIf3LpEn</v>
      </c>
      <c r="G2761" s="4" t="str">
        <f>IFERROR(__xludf.DUMMYFUNCTION("GOOGLETRANSLATE(B2761)"),"倖存者")</f>
        <v>倖存者</v>
      </c>
    </row>
    <row r="2762" ht="15.75" customHeight="1">
      <c r="A2762" s="4">
        <v>9396.0</v>
      </c>
      <c r="B2762" s="4" t="s">
        <v>4225</v>
      </c>
      <c r="D2762" s="4" t="s">
        <v>4228</v>
      </c>
      <c r="E2762" s="4">
        <v>1.0</v>
      </c>
      <c r="F2762" s="4" t="str">
        <f>IFERROR(__xludf.DUMMYFUNCTION("GOOGLETRANSLATE(D2762)"),"廣島倖存者在巴西與核工業抗爭？影片 http://t.co/GLZmGBM7w0")</f>
        <v>廣島倖存者在巴西與核工業抗爭？影片 http://t.co/GLZmGBM7w0</v>
      </c>
      <c r="G2762" s="4" t="str">
        <f>IFERROR(__xludf.DUMMYFUNCTION("GOOGLETRANSLATE(B2762)"),"倖存者")</f>
        <v>倖存者</v>
      </c>
    </row>
    <row r="2763" ht="15.75" customHeight="1">
      <c r="A2763" s="4">
        <v>9397.0</v>
      </c>
      <c r="B2763" s="4" t="s">
        <v>4225</v>
      </c>
      <c r="D2763" s="4" t="s">
        <v>4229</v>
      </c>
      <c r="E2763" s="4">
        <v>1.0</v>
      </c>
      <c r="F2763" s="4" t="str">
        <f>IFERROR(__xludf.DUMMYFUNCTION("GOOGLETRANSLATE(D2763)"),"三輪車幼兒原子彈
http://t.co/ljeRYHItwh 轉眼間我們的決定改變了人類的面貌。")</f>
        <v>三輪車幼兒原子彈
http://t.co/ljeRYHItwh 轉眼間我們的決定改變了人類的面貌。</v>
      </c>
      <c r="G2763" s="4" t="str">
        <f>IFERROR(__xludf.DUMMYFUNCTION("GOOGLETRANSLATE(B2763)"),"倖存者")</f>
        <v>倖存者</v>
      </c>
    </row>
    <row r="2764" ht="15.75" customHeight="1">
      <c r="A2764" s="4">
        <v>9401.0</v>
      </c>
      <c r="B2764" s="4" t="s">
        <v>4225</v>
      </c>
      <c r="C2764" s="4" t="s">
        <v>4230</v>
      </c>
      <c r="D2764" s="4" t="s">
        <v>4231</v>
      </c>
      <c r="E2764" s="4">
        <v>1.0</v>
      </c>
      <c r="F2764" s="4" t="str">
        <f>IFERROR(__xludf.DUMMYFUNCTION("GOOGLETRANSLATE(D2764)"),"轉移性大腸直腸癌長期存活者的病患報告結果 - 英國外科雜誌 http://t.co/5Yl4DC1Tqt")</f>
        <v>轉移性大腸直腸癌長期存活者的病患報告結果 - 英國外科雜誌 http://t.co/5Yl4DC1Tqt</v>
      </c>
      <c r="G2764" s="4" t="str">
        <f>IFERROR(__xludf.DUMMYFUNCTION("GOOGLETRANSLATE(B2764)"),"倖存者")</f>
        <v>倖存者</v>
      </c>
    </row>
    <row r="2765" ht="15.75" customHeight="1">
      <c r="A2765" s="4">
        <v>9402.0</v>
      </c>
      <c r="B2765" s="4" t="s">
        <v>4225</v>
      </c>
      <c r="D2765" s="4" t="s">
        <v>4232</v>
      </c>
      <c r="E2765" s="4">
        <v>1.0</v>
      </c>
      <c r="F2765" s="4" t="str">
        <f>IFERROR(__xludf.DUMMYFUNCTION("GOOGLETRANSLATE(D2765)"),"親愛的@POTUS 以人類的名義我向#廣島倖存者道歉。你準備好這樣做了嗎？#Japan #nuclearweapons http://t.co/TWykzN4rlC")</f>
        <v>親愛的@POTUS 以人類的名義我向#廣島倖存者道歉。你準備好這樣做了嗎？#Japan #nuclearweapons http://t.co/TWykzN4rlC</v>
      </c>
      <c r="G2765" s="4" t="str">
        <f>IFERROR(__xludf.DUMMYFUNCTION("GOOGLETRANSLATE(B2765)"),"倖存者")</f>
        <v>倖存者</v>
      </c>
    </row>
    <row r="2766" ht="15.75" customHeight="1">
      <c r="A2766" s="4">
        <v>9403.0</v>
      </c>
      <c r="B2766" s="4" t="s">
        <v>4225</v>
      </c>
      <c r="D2766" s="4" t="s">
        <v>4233</v>
      </c>
      <c r="E2766" s="4">
        <v>1.0</v>
      </c>
      <c r="F2766" s="4" t="str">
        <f>IFERROR(__xludf.DUMMYFUNCTION("GOOGLETRANSLATE(D2766)"),"#coppednews 倖存者描繪的令人難忘的回憶 http://t.co/Wx11d69gEZ")</f>
        <v>#coppednews 倖存者描繪的令人難忘的回憶 http://t.co/Wx11d69gEZ</v>
      </c>
      <c r="G2766" s="4" t="str">
        <f>IFERROR(__xludf.DUMMYFUNCTION("GOOGLETRANSLATE(B2766)"),"倖存者")</f>
        <v>倖存者</v>
      </c>
    </row>
    <row r="2767" ht="15.75" customHeight="1">
      <c r="A2767" s="4">
        <v>9404.0</v>
      </c>
      <c r="B2767" s="4" t="s">
        <v>4225</v>
      </c>
      <c r="C2767" s="4" t="s">
        <v>1205</v>
      </c>
      <c r="D2767" s="4" t="s">
        <v>4234</v>
      </c>
      <c r="E2767" s="4">
        <v>1.0</v>
      </c>
      <c r="F2767" s="4" t="str">
        <f>IFERROR(__xludf.DUMMYFUNCTION("GOOGLETRANSLATE(D2767)"),"RT @kotowsa：南蘇丹對婦女的戰爭：倖存者說強姦已成為“正常的事情”
https://t.co/MexwoHd3TG http://t.co/gB46FiD2wE")</f>
        <v>RT @kotowsa：南蘇丹對婦女的戰爭：倖存者說強姦已成為“正常的事情”
https://t.co/MexwoHd3TG http://t.co/gB46FiD2wE</v>
      </c>
      <c r="G2767" s="4" t="str">
        <f>IFERROR(__xludf.DUMMYFUNCTION("GOOGLETRANSLATE(B2767)"),"倖存者")</f>
        <v>倖存者</v>
      </c>
    </row>
    <row r="2768" ht="15.75" customHeight="1">
      <c r="A2768" s="4">
        <v>9405.0</v>
      </c>
      <c r="B2768" s="4" t="s">
        <v>4225</v>
      </c>
      <c r="C2768" s="4" t="s">
        <v>4235</v>
      </c>
      <c r="D2768" s="4" t="s">
        <v>4236</v>
      </c>
      <c r="E2768" s="4">
        <v>1.0</v>
      </c>
      <c r="F2768" s="4" t="str">
        <f>IFERROR(__xludf.DUMMYFUNCTION("GOOGLETRANSLATE(D2768)"),"倖存者描繪的令人難忘的回憶http://t.co/pRAro2OWia")</f>
        <v>倖存者描繪的令人難忘的回憶http://t.co/pRAro2OWia</v>
      </c>
      <c r="G2768" s="4" t="str">
        <f>IFERROR(__xludf.DUMMYFUNCTION("GOOGLETRANSLATE(B2768)"),"倖存者")</f>
        <v>倖存者</v>
      </c>
    </row>
    <row r="2769" ht="15.75" customHeight="1">
      <c r="A2769" s="4">
        <v>9406.0</v>
      </c>
      <c r="B2769" s="4" t="s">
        <v>4225</v>
      </c>
      <c r="C2769" s="4" t="s">
        <v>4237</v>
      </c>
      <c r="D2769" s="4" t="s">
        <v>4238</v>
      </c>
      <c r="E2769" s="4">
        <v>1.0</v>
      </c>
      <c r="F2769" s="4" t="str">
        <f>IFERROR(__xludf.DUMMYFUNCTION("GOOGLETRANSLATE(D2769)"),"廣島倖存者在巴西與核工業作鬥爭 ÛÒ 影片 http://t.co/E7SHtYLbnL")</f>
        <v>廣島倖存者在巴西與核工業作鬥爭 ÛÒ 影片 http://t.co/E7SHtYLbnL</v>
      </c>
      <c r="G2769" s="4" t="str">
        <f>IFERROR(__xludf.DUMMYFUNCTION("GOOGLETRANSLATE(B2769)"),"倖存者")</f>
        <v>倖存者</v>
      </c>
    </row>
    <row r="2770" ht="15.75" customHeight="1">
      <c r="A2770" s="4">
        <v>9410.0</v>
      </c>
      <c r="B2770" s="4" t="s">
        <v>4225</v>
      </c>
      <c r="D2770" s="4" t="s">
        <v>4239</v>
      </c>
      <c r="E2770" s="4">
        <v>1.0</v>
      </c>
      <c r="F2770" s="4" t="str">
        <f>IFERROR(__xludf.DUMMYFUNCTION("GOOGLETRANSLATE(D2770)"),"＃世界新聞
 對地中海失踪移民的擔憂 - BBC 新聞 - 主頁：
救援人員在一艘船被撞後尋找倖存者。http://t.co/iJoBZ3MZp0")</f>
        <v>＃世界新聞
 對地中海失踪移民的擔憂 - BBC 新聞 - 主頁：
救援人員在一艘船被撞後尋找倖存者。http://t.co/iJoBZ3MZp0</v>
      </c>
      <c r="G2770" s="4" t="str">
        <f>IFERROR(__xludf.DUMMYFUNCTION("GOOGLETRANSLATE(B2770)"),"倖存者")</f>
        <v>倖存者</v>
      </c>
    </row>
    <row r="2771" ht="15.75" customHeight="1">
      <c r="A2771" s="4">
        <v>9416.0</v>
      </c>
      <c r="B2771" s="4" t="s">
        <v>4225</v>
      </c>
      <c r="C2771" s="4" t="s">
        <v>4240</v>
      </c>
      <c r="D2771" s="4" t="s">
        <v>4241</v>
      </c>
      <c r="E2771" s="4">
        <v>1.0</v>
      </c>
      <c r="F2771" s="4" t="str">
        <f>IFERROR(__xludf.DUMMYFUNCTION("GOOGLETRANSLATE(D2771)"),"突發新聞：倖存者描繪的令人難忘的回憶http://t.co/PCjBvrs7xw")</f>
        <v>突發新聞：倖存者描繪的令人難忘的回憶http://t.co/PCjBvrs7xw</v>
      </c>
      <c r="G2771" s="4" t="str">
        <f>IFERROR(__xludf.DUMMYFUNCTION("GOOGLETRANSLATE(B2771)"),"倖存者")</f>
        <v>倖存者</v>
      </c>
    </row>
    <row r="2772" ht="15.75" customHeight="1">
      <c r="A2772" s="4">
        <v>9420.0</v>
      </c>
      <c r="B2772" s="4" t="s">
        <v>4225</v>
      </c>
      <c r="C2772" s="4" t="s">
        <v>4242</v>
      </c>
      <c r="D2772" s="4" t="s">
        <v>4243</v>
      </c>
      <c r="E2772" s="4">
        <v>1.0</v>
      </c>
      <c r="F2772" s="4" t="str">
        <f>IFERROR(__xludf.DUMMYFUNCTION("GOOGLETRANSLATE(D2772)"),"原子彈爆炸週年紀念日臨近，倖存者大聲疾呼反對核電 - http://t.co/Uo8GrDAuAT")</f>
        <v>原子彈爆炸週年紀念日臨近，倖存者大聲疾呼反對核電 - http://t.co/Uo8GrDAuAT</v>
      </c>
      <c r="G2772" s="4" t="str">
        <f>IFERROR(__xludf.DUMMYFUNCTION("GOOGLETRANSLATE(B2772)"),"倖存者")</f>
        <v>倖存者</v>
      </c>
    </row>
    <row r="2773" ht="15.75" customHeight="1">
      <c r="A2773" s="4">
        <v>9421.0</v>
      </c>
      <c r="B2773" s="4" t="s">
        <v>4225</v>
      </c>
      <c r="C2773" s="4" t="s">
        <v>4244</v>
      </c>
      <c r="D2773" s="4" t="s">
        <v>4245</v>
      </c>
      <c r="E2773" s="4">
        <v>1.0</v>
      </c>
      <c r="F2773" s="4" t="str">
        <f>IFERROR(__xludf.DUMMYFUNCTION("GOOGLETRANSLATE(D2773)"),"廣島倖存者在巴西與核工業作鬥爭 ÛÒ 影片 http://t.co/uvM975yha2")</f>
        <v>廣島倖存者在巴西與核工業作鬥爭 ÛÒ 影片 http://t.co/uvM975yha2</v>
      </c>
      <c r="G2773" s="4" t="str">
        <f>IFERROR(__xludf.DUMMYFUNCTION("GOOGLETRANSLATE(B2773)"),"倖存者")</f>
        <v>倖存者</v>
      </c>
    </row>
    <row r="2774" ht="15.75" customHeight="1">
      <c r="A2774" s="4">
        <v>9422.0</v>
      </c>
      <c r="B2774" s="4" t="s">
        <v>4225</v>
      </c>
      <c r="C2774" s="4" t="s">
        <v>3398</v>
      </c>
      <c r="D2774" s="4" t="s">
        <v>4246</v>
      </c>
      <c r="E2774" s="4">
        <v>1.0</v>
      </c>
      <c r="F2774" s="4" t="str">
        <f>IFERROR(__xludf.DUMMYFUNCTION("GOOGLETRANSLATE(D2774)"),"以倖存者為中心的第二部分確實很難看，但同時也非常強大。")</f>
        <v>以倖存者為中心的第二部分確實很難看，但同時也非常強大。</v>
      </c>
      <c r="G2774" s="4" t="str">
        <f>IFERROR(__xludf.DUMMYFUNCTION("GOOGLETRANSLATE(B2774)"),"倖存者")</f>
        <v>倖存者</v>
      </c>
    </row>
    <row r="2775" ht="15.75" customHeight="1">
      <c r="A2775" s="4">
        <v>9425.0</v>
      </c>
      <c r="B2775" s="4" t="s">
        <v>4225</v>
      </c>
      <c r="C2775" s="4" t="s">
        <v>4247</v>
      </c>
      <c r="D2775" s="4" t="s">
        <v>4248</v>
      </c>
      <c r="E2775" s="4">
        <v>1.0</v>
      </c>
      <c r="F2775" s="4" t="str">
        <f>IFERROR(__xludf.DUMMYFUNCTION("GOOGLETRANSLATE(D2775)"),"@Arovolturi3000 因為魔法而倖存下來，她正在倫敦郊外的樹林裡尋找倖存者")</f>
        <v>@Arovolturi3000 因為魔法而倖存下來，她正在倫敦郊外的樹林裡尋找倖存者</v>
      </c>
      <c r="G2775" s="4" t="str">
        <f>IFERROR(__xludf.DUMMYFUNCTION("GOOGLETRANSLATE(B2775)"),"倖存者")</f>
        <v>倖存者</v>
      </c>
    </row>
    <row r="2776" ht="15.75" customHeight="1">
      <c r="A2776" s="4">
        <v>9430.0</v>
      </c>
      <c r="B2776" s="4" t="s">
        <v>4225</v>
      </c>
      <c r="C2776" s="4" t="s">
        <v>4249</v>
      </c>
      <c r="D2776" s="4" t="s">
        <v>4250</v>
      </c>
      <c r="E2776" s="4">
        <v>1.0</v>
      </c>
      <c r="F2776" s="4" t="str">
        <f>IFERROR(__xludf.DUMMYFUNCTION("GOOGLETRANSLATE(D2776)"),"@FedPorn 我感受到你的痛苦。倖存者回顧這段時期將是人類歷史上最荒謬的時期。諷刺與現實無異。")</f>
        <v>@FedPorn 我感受到你的痛苦。倖存者回顧這段時期將是人類歷史上最荒謬的時期。諷刺與現實無異。</v>
      </c>
      <c r="G2776" s="4" t="str">
        <f>IFERROR(__xludf.DUMMYFUNCTION("GOOGLETRANSLATE(B2776)"),"倖存者")</f>
        <v>倖存者</v>
      </c>
    </row>
    <row r="2777" ht="15.75" customHeight="1">
      <c r="A2777" s="4">
        <v>9431.0</v>
      </c>
      <c r="B2777" s="4" t="s">
        <v>4225</v>
      </c>
      <c r="D2777" s="4" t="s">
        <v>4251</v>
      </c>
      <c r="E2777" s="4">
        <v>1.0</v>
      </c>
      <c r="F2777" s="4" t="str">
        <f>IFERROR(__xludf.DUMMYFUNCTION("GOOGLETRANSLATE(D2777)"),"無臉屍體屬於我姊姊：#廣島#長崎#核武倖存者在 RT 新聞上回憶 70 年來的恐怖 http://t.co/918EQmTkrL")</f>
        <v>無臉屍體屬於我姊姊：#廣島#長崎#核武倖存者在 RT 新聞上回憶 70 年來的恐怖 http://t.co/918EQmTkrL</v>
      </c>
      <c r="G2777" s="4" t="str">
        <f>IFERROR(__xludf.DUMMYFUNCTION("GOOGLETRANSLATE(B2777)"),"倖存者")</f>
        <v>倖存者</v>
      </c>
    </row>
    <row r="2778" ht="15.75" customHeight="1">
      <c r="A2778" s="4">
        <v>9435.0</v>
      </c>
      <c r="B2778" s="4" t="s">
        <v>4225</v>
      </c>
      <c r="C2778" s="4" t="s">
        <v>4252</v>
      </c>
      <c r="D2778" s="4" t="s">
        <v>4253</v>
      </c>
      <c r="E2778" s="4">
        <v>1.0</v>
      </c>
      <c r="F2778" s="4" t="str">
        <f>IFERROR(__xludf.DUMMYFUNCTION("GOOGLETRANSLATE(D2778)"),"@LawfulSurvivor T-Dog 與其他幾名倖存者一起躲在一家公寓商店裡。Glenn Morales、Andrea Jacqui 和 Merle。--")</f>
        <v>@LawfulSurvivor T-Dog 與其他幾名倖存者一起躲在一家公寓商店裡。Glenn Morales、Andrea Jacqui 和 Merle。--</v>
      </c>
      <c r="G2778" s="4" t="str">
        <f>IFERROR(__xludf.DUMMYFUNCTION("GOOGLETRANSLATE(B2778)"),"倖存者")</f>
        <v>倖存者</v>
      </c>
    </row>
    <row r="2779" ht="15.75" customHeight="1">
      <c r="A2779" s="4">
        <v>9436.0</v>
      </c>
      <c r="B2779" s="4" t="s">
        <v>4225</v>
      </c>
      <c r="C2779" s="4" t="s">
        <v>4254</v>
      </c>
      <c r="D2779" s="4" t="s">
        <v>4255</v>
      </c>
      <c r="E2779" s="4">
        <v>1.0</v>
      </c>
      <c r="F2779" s="4" t="str">
        <f>IFERROR(__xludf.DUMMYFUNCTION("GOOGLETRANSLATE(D2779)"),"源自於我的 #Cubs 演講 - 該團隊在 @ARizzo44 和 @ARizzo44 中列出了 2 名癌症倖存者。 @JLester34...@Cubs 球迷：幫助另一個 http://t.co/XGnjgLE9eQ")</f>
        <v>源自於我的 #Cubs 演講 - 該團隊在 @ARizzo44 和 @ARizzo44 中列出了 2 名癌症倖存者。 @JLester34...@Cubs 球迷：幫助另一個 http://t.co/XGnjgLE9eQ</v>
      </c>
      <c r="G2779" s="4" t="str">
        <f>IFERROR(__xludf.DUMMYFUNCTION("GOOGLETRANSLATE(B2779)"),"倖存者")</f>
        <v>倖存者</v>
      </c>
    </row>
    <row r="2780" ht="15.75" customHeight="1">
      <c r="A2780" s="4">
        <v>9438.0</v>
      </c>
      <c r="B2780" s="4" t="s">
        <v>4225</v>
      </c>
      <c r="D2780" s="4" t="s">
        <v>4256</v>
      </c>
      <c r="E2780" s="4">
        <v>1.0</v>
      </c>
      <c r="F2780" s="4" t="str">
        <f>IFERROR(__xludf.DUMMYFUNCTION("GOOGLETRANSLATE(D2780)"),"倖存者描繪的令人難忘的回憶 http://t.co/WJ7UjFs8Fd")</f>
        <v>倖存者描繪的令人難忘的回憶 http://t.co/WJ7UjFs8Fd</v>
      </c>
      <c r="G2780" s="4" t="str">
        <f>IFERROR(__xludf.DUMMYFUNCTION("GOOGLETRANSLATE(B2780)"),"倖存者")</f>
        <v>倖存者</v>
      </c>
    </row>
    <row r="2781" ht="15.75" customHeight="1">
      <c r="A2781" s="4">
        <v>9441.0</v>
      </c>
      <c r="B2781" s="4" t="s">
        <v>4225</v>
      </c>
      <c r="D2781" s="4" t="s">
        <v>4257</v>
      </c>
      <c r="E2781" s="4">
        <v>1.0</v>
      </c>
      <c r="F2781" s="4" t="str">
        <f>IFERROR(__xludf.DUMMYFUNCTION("GOOGLETRANSLATE(D2781)"),"紀念 http://t.co/ii4EwE1QIr #Hiroshima http://t.co/H3vUsqzyQo")</f>
        <v>紀念 http://t.co/ii4EwE1QIr #Hiroshima http://t.co/H3vUsqzyQo</v>
      </c>
      <c r="G2781" s="4" t="str">
        <f>IFERROR(__xludf.DUMMYFUNCTION("GOOGLETRANSLATE(B2781)"),"倖存者")</f>
        <v>倖存者</v>
      </c>
    </row>
    <row r="2782" ht="15.75" customHeight="1">
      <c r="A2782" s="4">
        <v>9446.0</v>
      </c>
      <c r="B2782" s="4" t="s">
        <v>4258</v>
      </c>
      <c r="C2782" s="4" t="s">
        <v>4259</v>
      </c>
      <c r="D2782" s="4" t="s">
        <v>4260</v>
      </c>
      <c r="E2782" s="4">
        <v>1.0</v>
      </c>
      <c r="F2782" s="4" t="str">
        <f>IFERROR(__xludf.DUMMYFUNCTION("GOOGLETRANSLATE(D2782)"),"News786-英國伊斯蘭神職人員 Anjem Choudary 根據《恐怖主義法》被指控：http://t.co/u7bBeNXWYK")</f>
        <v>News786-英國伊斯蘭神職人員 Anjem Choudary 根據《恐怖主義法》被指控：http://t.co/u7bBeNXWYK</v>
      </c>
      <c r="G2782" s="4" t="str">
        <f>IFERROR(__xludf.DUMMYFUNCTION("GOOGLETRANSLATE(B2782)"),"恐怖主義")</f>
        <v>恐怖主義</v>
      </c>
    </row>
    <row r="2783" ht="15.75" customHeight="1">
      <c r="A2783" s="4">
        <v>9448.0</v>
      </c>
      <c r="B2783" s="4" t="s">
        <v>4258</v>
      </c>
      <c r="D2783" s="4" t="s">
        <v>4261</v>
      </c>
      <c r="E2783" s="4">
        <v>1.0</v>
      </c>
      <c r="F2783" s="4" t="str">
        <f>IFERROR(__xludf.DUMMYFUNCTION("GOOGLETRANSLATE(D2783)"),"@RobPulseNews @huyovoeTripolye Phillips 應因協助恐怖主義而被指控。 LDNR-恐怖分子組織。 http://t.co/XwnJYsV9V9")</f>
        <v>@RobPulseNews @huyovoeTripolye Phillips 應因協助恐怖主義而被指控。 LDNR-恐怖分子組織。 http://t.co/XwnJYsV9V9</v>
      </c>
      <c r="G2783" s="4" t="str">
        <f>IFERROR(__xludf.DUMMYFUNCTION("GOOGLETRANSLATE(B2783)"),"恐怖主義")</f>
        <v>恐怖主義</v>
      </c>
    </row>
    <row r="2784" ht="15.75" customHeight="1">
      <c r="A2784" s="4">
        <v>9449.0</v>
      </c>
      <c r="B2784" s="4" t="s">
        <v>4258</v>
      </c>
      <c r="D2784" s="4" t="s">
        <v>4262</v>
      </c>
      <c r="E2784" s="4">
        <v>1.0</v>
      </c>
      <c r="F2784" s="4" t="str">
        <f>IFERROR(__xludf.DUMMYFUNCTION("GOOGLETRANSLATE(D2784)"),"真相...
https://t.co/nXS3Z1kxiD
＃消息
#英國廣播公司
#CNN
＃伊斯蘭教
＃真相
＃上帝
＃伊斯蘭國
＃恐怖主義
#古蘭經
#謊言http://t.co/UDKMAdKuzY")</f>
        <v>真相...
https://t.co/nXS3Z1kxiD
＃消息
#英國廣播公司
#CNN
＃伊斯蘭教
＃真相
＃上帝
＃伊斯蘭國
＃恐怖主義
#古蘭經
#謊言http://t.co/UDKMAdKuzY</v>
      </c>
      <c r="G2784" s="4" t="str">
        <f>IFERROR(__xludf.DUMMYFUNCTION("GOOGLETRANSLATE(B2784)"),"恐怖主義")</f>
        <v>恐怖主義</v>
      </c>
    </row>
    <row r="2785" ht="15.75" customHeight="1">
      <c r="A2785" s="4">
        <v>9450.0</v>
      </c>
      <c r="B2785" s="4" t="s">
        <v>4258</v>
      </c>
      <c r="C2785" s="4" t="s">
        <v>38</v>
      </c>
      <c r="D2785" s="4" t="s">
        <v>4263</v>
      </c>
      <c r="E2785" s="4">
        <v>1.0</v>
      </c>
      <c r="F2785" s="4" t="str">
        <f>IFERROR(__xludf.DUMMYFUNCTION("GOOGLETRANSLATE(D2785)"),"傳教士面臨英國恐怖主義指控 http://t.co/daPlllFuqK")</f>
        <v>傳教士面臨英國恐怖主義指控 http://t.co/daPlllFuqK</v>
      </c>
      <c r="G2785" s="4" t="str">
        <f>IFERROR(__xludf.DUMMYFUNCTION("GOOGLETRANSLATE(B2785)"),"恐怖主義")</f>
        <v>恐怖主義</v>
      </c>
    </row>
    <row r="2786" ht="15.75" customHeight="1">
      <c r="A2786" s="4">
        <v>9451.0</v>
      </c>
      <c r="B2786" s="4" t="s">
        <v>4258</v>
      </c>
      <c r="C2786" s="4" t="s">
        <v>4264</v>
      </c>
      <c r="D2786" s="4" t="s">
        <v>4265</v>
      </c>
      <c r="E2786" s="4">
        <v>1.0</v>
      </c>
      <c r="F2786" s="4" t="str">
        <f>IFERROR(__xludf.DUMMYFUNCTION("GOOGLETRANSLATE(D2786)"),"女子潛入飛機駕駛艙；不懷疑恐怖主義 http://t.co/1W58Ehv9S1 http://t.co/p8Ih0hni3l")</f>
        <v>女子潛入飛機駕駛艙；不懷疑恐怖主義 http://t.co/1W58Ehv9S1 http://t.co/p8Ih0hni3l</v>
      </c>
      <c r="G2786" s="4" t="str">
        <f>IFERROR(__xludf.DUMMYFUNCTION("GOOGLETRANSLATE(B2786)"),"恐怖主義")</f>
        <v>恐怖主義</v>
      </c>
    </row>
    <row r="2787" ht="15.75" customHeight="1">
      <c r="A2787" s="4">
        <v>9452.0</v>
      </c>
      <c r="B2787" s="4" t="s">
        <v>4258</v>
      </c>
      <c r="C2787" s="4" t="s">
        <v>4266</v>
      </c>
      <c r="D2787" s="4" t="s">
        <v>4267</v>
      </c>
      <c r="E2787" s="4">
        <v>1.0</v>
      </c>
      <c r="F2787" s="4" t="str">
        <f>IFERROR(__xludf.DUMMYFUNCTION("GOOGLETRANSLATE(D2787)"),"北卡羅來納州參議院跟隨眾議院對恐怖主義損害採取法律行動 - 溫斯頓 http://t.co/2Y5MoRpugt")</f>
        <v>北卡羅來納州參議院跟隨眾議院對恐怖主義損害採取法律行動 - 溫斯頓 http://t.co/2Y5MoRpugt</v>
      </c>
      <c r="G2787" s="4" t="str">
        <f>IFERROR(__xludf.DUMMYFUNCTION("GOOGLETRANSLATE(B2787)"),"恐怖主義")</f>
        <v>恐怖主義</v>
      </c>
    </row>
    <row r="2788" ht="15.75" customHeight="1">
      <c r="A2788" s="4">
        <v>9453.0</v>
      </c>
      <c r="B2788" s="4" t="s">
        <v>4258</v>
      </c>
      <c r="D2788" s="4" t="s">
        <v>4268</v>
      </c>
      <c r="E2788" s="4">
        <v>1.0</v>
      </c>
      <c r="F2788" s="4" t="str">
        <f>IFERROR(__xludf.DUMMYFUNCTION("GOOGLETRANSLATE(D2788)"),"#政治民主對仇恨的仇恨：達瓦布沙威脅要侵蝕以色列的民主。本土恐怖主義... http://t.co/q8n5Tn8WME")</f>
        <v>#政治民主對仇恨的仇恨：達瓦布沙威脅要侵蝕以色列的民主。本土恐怖主義... http://t.co/q8n5Tn8WME</v>
      </c>
      <c r="G2788" s="4" t="str">
        <f>IFERROR(__xludf.DUMMYFUNCTION("GOOGLETRANSLATE(B2788)"),"恐怖主義")</f>
        <v>恐怖主義</v>
      </c>
    </row>
    <row r="2789" ht="15.75" customHeight="1">
      <c r="A2789" s="4">
        <v>9456.0</v>
      </c>
      <c r="B2789" s="4" t="s">
        <v>4258</v>
      </c>
      <c r="C2789" s="4" t="s">
        <v>4269</v>
      </c>
      <c r="D2789" s="4" t="s">
        <v>4270</v>
      </c>
      <c r="E2789" s="4">
        <v>1.0</v>
      </c>
      <c r="F2789" s="4" t="str">
        <f>IFERROR(__xludf.DUMMYFUNCTION("GOOGLETRANSLATE(D2789)"),"跨境恐怖主義：巴基斯坦再次被當場抓獲 http://t.co/uDj50J3MV4")</f>
        <v>跨境恐怖主義：巴基斯坦再次被當場抓獲 http://t.co/uDj50J3MV4</v>
      </c>
      <c r="G2789" s="4" t="str">
        <f>IFERROR(__xludf.DUMMYFUNCTION("GOOGLETRANSLATE(B2789)"),"恐怖主義")</f>
        <v>恐怖主義</v>
      </c>
    </row>
    <row r="2790" ht="15.75" customHeight="1">
      <c r="A2790" s="4">
        <v>9457.0</v>
      </c>
      <c r="B2790" s="4" t="s">
        <v>4258</v>
      </c>
      <c r="D2790" s="4" t="s">
        <v>4271</v>
      </c>
      <c r="E2790" s="4">
        <v>1.0</v>
      </c>
      <c r="F2790" s="4" t="str">
        <f>IFERROR(__xludf.DUMMYFUNCTION("GOOGLETRANSLATE(D2790)"),"CTD 逮捕了奧蘭吉的三名重要罪犯：卡拉奇：信德省警察反恐部門 (CTD) ... http://t.co/Le4brduau9")</f>
        <v>CTD 逮捕了奧蘭吉的三名重要罪犯：卡拉奇：信德省警察反恐部門 (CTD) ... http://t.co/Le4brduau9</v>
      </c>
      <c r="G2790" s="4" t="str">
        <f>IFERROR(__xludf.DUMMYFUNCTION("GOOGLETRANSLATE(B2790)"),"恐怖主義")</f>
        <v>恐怖主義</v>
      </c>
    </row>
    <row r="2791" ht="15.75" customHeight="1">
      <c r="A2791" s="4">
        <v>9458.0</v>
      </c>
      <c r="B2791" s="4" t="s">
        <v>4258</v>
      </c>
      <c r="C2791" s="4" t="s">
        <v>4272</v>
      </c>
      <c r="D2791" s="4" t="s">
        <v>4273</v>
      </c>
      <c r="E2791" s="4">
        <v>1.0</v>
      </c>
      <c r="F2791" s="4" t="str">
        <f>IFERROR(__xludf.DUMMYFUNCTION("GOOGLETRANSLATE(D2791)"),"仍是國內恐怖主義 https://t.co/GevRMBVznB")</f>
        <v>仍是國內恐怖主義 https://t.co/GevRMBVznB</v>
      </c>
      <c r="G2791" s="4" t="str">
        <f>IFERROR(__xludf.DUMMYFUNCTION("GOOGLETRANSLATE(B2791)"),"恐怖主義")</f>
        <v>恐怖主義</v>
      </c>
    </row>
    <row r="2792" ht="15.75" customHeight="1">
      <c r="A2792" s="4">
        <v>9460.0</v>
      </c>
      <c r="B2792" s="4" t="s">
        <v>4258</v>
      </c>
      <c r="D2792" s="4" t="s">
        <v>4274</v>
      </c>
      <c r="E2792" s="4">
        <v>1.0</v>
      </c>
      <c r="F2792" s="4" t="str">
        <f>IFERROR(__xludf.DUMMYFUNCTION("GOOGLETRANSLATE(D2792)"),"DireTube 資訊 埃及 塞浦路斯與希臘同意打擊恐怖主義 http://t.co/V6IjxCCD2I http://t.co/YSXhFWMGOD")</f>
        <v>DireTube 資訊 埃及 塞浦路斯與希臘同意打擊恐怖主義 http://t.co/V6IjxCCD2I http://t.co/YSXhFWMGOD</v>
      </c>
      <c r="G2792" s="4" t="str">
        <f>IFERROR(__xludf.DUMMYFUNCTION("GOOGLETRANSLATE(B2792)"),"恐怖主義")</f>
        <v>恐怖主義</v>
      </c>
    </row>
    <row r="2793" ht="15.75" customHeight="1">
      <c r="A2793" s="4">
        <v>9465.0</v>
      </c>
      <c r="B2793" s="4" t="s">
        <v>4258</v>
      </c>
      <c r="C2793" s="4" t="s">
        <v>1868</v>
      </c>
      <c r="D2793" s="4" t="s">
        <v>4275</v>
      </c>
      <c r="E2793" s="4">
        <v>1.0</v>
      </c>
      <c r="F2793" s="4" t="str">
        <f>IFERROR(__xludf.DUMMYFUNCTION("GOOGLETRANSLATE(D2793)"),"恐怖主義觀點 - 了解聖戰原始國家：http://t.co/d5h4jif1y3")</f>
        <v>恐怖主義觀點 - 了解聖戰原始國家：http://t.co/d5h4jif1y3</v>
      </c>
      <c r="G2793" s="4" t="str">
        <f>IFERROR(__xludf.DUMMYFUNCTION("GOOGLETRANSLATE(B2793)"),"恐怖主義")</f>
        <v>恐怖主義</v>
      </c>
    </row>
    <row r="2794" ht="15.75" customHeight="1">
      <c r="A2794" s="4">
        <v>9466.0</v>
      </c>
      <c r="B2794" s="4" t="s">
        <v>4258</v>
      </c>
      <c r="D2794" s="4" t="s">
        <v>4276</v>
      </c>
      <c r="E2794" s="4">
        <v>1.0</v>
      </c>
      <c r="F2794" s="4" t="str">
        <f>IFERROR(__xludf.DUMMYFUNCTION("GOOGLETRANSLATE(D2794)"),"出於對穆斯林的尊重，國土安全部拒絕稱查塔努加為「伊斯蘭恐怖主義」... http://t.co/u8RGB51d22 via @po_st http://t.co/2tnu95VGFE")</f>
        <v>出於對穆斯林的尊重，國土安全部拒絕稱查塔努加為「伊斯蘭恐怖主義」... http://t.co/u8RGB51d22 via @po_st http://t.co/2tnu95VGFE</v>
      </c>
      <c r="G2794" s="4" t="str">
        <f>IFERROR(__xludf.DUMMYFUNCTION("GOOGLETRANSLATE(B2794)"),"恐怖主義")</f>
        <v>恐怖主義</v>
      </c>
    </row>
    <row r="2795" ht="15.75" customHeight="1">
      <c r="A2795" s="4">
        <v>9467.0</v>
      </c>
      <c r="B2795" s="4" t="s">
        <v>4258</v>
      </c>
      <c r="D2795" s="4" t="s">
        <v>4277</v>
      </c>
      <c r="E2795" s="4">
        <v>1.0</v>
      </c>
      <c r="F2795" s="4" t="str">
        <f>IFERROR(__xludf.DUMMYFUNCTION("GOOGLETRANSLATE(D2795)"),"巴基斯坦最高法院裁定允許對恐怖主義案件嫌疑人進行軍事審判 http://t.co/ajpbdCalew")</f>
        <v>巴基斯坦最高法院裁定允許對恐怖主義案件嫌疑人進行軍事審判 http://t.co/ajpbdCalew</v>
      </c>
      <c r="G2795" s="4" t="str">
        <f>IFERROR(__xludf.DUMMYFUNCTION("GOOGLETRANSLATE(B2795)"),"恐怖主義")</f>
        <v>恐怖主義</v>
      </c>
    </row>
    <row r="2796" ht="15.75" customHeight="1">
      <c r="A2796" s="4">
        <v>9469.0</v>
      </c>
      <c r="B2796" s="4" t="s">
        <v>4258</v>
      </c>
      <c r="C2796" s="4" t="s">
        <v>4278</v>
      </c>
      <c r="D2796" s="4" t="s">
        <v>4279</v>
      </c>
      <c r="E2796" s="4">
        <v>1.0</v>
      </c>
      <c r="F2796" s="4" t="str">
        <f>IFERROR(__xludf.DUMMYFUNCTION("GOOGLETRANSLATE(D2796)"),"貝納特 (Beinart) 撰寫的一篇關於以色列煽動和猶太恐怖主義的好文章：http://t.co/OT2OOOEdts")</f>
        <v>貝納特 (Beinart) 撰寫的一篇關於以色列煽動和猶太恐怖主義的好文章：http://t.co/OT2OOOEdts</v>
      </c>
      <c r="G2796" s="4" t="str">
        <f>IFERROR(__xludf.DUMMYFUNCTION("GOOGLETRANSLATE(B2796)"),"恐怖主義")</f>
        <v>恐怖主義</v>
      </c>
    </row>
    <row r="2797" ht="15.75" customHeight="1">
      <c r="A2797" s="4">
        <v>9472.0</v>
      </c>
      <c r="B2797" s="4" t="s">
        <v>4258</v>
      </c>
      <c r="C2797" s="4" t="s">
        <v>4280</v>
      </c>
      <c r="D2797" s="4" t="s">
        <v>4281</v>
      </c>
      <c r="E2797" s="4">
        <v>1.0</v>
      </c>
      <c r="F2797" s="4" t="str">
        <f>IFERROR(__xludf.DUMMYFUNCTION("GOOGLETRANSLATE(D2797)"),"在#islam 中，拯救一個人與拯救全人類的回報是相等的！伊斯蘭教是恐怖主義的對立面！")</f>
        <v>在#islam 中，拯救一個人與拯救全人類的回報是相等的！伊斯蘭教是恐怖主義的對立面！</v>
      </c>
      <c r="G2797" s="4" t="str">
        <f>IFERROR(__xludf.DUMMYFUNCTION("GOOGLETRANSLATE(B2797)"),"恐怖主義")</f>
        <v>恐怖主義</v>
      </c>
    </row>
    <row r="2798" ht="15.75" customHeight="1">
      <c r="A2798" s="4">
        <v>9474.0</v>
      </c>
      <c r="B2798" s="4" t="s">
        <v>4258</v>
      </c>
      <c r="C2798" s="4" t="s">
        <v>4282</v>
      </c>
      <c r="D2798" s="4" t="s">
        <v>4283</v>
      </c>
      <c r="E2798" s="4">
        <v>1.0</v>
      </c>
      <c r="F2798" s="4" t="str">
        <f>IFERROR(__xludf.DUMMYFUNCTION("GOOGLETRANSLATE(D2798)"),"@AdamNibloe 逮捕報告：與恐怖主義有關")</f>
        <v>@AdamNibloe 逮捕報告：與恐怖主義有關</v>
      </c>
      <c r="G2798" s="4" t="str">
        <f>IFERROR(__xludf.DUMMYFUNCTION("GOOGLETRANSLATE(B2798)"),"恐怖主義")</f>
        <v>恐怖主義</v>
      </c>
    </row>
    <row r="2799" ht="15.75" customHeight="1">
      <c r="A2799" s="4">
        <v>9480.0</v>
      </c>
      <c r="B2799" s="4" t="s">
        <v>4258</v>
      </c>
      <c r="D2799" s="4" t="s">
        <v>4284</v>
      </c>
      <c r="E2799" s="4">
        <v>1.0</v>
      </c>
      <c r="F2799" s="4" t="str">
        <f>IFERROR(__xludf.DUMMYFUNCTION("GOOGLETRANSLATE(D2799)"),"真相...
https://t.co/2Y4RGob7pj
＃消息
#英國廣播公司
#CNN
＃伊斯蘭教
＃真相
＃上帝
＃伊斯蘭國
＃恐怖主義
#古蘭經
#謊言http://t.co/mVes6VsSyN")</f>
        <v>真相...
https://t.co/2Y4RGob7pj
＃消息
#英國廣播公司
#CNN
＃伊斯蘭教
＃真相
＃上帝
＃伊斯蘭國
＃恐怖主義
#古蘭經
#謊言http://t.co/mVes6VsSyN</v>
      </c>
      <c r="G2799" s="4" t="str">
        <f>IFERROR(__xludf.DUMMYFUNCTION("GOOGLETRANSLATE(B2799)"),"恐怖主義")</f>
        <v>恐怖主義</v>
      </c>
    </row>
    <row r="2800" ht="15.75" customHeight="1">
      <c r="A2800" s="4">
        <v>9481.0</v>
      </c>
      <c r="B2800" s="4" t="s">
        <v>4258</v>
      </c>
      <c r="D2800" s="4" t="s">
        <v>4285</v>
      </c>
      <c r="E2800" s="4">
        <v>1.0</v>
      </c>
      <c r="F2800" s="4" t="str">
        <f>IFERROR(__xludf.DUMMYFUNCTION("GOOGLETRANSLATE(D2800)"),"真的不能因為少數人的行為而譴責整個團體.. 一個溫暖人心的反恐團結.. http://t.co/HHPvPaEL4n")</f>
        <v>真的不能因為少數人的行為而譴責整個團體.. 一個溫暖人心的反恐團結.. http://t.co/HHPvPaEL4n</v>
      </c>
      <c r="G2800" s="4" t="str">
        <f>IFERROR(__xludf.DUMMYFUNCTION("GOOGLETRANSLATE(B2800)"),"恐怖主義")</f>
        <v>恐怖主義</v>
      </c>
    </row>
    <row r="2801" ht="15.75" customHeight="1">
      <c r="A2801" s="4">
        <v>9482.0</v>
      </c>
      <c r="B2801" s="4" t="s">
        <v>4258</v>
      </c>
      <c r="D2801" s="4" t="s">
        <v>4286</v>
      </c>
      <c r="E2801" s="4">
        <v>1.0</v>
      </c>
      <c r="F2801" s="4" t="str">
        <f>IFERROR(__xludf.DUMMYFUNCTION("GOOGLETRANSLATE(D2801)"),"真相...
https://t.co/p5ZIcjUdXO
＃消息
#英國廣播公司
#CNN
＃伊斯蘭教
＃真相
＃上帝
＃伊斯蘭國
＃恐怖主義
#古蘭經
#謊言http://t.co/kZhB8zX6YC")</f>
        <v>真相...
https://t.co/p5ZIcjUdXO
＃消息
#英國廣播公司
#CNN
＃伊斯蘭教
＃真相
＃上帝
＃伊斯蘭國
＃恐怖主義
#古蘭經
#謊言http://t.co/kZhB8zX6YC</v>
      </c>
      <c r="G2801" s="4" t="str">
        <f>IFERROR(__xludf.DUMMYFUNCTION("GOOGLETRANSLATE(B2801)"),"恐怖主義")</f>
        <v>恐怖主義</v>
      </c>
    </row>
    <row r="2802" ht="15.75" customHeight="1">
      <c r="A2802" s="4">
        <v>9484.0</v>
      </c>
      <c r="B2802" s="4" t="s">
        <v>4258</v>
      </c>
      <c r="D2802" s="4" t="s">
        <v>4287</v>
      </c>
      <c r="E2802" s="4">
        <v>1.0</v>
      </c>
      <c r="F2802" s="4" t="str">
        <f>IFERROR(__xludf.DUMMYFUNCTION("GOOGLETRANSLATE(D2802)"),"@KurtSchlichter 他已經透過與世界第一個恐怖主義國家的談判做到了這一點。他為什麼急於達成協議")</f>
        <v>@KurtSchlichter 他已經透過與世界第一個恐怖主義國家的談判做到了這一點。他為什麼急於達成協議</v>
      </c>
      <c r="G2802" s="4" t="str">
        <f>IFERROR(__xludf.DUMMYFUNCTION("GOOGLETRANSLATE(B2802)"),"恐怖主義")</f>
        <v>恐怖主義</v>
      </c>
    </row>
    <row r="2803" ht="15.75" customHeight="1">
      <c r="A2803" s="4">
        <v>9488.0</v>
      </c>
      <c r="B2803" s="4" t="s">
        <v>4258</v>
      </c>
      <c r="D2803" s="4" t="s">
        <v>4288</v>
      </c>
      <c r="E2803" s="4">
        <v>1.0</v>
      </c>
      <c r="F2803" s="4" t="str">
        <f>IFERROR(__xludf.DUMMYFUNCTION("GOOGLETRANSLATE(D2803)"),"巴基斯坦最高法院支持軍事法庭審理恐怖主義案件 http://t.co/sZeapuEuvy")</f>
        <v>巴基斯坦最高法院支持軍事法庭審理恐怖主義案件 http://t.co/sZeapuEuvy</v>
      </c>
      <c r="G2803" s="4" t="str">
        <f>IFERROR(__xludf.DUMMYFUNCTION("GOOGLETRANSLATE(B2803)"),"恐怖主義")</f>
        <v>恐怖主義</v>
      </c>
    </row>
    <row r="2804" ht="15.75" customHeight="1">
      <c r="A2804" s="4">
        <v>9490.0</v>
      </c>
      <c r="B2804" s="4" t="s">
        <v>4258</v>
      </c>
      <c r="D2804" s="4" t="s">
        <v>4289</v>
      </c>
      <c r="E2804" s="4">
        <v>1.0</v>
      </c>
      <c r="F2804" s="4" t="str">
        <f>IFERROR(__xludf.DUMMYFUNCTION("GOOGLETRANSLATE(D2804)"),"真相...
https://t.co/4ZQrsAQrRT
＃消息
#英國廣播公司
#CNN
＃伊斯蘭教
＃真相
＃上帝
＃伊斯蘭國
＃恐怖主義
#古蘭經
#謊言http://t.co/6ar3UKvsxw")</f>
        <v>真相...
https://t.co/4ZQrsAQrRT
＃消息
#英國廣播公司
#CNN
＃伊斯蘭教
＃真相
＃上帝
＃伊斯蘭國
＃恐怖主義
#古蘭經
#謊言http://t.co/6ar3UKvsxw</v>
      </c>
      <c r="G2804" s="4" t="str">
        <f>IFERROR(__xludf.DUMMYFUNCTION("GOOGLETRANSLATE(B2804)"),"恐怖主義")</f>
        <v>恐怖主義</v>
      </c>
    </row>
    <row r="2805" ht="15.75" customHeight="1">
      <c r="A2805" s="4">
        <v>9491.0</v>
      </c>
      <c r="B2805" s="4" t="s">
        <v>4258</v>
      </c>
      <c r="C2805" s="4" t="s">
        <v>4290</v>
      </c>
      <c r="D2805" s="4" t="s">
        <v>4291</v>
      </c>
      <c r="E2805" s="4">
        <v>1.0</v>
      </c>
      <c r="F2805" s="4" t="str">
        <f>IFERROR(__xludf.DUMMYFUNCTION("GOOGLETRANSLATE(D2805)"),"跨國恐怖主義：巴基斯坦再次被當場抓獲 - 印度時報 http://t.co/uiqsfgZoOx")</f>
        <v>跨國恐怖主義：巴基斯坦再次被當場抓獲 - 印度時報 http://t.co/uiqsfgZoOx</v>
      </c>
      <c r="G2805" s="4" t="str">
        <f>IFERROR(__xludf.DUMMYFUNCTION("GOOGLETRANSLATE(B2805)"),"恐怖主義")</f>
        <v>恐怖主義</v>
      </c>
    </row>
    <row r="2806" ht="15.75" customHeight="1">
      <c r="A2806" s="4">
        <v>9492.0</v>
      </c>
      <c r="B2806" s="4" t="s">
        <v>4292</v>
      </c>
      <c r="D2806" s="4" t="s">
        <v>4293</v>
      </c>
      <c r="E2806" s="4">
        <v>1.0</v>
      </c>
      <c r="F2806" s="4" t="str">
        <f>IFERROR(__xludf.DUMMYFUNCTION("GOOGLETRANSLATE(D2806)"),"被抓獲的恐怖分子納維德未註冊為我國公民：巴基斯坦 http://t.co/0FS9kSV5xK")</f>
        <v>被抓獲的恐怖分子納維德未註冊為我國公民：巴基斯坦 http://t.co/0FS9kSV5xK</v>
      </c>
      <c r="G2806" s="4" t="str">
        <f>IFERROR(__xludf.DUMMYFUNCTION("GOOGLETRANSLATE(B2806)"),"恐怖分子")</f>
        <v>恐怖分子</v>
      </c>
    </row>
    <row r="2807" ht="15.75" customHeight="1">
      <c r="A2807" s="4">
        <v>9496.0</v>
      </c>
      <c r="B2807" s="4" t="s">
        <v>4292</v>
      </c>
      <c r="D2807" s="4" t="s">
        <v>4294</v>
      </c>
      <c r="E2807" s="4">
        <v>1.0</v>
      </c>
      <c r="F2807" s="4" t="str">
        <f>IFERROR(__xludf.DUMMYFUNCTION("GOOGLETRANSLATE(D2807)"),"在印度，簽署請願書以尋求對被定罪的恐怖分子判處死刑是一項出色的工作。但問外國政府 1/n")</f>
        <v>在印度，簽署請願書以尋求對被定罪的恐怖分子判處死刑是一項出色的工作。但問外國政府 1/n</v>
      </c>
      <c r="G2807" s="4" t="str">
        <f>IFERROR(__xludf.DUMMYFUNCTION("GOOGLETRANSLATE(B2807)"),"恐怖分子")</f>
        <v>恐怖分子</v>
      </c>
    </row>
    <row r="2808" ht="15.75" customHeight="1">
      <c r="A2808" s="4">
        <v>9499.0</v>
      </c>
      <c r="B2808" s="4" t="s">
        <v>4292</v>
      </c>
      <c r="D2808" s="4" t="s">
        <v>4295</v>
      </c>
      <c r="E2808" s="4">
        <v>1.0</v>
      </c>
      <c r="F2808" s="4" t="str">
        <f>IFERROR(__xludf.DUMMYFUNCTION("GOOGLETRANSLATE(D2808)"),"以下是巴基斯坦媒體如何報道恐怖分子穆罕默德·納維德被捕的情況 http://t.co/3MtWh0jJns")</f>
        <v>以下是巴基斯坦媒體如何報道恐怖分子穆罕默德·納維德被捕的情況 http://t.co/3MtWh0jJns</v>
      </c>
      <c r="G2808" s="4" t="str">
        <f>IFERROR(__xludf.DUMMYFUNCTION("GOOGLETRANSLATE(B2808)"),"恐怖分子")</f>
        <v>恐怖分子</v>
      </c>
    </row>
    <row r="2809" ht="15.75" customHeight="1">
      <c r="A2809" s="4">
        <v>9500.0</v>
      </c>
      <c r="B2809" s="4" t="s">
        <v>4292</v>
      </c>
      <c r="C2809" s="4" t="s">
        <v>1967</v>
      </c>
      <c r="D2809" s="4" t="s">
        <v>4296</v>
      </c>
      <c r="E2809" s="4">
        <v>1.0</v>
      </c>
      <c r="F2809" s="4" t="str">
        <f>IFERROR(__xludf.DUMMYFUNCTION("GOOGLETRANSLATE(D2809)"),"今天早些時候開始的普爾瓦馬遭遇戰的最新情況：第二名恐怖分子被安全部隊擊斃。安全部隊... http://t.co/m5RjekVDDp")</f>
        <v>今天早些時候開始的普爾瓦馬遭遇戰的最新情況：第二名恐怖分子被安全部隊擊斃。安全部隊... http://t.co/m5RjekVDDp</v>
      </c>
      <c r="G2809" s="4" t="str">
        <f>IFERROR(__xludf.DUMMYFUNCTION("GOOGLETRANSLATE(B2809)"),"恐怖分子")</f>
        <v>恐怖分子</v>
      </c>
    </row>
    <row r="2810" ht="15.75" customHeight="1">
      <c r="A2810" s="4">
        <v>9502.0</v>
      </c>
      <c r="B2810" s="4" t="s">
        <v>4292</v>
      </c>
      <c r="D2810" s="4" t="s">
        <v>4297</v>
      </c>
      <c r="E2810" s="4">
        <v>1.0</v>
      </c>
      <c r="F2810" s="4" t="str">
        <f>IFERROR(__xludf.DUMMYFUNCTION("GOOGLETRANSLATE(D2810)"),"J&amp;K 在普爾瓦馬的新遭遇，一名恐怖分子殺害了躲在房子裡的其他人 http://t.co/oEf123l5Rc")</f>
        <v>J&amp;K 在普爾瓦馬的新遭遇，一名恐怖分子殺害了躲在房子裡的其他人 http://t.co/oEf123l5Rc</v>
      </c>
      <c r="G2810" s="4" t="str">
        <f>IFERROR(__xludf.DUMMYFUNCTION("GOOGLETRANSLATE(B2810)"),"恐怖分子")</f>
        <v>恐怖分子</v>
      </c>
    </row>
    <row r="2811" ht="15.75" customHeight="1">
      <c r="A2811" s="4">
        <v>9503.0</v>
      </c>
      <c r="B2811" s="4" t="s">
        <v>4292</v>
      </c>
      <c r="C2811" s="4" t="s">
        <v>4298</v>
      </c>
      <c r="D2811" s="4" t="s">
        <v>4299</v>
      </c>
      <c r="E2811" s="4">
        <v>1.0</v>
      </c>
      <c r="F2811" s="4" t="str">
        <f>IFERROR(__xludf.DUMMYFUNCTION("GOOGLETRANSLATE(D2811)"),"「恐怖分子試圖下車；我開槍打死了他' http://t.co/VSoxKbt6Nq")</f>
        <v>「恐怖分子試圖下車；我開槍打死了他' http://t.co/VSoxKbt6Nq</v>
      </c>
      <c r="G2811" s="4" t="str">
        <f>IFERROR(__xludf.DUMMYFUNCTION("GOOGLETRANSLATE(B2811)"),"恐怖分子")</f>
        <v>恐怖分子</v>
      </c>
    </row>
    <row r="2812" ht="15.75" customHeight="1">
      <c r="A2812" s="4">
        <v>9504.0</v>
      </c>
      <c r="B2812" s="4" t="s">
        <v>4292</v>
      </c>
      <c r="D2812" s="4" t="s">
        <v>4300</v>
      </c>
      <c r="E2812" s="4">
        <v>1.0</v>
      </c>
      <c r="F2812" s="4" t="str">
        <f>IFERROR(__xludf.DUMMYFUNCTION("GOOGLETRANSLATE(D2812)"),"我把車停在路邊，與那些稱扎恩為恐怖分子的鋤頭們戰鬥 http://t.co/FY30fV0Qbx")</f>
        <v>我把車停在路邊，與那些稱扎恩為恐怖分子的鋤頭們戰鬥 http://t.co/FY30fV0Qbx</v>
      </c>
      <c r="G2812" s="4" t="str">
        <f>IFERROR(__xludf.DUMMYFUNCTION("GOOGLETRANSLATE(B2812)"),"恐怖分子")</f>
        <v>恐怖分子</v>
      </c>
    </row>
    <row r="2813" ht="15.75" customHeight="1">
      <c r="A2813" s="4">
        <v>9505.0</v>
      </c>
      <c r="B2813" s="4" t="s">
        <v>4292</v>
      </c>
      <c r="C2813" s="4" t="s">
        <v>4301</v>
      </c>
      <c r="D2813" s="4" t="s">
        <v>4302</v>
      </c>
      <c r="E2813" s="4">
        <v>1.0</v>
      </c>
      <c r="F2813" s="4" t="str">
        <f>IFERROR(__xludf.DUMMYFUNCTION("GOOGLETRANSLATE(D2813)"),"烏德漢普爾恐怖攻擊：國家情報局接管調查巴基斯坦恐怖分子接受質疑； Pak 否認連結 http://t.co/ogZJOkd7Sv #Elections #AcheDin #Û_")</f>
        <v>烏德漢普爾恐怖攻擊：國家情報局接管調查巴基斯坦恐怖分子接受質疑； Pak 否認連結 http://t.co/ogZJOkd7Sv #Elections #AcheDin #Û_</v>
      </c>
      <c r="G2813" s="4" t="str">
        <f>IFERROR(__xludf.DUMMYFUNCTION("GOOGLETRANSLATE(B2813)"),"恐怖分子")</f>
        <v>恐怖分子</v>
      </c>
    </row>
    <row r="2814" ht="15.75" customHeight="1">
      <c r="A2814" s="4">
        <v>9507.0</v>
      </c>
      <c r="B2814" s="4" t="s">
        <v>4292</v>
      </c>
      <c r="D2814" s="4" t="s">
        <v>4303</v>
      </c>
      <c r="E2814" s="4">
        <v>1.0</v>
      </c>
      <c r="F2814" s="4" t="str">
        <f>IFERROR(__xludf.DUMMYFUNCTION("GOOGLETRANSLATE(D2814)"),"@narendramodi @bjpsamvad 廣島現在在舊的灰燼上變得美麗。巴基斯坦也可能是恐怖分子。")</f>
        <v>@narendramodi @bjpsamvad 廣島現在在舊的灰燼上變得美麗。巴基斯坦也可能是恐怖分子。</v>
      </c>
      <c r="G2814" s="4" t="str">
        <f>IFERROR(__xludf.DUMMYFUNCTION("GOOGLETRANSLATE(B2814)"),"恐怖分子")</f>
        <v>恐怖分子</v>
      </c>
    </row>
    <row r="2815" ht="15.75" customHeight="1">
      <c r="A2815" s="4">
        <v>9509.0</v>
      </c>
      <c r="B2815" s="4" t="s">
        <v>4292</v>
      </c>
      <c r="C2815" s="4" t="s">
        <v>4304</v>
      </c>
      <c r="D2815" s="4" t="s">
        <v>4305</v>
      </c>
      <c r="E2815" s="4">
        <v>1.0</v>
      </c>
      <c r="F2815" s="4" t="str">
        <f>IFERROR(__xludf.DUMMYFUNCTION("GOOGLETRANSLATE(D2815)"),"@rahulkanwal 為什麼查謨是恐怖分子的軟目標")</f>
        <v>@rahulkanwal 為什麼查謨是恐怖分子的軟目標</v>
      </c>
      <c r="G2815" s="4" t="str">
        <f>IFERROR(__xludf.DUMMYFUNCTION("GOOGLETRANSLATE(B2815)"),"恐怖分子")</f>
        <v>恐怖分子</v>
      </c>
    </row>
    <row r="2816" ht="15.75" customHeight="1">
      <c r="A2816" s="4">
        <v>9510.0</v>
      </c>
      <c r="B2816" s="4" t="s">
        <v>4292</v>
      </c>
      <c r="C2816" s="4" t="s">
        <v>4306</v>
      </c>
      <c r="D2816" s="4" t="s">
        <v>4307</v>
      </c>
      <c r="E2816" s="4">
        <v>1.0</v>
      </c>
      <c r="F2816" s="4" t="str">
        <f>IFERROR(__xludf.DUMMYFUNCTION("GOOGLETRANSLATE(D2816)"),"有人丟了車牌嗎？在恐怖分子的車上發現了兩件被偷的東西...http://t.co/CWGCciw3V6")</f>
        <v>有人丟了車牌嗎？在恐怖分子的車上發現了兩件被偷的東西...http://t.co/CWGCciw3V6</v>
      </c>
      <c r="G2816" s="4" t="str">
        <f>IFERROR(__xludf.DUMMYFUNCTION("GOOGLETRANSLATE(B2816)"),"恐怖分子")</f>
        <v>恐怖分子</v>
      </c>
    </row>
    <row r="2817" ht="15.75" customHeight="1">
      <c r="A2817" s="4">
        <v>9511.0</v>
      </c>
      <c r="B2817" s="4" t="s">
        <v>4292</v>
      </c>
      <c r="C2817" s="4" t="s">
        <v>4308</v>
      </c>
      <c r="D2817" s="4" t="s">
        <v>4309</v>
      </c>
      <c r="E2817" s="4">
        <v>1.0</v>
      </c>
      <c r="F2817" s="4" t="str">
        <f>IFERROR(__xludf.DUMMYFUNCTION("GOOGLETRANSLATE(D2817)"),"巴基斯坦否認卡薩布現在否認納維德：拒絕狀態？：納維德在一次襲擊後活捉的恐怖分子 http://t.co/HGDrK81sN4")</f>
        <v>巴基斯坦否認卡薩布現在否認納維德：拒絕狀態？：納維德在一次襲擊後活捉的恐怖分子 http://t.co/HGDrK81sN4</v>
      </c>
      <c r="G2817" s="4" t="str">
        <f>IFERROR(__xludf.DUMMYFUNCTION("GOOGLETRANSLATE(B2817)"),"恐怖分子")</f>
        <v>恐怖分子</v>
      </c>
    </row>
    <row r="2818" ht="15.75" customHeight="1">
      <c r="A2818" s="4">
        <v>9513.0</v>
      </c>
      <c r="B2818" s="4" t="s">
        <v>4292</v>
      </c>
      <c r="C2818" s="4" t="s">
        <v>4310</v>
      </c>
      <c r="D2818" s="4" t="s">
        <v>4311</v>
      </c>
      <c r="E2818" s="4">
        <v>1.0</v>
      </c>
      <c r="F2818" s="4" t="str">
        <f>IFERROR(__xludf.DUMMYFUNCTION("GOOGLETRANSLATE(D2818)"),"被活捉的巴基斯坦恐怖分子必須迅速受審，不能拖延，因為卡薩布我們必須向巴基斯坦而不是印度香飯發出非常嚴厲的信息")</f>
        <v>被活捉的巴基斯坦恐怖分子必須迅速受審，不能拖延，因為卡薩布我們必須向巴基斯坦而不是印度香飯發出非常嚴厲的信息</v>
      </c>
      <c r="G2818" s="4" t="str">
        <f>IFERROR(__xludf.DUMMYFUNCTION("GOOGLETRANSLATE(B2818)"),"恐怖分子")</f>
        <v>恐怖分子</v>
      </c>
    </row>
    <row r="2819" ht="15.75" customHeight="1">
      <c r="A2819" s="4">
        <v>9522.0</v>
      </c>
      <c r="B2819" s="4" t="s">
        <v>4292</v>
      </c>
      <c r="C2819" s="4" t="s">
        <v>4312</v>
      </c>
      <c r="D2819" s="4" t="s">
        <v>4313</v>
      </c>
      <c r="E2819" s="4">
        <v>1.0</v>
      </c>
      <c r="F2819" s="4" t="str">
        <f>IFERROR(__xludf.DUMMYFUNCTION("GOOGLETRANSLATE(D2819)"),"@SwiftyCommissh @TaoistInsight @ImmortalTech 一些猶太人同意以色列是一個欺凌者和一個殺害巴勒斯坦兒童和婦女的恐怖主義國家")</f>
        <v>@SwiftyCommissh @TaoistInsight @ImmortalTech 一些猶太人同意以色列是一個欺凌者和一個殺害巴勒斯坦兒童和婦女的恐怖主義國家</v>
      </c>
      <c r="G2819" s="4" t="str">
        <f>IFERROR(__xludf.DUMMYFUNCTION("GOOGLETRANSLATE(B2819)"),"恐怖分子")</f>
        <v>恐怖分子</v>
      </c>
    </row>
    <row r="2820" ht="15.75" customHeight="1">
      <c r="A2820" s="4">
        <v>9525.0</v>
      </c>
      <c r="B2820" s="4" t="s">
        <v>4292</v>
      </c>
      <c r="C2820" s="4" t="s">
        <v>1443</v>
      </c>
      <c r="D2820" s="4" t="s">
        <v>4314</v>
      </c>
      <c r="E2820" s="4">
        <v>1.0</v>
      </c>
      <c r="F2820" s="4" t="str">
        <f>IFERROR(__xludf.DUMMYFUNCTION("GOOGLETRANSLATE(D2820)"),"RT AbbsWinston：#Zionist #Terrorist 拆除#Bethlehem 的輪胎修理店結構
http://t.co/ph2xLI8nVe http://t.co/22fuxHn7El")</f>
        <v>RT AbbsWinston：#Zionist #Terrorist 拆除#Bethlehem 的輪胎修理店結構
http://t.co/ph2xLI8nVe http://t.co/22fuxHn7El</v>
      </c>
      <c r="G2820" s="4" t="str">
        <f>IFERROR(__xludf.DUMMYFUNCTION("GOOGLETRANSLATE(B2820)"),"恐怖分子")</f>
        <v>恐怖分子</v>
      </c>
    </row>
    <row r="2821" ht="15.75" customHeight="1">
      <c r="A2821" s="4">
        <v>9526.0</v>
      </c>
      <c r="B2821" s="4" t="s">
        <v>4292</v>
      </c>
      <c r="D2821" s="4" t="s">
        <v>4315</v>
      </c>
      <c r="E2821" s="4">
        <v>1.0</v>
      </c>
      <c r="F2821" s="4" t="str">
        <f>IFERROR(__xludf.DUMMYFUNCTION("GOOGLETRANSLATE(D2821)"),"三名以色列士兵在約旦河西岸恐怖攻擊中受傷 - 《國土報》http://t.co/u4gSBNU8wc")</f>
        <v>三名以色列士兵在約旦河西岸恐怖攻擊中受傷 - 《國土報》http://t.co/u4gSBNU8wc</v>
      </c>
      <c r="G2821" s="4" t="str">
        <f>IFERROR(__xludf.DUMMYFUNCTION("GOOGLETRANSLATE(B2821)"),"恐怖分子")</f>
        <v>恐怖分子</v>
      </c>
    </row>
    <row r="2822" ht="15.75" customHeight="1">
      <c r="A2822" s="4">
        <v>9529.0</v>
      </c>
      <c r="B2822" s="4" t="s">
        <v>4292</v>
      </c>
      <c r="D2822" s="4" t="s">
        <v>4316</v>
      </c>
      <c r="E2822" s="4">
        <v>1.0</v>
      </c>
      <c r="F2822" s="4" t="str">
        <f>IFERROR(__xludf.DUMMYFUNCTION("GOOGLETRANSLATE(D2822)"),"三名以色列士兵在約旦河西岸恐怖攻擊中受傷，資料來源：/r/worldnews http://t.co/su4ZVWADj7")</f>
        <v>三名以色列士兵在約旦河西岸恐怖攻擊中受傷，資料來源：/r/worldnews http://t.co/su4ZVWADj7</v>
      </c>
      <c r="G2822" s="4" t="str">
        <f>IFERROR(__xludf.DUMMYFUNCTION("GOOGLETRANSLATE(B2822)"),"恐怖分子")</f>
        <v>恐怖分子</v>
      </c>
    </row>
    <row r="2823" ht="15.75" customHeight="1">
      <c r="A2823" s="4">
        <v>9531.0</v>
      </c>
      <c r="B2823" s="4" t="s">
        <v>4292</v>
      </c>
      <c r="C2823" s="4" t="s">
        <v>1443</v>
      </c>
      <c r="D2823" s="4" t="s">
        <v>4317</v>
      </c>
      <c r="E2823" s="4">
        <v>1.0</v>
      </c>
      <c r="F2823" s="4" t="str">
        <f>IFERROR(__xludf.DUMMYFUNCTION("GOOGLETRANSLATE(D2823)"),"RT AbbsWinston：#Zionist #Terrorist 在巴勒斯坦村莊的夜間恐怖攻擊中綁架了 15 名 #Palestinians Û_ http://t.co/J5mKcbKcov")</f>
        <v>RT AbbsWinston：#Zionist #Terrorist 在巴勒斯坦村莊的夜間恐怖攻擊中綁架了 15 名 #Palestinians Û_ http://t.co/J5mKcbKcov</v>
      </c>
      <c r="G2823" s="4" t="str">
        <f>IFERROR(__xludf.DUMMYFUNCTION("GOOGLETRANSLATE(B2823)"),"恐怖分子")</f>
        <v>恐怖分子</v>
      </c>
    </row>
    <row r="2824" ht="15.75" customHeight="1">
      <c r="A2824" s="4">
        <v>9533.0</v>
      </c>
      <c r="B2824" s="4" t="s">
        <v>4292</v>
      </c>
      <c r="C2824" s="4" t="s">
        <v>4318</v>
      </c>
      <c r="D2824" s="4" t="s">
        <v>4319</v>
      </c>
      <c r="E2824" s="4">
        <v>1.0</v>
      </c>
      <c r="F2824" s="4" t="str">
        <f>IFERROR(__xludf.DUMMYFUNCTION("GOOGLETRANSLATE(D2824)"),"#UdhampurAgain 2 名恐怖分子被槍殺..#Udhampur")</f>
        <v>#UdhampurAgain 2 名恐怖分子被槍殺..#Udhampur</v>
      </c>
      <c r="G2824" s="4" t="str">
        <f>IFERROR(__xludf.DUMMYFUNCTION("GOOGLETRANSLATE(B2824)"),"恐怖分子")</f>
        <v>恐怖分子</v>
      </c>
    </row>
    <row r="2825" ht="15.75" customHeight="1">
      <c r="A2825" s="4">
        <v>9537.0</v>
      </c>
      <c r="B2825" s="4" t="s">
        <v>4292</v>
      </c>
      <c r="C2825" s="4" t="s">
        <v>2145</v>
      </c>
      <c r="D2825" s="4" t="s">
        <v>4320</v>
      </c>
      <c r="E2825" s="4">
        <v>1.0</v>
      </c>
      <c r="F2825" s="4" t="str">
        <f>IFERROR(__xludf.DUMMYFUNCTION("GOOGLETRANSLATE(D2825)"),"@lovemywife1983 @FoxNews 就像 9/11 4 上的 shedid 公開事實 我不是記者 布希在阻止的不僅僅是恐怖分子方面很頑固")</f>
        <v>@lovemywife1983 @FoxNews 就像 9/11 4 上的 shedid 公開事實 我不是記者 布希在阻止的不僅僅是恐怖分子方面很頑固</v>
      </c>
      <c r="G2825" s="4" t="str">
        <f>IFERROR(__xludf.DUMMYFUNCTION("GOOGLETRANSLATE(B2825)"),"恐怖分子")</f>
        <v>恐怖分子</v>
      </c>
    </row>
    <row r="2826" ht="15.75" customHeight="1">
      <c r="A2826" s="4">
        <v>9538.0</v>
      </c>
      <c r="B2826" s="4" t="s">
        <v>4292</v>
      </c>
      <c r="C2826" s="4" t="s">
        <v>4321</v>
      </c>
      <c r="D2826" s="4" t="s">
        <v>4322</v>
      </c>
      <c r="E2826" s="4">
        <v>1.0</v>
      </c>
      <c r="F2826" s="4" t="str">
        <f>IFERROR(__xludf.DUMMYFUNCTION("GOOGLETRANSLATE(D2826)"),"在廣島事件週年紀念日，我們現任總統正在幫助一個恐怖主義國家獲得核武器，這不是很諷刺嗎？ ＃叛徒")</f>
        <v>在廣島事件週年紀念日，我們現任總統正在幫助一個恐怖主義國家獲得核武器，這不是很諷刺嗎？ ＃叛徒</v>
      </c>
      <c r="G2826" s="4" t="str">
        <f>IFERROR(__xludf.DUMMYFUNCTION("GOOGLETRANSLATE(B2826)"),"恐怖分子")</f>
        <v>恐怖分子</v>
      </c>
    </row>
    <row r="2827" ht="15.75" customHeight="1">
      <c r="A2827" s="4">
        <v>9539.0</v>
      </c>
      <c r="B2827" s="4" t="s">
        <v>4292</v>
      </c>
      <c r="C2827" s="4" t="s">
        <v>1443</v>
      </c>
      <c r="D2827" s="4" t="s">
        <v>4317</v>
      </c>
      <c r="E2827" s="4">
        <v>1.0</v>
      </c>
      <c r="F2827" s="4" t="str">
        <f>IFERROR(__xludf.DUMMYFUNCTION("GOOGLETRANSLATE(D2827)"),"RT AbbsWinston：#Zionist #Terrorist 在巴勒斯坦村莊的夜間恐怖攻擊中綁架了 15 名 #Palestinians Û_ http://t.co/J5mKcbKcov")</f>
        <v>RT AbbsWinston：#Zionist #Terrorist 在巴勒斯坦村莊的夜間恐怖攻擊中綁架了 15 名 #Palestinians Û_ http://t.co/J5mKcbKcov</v>
      </c>
      <c r="G2827" s="4" t="str">
        <f>IFERROR(__xludf.DUMMYFUNCTION("GOOGLETRANSLATE(B2827)"),"恐怖分子")</f>
        <v>恐怖分子</v>
      </c>
    </row>
    <row r="2828" ht="15.75" customHeight="1">
      <c r="A2828" s="4">
        <v>9540.0</v>
      </c>
      <c r="B2828" s="4" t="s">
        <v>4292</v>
      </c>
      <c r="D2828" s="4" t="s">
        <v>4323</v>
      </c>
      <c r="E2828" s="4">
        <v>1.0</v>
      </c>
      <c r="F2828" s="4" t="str">
        <f>IFERROR(__xludf.DUMMYFUNCTION("GOOGLETRANSLATE(D2828)"),"三名以色列士兵在約旦河西岸恐怖攻擊中受傷，資料來源：/r/worldnews http://t.co/9TyucdWh3g")</f>
        <v>三名以色列士兵在約旦河西岸恐怖攻擊中受傷，資料來源：/r/worldnews http://t.co/9TyucdWh3g</v>
      </c>
      <c r="G2828" s="4" t="str">
        <f>IFERROR(__xludf.DUMMYFUNCTION("GOOGLETRANSLATE(B2828)"),"恐怖分子")</f>
        <v>恐怖分子</v>
      </c>
    </row>
    <row r="2829" ht="15.75" customHeight="1">
      <c r="A2829" s="4">
        <v>9556.0</v>
      </c>
      <c r="B2829" s="4" t="s">
        <v>4324</v>
      </c>
      <c r="C2829" s="4" t="s">
        <v>4325</v>
      </c>
      <c r="D2829" s="4" t="s">
        <v>4326</v>
      </c>
      <c r="E2829" s="4">
        <v>1.0</v>
      </c>
      <c r="F2829" s="4" t="str">
        <f>IFERROR(__xludf.DUMMYFUNCTION("GOOGLETRANSLATE(D2829)"),"@dmassa5 明確的三冠威脅。他和哈珀都是。")</f>
        <v>@dmassa5 明確的三冠威脅。他和哈珀都是。</v>
      </c>
      <c r="G2829" s="4" t="str">
        <f>IFERROR(__xludf.DUMMYFUNCTION("GOOGLETRANSLATE(B2829)"),"威脅")</f>
        <v>威脅</v>
      </c>
    </row>
    <row r="2830" ht="15.75" customHeight="1">
      <c r="A2830" s="4">
        <v>9557.0</v>
      </c>
      <c r="B2830" s="4" t="s">
        <v>4324</v>
      </c>
      <c r="C2830" s="4" t="s">
        <v>4327</v>
      </c>
      <c r="D2830" s="4" t="s">
        <v>4328</v>
      </c>
      <c r="E2830" s="4">
        <v>1.0</v>
      </c>
      <c r="F2830" s="4" t="str">
        <f>IFERROR(__xludf.DUMMYFUNCTION("GOOGLETRANSLATE(D2830)"),"米克·米爾 (Meek Mill) 以婚禮威脅回應 DrakeÛª 的 OVO Fest 設定 http://t.co/qqSKYbARNg")</f>
        <v>米克·米爾 (Meek Mill) 以婚禮威脅回應 DrakeÛª 的 OVO Fest 設定 http://t.co/qqSKYbARNg</v>
      </c>
      <c r="G2830" s="4" t="str">
        <f>IFERROR(__xludf.DUMMYFUNCTION("GOOGLETRANSLATE(B2830)"),"威脅")</f>
        <v>威脅</v>
      </c>
    </row>
    <row r="2831" ht="15.75" customHeight="1">
      <c r="A2831" s="4">
        <v>9571.0</v>
      </c>
      <c r="B2831" s="4" t="s">
        <v>4329</v>
      </c>
      <c r="C2831" s="4" t="s">
        <v>4330</v>
      </c>
      <c r="D2831" s="4" t="s">
        <v>4331</v>
      </c>
      <c r="E2831" s="4">
        <v>1.0</v>
      </c>
      <c r="F2831" s="4" t="str">
        <f>IFERROR(__xludf.DUMMYFUNCTION("GOOGLETRANSLATE(D2831)"),"隨機陣風剛剛吹過#Gander。可能有一些對流流出。還沒聽到雷聲，但有幾滴雨#nlwx")</f>
        <v>隨機陣風剛剛吹過#Gander。可能有一些對流流出。還沒聽到雷聲，但有幾滴雨#nlwx</v>
      </c>
      <c r="G2831" s="4" t="str">
        <f>IFERROR(__xludf.DUMMYFUNCTION("GOOGLETRANSLATE(B2831)"),"雷")</f>
        <v>雷</v>
      </c>
    </row>
    <row r="2832" ht="15.75" customHeight="1">
      <c r="A2832" s="4">
        <v>9574.0</v>
      </c>
      <c r="B2832" s="4" t="s">
        <v>4329</v>
      </c>
      <c r="D2832" s="4" t="s">
        <v>4332</v>
      </c>
      <c r="E2832" s="4">
        <v>1.0</v>
      </c>
      <c r="F2832" s="4" t="str">
        <f>IFERROR(__xludf.DUMMYFUNCTION("GOOGLETRANSLATE(D2832)"),"@OriginalFunko @Spencers 雷霆好友！！！雷霆好友！！！")</f>
        <v>@OriginalFunko @Spencers 雷霆好友！！！雷霆好友！！！</v>
      </c>
      <c r="G2832" s="4" t="str">
        <f>IFERROR(__xludf.DUMMYFUNCTION("GOOGLETRANSLATE(B2832)"),"雷")</f>
        <v>雷</v>
      </c>
    </row>
    <row r="2833" ht="15.75" customHeight="1">
      <c r="A2833" s="4">
        <v>9580.0</v>
      </c>
      <c r="B2833" s="4" t="s">
        <v>4329</v>
      </c>
      <c r="D2833" s="4" t="s">
        <v>4333</v>
      </c>
      <c r="E2833" s="4">
        <v>1.0</v>
      </c>
      <c r="F2833" s="4" t="str">
        <f>IFERROR(__xludf.DUMMYFUNCTION("GOOGLETRANSLATE(D2833)"),"大雨頻繁，雷聲大作，陣風吹向上城區及中城區部分地區。 http://t.co/KQJevYqzLV - CN http://t.co/HmWhob7prs")</f>
        <v>大雨頻繁，雷聲大作，陣風吹向上城區及中城區部分地區。 http://t.co/KQJevYqzLV - CN http://t.co/HmWhob7prs</v>
      </c>
      <c r="G2833" s="4" t="str">
        <f>IFERROR(__xludf.DUMMYFUNCTION("GOOGLETRANSLATE(B2833)"),"雷")</f>
        <v>雷</v>
      </c>
    </row>
    <row r="2834" ht="15.75" customHeight="1">
      <c r="A2834" s="4">
        <v>9582.0</v>
      </c>
      <c r="B2834" s="4" t="s">
        <v>4329</v>
      </c>
      <c r="D2834" s="4" t="s">
        <v>4334</v>
      </c>
      <c r="E2834" s="4">
        <v>1.0</v>
      </c>
      <c r="F2834" s="4" t="str">
        <f>IFERROR(__xludf.DUMMYFUNCTION("GOOGLETRANSLATE(D2834)"),"電閃雷鳴暴雨停電！")</f>
        <v>電閃雷鳴暴雨停電！</v>
      </c>
      <c r="G2834" s="4" t="str">
        <f>IFERROR(__xludf.DUMMYFUNCTION("GOOGLETRANSLATE(B2834)"),"雷")</f>
        <v>雷</v>
      </c>
    </row>
    <row r="2835" ht="15.75" customHeight="1">
      <c r="A2835" s="4">
        <v>9586.0</v>
      </c>
      <c r="B2835" s="4" t="s">
        <v>4329</v>
      </c>
      <c r="D2835" s="4" t="s">
        <v>4335</v>
      </c>
      <c r="E2835" s="4">
        <v>1.0</v>
      </c>
      <c r="F2835" s="4" t="str">
        <f>IFERROR(__xludf.DUMMYFUNCTION("GOOGLETRANSLATE(D2835)"),"雷聲震動了我的房子，吵醒了我妹妹，汽車警報器也響了？？？")</f>
        <v>雷聲震動了我的房子，吵醒了我妹妹，汽車警報器也響了？？？</v>
      </c>
      <c r="G2835" s="4" t="str">
        <f>IFERROR(__xludf.DUMMYFUNCTION("GOOGLETRANSLATE(B2835)"),"雷")</f>
        <v>雷</v>
      </c>
    </row>
    <row r="2836" ht="15.75" customHeight="1">
      <c r="A2836" s="4">
        <v>9589.0</v>
      </c>
      <c r="B2836" s="4" t="s">
        <v>4329</v>
      </c>
      <c r="D2836" s="4" t="s">
        <v>4336</v>
      </c>
      <c r="E2836" s="4">
        <v>1.0</v>
      </c>
      <c r="F2836" s="4" t="str">
        <f>IFERROR(__xludf.DUMMYFUNCTION("GOOGLETRANSLATE(D2836)"),"我聽到閃電，看到雷聲")</f>
        <v>我聽到閃電，看到雷聲</v>
      </c>
      <c r="G2836" s="4" t="str">
        <f>IFERROR(__xludf.DUMMYFUNCTION("GOOGLETRANSLATE(B2836)"),"雷")</f>
        <v>雷</v>
      </c>
    </row>
    <row r="2837" ht="15.75" customHeight="1">
      <c r="A2837" s="4">
        <v>9590.0</v>
      </c>
      <c r="B2837" s="4" t="s">
        <v>4329</v>
      </c>
      <c r="D2837" s="4" t="s">
        <v>4337</v>
      </c>
      <c r="E2837" s="4">
        <v>1.0</v>
      </c>
      <c r="F2837" s="4" t="str">
        <f>IFERROR(__xludf.DUMMYFUNCTION("GOOGLETRANSLATE(D2837)"),"我在這裡安靜地做夢，然後那響亮的雷聲想要嚇到我。 ??")</f>
        <v>我在這裡安靜地做夢，然後那響亮的雷聲想要嚇到我。 ??</v>
      </c>
      <c r="G2837" s="4" t="str">
        <f>IFERROR(__xludf.DUMMYFUNCTION("GOOGLETRANSLATE(B2837)"),"雷")</f>
        <v>雷</v>
      </c>
    </row>
    <row r="2838" ht="15.75" customHeight="1">
      <c r="A2838" s="4">
        <v>9593.0</v>
      </c>
      <c r="B2838" s="4" t="s">
        <v>4329</v>
      </c>
      <c r="C2838" s="4" t="s">
        <v>4338</v>
      </c>
      <c r="D2838" s="4" t="s">
        <v>4339</v>
      </c>
      <c r="E2838" s="4">
        <v>1.0</v>
      </c>
      <c r="F2838" s="4" t="str">
        <f>IFERROR(__xludf.DUMMYFUNCTION("GOOGLETRANSLATE(D2838)"),"@AsimTanvir @NemesisK_PES @KevR_7 下雪了嗎？打雷和閃電？")</f>
        <v>@AsimTanvir @NemesisK_PES @KevR_7 下雪了嗎？打雷和閃電？</v>
      </c>
      <c r="G2838" s="4" t="str">
        <f>IFERROR(__xludf.DUMMYFUNCTION("GOOGLETRANSLATE(B2838)"),"雷")</f>
        <v>雷</v>
      </c>
    </row>
    <row r="2839" ht="15.75" customHeight="1">
      <c r="A2839" s="4">
        <v>9595.0</v>
      </c>
      <c r="B2839" s="4" t="s">
        <v>4329</v>
      </c>
      <c r="C2839" s="4" t="s">
        <v>569</v>
      </c>
      <c r="D2839" s="4" t="s">
        <v>4340</v>
      </c>
      <c r="E2839" s="4">
        <v>1.0</v>
      </c>
      <c r="F2839" s="4" t="str">
        <f>IFERROR(__xludf.DUMMYFUNCTION("GOOGLETRANSLATE(D2839)"),"哦，該死，它的 rly 床單
啊啊啊，還有雷聲和閃電
我錯過了夏天的暴風雨")</f>
        <v>哦，該死，它的 rly 床單
啊啊啊，還有雷聲和閃電
我錯過了夏天的暴風雨</v>
      </c>
      <c r="G2839" s="4" t="str">
        <f>IFERROR(__xludf.DUMMYFUNCTION("GOOGLETRANSLATE(B2839)"),"雷")</f>
        <v>雷</v>
      </c>
    </row>
    <row r="2840" ht="15.75" customHeight="1">
      <c r="A2840" s="4">
        <v>9598.0</v>
      </c>
      <c r="B2840" s="4" t="s">
        <v>4329</v>
      </c>
      <c r="C2840" s="4" t="s">
        <v>4341</v>
      </c>
      <c r="D2840" s="4" t="s">
        <v>4342</v>
      </c>
      <c r="E2840" s="4">
        <v>1.0</v>
      </c>
      <c r="F2840" s="4" t="str">
        <f>IFERROR(__xludf.DUMMYFUNCTION("GOOGLETRANSLATE(D2840)"),"突然它關閉了&amp;amp;陰沉的雷聲這麼大，窗戶都震顫了？從來沒有去過灣區。想念我，哈哈 http://t.co/x4eCGGvnSN")</f>
        <v>突然它關閉了&amp;amp;陰沉的雷聲這麼大，窗戶都震顫了？從來沒有去過灣區。想念我，哈哈 http://t.co/x4eCGGvnSN</v>
      </c>
      <c r="G2840" s="4" t="str">
        <f>IFERROR(__xludf.DUMMYFUNCTION("GOOGLETRANSLATE(B2840)"),"雷")</f>
        <v>雷</v>
      </c>
    </row>
    <row r="2841" ht="15.75" customHeight="1">
      <c r="A2841" s="4">
        <v>9600.0</v>
      </c>
      <c r="B2841" s="4" t="s">
        <v>4329</v>
      </c>
      <c r="C2841" s="4" t="s">
        <v>4343</v>
      </c>
      <c r="D2841" s="4" t="s">
        <v>4344</v>
      </c>
      <c r="E2841" s="4">
        <v>1.0</v>
      </c>
      <c r="F2841" s="4" t="str">
        <f>IFERROR(__xludf.DUMMYFUNCTION("GOOGLETRANSLATE(D2841)"),"#今天下午我家外面打雷#gawx ??????????????????")</f>
        <v>#今天下午我家外面打雷#gawx ??????????????????</v>
      </c>
      <c r="G2841" s="4" t="str">
        <f>IFERROR(__xludf.DUMMYFUNCTION("GOOGLETRANSLATE(B2841)"),"雷")</f>
        <v>雷</v>
      </c>
    </row>
    <row r="2842" ht="15.75" customHeight="1">
      <c r="A2842" s="4">
        <v>9607.0</v>
      </c>
      <c r="B2842" s="4" t="s">
        <v>4329</v>
      </c>
      <c r="C2842" s="4" t="s">
        <v>4345</v>
      </c>
      <c r="D2842" s="4" t="s">
        <v>4346</v>
      </c>
      <c r="E2842" s="4">
        <v>1.0</v>
      </c>
      <c r="F2842" s="4" t="str">
        <f>IFERROR(__xludf.DUMMYFUNCTION("GOOGLETRANSLATE(D2842)"),"@HaydnExists 很高興我一下子救了他們，然後不想讓你搶了我的風頭:P")</f>
        <v>@HaydnExists 很高興我一下子救了他們，然後不想讓你搶了我的風頭:P</v>
      </c>
      <c r="G2842" s="4" t="str">
        <f>IFERROR(__xludf.DUMMYFUNCTION("GOOGLETRANSLATE(B2842)"),"雷")</f>
        <v>雷</v>
      </c>
    </row>
    <row r="2843" ht="15.75" customHeight="1">
      <c r="A2843" s="4">
        <v>9608.0</v>
      </c>
      <c r="B2843" s="4" t="s">
        <v>4347</v>
      </c>
      <c r="C2843" s="4" t="s">
        <v>718</v>
      </c>
      <c r="D2843" s="4" t="s">
        <v>4348</v>
      </c>
      <c r="E2843" s="4">
        <v>1.0</v>
      </c>
      <c r="F2843" s="4" t="str">
        <f>IFERROR(__xludf.DUMMYFUNCTION("GOOGLETRANSLATE(D2843)"),"俄克拉荷馬縣嚴重雷暴警告持續至晚上 10:30。雷達在這裡：http://t.co/2HV2y2M2oZ #okwx")</f>
        <v>俄克拉荷馬縣嚴重雷暴警告持續至晚上 10:30。雷達在這裡：http://t.co/2HV2y2M2oZ #okwx</v>
      </c>
      <c r="G2843" s="4" t="str">
        <f>IFERROR(__xludf.DUMMYFUNCTION("GOOGLETRANSLATE(B2843)"),"雷雨")</f>
        <v>雷雨</v>
      </c>
    </row>
    <row r="2844" ht="15.75" customHeight="1">
      <c r="A2844" s="4">
        <v>9609.0</v>
      </c>
      <c r="B2844" s="4" t="s">
        <v>4347</v>
      </c>
      <c r="D2844" s="4" t="s">
        <v>4349</v>
      </c>
      <c r="E2844" s="4">
        <v>1.0</v>
      </c>
      <c r="F2844" s="4" t="str">
        <f>IFERROR(__xludf.DUMMYFUNCTION("GOOGLETRANSLATE(D2844)"),"黑鬼們在雷雨中玩耍......「希望上帝保佑他們」？？？")</f>
        <v>黑鬼們在雷雨中玩耍......「希望上帝保佑他們」？？？</v>
      </c>
      <c r="G2844" s="4" t="str">
        <f>IFERROR(__xludf.DUMMYFUNCTION("GOOGLETRANSLATE(B2844)"),"雷雨")</f>
        <v>雷雨</v>
      </c>
    </row>
    <row r="2845" ht="15.75" customHeight="1">
      <c r="A2845" s="4">
        <v>9611.0</v>
      </c>
      <c r="B2845" s="4" t="s">
        <v>4347</v>
      </c>
      <c r="C2845" s="4" t="s">
        <v>4350</v>
      </c>
      <c r="D2845" s="4" t="s">
        <v>4351</v>
      </c>
      <c r="E2845" s="4">
        <v>1.0</v>
      </c>
      <c r="F2845" s="4" t="str">
        <f>IFERROR(__xludf.DUMMYFUNCTION("GOOGLETRANSLATE(D2845)"),"#usNWSgov 特別天氣聲明由 NWS 於 8 月 5 日晚上 10:40 EDT 發布：...強烈雷暴將影響... http://t.co/TQ1rUQD4LG")</f>
        <v>#usNWSgov 特別天氣聲明由 NWS 於 8 月 5 日晚上 10:40 EDT 發布：...強烈雷暴將影響... http://t.co/TQ1rUQD4LG</v>
      </c>
      <c r="G2845" s="4" t="str">
        <f>IFERROR(__xludf.DUMMYFUNCTION("GOOGLETRANSLATE(B2845)"),"雷雨")</f>
        <v>雷雨</v>
      </c>
    </row>
    <row r="2846" ht="15.75" customHeight="1">
      <c r="A2846" s="4">
        <v>9612.0</v>
      </c>
      <c r="B2846" s="4" t="s">
        <v>4347</v>
      </c>
      <c r="D2846" s="4" t="s">
        <v>4352</v>
      </c>
      <c r="E2846" s="4">
        <v>1.0</v>
      </c>
      <c r="F2846" s="4" t="str">
        <f>IFERROR(__xludf.DUMMYFUNCTION("GOOGLETRANSLATE(D2846)"),"NWS 於 8 月 5 日晚上 9:31 CDT 至 8 月 5 日晚上 10:15 CDT 發布嚴重雷暴警告 http://t.co/h9i6moZAsK")</f>
        <v>NWS 於 8 月 5 日晚上 9:31 CDT 至 8 月 5 日晚上 10:15 CDT 發布嚴重雷暴警告 http://t.co/h9i6moZAsK</v>
      </c>
      <c r="G2846" s="4" t="str">
        <f>IFERROR(__xludf.DUMMYFUNCTION("GOOGLETRANSLATE(B2846)"),"雷雨")</f>
        <v>雷雨</v>
      </c>
    </row>
    <row r="2847" ht="15.75" customHeight="1">
      <c r="A2847" s="4">
        <v>9613.0</v>
      </c>
      <c r="B2847" s="4" t="s">
        <v>4347</v>
      </c>
      <c r="C2847" s="4" t="s">
        <v>627</v>
      </c>
      <c r="D2847" s="4" t="s">
        <v>4353</v>
      </c>
      <c r="E2847" s="4">
        <v>1.0</v>
      </c>
      <c r="F2847" s="4" t="str">
        <f>IFERROR(__xludf.DUMMYFUNCTION("GOOGLETRANSLATE(D2847)"),"OUN 取消俄克拉荷馬州林肯洛根的嚴重雷暴警告 [OK] http://t.co/bTi8JAMFiu #WX")</f>
        <v>OUN 取消俄克拉荷馬州林肯洛根的嚴重雷暴警告 [OK] http://t.co/bTi8JAMFiu #WX</v>
      </c>
      <c r="G2847" s="4" t="str">
        <f>IFERROR(__xludf.DUMMYFUNCTION("GOOGLETRANSLATE(B2847)"),"雷雨")</f>
        <v>雷雨</v>
      </c>
    </row>
    <row r="2848" ht="15.75" customHeight="1">
      <c r="A2848" s="4">
        <v>9616.0</v>
      </c>
      <c r="B2848" s="4" t="s">
        <v>4347</v>
      </c>
      <c r="C2848" s="4" t="s">
        <v>4350</v>
      </c>
      <c r="D2848" s="4" t="s">
        <v>4354</v>
      </c>
      <c r="E2848" s="4">
        <v>1.0</v>
      </c>
      <c r="F2848" s="4" t="str">
        <f>IFERROR(__xludf.DUMMYFUNCTION("GOOGLETRANSLATE(D2848)"),"#usNWSgov NWS 於美國東部時間 8 月 5 日晚上 10:38 發布惡劣天氣聲明：…嚴重雷暴警告…http://t.co/EpzgG4uqJI")</f>
        <v>#usNWSgov NWS 於美國東部時間 8 月 5 日晚上 10:38 發布惡劣天氣聲明：…嚴重雷暴警告…http://t.co/EpzgG4uqJI</v>
      </c>
      <c r="G2848" s="4" t="str">
        <f>IFERROR(__xludf.DUMMYFUNCTION("GOOGLETRANSLATE(B2848)"),"雷雨")</f>
        <v>雷雨</v>
      </c>
    </row>
    <row r="2849" ht="15.75" customHeight="1">
      <c r="A2849" s="4">
        <v>9617.0</v>
      </c>
      <c r="B2849" s="4" t="s">
        <v>4347</v>
      </c>
      <c r="C2849" s="4" t="s">
        <v>38</v>
      </c>
      <c r="D2849" s="4" t="s">
        <v>4355</v>
      </c>
      <c r="E2849" s="4">
        <v>1.0</v>
      </c>
      <c r="F2849" s="4" t="str">
        <f>IFERROR(__xludf.DUMMYFUNCTION("GOOGLETRANSLATE(D2849)"),"@museawayfic @beenghosting @xylodemon 好吧好吧，如果我在雷暴中把近距離變成樹林裡的廢棄小屋會怎麼樣？")</f>
        <v>@museawayfic @beenghosting @xylodemon 好吧好吧，如果我在雷暴中把近距離變成樹林裡的廢棄小屋會怎麼樣？</v>
      </c>
      <c r="G2849" s="4" t="str">
        <f>IFERROR(__xludf.DUMMYFUNCTION("GOOGLETRANSLATE(B2849)"),"雷雨")</f>
        <v>雷雨</v>
      </c>
    </row>
    <row r="2850" ht="15.75" customHeight="1">
      <c r="A2850" s="4">
        <v>9620.0</v>
      </c>
      <c r="B2850" s="4" t="s">
        <v>4347</v>
      </c>
      <c r="C2850" s="4" t="s">
        <v>4356</v>
      </c>
      <c r="D2850" s="4" t="s">
        <v>4357</v>
      </c>
      <c r="E2850" s="4">
        <v>1.0</v>
      </c>
      <c r="F2850" s="4" t="str">
        <f>IFERROR(__xludf.DUMMYFUNCTION("GOOGLETRANSLATE(D2850)"),"NWS 繼續向俄克拉荷馬州發出嚴重雷暴警告，直至晚上 10:30")</f>
        <v>NWS 繼續向俄克拉荷馬州發出嚴重雷暴警告，直至晚上 10:30</v>
      </c>
      <c r="G2850" s="4" t="str">
        <f>IFERROR(__xludf.DUMMYFUNCTION("GOOGLETRANSLATE(B2850)"),"雷雨")</f>
        <v>雷雨</v>
      </c>
    </row>
    <row r="2851" ht="15.75" customHeight="1">
      <c r="A2851" s="4">
        <v>9625.0</v>
      </c>
      <c r="B2851" s="4" t="s">
        <v>4347</v>
      </c>
      <c r="C2851" s="4" t="s">
        <v>4358</v>
      </c>
      <c r="D2851" s="4" t="s">
        <v>4359</v>
      </c>
      <c r="E2851" s="4">
        <v>1.0</v>
      </c>
      <c r="F2851" s="4" t="str">
        <f>IFERROR(__xludf.DUMMYFUNCTION("GOOGLETRANSLATE(D2851)"),"小石城國家氣象局已向 Û_ 的範布倫縣發出 * 嚴重雷暴警告 http://t.co/KJsvW06GBV")</f>
        <v>小石城國家氣象局已向 Û_ 的範布倫縣發出 * 嚴重雷暴警告 http://t.co/KJsvW06GBV</v>
      </c>
      <c r="G2851" s="4" t="str">
        <f>IFERROR(__xludf.DUMMYFUNCTION("GOOGLETRANSLATE(B2851)"),"雷雨")</f>
        <v>雷雨</v>
      </c>
    </row>
    <row r="2852" ht="15.75" customHeight="1">
      <c r="A2852" s="4">
        <v>9627.0</v>
      </c>
      <c r="B2852" s="4" t="s">
        <v>4347</v>
      </c>
      <c r="C2852" s="4" t="s">
        <v>2642</v>
      </c>
      <c r="D2852" s="4" t="s">
        <v>4360</v>
      </c>
      <c r="E2852" s="4">
        <v>1.0</v>
      </c>
      <c r="F2852" s="4" t="str">
        <f>IFERROR(__xludf.DUMMYFUNCTION("GOOGLETRANSLATE(D2852)"),"iNWS 警報 SPSGSP（美國東部時間 2015 年 8 月 5 日晚上 10:40 至晚上 11:15）皮肯斯縣：強烈雷暴將影響... http://t.co/LdcwKyuaFf")</f>
        <v>iNWS 警報 SPSGSP（美國東部時間 2015 年 8 月 5 日晚上 10:40 至晚上 11:15）皮肯斯縣：強烈雷暴將影響... http://t.co/LdcwKyuaFf</v>
      </c>
      <c r="G2852" s="4" t="str">
        <f>IFERROR(__xludf.DUMMYFUNCTION("GOOGLETRANSLATE(B2852)"),"雷雨")</f>
        <v>雷雨</v>
      </c>
    </row>
    <row r="2853" ht="15.75" customHeight="1">
      <c r="A2853" s="4">
        <v>9629.0</v>
      </c>
      <c r="B2853" s="4" t="s">
        <v>4347</v>
      </c>
      <c r="C2853" s="4" t="s">
        <v>756</v>
      </c>
      <c r="D2853" s="4" t="s">
        <v>4361</v>
      </c>
      <c r="E2853" s="4">
        <v>1.0</v>
      </c>
      <c r="F2853" s="4" t="str">
        <f>IFERROR(__xludf.DUMMYFUNCTION("GOOGLETRANSLATE(D2853)"),"俄克拉荷馬州中部的嚴重雷暴警告已取消。仍預計會出現時速 50 英里的冰雹")</f>
        <v>俄克拉荷馬州中部的嚴重雷暴警告已取消。仍預計會出現時速 50 英里的冰雹</v>
      </c>
      <c r="G2853" s="4" t="str">
        <f>IFERROR(__xludf.DUMMYFUNCTION("GOOGLETRANSLATE(B2853)"),"雷雨")</f>
        <v>雷雨</v>
      </c>
    </row>
    <row r="2854" ht="15.75" customHeight="1">
      <c r="A2854" s="4">
        <v>9634.0</v>
      </c>
      <c r="B2854" s="4" t="s">
        <v>4347</v>
      </c>
      <c r="C2854" s="4" t="s">
        <v>4362</v>
      </c>
      <c r="D2854" s="4" t="s">
        <v>4363</v>
      </c>
      <c r="E2854" s="4">
        <v>1.0</v>
      </c>
      <c r="F2854" s="4" t="str">
        <f>IFERROR(__xludf.DUMMYFUNCTION("GOOGLETRANSLATE(D2854)"),"NWS 於 8 月 5 日中部夏令時晚上 9:33 發布惡劣天氣聲明：...嚴重雷暴警告... http://t.co/1EOf1Wxnpj #Skywarn #OKwx")</f>
        <v>NWS 於 8 月 5 日中部夏令時晚上 9:33 發布惡劣天氣聲明：...嚴重雷暴警告... http://t.co/1EOf1Wxnpj #Skywarn #OKwx</v>
      </c>
      <c r="G2854" s="4" t="str">
        <f>IFERROR(__xludf.DUMMYFUNCTION("GOOGLETRANSLATE(B2854)"),"雷雨")</f>
        <v>雷雨</v>
      </c>
    </row>
    <row r="2855" ht="15.75" customHeight="1">
      <c r="A2855" s="4">
        <v>9636.0</v>
      </c>
      <c r="B2855" s="4" t="s">
        <v>4347</v>
      </c>
      <c r="D2855" s="4" t="s">
        <v>4364</v>
      </c>
      <c r="E2855" s="4">
        <v>1.0</v>
      </c>
      <c r="F2855" s="4" t="str">
        <f>IFERROR(__xludf.DUMMYFUNCTION("GOOGLETRANSLATE(D2855)"),"嚴重雷暴警告，包括拉塞爾維爾 AR 克拉克斯維爾 AR 達達尼爾 AR 直至 CDT 晚上 10:15 http://t.co/n844h1ASPj")</f>
        <v>嚴重雷暴警告，包括拉塞爾維爾 AR 克拉克斯維爾 AR 達達尼爾 AR 直至 CDT 晚上 10:15 http://t.co/n844h1ASPj</v>
      </c>
      <c r="G2855" s="4" t="str">
        <f>IFERROR(__xludf.DUMMYFUNCTION("GOOGLETRANSLATE(B2855)"),"雷雨")</f>
        <v>雷雨</v>
      </c>
    </row>
    <row r="2856" ht="15.75" customHeight="1">
      <c r="A2856" s="4">
        <v>9638.0</v>
      </c>
      <c r="B2856" s="4" t="s">
        <v>4347</v>
      </c>
      <c r="D2856" s="4" t="s">
        <v>4365</v>
      </c>
      <c r="E2856" s="4">
        <v>1.0</v>
      </c>
      <c r="F2856" s="4" t="str">
        <f>IFERROR(__xludf.DUMMYFUNCTION("GOOGLETRANSLATE(D2856)"),"RT @LivingSafely：NWS 對 #AR #NC #OK 的部分地區發布嚴重#雷暴警告。如果有危險，請尋求堅固的庇護所：http://t.co/kEa5l3b1AE")</f>
        <v>RT @LivingSafely：NWS 對 #AR #NC #OK 的部分地區發布嚴重#雷暴警告。如果有危險，請尋求堅固的庇護所：http://t.co/kEa5l3b1AE</v>
      </c>
      <c r="G2856" s="4" t="str">
        <f>IFERROR(__xludf.DUMMYFUNCTION("GOOGLETRANSLATE(B2856)"),"雷雨")</f>
        <v>雷雨</v>
      </c>
    </row>
    <row r="2857" ht="15.75" customHeight="1">
      <c r="A2857" s="4">
        <v>9639.0</v>
      </c>
      <c r="B2857" s="4" t="s">
        <v>4347</v>
      </c>
      <c r="C2857" s="4" t="s">
        <v>4366</v>
      </c>
      <c r="D2857" s="4" t="s">
        <v>4367</v>
      </c>
      <c r="E2857" s="4">
        <v>1.0</v>
      </c>
      <c r="F2857" s="4" t="str">
        <f>IFERROR(__xludf.DUMMYFUNCTION("GOOGLETRANSLATE(D2857)"),"俄克拉荷馬縣嚴重雷暴警告持續至晚上 10:30。 http://t.co/RsdkWZRc8g #okwx")</f>
        <v>俄克拉荷馬縣嚴重雷暴警告持續至晚上 10:30。 http://t.co/RsdkWZRc8g #okwx</v>
      </c>
      <c r="G2857" s="4" t="str">
        <f>IFERROR(__xludf.DUMMYFUNCTION("GOOGLETRANSLATE(B2857)"),"雷雨")</f>
        <v>雷雨</v>
      </c>
    </row>
    <row r="2858" ht="15.75" customHeight="1">
      <c r="A2858" s="4">
        <v>9642.0</v>
      </c>
      <c r="B2858" s="4" t="s">
        <v>4347</v>
      </c>
      <c r="C2858" s="4" t="s">
        <v>4368</v>
      </c>
      <c r="D2858" s="4" t="s">
        <v>4369</v>
      </c>
      <c r="E2858" s="4">
        <v>1.0</v>
      </c>
      <c r="F2858" s="4" t="str">
        <f>IFERROR(__xludf.DUMMYFUNCTION("GOOGLETRANSLATE(D2858)"),"皮肯斯以東 4 英里處的強烈雷暴以 20 英里/小時的速度向東北移動。豌豆大小的冰雹和陣風高達 40 英里/小時...#scwx http://t.co/TsaLetFtkt")</f>
        <v>皮肯斯以東 4 英里處的強烈雷暴以 20 英里/小時的速度向東北移動。豌豆大小的冰雹和陣風高達 40 英里/小時...#scwx http://t.co/TsaLetFtkt</v>
      </c>
      <c r="G2858" s="4" t="str">
        <f>IFERROR(__xludf.DUMMYFUNCTION("GOOGLETRANSLATE(B2858)"),"雷雨")</f>
        <v>雷雨</v>
      </c>
    </row>
    <row r="2859" ht="15.75" customHeight="1">
      <c r="A2859" s="4">
        <v>9643.0</v>
      </c>
      <c r="B2859" s="4" t="s">
        <v>4347</v>
      </c>
      <c r="C2859" s="4" t="s">
        <v>4370</v>
      </c>
      <c r="D2859" s="4" t="s">
        <v>4371</v>
      </c>
      <c r="E2859" s="4">
        <v>1.0</v>
      </c>
      <c r="F2859" s="4" t="str">
        <f>IFERROR(__xludf.DUMMYFUNCTION("GOOGLETRANSLATE(D2859)"),"俄克拉荷馬縣嚴重雷暴警告持續到晚上 10:30 CDT。 #okwx")</f>
        <v>俄克拉荷馬縣嚴重雷暴警告持續到晚上 10:30 CDT。 #okwx</v>
      </c>
      <c r="G2859" s="4" t="str">
        <f>IFERROR(__xludf.DUMMYFUNCTION("GOOGLETRANSLATE(B2859)"),"雷雨")</f>
        <v>雷雨</v>
      </c>
    </row>
    <row r="2860" ht="15.75" customHeight="1">
      <c r="A2860" s="4">
        <v>9644.0</v>
      </c>
      <c r="B2860" s="4" t="s">
        <v>4347</v>
      </c>
      <c r="D2860" s="4" t="s">
        <v>4372</v>
      </c>
      <c r="E2860" s="4">
        <v>1.0</v>
      </c>
      <c r="F2860" s="4" t="str">
        <f>IFERROR(__xludf.DUMMYFUNCTION("GOOGLETRANSLATE(D2860)"),"OUN 繼續對俄克拉荷馬州發出嚴重雷暴警告 [OK]，直至 CDT 晚上 10:30 http://t.co/oIM6Po8XCu")</f>
        <v>OUN 繼續對俄克拉荷馬州發出嚴重雷暴警告 [OK]，直至 CDT 晚上 10:30 http://t.co/oIM6Po8XCu</v>
      </c>
      <c r="G2860" s="4" t="str">
        <f>IFERROR(__xludf.DUMMYFUNCTION("GOOGLETRANSLATE(B2860)"),"雷雨")</f>
        <v>雷雨</v>
      </c>
    </row>
    <row r="2861" ht="15.75" customHeight="1">
      <c r="A2861" s="4">
        <v>9645.0</v>
      </c>
      <c r="B2861" s="4" t="s">
        <v>4347</v>
      </c>
      <c r="C2861" s="4" t="s">
        <v>4373</v>
      </c>
      <c r="D2861" s="4" t="s">
        <v>4374</v>
      </c>
      <c r="E2861" s="4">
        <v>1.0</v>
      </c>
      <c r="F2861" s="4" t="str">
        <f>IFERROR(__xludf.DUMMYFUNCTION("GOOGLETRANSLATE(D2861)"),"嚴重雷暴警告，包括中西城 OK Del City OK 喬克托 OK 至 CDT 晚上 10:30 http://t.co/ogxSY4GWD1")</f>
        <v>嚴重雷暴警告，包括中西城 OK Del City OK 喬克托 OK 至 CDT 晚上 10:30 http://t.co/ogxSY4GWD1</v>
      </c>
      <c r="G2861" s="4" t="str">
        <f>IFERROR(__xludf.DUMMYFUNCTION("GOOGLETRANSLATE(B2861)"),"雷雨")</f>
        <v>雷雨</v>
      </c>
    </row>
    <row r="2862" ht="15.75" customHeight="1">
      <c r="A2862" s="4">
        <v>9646.0</v>
      </c>
      <c r="B2862" s="4" t="s">
        <v>4347</v>
      </c>
      <c r="C2862" s="4" t="s">
        <v>237</v>
      </c>
      <c r="D2862" s="4" t="s">
        <v>4375</v>
      </c>
      <c r="E2862" s="4">
        <v>1.0</v>
      </c>
      <c r="F2862" s="4" t="str">
        <f>IFERROR(__xludf.DUMMYFUNCTION("GOOGLETRANSLATE(D2862)"),"中南部地區的強烈雷雨圖片 http://t.co/UZWLgJQzNS")</f>
        <v>中南部地區的強烈雷雨圖片 http://t.co/UZWLgJQzNS</v>
      </c>
      <c r="G2862" s="4" t="str">
        <f>IFERROR(__xludf.DUMMYFUNCTION("GOOGLETRANSLATE(B2862)"),"雷雨")</f>
        <v>雷雨</v>
      </c>
    </row>
    <row r="2863" ht="15.75" customHeight="1">
      <c r="A2863" s="4">
        <v>9650.0</v>
      </c>
      <c r="B2863" s="4" t="s">
        <v>4347</v>
      </c>
      <c r="C2863" s="4" t="s">
        <v>4376</v>
      </c>
      <c r="D2863" s="4" t="s">
        <v>4377</v>
      </c>
      <c r="E2863" s="4">
        <v>1.0</v>
      </c>
      <c r="F2863" s="4" t="str">
        <f>IFERROR(__xludf.DUMMYFUNCTION("GOOGLETRANSLATE(D2863)"),"[高優先級] 嚴重雷暴警戒已結束 為萊斯布里奇發布 [更新日期：8 月 5 日 20:29 MDT] http://t.co/yqYiwjN8eZ")</f>
        <v>[高優先級] 嚴重雷暴警戒已結束 為萊斯布里奇發布 [更新日期：8 月 5 日 20:29 MDT] http://t.co/yqYiwjN8eZ</v>
      </c>
      <c r="G2863" s="4" t="str">
        <f>IFERROR(__xludf.DUMMYFUNCTION("GOOGLETRANSLATE(B2863)"),"雷雨")</f>
        <v>雷雨</v>
      </c>
    </row>
    <row r="2864" ht="15.75" customHeight="1">
      <c r="A2864" s="4">
        <v>9651.0</v>
      </c>
      <c r="B2864" s="4" t="s">
        <v>4347</v>
      </c>
      <c r="D2864" s="4" t="s">
        <v>4378</v>
      </c>
      <c r="E2864" s="4">
        <v>1.0</v>
      </c>
      <c r="F2864" s="4" t="str">
        <f>IFERROR(__xludf.DUMMYFUNCTION("GOOGLETRANSLATE(D2864)"),"強烈雷暴將影響哈利法克斯中部縣，直至美國東部時間晚上 1145 點（弗吉尼亞州哈利法克斯）至晚上 11:45 http://t.co/MjSTefgGU5")</f>
        <v>強烈雷暴將影響哈利法克斯中部縣，直至美國東部時間晚上 1145 點（弗吉尼亞州哈利法克斯）至晚上 11:45 http://t.co/MjSTefgGU5</v>
      </c>
      <c r="G2864" s="4" t="str">
        <f>IFERROR(__xludf.DUMMYFUNCTION("GOOGLETRANSLATE(B2864)"),"雷雨")</f>
        <v>雷雨</v>
      </c>
    </row>
    <row r="2865" ht="15.75" customHeight="1">
      <c r="A2865" s="4">
        <v>9652.0</v>
      </c>
      <c r="B2865" s="4" t="s">
        <v>4347</v>
      </c>
      <c r="C2865" s="4" t="s">
        <v>4115</v>
      </c>
      <c r="D2865" s="4" t="s">
        <v>4379</v>
      </c>
      <c r="E2865" s="4">
        <v>1.0</v>
      </c>
      <c r="F2865" s="4" t="str">
        <f>IFERROR(__xludf.DUMMYFUNCTION("GOOGLETRANSLATE(D2865)"),"赫爾辛基的雷雨
#thunder #lightning #lightningstrike #thunderstorm #nature #HelsinkiÛ_ https://t.co/rJJXUcX5PM")</f>
        <v>赫爾辛基的雷雨
#thunder #lightning #lightningstrike #thunderstorm #nature #HelsinkiÛ_ https://t.co/rJJXUcX5PM</v>
      </c>
      <c r="G2865" s="4" t="str">
        <f>IFERROR(__xludf.DUMMYFUNCTION("GOOGLETRANSLATE(B2865)"),"雷雨")</f>
        <v>雷雨</v>
      </c>
    </row>
    <row r="2866" ht="15.75" customHeight="1">
      <c r="A2866" s="4">
        <v>9653.0</v>
      </c>
      <c r="B2866" s="4" t="s">
        <v>4347</v>
      </c>
      <c r="C2866" s="4" t="s">
        <v>4380</v>
      </c>
      <c r="D2866" s="4" t="s">
        <v>4381</v>
      </c>
      <c r="E2866" s="4">
        <v>1.0</v>
      </c>
      <c r="F2866" s="4" t="str">
        <f>IFERROR(__xludf.DUMMYFUNCTION("GOOGLETRANSLATE(D2866)"),"晚上 9:35。雷雨。無雨。 90度。這天氣真奇怪。")</f>
        <v>晚上 9:35。雷雨。無雨。 90度。這天氣真奇怪。</v>
      </c>
      <c r="G2866" s="4" t="str">
        <f>IFERROR(__xludf.DUMMYFUNCTION("GOOGLETRANSLATE(B2866)"),"雷雨")</f>
        <v>雷雨</v>
      </c>
    </row>
    <row r="2867" ht="15.75" customHeight="1">
      <c r="A2867" s="4">
        <v>9655.0</v>
      </c>
      <c r="B2867" s="4" t="s">
        <v>4347</v>
      </c>
      <c r="C2867" s="4" t="s">
        <v>4356</v>
      </c>
      <c r="D2867" s="4" t="s">
        <v>4382</v>
      </c>
      <c r="E2867" s="4">
        <v>1.0</v>
      </c>
      <c r="F2867" s="4" t="str">
        <f>IFERROR(__xludf.DUMMYFUNCTION("GOOGLETRANSLATE(D2867)"),"NWS 已向俄克拉荷馬州發布嚴重雷暴警告，直至晚上 10:30")</f>
        <v>NWS 已向俄克拉荷馬州發布嚴重雷暴警告，直至晚上 10:30</v>
      </c>
      <c r="G2867" s="4" t="str">
        <f>IFERROR(__xludf.DUMMYFUNCTION("GOOGLETRANSLATE(B2867)"),"雷雨")</f>
        <v>雷雨</v>
      </c>
    </row>
    <row r="2868" ht="15.75" customHeight="1">
      <c r="A2868" s="4">
        <v>9657.0</v>
      </c>
      <c r="B2868" s="4" t="s">
        <v>4347</v>
      </c>
      <c r="D2868" s="4" t="s">
        <v>4383</v>
      </c>
      <c r="E2868" s="4">
        <v>1.0</v>
      </c>
      <c r="F2868" s="4" t="str">
        <f>IFERROR(__xludf.DUMMYFUNCTION("GOOGLETRANSLATE(D2868)"),"#usNWSgov NWS 於美國東部時間 8 月 5 日晚上 10:38 發布惡劣天氣聲明：…嚴重雷暴警告…http://t.co/7HuEN4rWrn")</f>
        <v>#usNWSgov NWS 於美國東部時間 8 月 5 日晚上 10:38 發布惡劣天氣聲明：…嚴重雷暴警告…http://t.co/7HuEN4rWrn</v>
      </c>
      <c r="G2868" s="4" t="str">
        <f>IFERROR(__xludf.DUMMYFUNCTION("GOOGLETRANSLATE(B2868)"),"雷雨")</f>
        <v>雷雨</v>
      </c>
    </row>
    <row r="2869" ht="15.75" customHeight="1">
      <c r="A2869" s="4">
        <v>9667.0</v>
      </c>
      <c r="B2869" s="4" t="s">
        <v>4384</v>
      </c>
      <c r="C2869" s="4" t="s">
        <v>4385</v>
      </c>
      <c r="D2869" s="4" t="s">
        <v>4386</v>
      </c>
      <c r="E2869" s="4">
        <v>1.0</v>
      </c>
      <c r="F2869" s="4" t="str">
        <f>IFERROR(__xludf.DUMMYFUNCTION("GOOGLETRANSLATE(D2869)"),"第73屆GOODE滑水全國錦標賽將於下週按計畫舉行http://t.co/PgKBT3MBAp。 （週一龍捲風造成的損害事件）")</f>
        <v>第73屆GOODE滑水全國錦標賽將於下週按計畫舉行http://t.co/PgKBT3MBAp。 （週一龍捲風造成的損害事件）</v>
      </c>
      <c r="G2869" s="4" t="str">
        <f>IFERROR(__xludf.DUMMYFUNCTION("GOOGLETRANSLATE(B2869)"),"龍捲風")</f>
        <v>龍捲風</v>
      </c>
    </row>
    <row r="2870" ht="15.75" customHeight="1">
      <c r="A2870" s="4">
        <v>9669.0</v>
      </c>
      <c r="B2870" s="4" t="s">
        <v>4384</v>
      </c>
      <c r="C2870" s="4" t="s">
        <v>2153</v>
      </c>
      <c r="D2870" s="4" t="s">
        <v>4387</v>
      </c>
      <c r="E2870" s="4">
        <v>1.0</v>
      </c>
      <c r="F2870" s="4" t="str">
        <f>IFERROR(__xludf.DUMMYFUNCTION("GOOGLETRANSLATE(D2870)"),"(AR) NWS 於 8 月 5 日晚上 9:12 CDT 至 8 月 5 日晚上 9:45 CDT 發布嚴重雷暴警告 http://t.co/AYfdjeB7Hy #arwx")</f>
        <v>(AR) NWS 於 8 月 5 日晚上 9:12 CDT 至 8 月 5 日晚上 9:45 CDT 發布嚴重雷暴警告 http://t.co/AYfdjeB7Hy #arwx</v>
      </c>
      <c r="G2870" s="4" t="str">
        <f>IFERROR(__xludf.DUMMYFUNCTION("GOOGLETRANSLATE(B2870)"),"龍捲風")</f>
        <v>龍捲風</v>
      </c>
    </row>
    <row r="2871" ht="15.75" customHeight="1">
      <c r="A2871" s="4">
        <v>9670.0</v>
      </c>
      <c r="B2871" s="4" t="s">
        <v>4384</v>
      </c>
      <c r="C2871" s="4" t="s">
        <v>126</v>
      </c>
      <c r="D2871" s="4" t="s">
        <v>4388</v>
      </c>
      <c r="E2871" s="4">
        <v>1.0</v>
      </c>
      <c r="F2871" s="4" t="str">
        <f>IFERROR(__xludf.DUMMYFUNCTION("GOOGLETRANSLATE(D2871)"),"週日的風暴中確認了第二次龍捲風 http://t.co/Ffnzit7kgN")</f>
        <v>週日的風暴中確認了第二次龍捲風 http://t.co/Ffnzit7kgN</v>
      </c>
      <c r="G2871" s="4" t="str">
        <f>IFERROR(__xludf.DUMMYFUNCTION("GOOGLETRANSLATE(B2871)"),"龍捲風")</f>
        <v>龍捲風</v>
      </c>
    </row>
    <row r="2872" ht="15.75" customHeight="1">
      <c r="A2872" s="4">
        <v>9673.0</v>
      </c>
      <c r="B2872" s="4" t="s">
        <v>4384</v>
      </c>
      <c r="C2872" s="4" t="s">
        <v>2153</v>
      </c>
      <c r="D2872" s="4" t="s">
        <v>4389</v>
      </c>
      <c r="E2872" s="4">
        <v>1.0</v>
      </c>
      <c r="F2872" s="4" t="str">
        <f>IFERROR(__xludf.DUMMYFUNCTION("GOOGLETRANSLATE(D2872)"),"（OK）NWS 於 8 月 5 日晚上 8:29（CDT）至 8 月 5 日晚上 9:15（CDT）發布嚴重雷暴警告 http://t.co/O8X4M5eR6b #okwx")</f>
        <v>（OK）NWS 於 8 月 5 日晚上 8:29（CDT）至 8 月 5 日晚上 9:15（CDT）發布嚴重雷暴警告 http://t.co/O8X4M5eR6b #okwx</v>
      </c>
      <c r="G2872" s="4" t="str">
        <f>IFERROR(__xludf.DUMMYFUNCTION("GOOGLETRANSLATE(B2872)"),"龍捲風")</f>
        <v>龍捲風</v>
      </c>
    </row>
    <row r="2873" ht="15.75" customHeight="1">
      <c r="A2873" s="4">
        <v>9674.0</v>
      </c>
      <c r="B2873" s="4" t="s">
        <v>4384</v>
      </c>
      <c r="C2873" s="4" t="s">
        <v>2642</v>
      </c>
      <c r="D2873" s="4" t="s">
        <v>4390</v>
      </c>
      <c r="E2873" s="4">
        <v>1.0</v>
      </c>
      <c r="F2873" s="4" t="str">
        <f>IFERROR(__xludf.DUMMYFUNCTION("GOOGLETRANSLATE(D2873)"),"我喜歡了 @YouTube 影片 http://t.co/itnKBxgWLH Lexi Belle 為俄克拉荷馬州龍捲風受害者所做的貢獻")</f>
        <v>我喜歡了 @YouTube 影片 http://t.co/itnKBxgWLH Lexi Belle 為俄克拉荷馬州龍捲風受害者所做的貢獻</v>
      </c>
      <c r="G2873" s="4" t="str">
        <f>IFERROR(__xludf.DUMMYFUNCTION("GOOGLETRANSLATE(B2873)"),"龍捲風")</f>
        <v>龍捲風</v>
      </c>
    </row>
    <row r="2874" ht="15.75" customHeight="1">
      <c r="A2874" s="4">
        <v>9675.0</v>
      </c>
      <c r="B2874" s="4" t="s">
        <v>4384</v>
      </c>
      <c r="C2874" s="4" t="s">
        <v>4391</v>
      </c>
      <c r="D2874" s="4" t="s">
        <v>4392</v>
      </c>
      <c r="E2874" s="4">
        <v>1.0</v>
      </c>
      <c r="F2874" s="4" t="str">
        <f>IFERROR(__xludf.DUMMYFUNCTION("GOOGLETRANSLATE(D2874)"),"@SakhalinTribune 卡加利地區龍捲風警告隨著雷暴向東移動而結束")</f>
        <v>@SakhalinTribune 卡加利地區龍捲風警告隨著雷暴向東移動而結束</v>
      </c>
      <c r="G2874" s="4" t="str">
        <f>IFERROR(__xludf.DUMMYFUNCTION("GOOGLETRANSLATE(B2874)"),"龍捲風")</f>
        <v>龍捲風</v>
      </c>
    </row>
    <row r="2875" ht="15.75" customHeight="1">
      <c r="A2875" s="4">
        <v>9681.0</v>
      </c>
      <c r="B2875" s="4" t="s">
        <v>4384</v>
      </c>
      <c r="C2875" s="4" t="s">
        <v>142</v>
      </c>
      <c r="D2875" s="4" t="s">
        <v>4393</v>
      </c>
      <c r="E2875" s="4">
        <v>1.0</v>
      </c>
      <c r="F2875" s="4" t="str">
        <f>IFERROR(__xludf.DUMMYFUNCTION("GOOGLETRANSLATE(D2875)"),"加拿大環境部確認上週末第二次龍捲風登陸 åÈ http://t.co/x8zqbwNfO1")</f>
        <v>加拿大環境部確認上週末第二次龍捲風登陸 åÈ http://t.co/x8zqbwNfO1</v>
      </c>
      <c r="G2875" s="4" t="str">
        <f>IFERROR(__xludf.DUMMYFUNCTION("GOOGLETRANSLATE(B2875)"),"龍捲風")</f>
        <v>龍捲風</v>
      </c>
    </row>
    <row r="2876" ht="15.75" customHeight="1">
      <c r="A2876" s="4">
        <v>9683.0</v>
      </c>
      <c r="B2876" s="4" t="s">
        <v>4384</v>
      </c>
      <c r="C2876" s="4" t="s">
        <v>4394</v>
      </c>
      <c r="D2876" s="4" t="s">
        <v>4395</v>
      </c>
      <c r="E2876" s="4">
        <v>1.0</v>
      </c>
      <c r="F2876" s="4" t="str">
        <f>IFERROR(__xludf.DUMMYFUNCTION("GOOGLETRANSLATE(D2876)"),"奧斯汀龍捲風中的披薩和啤酒。現在有風")</f>
        <v>奧斯汀龍捲風中的披薩和啤酒。現在有風</v>
      </c>
      <c r="G2876" s="4" t="str">
        <f>IFERROR(__xludf.DUMMYFUNCTION("GOOGLETRANSLATE(B2876)"),"龍捲風")</f>
        <v>龍捲風</v>
      </c>
    </row>
    <row r="2877" ht="15.75" customHeight="1">
      <c r="A2877" s="4">
        <v>9684.0</v>
      </c>
      <c r="B2877" s="4" t="s">
        <v>4384</v>
      </c>
      <c r="C2877" s="4" t="s">
        <v>4396</v>
      </c>
      <c r="D2877" s="4" t="s">
        <v>4397</v>
      </c>
      <c r="E2877" s="4">
        <v>1.0</v>
      </c>
      <c r="F2877" s="4" t="str">
        <f>IFERROR(__xludf.DUMMYFUNCTION("GOOGLETRANSLATE(D2877)"),"仍然無法克服昨天我們被吵醒的雷暴/龍捲風。半條街還處於黑暗之中！ http://t.co/Y8h5v1j2y7")</f>
        <v>仍然無法克服昨天我們被吵醒的雷暴/龍捲風。半條街還處於黑暗之中！ http://t.co/Y8h5v1j2y7</v>
      </c>
      <c r="G2877" s="4" t="str">
        <f>IFERROR(__xludf.DUMMYFUNCTION("GOOGLETRANSLATE(B2877)"),"龍捲風")</f>
        <v>龍捲風</v>
      </c>
    </row>
    <row r="2878" ht="15.75" customHeight="1">
      <c r="A2878" s="4">
        <v>9686.0</v>
      </c>
      <c r="B2878" s="4" t="s">
        <v>4384</v>
      </c>
      <c r="C2878" s="4" t="s">
        <v>4398</v>
      </c>
      <c r="D2878" s="4" t="s">
        <v>4399</v>
      </c>
      <c r="E2878" s="4">
        <v>1.0</v>
      </c>
      <c r="F2878" s="4" t="str">
        <f>IFERROR(__xludf.DUMMYFUNCTION("GOOGLETRANSLATE(D2878)"),"@kunalkapoor 每日照片：風暴
追擊者
http://t.co/4WJy7seHmw
#攝影#pod")</f>
        <v>@kunalkapoor 每日照片：風暴
追擊者
http://t.co/4WJy7seHmw
#攝影#pod</v>
      </c>
      <c r="G2878" s="4" t="str">
        <f>IFERROR(__xludf.DUMMYFUNCTION("GOOGLETRANSLATE(B2878)"),"龍捲風")</f>
        <v>龍捲風</v>
      </c>
    </row>
    <row r="2879" ht="15.75" customHeight="1">
      <c r="A2879" s="4">
        <v>9690.0</v>
      </c>
      <c r="B2879" s="4" t="s">
        <v>4384</v>
      </c>
      <c r="D2879" s="4" t="s">
        <v>4400</v>
      </c>
      <c r="E2879" s="4">
        <v>1.0</v>
      </c>
      <c r="F2879" s="4" t="str">
        <f>IFERROR(__xludf.DUMMYFUNCTION("GOOGLETRANSLATE(D2879)"),"@Rebelmage2 我很高興你逃走了 XD 但我的「注意安全」是指 4 點左右卡加利附近的龍捲風和鼓海勒 :O")</f>
        <v>@Rebelmage2 我很高興你逃走了 XD 但我的「注意安全」是指 4 點左右卡加利附近的龍捲風和鼓海勒 :O</v>
      </c>
      <c r="G2879" s="4" t="str">
        <f>IFERROR(__xludf.DUMMYFUNCTION("GOOGLETRANSLATE(B2879)"),"龍捲風")</f>
        <v>龍捲風</v>
      </c>
    </row>
    <row r="2880" ht="15.75" customHeight="1">
      <c r="A2880" s="4">
        <v>9695.0</v>
      </c>
      <c r="B2880" s="4" t="s">
        <v>4384</v>
      </c>
      <c r="D2880" s="4" t="s">
        <v>4401</v>
      </c>
      <c r="E2880" s="4">
        <v>1.0</v>
      </c>
      <c r="F2880" s="4" t="str">
        <f>IFERROR(__xludf.DUMMYFUNCTION("GOOGLETRANSLATE(D2880)"),"今天，微弱但明顯的旋轉在 MCV 中心附近的 Villa Ridge 附近完全凝結。 “次龍捲風”？影片：https://t.co/Fd9DzspuGk")</f>
        <v>今天，微弱但明顯的旋轉在 MCV 中心附近的 Villa Ridge 附近完全凝結。 “次龍捲風”？影片：https://t.co/Fd9DzspuGk</v>
      </c>
      <c r="G2880" s="4" t="str">
        <f>IFERROR(__xludf.DUMMYFUNCTION("GOOGLETRANSLATE(B2880)"),"龍捲風")</f>
        <v>龍捲風</v>
      </c>
    </row>
    <row r="2881" ht="15.75" customHeight="1">
      <c r="A2881" s="4">
        <v>9699.0</v>
      </c>
      <c r="B2881" s="4" t="s">
        <v>4384</v>
      </c>
      <c r="C2881" s="4" t="s">
        <v>2276</v>
      </c>
      <c r="D2881" s="4" t="s">
        <v>4402</v>
      </c>
      <c r="E2881" s="4">
        <v>1.0</v>
      </c>
      <c r="F2881" s="4" t="str">
        <f>IFERROR(__xludf.DUMMYFUNCTION("GOOGLETRANSLATE(D2881)"),"隨著雷暴向東移動，卡加利地區龍捲風警報結束 - CBC.ca：CBC.ca 卡加利地區龍捲風警報結束Û_ http://t.co/ST9jPZ8Y24")</f>
        <v>隨著雷暴向東移動，卡加利地區龍捲風警報結束 - CBC.ca：CBC.ca 卡加利地區龍捲風警報結束Û_ http://t.co/ST9jPZ8Y24</v>
      </c>
      <c r="G2881" s="4" t="str">
        <f>IFERROR(__xludf.DUMMYFUNCTION("GOOGLETRANSLATE(B2881)"),"龍捲風")</f>
        <v>龍捲風</v>
      </c>
    </row>
    <row r="2882" ht="15.75" customHeight="1">
      <c r="A2882" s="4">
        <v>9702.0</v>
      </c>
      <c r="B2882" s="4" t="s">
        <v>4384</v>
      </c>
      <c r="C2882" s="4" t="s">
        <v>1757</v>
      </c>
      <c r="D2882" s="4" t="s">
        <v>4403</v>
      </c>
      <c r="E2882" s="4">
        <v>1.0</v>
      </c>
      <c r="F2882" s="4" t="str">
        <f>IFERROR(__xludf.DUMMYFUNCTION("GOOGLETRANSLATE(D2882)"),"緊急官員稱伊利諾伊州龍捲風已被雷達淹沒 http://t.co/P4KOfYtkdx")</f>
        <v>緊急官員稱伊利諾伊州龍捲風已被雷達淹沒 http://t.co/P4KOfYtkdx</v>
      </c>
      <c r="G2882" s="4" t="str">
        <f>IFERROR(__xludf.DUMMYFUNCTION("GOOGLETRANSLATE(B2882)"),"龍捲風")</f>
        <v>龍捲風</v>
      </c>
    </row>
    <row r="2883" ht="15.75" customHeight="1">
      <c r="A2883" s="4">
        <v>9703.0</v>
      </c>
      <c r="B2883" s="4" t="s">
        <v>4384</v>
      </c>
      <c r="C2883" s="4" t="s">
        <v>4404</v>
      </c>
      <c r="D2883" s="4" t="s">
        <v>4405</v>
      </c>
      <c r="E2883" s="4">
        <v>1.0</v>
      </c>
      <c r="F2883" s="4" t="str">
        <f>IFERROR(__xludf.DUMMYFUNCTION("GOOGLETRANSLATE(D2883)"),"也許這就是當龍捲風遇到火山時會發生的事情")</f>
        <v>也許這就是當龍捲風遇到火山時會發生的事情</v>
      </c>
      <c r="G2883" s="4" t="str">
        <f>IFERROR(__xludf.DUMMYFUNCTION("GOOGLETRANSLATE(B2883)"),"龍捲風")</f>
        <v>龍捲風</v>
      </c>
    </row>
    <row r="2884" ht="15.75" customHeight="1">
      <c r="A2884" s="4">
        <v>9704.0</v>
      </c>
      <c r="B2884" s="4" t="s">
        <v>4384</v>
      </c>
      <c r="D2884" s="4" t="s">
        <v>4406</v>
      </c>
      <c r="E2884" s="4">
        <v>1.0</v>
      </c>
      <c r="F2884" s="4" t="str">
        <f>IFERROR(__xludf.DUMMYFUNCTION("GOOGLETRANSLATE(D2884)"),"我感覺像龍捲風 http://t.co/iZJK6kpWiZ")</f>
        <v>我感覺像龍捲風 http://t.co/iZJK6kpWiZ</v>
      </c>
      <c r="G2884" s="4" t="str">
        <f>IFERROR(__xludf.DUMMYFUNCTION("GOOGLETRANSLATE(B2884)"),"龍捲風")</f>
        <v>龍捲風</v>
      </c>
    </row>
    <row r="2885" ht="15.75" customHeight="1">
      <c r="A2885" s="4">
        <v>9708.0</v>
      </c>
      <c r="B2885" s="4" t="s">
        <v>4407</v>
      </c>
      <c r="C2885" s="4" t="s">
        <v>4301</v>
      </c>
      <c r="D2885" s="4" t="s">
        <v>4408</v>
      </c>
      <c r="E2885" s="4">
        <v>1.0</v>
      </c>
      <c r="F2885" s="4" t="str">
        <f>IFERROR(__xludf.DUMMYFUNCTION("GOOGLETRANSLATE(D2885)"),"MP 中的 Rly 悲劇：有些人活著講述恐怖 http://t.co/TTb9oiL8R2 #TopStories #India timesofindia")</f>
        <v>MP 中的 Rly 悲劇：有些人活著講述恐怖 http://t.co/TTb9oiL8R2 #TopStories #India timesofindia</v>
      </c>
      <c r="G2885" s="4" t="str">
        <f>IFERROR(__xludf.DUMMYFUNCTION("GOOGLETRANSLATE(B2885)"),"悲劇")</f>
        <v>悲劇</v>
      </c>
    </row>
    <row r="2886" ht="15.75" customHeight="1">
      <c r="A2886" s="4">
        <v>9709.0</v>
      </c>
      <c r="B2886" s="4" t="s">
        <v>4407</v>
      </c>
      <c r="D2886" s="4" t="s">
        <v>4409</v>
      </c>
      <c r="E2886" s="4">
        <v>1.0</v>
      </c>
      <c r="F2886" s="4" t="str">
        <f>IFERROR(__xludf.DUMMYFUNCTION("GOOGLETRANSLATE(D2886)"),"狗屎很難克服，但有時悲劇意味著一切都結束了。")</f>
        <v>狗屎很難克服，但有時悲劇意味著一切都結束了。</v>
      </c>
      <c r="G2886" s="4" t="str">
        <f>IFERROR(__xludf.DUMMYFUNCTION("GOOGLETRANSLATE(B2886)"),"悲劇")</f>
        <v>悲劇</v>
      </c>
    </row>
    <row r="2887" ht="15.75" customHeight="1">
      <c r="A2887" s="4">
        <v>9716.0</v>
      </c>
      <c r="B2887" s="4" t="s">
        <v>4407</v>
      </c>
      <c r="D2887" s="4" t="s">
        <v>4410</v>
      </c>
      <c r="E2887" s="4">
        <v>1.0</v>
      </c>
      <c r="F2887" s="4" t="str">
        <f>IFERROR(__xludf.DUMMYFUNCTION("GOOGLETRANSLATE(D2887)"),"MP 中的 Rly 悲劇：有些人活著講述恐怖：ÛÏ當我看到我的火車車廂掉入水中時，我打電話...... http://t.co/72ix7vM87w")</f>
        <v>MP 中的 Rly 悲劇：有些人活著講述恐怖：ÛÏ當我看到我的火車車廂掉入水中時，我打電話...... http://t.co/72ix7vM87w</v>
      </c>
      <c r="G2887" s="4" t="str">
        <f>IFERROR(__xludf.DUMMYFUNCTION("GOOGLETRANSLATE(B2887)"),"悲劇")</f>
        <v>悲劇</v>
      </c>
    </row>
    <row r="2888" ht="15.75" customHeight="1">
      <c r="A2888" s="4">
        <v>9718.0</v>
      </c>
      <c r="B2888" s="4" t="s">
        <v>4407</v>
      </c>
      <c r="D2888" s="4" t="s">
        <v>4411</v>
      </c>
      <c r="E2888" s="4">
        <v>1.0</v>
      </c>
      <c r="F2888" s="4" t="str">
        <f>IFERROR(__xludf.DUMMYFUNCTION("GOOGLETRANSLATE(D2888)"),"MP 中的 Rly 悲劇：有些人活著講述恐怖：ÛÏ當我看到我的火車車廂掉入水中時，我打電話...... http://t.co/Calk5nv5Vc")</f>
        <v>MP 中的 Rly 悲劇：有些人活著講述恐怖：ÛÏ當我看到我的火車車廂掉入水中時，我打電話...... http://t.co/Calk5nv5Vc</v>
      </c>
      <c r="G2888" s="4" t="str">
        <f>IFERROR(__xludf.DUMMYFUNCTION("GOOGLETRANSLATE(B2888)"),"悲劇")</f>
        <v>悲劇</v>
      </c>
    </row>
    <row r="2889" ht="15.75" customHeight="1">
      <c r="A2889" s="4">
        <v>9723.0</v>
      </c>
      <c r="B2889" s="4" t="s">
        <v>4407</v>
      </c>
      <c r="C2889" s="4" t="s">
        <v>34</v>
      </c>
      <c r="D2889" s="4" t="s">
        <v>4412</v>
      </c>
      <c r="E2889" s="4">
        <v>1.0</v>
      </c>
      <c r="F2889" s="4" t="str">
        <f>IFERROR(__xludf.DUMMYFUNCTION("GOOGLETRANSLATE(D2889)"),"鐵路部門對國會議員的悲劇措手不及；事故地點從未被標記為「脆弱」 - Times ofÛ_ http://t.co/cEdCUgEuWs #News")</f>
        <v>鐵路部門對國會議員的悲劇措手不及；事故地點從未被標記為「脆弱」 - Times ofÛ_ http://t.co/cEdCUgEuWs #News</v>
      </c>
      <c r="G2889" s="4" t="str">
        <f>IFERROR(__xludf.DUMMYFUNCTION("GOOGLETRANSLATE(B2889)"),"悲劇")</f>
        <v>悲劇</v>
      </c>
    </row>
    <row r="2890" ht="15.75" customHeight="1">
      <c r="A2890" s="4">
        <v>9728.0</v>
      </c>
      <c r="B2890" s="4" t="s">
        <v>4407</v>
      </c>
      <c r="D2890" s="4" t="s">
        <v>4413</v>
      </c>
      <c r="E2890" s="4">
        <v>1.0</v>
      </c>
      <c r="F2890" s="4" t="str">
        <f>IFERROR(__xludf.DUMMYFUNCTION("GOOGLETRANSLATE(D2890)"),"鐵路部門對國會議員的悲劇措手不及；事故地點從未標記為「易受攻擊」http://t.co/UB1JZskmRc")</f>
        <v>鐵路部門對國會議員的悲劇措手不及；事故地點從未標記為「易受攻擊」http://t.co/UB1JZskmRc</v>
      </c>
      <c r="G2890" s="4" t="str">
        <f>IFERROR(__xludf.DUMMYFUNCTION("GOOGLETRANSLATE(B2890)"),"悲劇")</f>
        <v>悲劇</v>
      </c>
    </row>
    <row r="2891" ht="15.75" customHeight="1">
      <c r="A2891" s="4">
        <v>9729.0</v>
      </c>
      <c r="B2891" s="4" t="s">
        <v>4407</v>
      </c>
      <c r="C2891" s="4" t="s">
        <v>4414</v>
      </c>
      <c r="D2891" s="4" t="s">
        <v>4415</v>
      </c>
      <c r="E2891" s="4">
        <v>1.0</v>
      </c>
      <c r="F2891" s="4" t="str">
        <f>IFERROR(__xludf.DUMMYFUNCTION("GOOGLETRANSLATE(D2891)"),"當然是@TOIIndiaNews
僅僅8分鐘b4悲劇另一列火車就經過了這個地方
一場山洪沖刷了軌道。")</f>
        <v>當然是@TOIIndiaNews
僅僅8分鐘b4悲劇另一列火車就經過了這個地方
一場山洪沖刷了軌道。</v>
      </c>
      <c r="G2891" s="4" t="str">
        <f>IFERROR(__xludf.DUMMYFUNCTION("GOOGLETRANSLATE(B2891)"),"悲劇")</f>
        <v>悲劇</v>
      </c>
    </row>
    <row r="2892" ht="15.75" customHeight="1">
      <c r="A2892" s="4">
        <v>9730.0</v>
      </c>
      <c r="B2892" s="4" t="s">
        <v>4407</v>
      </c>
      <c r="D2892" s="4" t="s">
        <v>4416</v>
      </c>
      <c r="E2892" s="4">
        <v>1.0</v>
      </c>
      <c r="F2892" s="4" t="str">
        <f>IFERROR(__xludf.DUMMYFUNCTION("GOOGLETRANSLATE(D2892)"),"#ModiMinistry Rly MP 悲劇：有些人活著講述恐怖 http://t.co/s43wE7Oe2i")</f>
        <v>#ModiMinistry Rly MP 悲劇：有些人活著講述恐怖 http://t.co/s43wE7Oe2i</v>
      </c>
      <c r="G2892" s="4" t="str">
        <f>IFERROR(__xludf.DUMMYFUNCTION("GOOGLETRANSLATE(B2892)"),"悲劇")</f>
        <v>悲劇</v>
      </c>
    </row>
    <row r="2893" ht="15.75" customHeight="1">
      <c r="A2893" s="4">
        <v>9731.0</v>
      </c>
      <c r="B2893" s="4" t="s">
        <v>4407</v>
      </c>
      <c r="D2893" s="4" t="s">
        <v>4417</v>
      </c>
      <c r="E2893" s="4">
        <v>1.0</v>
      </c>
      <c r="F2893" s="4" t="str">
        <f>IFERROR(__xludf.DUMMYFUNCTION("GOOGLETRANSLATE(D2893)"),"MP 中的 Rly 悲劇：有些人活著講述恐怖：ÛÏ當我看到我的火車車廂掉入水中時，我打電話...... http://t.co/vScPGMsJXY")</f>
        <v>MP 中的 Rly 悲劇：有些人活著講述恐怖：ÛÏ當我看到我的火車車廂掉入水中時，我打電話...... http://t.co/vScPGMsJXY</v>
      </c>
      <c r="G2893" s="4" t="str">
        <f>IFERROR(__xludf.DUMMYFUNCTION("GOOGLETRANSLATE(B2893)"),"悲劇")</f>
        <v>悲劇</v>
      </c>
    </row>
    <row r="2894" ht="15.75" customHeight="1">
      <c r="A2894" s="4">
        <v>9734.0</v>
      </c>
      <c r="B2894" s="4" t="s">
        <v>4407</v>
      </c>
      <c r="C2894" s="4" t="s">
        <v>126</v>
      </c>
      <c r="D2894" s="4" t="s">
        <v>4418</v>
      </c>
      <c r="E2894" s="4">
        <v>1.0</v>
      </c>
      <c r="F2894" s="4" t="str">
        <f>IFERROR(__xludf.DUMMYFUNCTION("GOOGLETRANSLATE(D2894)"),"DTN 印度：MP 中的 Rly 悲劇：有些人活著講述恐怖：ÛÏ當我看到我的火車車廂掉入水中時... http://t.co/WK63tm34a0")</f>
        <v>DTN 印度：MP 中的 Rly 悲劇：有些人活著講述恐怖：ÛÏ當我看到我的火車車廂掉入水中時... http://t.co/WK63tm34a0</v>
      </c>
      <c r="G2894" s="4" t="str">
        <f>IFERROR(__xludf.DUMMYFUNCTION("GOOGLETRANSLATE(B2894)"),"悲劇")</f>
        <v>悲劇</v>
      </c>
    </row>
    <row r="2895" ht="15.75" customHeight="1">
      <c r="A2895" s="4">
        <v>9737.0</v>
      </c>
      <c r="B2895" s="4" t="s">
        <v>4407</v>
      </c>
      <c r="D2895" s="4" t="s">
        <v>4419</v>
      </c>
      <c r="E2895" s="4">
        <v>1.0</v>
      </c>
      <c r="F2895" s="4" t="str">
        <f>IFERROR(__xludf.DUMMYFUNCTION("GOOGLETRANSLATE(D2895)"),"#breaknews Rly 國會議員悲劇：有些人活著講述恐怖：ÛÏ當我看到我的火車車廂陷入困境時...... http://t.co/eYOrBmF3O3")</f>
        <v>#breaknews Rly 國會議員悲劇：有些人活著講述恐怖：ÛÏ當我看到我的火車車廂陷入困境時...... http://t.co/eYOrBmF3O3</v>
      </c>
      <c r="G2895" s="4" t="str">
        <f>IFERROR(__xludf.DUMMYFUNCTION("GOOGLETRANSLATE(B2895)"),"悲劇")</f>
        <v>悲劇</v>
      </c>
    </row>
    <row r="2896" ht="15.75" customHeight="1">
      <c r="A2896" s="4">
        <v>9738.0</v>
      </c>
      <c r="B2896" s="4" t="s">
        <v>4407</v>
      </c>
      <c r="C2896" s="4" t="s">
        <v>4420</v>
      </c>
      <c r="D2896" s="4" t="s">
        <v>4421</v>
      </c>
      <c r="E2896" s="4">
        <v>1.0</v>
      </c>
      <c r="F2896" s="4" t="str">
        <f>IFERROR(__xludf.DUMMYFUNCTION("GOOGLETRANSLATE(D2896)"),"@itss_selenaluna 就像一場美麗的屁股悲劇哈哈")</f>
        <v>@itss_selenaluna 就像一場美麗的屁股悲劇哈哈</v>
      </c>
      <c r="G2896" s="4" t="str">
        <f>IFERROR(__xludf.DUMMYFUNCTION("GOOGLETRANSLATE(B2896)"),"悲劇")</f>
        <v>悲劇</v>
      </c>
    </row>
    <row r="2897" ht="15.75" customHeight="1">
      <c r="A2897" s="4">
        <v>9739.0</v>
      </c>
      <c r="B2897" s="4" t="s">
        <v>4407</v>
      </c>
      <c r="D2897" s="4" t="s">
        <v>4422</v>
      </c>
      <c r="E2897" s="4">
        <v>1.0</v>
      </c>
      <c r="F2897" s="4" t="str">
        <f>IFERROR(__xludf.DUMMYFUNCTION("GOOGLETRANSLATE(D2897)"),"MP 中的 Rly 悲劇：有些人活著講述恐怖：ÛÏ當我看到我的火車車廂掉入水中時，我打電話...... http://t.co/0Xh758OnUP")</f>
        <v>MP 中的 Rly 悲劇：有些人活著講述恐怖：ÛÏ當我看到我的火車車廂掉入水中時，我打電話...... http://t.co/0Xh758OnUP</v>
      </c>
      <c r="G2897" s="4" t="str">
        <f>IFERROR(__xludf.DUMMYFUNCTION("GOOGLETRANSLATE(B2897)"),"悲劇")</f>
        <v>悲劇</v>
      </c>
    </row>
    <row r="2898" ht="15.75" customHeight="1">
      <c r="A2898" s="4">
        <v>9744.0</v>
      </c>
      <c r="B2898" s="4" t="s">
        <v>4407</v>
      </c>
      <c r="D2898" s="4" t="s">
        <v>4423</v>
      </c>
      <c r="E2898" s="4">
        <v>1.0</v>
      </c>
      <c r="F2898" s="4" t="str">
        <f>IFERROR(__xludf.DUMMYFUNCTION("GOOGLETRANSLATE(D2898)"),"MP 中的 Rly 悲劇：有些人活著講述恐怖：ÛÏ當我看到我的火車車廂掉入水中時，我打電話...... http://t.co/CaR5QEUVHH")</f>
        <v>MP 中的 Rly 悲劇：有些人活著講述恐怖：ÛÏ當我看到我的火車車廂掉入水中時，我打電話...... http://t.co/CaR5QEUVHH</v>
      </c>
      <c r="G2898" s="4" t="str">
        <f>IFERROR(__xludf.DUMMYFUNCTION("GOOGLETRANSLATE(B2898)"),"悲劇")</f>
        <v>悲劇</v>
      </c>
    </row>
    <row r="2899" ht="15.75" customHeight="1">
      <c r="A2899" s="4">
        <v>9745.0</v>
      </c>
      <c r="B2899" s="4" t="s">
        <v>4407</v>
      </c>
      <c r="D2899" s="4" t="s">
        <v>4424</v>
      </c>
      <c r="E2899" s="4">
        <v>1.0</v>
      </c>
      <c r="F2899" s="4" t="str">
        <f>IFERROR(__xludf.DUMMYFUNCTION("GOOGLETRANSLATE(D2899)"),"羅伯特·加格農 (Robert Gagnon) 回顧了同性婚姻的災難以及基督徒應如何應對 http://t.co/HIpklxpHnp")</f>
        <v>羅伯特·加格農 (Robert Gagnon) 回顧了同性婚姻的災難以及基督徒應如何應對 http://t.co/HIpklxpHnp</v>
      </c>
      <c r="G2899" s="4" t="str">
        <f>IFERROR(__xludf.DUMMYFUNCTION("GOOGLETRANSLATE(B2899)"),"悲劇")</f>
        <v>悲劇</v>
      </c>
    </row>
    <row r="2900" ht="15.75" customHeight="1">
      <c r="A2900" s="4">
        <v>9746.0</v>
      </c>
      <c r="B2900" s="4" t="s">
        <v>4407</v>
      </c>
      <c r="C2900" s="4" t="s">
        <v>4425</v>
      </c>
      <c r="D2900" s="4" t="s">
        <v>4426</v>
      </c>
      <c r="E2900" s="4">
        <v>1.0</v>
      </c>
      <c r="F2900" s="4" t="str">
        <f>IFERROR(__xludf.DUMMYFUNCTION("GOOGLETRANSLATE(D2900)"),"MP 中的 Rly 悲劇：有些人活著講述恐怖：ÛÏ當我看到我的火車車廂掉入水中時，我打電話給我的Û_ http://t.co/gDjTzkpCHK")</f>
        <v>MP 中的 Rly 悲劇：有些人活著講述恐怖：ÛÏ當我看到我的火車車廂掉入水中時，我打電話給我的Û_ http://t.co/gDjTzkpCHK</v>
      </c>
      <c r="G2900" s="4" t="str">
        <f>IFERROR(__xludf.DUMMYFUNCTION("GOOGLETRANSLATE(B2900)"),"悲劇")</f>
        <v>悲劇</v>
      </c>
    </row>
    <row r="2901" ht="15.75" customHeight="1">
      <c r="A2901" s="4">
        <v>9750.0</v>
      </c>
      <c r="B2901" s="4" t="s">
        <v>4407</v>
      </c>
      <c r="C2901" s="4" t="s">
        <v>34</v>
      </c>
      <c r="D2901" s="4" t="s">
        <v>4427</v>
      </c>
      <c r="E2901" s="4">
        <v>1.0</v>
      </c>
      <c r="F2901" s="4" t="str">
        <f>IFERROR(__xludf.DUMMYFUNCTION("GOOGLETRANSLATE(D2901)"),"MP 中的 Rly 悲劇：有些人活著講述恐怖：ÛÏ當我看到我的火車車廂陷入水中時，我打電話給我的女兒們並說...")</f>
        <v>MP 中的 Rly 悲劇：有些人活著講述恐怖：ÛÏ當我看到我的火車車廂陷入水中時，我打電話給我的女兒們並說...</v>
      </c>
      <c r="G2901" s="4" t="str">
        <f>IFERROR(__xludf.DUMMYFUNCTION("GOOGLETRANSLATE(B2901)"),"悲劇")</f>
        <v>悲劇</v>
      </c>
    </row>
    <row r="2902" ht="15.75" customHeight="1">
      <c r="A2902" s="4">
        <v>9752.0</v>
      </c>
      <c r="B2902" s="4" t="s">
        <v>4407</v>
      </c>
      <c r="C2902" s="4" t="s">
        <v>4428</v>
      </c>
      <c r="D2902" s="4" t="s">
        <v>4429</v>
      </c>
      <c r="E2902" s="4">
        <v>1.0</v>
      </c>
      <c r="F2902" s="4" t="str">
        <f>IFERROR(__xludf.DUMMYFUNCTION("GOOGLETRANSLATE(D2902)"),"MP 中的 Rly 悲劇：有些人活著講述恐怖：ÛÏ當我看到我的火車車廂掉入水中時，我打電話...... http://t.co/ZkgQSpwYj3")</f>
        <v>MP 中的 Rly 悲劇：有些人活著講述恐怖：ÛÏ當我看到我的火車車廂掉入水中時，我打電話...... http://t.co/ZkgQSpwYj3</v>
      </c>
      <c r="G2902" s="4" t="str">
        <f>IFERROR(__xludf.DUMMYFUNCTION("GOOGLETRANSLATE(B2902)"),"悲劇")</f>
        <v>悲劇</v>
      </c>
    </row>
    <row r="2903" ht="15.75" customHeight="1">
      <c r="A2903" s="4">
        <v>9753.0</v>
      </c>
      <c r="B2903" s="4" t="s">
        <v>4407</v>
      </c>
      <c r="D2903" s="4" t="s">
        <v>4430</v>
      </c>
      <c r="E2903" s="4">
        <v>1.0</v>
      </c>
      <c r="F2903" s="4" t="str">
        <f>IFERROR(__xludf.DUMMYFUNCTION("GOOGLETRANSLATE(D2903)"),"MP 中的 Rly 悲劇：有些人活著講述恐怖：ÛÏ當我看到我的火車車廂掉入水中時，我打電話...... http://t.co/21hsrrqZOu")</f>
        <v>MP 中的 Rly 悲劇：有些人活著講述恐怖：ÛÏ當我看到我的火車車廂掉入水中時，我打電話...... http://t.co/21hsrrqZOu</v>
      </c>
      <c r="G2903" s="4" t="str">
        <f>IFERROR(__xludf.DUMMYFUNCTION("GOOGLETRANSLATE(B2903)"),"悲劇")</f>
        <v>悲劇</v>
      </c>
    </row>
    <row r="2904" ht="15.75" customHeight="1">
      <c r="A2904" s="4">
        <v>9754.0</v>
      </c>
      <c r="B2904" s="4" t="s">
        <v>4407</v>
      </c>
      <c r="D2904" s="4" t="s">
        <v>4431</v>
      </c>
      <c r="E2904" s="4">
        <v>1.0</v>
      </c>
      <c r="F2904" s="4" t="str">
        <f>IFERROR(__xludf.DUMMYFUNCTION("GOOGLETRANSLATE(D2904)"),"MP 中的 Rly 悲劇：有些人活著講述恐怖：ÛÏ當我看到我的火車車廂掉入水中時，我打電話...... http://t.co/xtlJz7BjgL")</f>
        <v>MP 中的 Rly 悲劇：有些人活著講述恐怖：ÛÏ當我看到我的火車車廂掉入水中時，我打電話...... http://t.co/xtlJz7BjgL</v>
      </c>
      <c r="G2904" s="4" t="str">
        <f>IFERROR(__xludf.DUMMYFUNCTION("GOOGLETRANSLATE(B2904)"),"悲劇")</f>
        <v>悲劇</v>
      </c>
    </row>
    <row r="2905" ht="15.75" customHeight="1">
      <c r="A2905" s="4">
        <v>9755.0</v>
      </c>
      <c r="B2905" s="4" t="s">
        <v>4407</v>
      </c>
      <c r="C2905" s="4" t="s">
        <v>826</v>
      </c>
      <c r="D2905" s="4" t="s">
        <v>4432</v>
      </c>
      <c r="E2905" s="4">
        <v>1.0</v>
      </c>
      <c r="F2905" s="4" t="str">
        <f>IFERROR(__xludf.DUMMYFUNCTION("GOOGLETRANSLATE(D2905)"),"Rt hirochii0：除了韓國，沒有一個國家會嘲笑廣島的悲劇。 http://t.co/And1Btizao #Indonesia #Malaysia #Jamaica #Û_")</f>
        <v>Rt hirochii0：除了韓國，沒有一個國家會嘲笑廣島的悲劇。 http://t.co/And1Btizao #Indonesia #Malaysia #Jamaica #Û_</v>
      </c>
      <c r="G2905" s="4" t="str">
        <f>IFERROR(__xludf.DUMMYFUNCTION("GOOGLETRANSLATE(B2905)"),"悲劇")</f>
        <v>悲劇</v>
      </c>
    </row>
    <row r="2906" ht="15.75" customHeight="1">
      <c r="A2906" s="4">
        <v>9757.0</v>
      </c>
      <c r="B2906" s="4" t="s">
        <v>4407</v>
      </c>
      <c r="C2906" s="4" t="s">
        <v>359</v>
      </c>
      <c r="D2906" s="4" t="s">
        <v>4433</v>
      </c>
      <c r="E2906" s="4">
        <v>1.0</v>
      </c>
      <c r="F2906" s="4" t="str">
        <f>IFERROR(__xludf.DUMMYFUNCTION("GOOGLETRANSLATE(D2906)"),"@CSAresu 美國悲劇 http://t.co/SDmrzGErYX")</f>
        <v>@CSAresu 美國悲劇 http://t.co/SDmrzGErYX</v>
      </c>
      <c r="G2906" s="4" t="str">
        <f>IFERROR(__xludf.DUMMYFUNCTION("GOOGLETRANSLATE(B2906)"),"悲劇")</f>
        <v>悲劇</v>
      </c>
    </row>
    <row r="2907" ht="15.75" customHeight="1">
      <c r="A2907" s="4">
        <v>9759.0</v>
      </c>
      <c r="B2907" s="4" t="s">
        <v>4434</v>
      </c>
      <c r="C2907" s="4" t="s">
        <v>4435</v>
      </c>
      <c r="D2907" s="4" t="s">
        <v>4436</v>
      </c>
      <c r="E2907" s="4">
        <v>1.0</v>
      </c>
      <c r="F2907" s="4" t="str">
        <f>IFERROR(__xludf.DUMMYFUNCTION("GOOGLETRANSLATE(D2907)"),"肯塔基州萊奇菲爾德：
 貝拉愛德華 &amp;amp;羅莎莉需要救援/收養/當地寄養家庭/贊助。
 被困&amp;amp;... http://t.co/Ajay0sNPlg")</f>
        <v>肯塔基州萊奇菲爾德：
 貝拉愛德華 &amp;amp;羅莎莉需要救援/收養/當地寄養家庭/贊助。
 被困&amp;amp;... http://t.co/Ajay0sNPlg</v>
      </c>
      <c r="G2907" s="4" t="str">
        <f>IFERROR(__xludf.DUMMYFUNCTION("GOOGLETRANSLATE(B2907)"),"被困")</f>
        <v>被困</v>
      </c>
    </row>
    <row r="2908" ht="15.75" customHeight="1">
      <c r="A2908" s="4">
        <v>9764.0</v>
      </c>
      <c r="B2908" s="4" t="s">
        <v>4434</v>
      </c>
      <c r="C2908" s="4" t="s">
        <v>4437</v>
      </c>
      <c r="D2908" s="4" t="s">
        <v>4438</v>
      </c>
      <c r="E2908" s="4">
        <v>1.0</v>
      </c>
      <c r="F2908" s="4" t="str">
        <f>IFERROR(__xludf.DUMMYFUNCTION("GOOGLETRANSLATE(D2908)"),"@onihimedesu 整個城市都被困住了！你不能離開這座城市！這本來應該是一部帶有三角戀的普通運動漫畫（c）")</f>
        <v>@onihimedesu 整個城市都被困住了！你不能離開這座城市！這本來應該是一部帶有三角戀的普通運動漫畫（c）</v>
      </c>
      <c r="G2908" s="4" t="str">
        <f>IFERROR(__xludf.DUMMYFUNCTION("GOOGLETRANSLATE(B2908)"),"被困")</f>
        <v>被困</v>
      </c>
    </row>
    <row r="2909" ht="15.75" customHeight="1">
      <c r="A2909" s="4">
        <v>9765.0</v>
      </c>
      <c r="B2909" s="4" t="s">
        <v>4434</v>
      </c>
      <c r="C2909" s="4" t="s">
        <v>4439</v>
      </c>
      <c r="D2909" s="4" t="s">
        <v>4440</v>
      </c>
      <c r="E2909" s="4">
        <v>1.0</v>
      </c>
      <c r="F2909" s="4" t="str">
        <f>IFERROR(__xludf.DUMMYFUNCTION("GOOGLETRANSLATE(D2909)"),"炸彈頭？ 9 月的那一天，爆炸性的決定造成的兒童死亡人數比困在建築物之間的屍體還多")</f>
        <v>炸彈頭？ 9 月的那一天，爆炸性的決定造成的兒童死亡人數比困在建築物之間的屍體還多</v>
      </c>
      <c r="G2909" s="4" t="str">
        <f>IFERROR(__xludf.DUMMYFUNCTION("GOOGLETRANSLATE(B2909)"),"被困")</f>
        <v>被困</v>
      </c>
    </row>
    <row r="2910" ht="15.75" customHeight="1">
      <c r="A2910" s="4">
        <v>9775.0</v>
      </c>
      <c r="B2910" s="4" t="s">
        <v>4434</v>
      </c>
      <c r="C2910" s="4" t="s">
        <v>4441</v>
      </c>
      <c r="D2910" s="4" t="s">
        <v>4442</v>
      </c>
      <c r="E2910" s="4">
        <v>1.0</v>
      </c>
      <c r="F2910" s="4" t="str">
        <f>IFERROR(__xludf.DUMMYFUNCTION("GOOGLETRANSLATE(D2910)"),"(?EudryLantiqua?) 關於被困礦工的好萊塢電影在智利上映：「The 33」Holly... http://t.co/us1DMdXZVb (?EudryLantiqua?)")</f>
        <v>(?EudryLantiqua?) 關於被困礦工的好萊塢電影在智利上映：「The 33」Holly... http://t.co/us1DMdXZVb (?EudryLantiqua?)</v>
      </c>
      <c r="G2910" s="4" t="str">
        <f>IFERROR(__xludf.DUMMYFUNCTION("GOOGLETRANSLATE(B2910)"),"被困")</f>
        <v>被困</v>
      </c>
    </row>
    <row r="2911" ht="15.75" customHeight="1">
      <c r="A2911" s="4">
        <v>9780.0</v>
      </c>
      <c r="B2911" s="4" t="s">
        <v>4434</v>
      </c>
      <c r="C2911" s="4" t="s">
        <v>4443</v>
      </c>
      <c r="D2911" s="4" t="s">
        <v>4444</v>
      </c>
      <c r="E2911" s="4">
        <v>1.0</v>
      </c>
      <c r="F2911" s="4" t="str">
        <f>IFERROR(__xludf.DUMMYFUNCTION("GOOGLETRANSLATE(D2911)"),"因為我的浴室正在改造，所以我被困在我的房間裡。唯一的出口是透過窗戶")</f>
        <v>因為我的浴室正在改造，所以我被困在我的房間裡。唯一的出口是透過窗戶</v>
      </c>
      <c r="G2911" s="4" t="str">
        <f>IFERROR(__xludf.DUMMYFUNCTION("GOOGLETRANSLATE(B2911)"),"被困")</f>
        <v>被困</v>
      </c>
    </row>
    <row r="2912" ht="15.75" customHeight="1">
      <c r="A2912" s="4">
        <v>9783.0</v>
      </c>
      <c r="B2912" s="4" t="s">
        <v>4434</v>
      </c>
      <c r="C2912" s="4" t="s">
        <v>612</v>
      </c>
      <c r="D2912" s="4" t="s">
        <v>4445</v>
      </c>
      <c r="E2912" s="4">
        <v>1.0</v>
      </c>
      <c r="F2912" s="4" t="str">
        <f>IFERROR(__xludf.DUMMYFUNCTION("GOOGLETRANSLATE(D2912)"),"關於被困礦工的好萊塢電影在智利上映 http://t.co/qkrLtrd39B")</f>
        <v>關於被困礦工的好萊塢電影在智利上映 http://t.co/qkrLtrd39B</v>
      </c>
      <c r="G2912" s="4" t="str">
        <f>IFERROR(__xludf.DUMMYFUNCTION("GOOGLETRANSLATE(B2912)"),"被困")</f>
        <v>被困</v>
      </c>
    </row>
    <row r="2913" ht="15.75" customHeight="1">
      <c r="A2913" s="4">
        <v>9791.0</v>
      </c>
      <c r="B2913" s="4" t="s">
        <v>4434</v>
      </c>
      <c r="C2913" s="4" t="s">
        <v>4446</v>
      </c>
      <c r="D2913" s="4" t="s">
        <v>4447</v>
      </c>
      <c r="E2913" s="4">
        <v>1.0</v>
      </c>
      <c r="F2913" s="4" t="str">
        <f>IFERROR(__xludf.DUMMYFUNCTION("GOOGLETRANSLATE(D2913)"),"@BoyInAHorsemask 它是一隻被困在狗體內的熊貓")</f>
        <v>@BoyInAHorsemask 它是一隻被困在狗體內的熊貓</v>
      </c>
      <c r="G2913" s="4" t="str">
        <f>IFERROR(__xludf.DUMMYFUNCTION("GOOGLETRANSLATE(B2913)"),"被困")</f>
        <v>被困</v>
      </c>
    </row>
    <row r="2914" ht="15.75" customHeight="1">
      <c r="A2914" s="4">
        <v>9794.0</v>
      </c>
      <c r="B2914" s="4" t="s">
        <v>4434</v>
      </c>
      <c r="D2914" s="4" t="s">
        <v>4448</v>
      </c>
      <c r="E2914" s="4">
        <v>1.0</v>
      </c>
      <c r="F2914" s="4" t="str">
        <f>IFERROR(__xludf.DUMMYFUNCTION("GOOGLETRANSLATE(D2914)"),"關於被困礦工的好萊塢電影在智利上映：「The 33」關於被困礦工的好萊塢電影主演... http://t.co/tyyfG4qQvM")</f>
        <v>關於被困礦工的好萊塢電影在智利上映：「The 33」關於被困礦工的好萊塢電影主演... http://t.co/tyyfG4qQvM</v>
      </c>
      <c r="G2914" s="4" t="str">
        <f>IFERROR(__xludf.DUMMYFUNCTION("GOOGLETRANSLATE(B2914)"),"被困")</f>
        <v>被困</v>
      </c>
    </row>
    <row r="2915" ht="15.75" customHeight="1">
      <c r="A2915" s="4">
        <v>9797.0</v>
      </c>
      <c r="B2915" s="4" t="s">
        <v>4434</v>
      </c>
      <c r="D2915" s="4" t="s">
        <v>4449</v>
      </c>
      <c r="E2915" s="4">
        <v>1.0</v>
      </c>
      <c r="F2915" s="4" t="str">
        <f>IFERROR(__xludf.DUMMYFUNCTION("GOOGLETRANSLATE(D2915)"),"關於被困礦工的好萊塢電影在智利上映：「The 33」關於被困礦工的好萊塢電影主演... http://t.co/0f8XA4Ih1U")</f>
        <v>關於被困礦工的好萊塢電影在智利上映：「The 33」關於被困礦工的好萊塢電影主演... http://t.co/0f8XA4Ih1U</v>
      </c>
      <c r="G2915" s="4" t="str">
        <f>IFERROR(__xludf.DUMMYFUNCTION("GOOGLETRANSLATE(B2915)"),"被困")</f>
        <v>被困</v>
      </c>
    </row>
    <row r="2916" ht="15.75" customHeight="1">
      <c r="A2916" s="4">
        <v>9808.0</v>
      </c>
      <c r="B2916" s="4" t="s">
        <v>4450</v>
      </c>
      <c r="D2916" s="4" t="s">
        <v>4451</v>
      </c>
      <c r="E2916" s="4">
        <v>1.0</v>
      </c>
      <c r="F2916" s="4" t="str">
        <f>IFERROR(__xludf.DUMMYFUNCTION("GOOGLETRANSLATE(D2916)"),"照片：lavenderpoetrycafe：創傷記憶被編碼在圖像中，因為創傷更多的是感覺而非認知...... http://t.co/DMb6xP966D")</f>
        <v>照片：lavenderpoetrycafe：創傷記憶被編碼在圖像中，因為創傷更多的是感覺而非認知...... http://t.co/DMb6xP966D</v>
      </c>
      <c r="G2916" s="4" t="str">
        <f>IFERROR(__xludf.DUMMYFUNCTION("GOOGLETRANSLATE(B2916)"),"創傷")</f>
        <v>創傷</v>
      </c>
    </row>
    <row r="2917" ht="15.75" customHeight="1">
      <c r="A2917" s="4">
        <v>9813.0</v>
      </c>
      <c r="B2917" s="4" t="s">
        <v>4450</v>
      </c>
      <c r="C2917" s="4" t="s">
        <v>4452</v>
      </c>
      <c r="D2917" s="4" t="s">
        <v>4453</v>
      </c>
      <c r="E2917" s="4">
        <v>1.0</v>
      </c>
      <c r="F2917" s="4" t="str">
        <f>IFERROR(__xludf.DUMMYFUNCTION("GOOGLETRANSLATE(D2917)"),"#NissanNews ：Bing's Landing 附近 A1A 發生兩輛汽車失事後，發生創傷警報，6 名兒童中的 1 名住院：... http://t.co/9dWyJqvFY4")</f>
        <v>#NissanNews ：Bing's Landing 附近 A1A 發生兩輛汽車失事後，發生創傷警報，6 名兒童中的 1 名住院：... http://t.co/9dWyJqvFY4</v>
      </c>
      <c r="G2917" s="4" t="str">
        <f>IFERROR(__xludf.DUMMYFUNCTION("GOOGLETRANSLATE(B2917)"),"創傷")</f>
        <v>創傷</v>
      </c>
    </row>
    <row r="2918" ht="15.75" customHeight="1">
      <c r="A2918" s="4">
        <v>9820.0</v>
      </c>
      <c r="B2918" s="4" t="s">
        <v>4450</v>
      </c>
      <c r="C2918" s="4" t="s">
        <v>4454</v>
      </c>
      <c r="D2918" s="4" t="s">
        <v>4455</v>
      </c>
      <c r="E2918" s="4">
        <v>1.0</v>
      </c>
      <c r="F2918" s="4" t="str">
        <f>IFERROR(__xludf.DUMMYFUNCTION("GOOGLETRANSLATE(D2918)"),"@PTSD_Chat 是的。我覺得其根源是羞恥——它可以在大多數創傷的廢墟中找到。 #PTSD聊天")</f>
        <v>@PTSD_Chat 是的。我覺得其根源是羞恥——它可以在大多數創傷的廢墟中找到。 #PTSD聊天</v>
      </c>
      <c r="G2918" s="4" t="str">
        <f>IFERROR(__xludf.DUMMYFUNCTION("GOOGLETRANSLATE(B2918)"),"創傷")</f>
        <v>創傷</v>
      </c>
    </row>
    <row r="2919" ht="15.75" customHeight="1">
      <c r="A2919" s="4">
        <v>9822.0</v>
      </c>
      <c r="B2919" s="4" t="s">
        <v>4450</v>
      </c>
      <c r="D2919" s="4" t="s">
        <v>4456</v>
      </c>
      <c r="E2919" s="4">
        <v>1.0</v>
      </c>
      <c r="F2919" s="4" t="str">
        <f>IFERROR(__xludf.DUMMYFUNCTION("GOOGLETRANSLATE(D2919)"),"廣島：他們讓我畫出我的故事：八十九歲的老人回憶起當時的恐怖和創傷...... http://t.co/spE7U8t40K")</f>
        <v>廣島：他們讓我畫出我的故事：八十九歲的老人回憶起當時的恐怖和創傷...... http://t.co/spE7U8t40K</v>
      </c>
      <c r="G2919" s="4" t="str">
        <f>IFERROR(__xludf.DUMMYFUNCTION("GOOGLETRANSLATE(B2919)"),"創傷")</f>
        <v>創傷</v>
      </c>
    </row>
    <row r="2920" ht="15.75" customHeight="1">
      <c r="A2920" s="4">
        <v>9823.0</v>
      </c>
      <c r="B2920" s="4" t="s">
        <v>4450</v>
      </c>
      <c r="C2920" s="4" t="s">
        <v>1972</v>
      </c>
      <c r="D2920" s="4" t="s">
        <v>4457</v>
      </c>
      <c r="E2920" s="4">
        <v>1.0</v>
      </c>
      <c r="F2920" s="4" t="str">
        <f>IFERROR(__xludf.DUMMYFUNCTION("GOOGLETRANSLATE(D2920)"),"照片：lavenderpoetrycafe：被遺忘的性創傷歷史 歇斯底里症是一種主要可見的痛苦...... http://t.co/U2eS0Uk1u3")</f>
        <v>照片：lavenderpoetrycafe：被遺忘的性創傷歷史 歇斯底里症是一種主要可見的痛苦...... http://t.co/U2eS0Uk1u3</v>
      </c>
      <c r="G2920" s="4" t="str">
        <f>IFERROR(__xludf.DUMMYFUNCTION("GOOGLETRANSLATE(B2920)"),"創傷")</f>
        <v>創傷</v>
      </c>
    </row>
    <row r="2921" ht="15.75" customHeight="1">
      <c r="A2921" s="4">
        <v>9826.0</v>
      </c>
      <c r="B2921" s="4" t="s">
        <v>4450</v>
      </c>
      <c r="D2921" s="4" t="s">
        <v>4458</v>
      </c>
      <c r="E2921" s="4">
        <v>1.0</v>
      </c>
      <c r="F2921" s="4" t="str">
        <f>IFERROR(__xludf.DUMMYFUNCTION("GOOGLETRANSLATE(D2921)"),"涉及兒童和運動的創傷通常與自行車相關 - CBC.ca http://t.co/0dQjereTXU")</f>
        <v>涉及兒童和運動的創傷通常與自行車相關 - CBC.ca http://t.co/0dQjereTXU</v>
      </c>
      <c r="G2921" s="4" t="str">
        <f>IFERROR(__xludf.DUMMYFUNCTION("GOOGLETRANSLATE(B2921)"),"創傷")</f>
        <v>創傷</v>
      </c>
    </row>
    <row r="2922" ht="15.75" customHeight="1">
      <c r="A2922" s="4">
        <v>9828.0</v>
      </c>
      <c r="B2922" s="4" t="s">
        <v>4450</v>
      </c>
      <c r="D2922" s="4" t="s">
        <v>4459</v>
      </c>
      <c r="E2922" s="4">
        <v>1.0</v>
      </c>
      <c r="F2922" s="4" t="str">
        <f>IFERROR(__xludf.DUMMYFUNCTION("GOOGLETRANSLATE(D2922)"),"非凡的臀部創傷")</f>
        <v>非凡的臀部創傷</v>
      </c>
      <c r="G2922" s="4" t="str">
        <f>IFERROR(__xludf.DUMMYFUNCTION("GOOGLETRANSLATE(B2922)"),"創傷")</f>
        <v>創傷</v>
      </c>
    </row>
    <row r="2923" ht="15.75" customHeight="1">
      <c r="A2923" s="4">
        <v>9834.0</v>
      </c>
      <c r="B2923" s="4" t="s">
        <v>4450</v>
      </c>
      <c r="D2923" s="4" t="s">
        <v>4460</v>
      </c>
      <c r="E2923" s="4">
        <v>1.0</v>
      </c>
      <c r="F2923" s="4" t="str">
        <f>IFERROR(__xludf.DUMMYFUNCTION("GOOGLETRANSLATE(D2923)"),"血液記憶：代內創傷與桑德拉·布蘭德之死 http://t.co/ZWeyGpHpf7")</f>
        <v>血液記憶：代內創傷與桑德拉·布蘭德之死 http://t.co/ZWeyGpHpf7</v>
      </c>
      <c r="G2923" s="4" t="str">
        <f>IFERROR(__xludf.DUMMYFUNCTION("GOOGLETRANSLATE(B2923)"),"創傷")</f>
        <v>創傷</v>
      </c>
    </row>
    <row r="2924" ht="15.75" customHeight="1">
      <c r="A2924" s="4">
        <v>9838.0</v>
      </c>
      <c r="B2924" s="4" t="s">
        <v>4450</v>
      </c>
      <c r="C2924" s="4" t="s">
        <v>48</v>
      </c>
      <c r="D2924" s="4" t="s">
        <v>4461</v>
      </c>
      <c r="E2924" s="4">
        <v>1.0</v>
      </c>
      <c r="F2924" s="4" t="str">
        <f>IFERROR(__xludf.DUMMYFUNCTION("GOOGLETRANSLATE(D2924)"),"受人尊敬的記者回憶起未解決的#childhood #trauma 的悲慘影響。 @keithboykin @RandallPinkston @pozarmy http://t.co/GXq1Auzb18")</f>
        <v>受人尊敬的記者回憶起未解決的#childhood #trauma 的悲慘影響。 @keithboykin @RandallPinkston @pozarmy http://t.co/GXq1Auzb18</v>
      </c>
      <c r="G2924" s="4" t="str">
        <f>IFERROR(__xludf.DUMMYFUNCTION("GOOGLETRANSLATE(B2924)"),"創傷")</f>
        <v>創傷</v>
      </c>
    </row>
    <row r="2925" ht="15.75" customHeight="1">
      <c r="A2925" s="4">
        <v>9841.0</v>
      </c>
      <c r="B2925" s="4" t="s">
        <v>4450</v>
      </c>
      <c r="C2925" s="4" t="s">
        <v>376</v>
      </c>
      <c r="D2925" s="4" t="s">
        <v>4462</v>
      </c>
      <c r="E2925" s="4">
        <v>1.0</v>
      </c>
      <c r="F2925" s="4" t="str">
        <f>IFERROR(__xludf.DUMMYFUNCTION("GOOGLETRANSLATE(D2925)"),"創傷可能發生在任何地方——學校等——任何時間。了解創傷的 ABC 以及如何養育子女...Û_ http://t.co/fMj8MXJY8a")</f>
        <v>創傷可能發生在任何地方——學校等——任何時間。了解創傷的 ABC 以及如何養育子女...Û_ http://t.co/fMj8MXJY8a</v>
      </c>
      <c r="G2925" s="4" t="str">
        <f>IFERROR(__xludf.DUMMYFUNCTION("GOOGLETRANSLATE(B2925)"),"創傷")</f>
        <v>創傷</v>
      </c>
    </row>
    <row r="2926" ht="15.75" customHeight="1">
      <c r="A2926" s="4">
        <v>9854.0</v>
      </c>
      <c r="B2926" s="4" t="s">
        <v>4450</v>
      </c>
      <c r="C2926" s="4" t="s">
        <v>4463</v>
      </c>
      <c r="D2926" s="4" t="s">
        <v>4464</v>
      </c>
      <c r="E2926" s="4">
        <v>1.0</v>
      </c>
      <c r="F2926" s="4" t="str">
        <f>IFERROR(__xludf.DUMMYFUNCTION("GOOGLETRANSLATE(D2926)"),"80 名@UChicago 教員推動大學推翻創傷中心抗議者的禁令 http://t.co/ta1yqclpSc http://t.co/xToHI1HexY")</f>
        <v>80 名@UChicago 教員推動大學推翻創傷中心抗議者的禁令 http://t.co/ta1yqclpSc http://t.co/xToHI1HexY</v>
      </c>
      <c r="G2926" s="4" t="str">
        <f>IFERROR(__xludf.DUMMYFUNCTION("GOOGLETRANSLATE(B2926)"),"創傷")</f>
        <v>創傷</v>
      </c>
    </row>
    <row r="2927" ht="15.75" customHeight="1">
      <c r="A2927" s="4">
        <v>9868.0</v>
      </c>
      <c r="B2927" s="4" t="s">
        <v>4465</v>
      </c>
      <c r="C2927" s="4" t="s">
        <v>1002</v>
      </c>
      <c r="D2927" s="4" t="s">
        <v>4466</v>
      </c>
      <c r="E2927" s="4">
        <v>1.0</v>
      </c>
      <c r="F2927" s="4" t="str">
        <f>IFERROR(__xludf.DUMMYFUNCTION("GOOGLETRANSLATE(D2927)"),"@PyramidHead76 觀看這部電影有一件好事。受到太大的創傷而無法觀看演出，因此開始停止並開始觀看演出。在亞馬遜上火起來。 ：D")</f>
        <v>@PyramidHead76 觀看這部電影有一件好事。受到太大的創傷而無法觀看演出，因此開始停止並開始觀看演出。在亞馬遜上火起來。 ：D</v>
      </c>
      <c r="G2927" s="4" t="str">
        <f>IFERROR(__xludf.DUMMYFUNCTION("GOOGLETRANSLATE(B2927)"),"受過創傷的")</f>
        <v>受過創傷的</v>
      </c>
    </row>
    <row r="2928" ht="15.75" customHeight="1">
      <c r="A2928" s="4">
        <v>9883.0</v>
      </c>
      <c r="B2928" s="4" t="s">
        <v>4465</v>
      </c>
      <c r="D2928" s="4" t="s">
        <v>4467</v>
      </c>
      <c r="E2928" s="4">
        <v>1.0</v>
      </c>
      <c r="F2928" s="4" t="str">
        <f>IFERROR(__xludf.DUMMYFUNCTION("GOOGLETRANSLATE(D2928)"),"@disneyIrh 我受了很大的創傷？？？ http://t.co/TATZfK63Ch")</f>
        <v>@disneyIrh 我受了很大的創傷？？？ http://t.co/TATZfK63Ch</v>
      </c>
      <c r="G2928" s="4" t="str">
        <f>IFERROR(__xludf.DUMMYFUNCTION("GOOGLETRANSLATE(B2928)"),"受過創傷的")</f>
        <v>受過創傷的</v>
      </c>
    </row>
    <row r="2929" ht="15.75" customHeight="1">
      <c r="A2929" s="4">
        <v>9912.0</v>
      </c>
      <c r="B2929" s="4" t="s">
        <v>4468</v>
      </c>
      <c r="C2929" s="4" t="s">
        <v>4469</v>
      </c>
      <c r="D2929" s="4" t="s">
        <v>4470</v>
      </c>
      <c r="E2929" s="4">
        <v>1.0</v>
      </c>
      <c r="F2929" s="4" t="str">
        <f>IFERROR(__xludf.DUMMYFUNCTION("GOOGLETRANSLATE(D2929)"),"@lucysforsale 很有趣，因為我這個笨蛋是最容易惹麻煩的年輕人，哈哈")</f>
        <v>@lucysforsale 很有趣，因為我這個笨蛋是最容易惹麻煩的年輕人，哈哈</v>
      </c>
      <c r="G2929" s="4" t="str">
        <f>IFERROR(__xludf.DUMMYFUNCTION("GOOGLETRANSLATE(B2929)"),"麻煩")</f>
        <v>麻煩</v>
      </c>
    </row>
    <row r="2930" ht="15.75" customHeight="1">
      <c r="A2930" s="4">
        <v>9916.0</v>
      </c>
      <c r="B2930" s="4" t="s">
        <v>4468</v>
      </c>
      <c r="C2930" s="4" t="s">
        <v>126</v>
      </c>
      <c r="D2930" s="4" t="s">
        <v>4471</v>
      </c>
      <c r="E2930" s="4">
        <v>1.0</v>
      </c>
      <c r="F2930" s="4" t="str">
        <f>IFERROR(__xludf.DUMMYFUNCTION("GOOGLETRANSLATE(D2930)"),"@canagal 很高興聽到它回來了..不過那場風暴給你們帶來了麻煩:( ^SJ")</f>
        <v>@canagal 很高興聽到它回來了..不過那場風暴給你們帶來了麻煩:( ^SJ</v>
      </c>
      <c r="G2930" s="4" t="str">
        <f>IFERROR(__xludf.DUMMYFUNCTION("GOOGLETRANSLATE(B2930)"),"麻煩")</f>
        <v>麻煩</v>
      </c>
    </row>
    <row r="2931" ht="15.75" customHeight="1">
      <c r="A2931" s="4">
        <v>9931.0</v>
      </c>
      <c r="B2931" s="4" t="s">
        <v>4468</v>
      </c>
      <c r="D2931" s="4" t="s">
        <v>4472</v>
      </c>
      <c r="E2931" s="4">
        <v>1.0</v>
      </c>
      <c r="F2931" s="4" t="str">
        <f>IFERROR(__xludf.DUMMYFUNCTION("GOOGLETRANSLATE(D2931)"),"天哪，瑞安有麻煩了 http://t.co/ADIp0UnXHU")</f>
        <v>天哪，瑞安有麻煩了 http://t.co/ADIp0UnXHU</v>
      </c>
      <c r="G2931" s="4" t="str">
        <f>IFERROR(__xludf.DUMMYFUNCTION("GOOGLETRANSLATE(B2931)"),"麻煩")</f>
        <v>麻煩</v>
      </c>
    </row>
    <row r="2932" ht="15.75" customHeight="1">
      <c r="A2932" s="4">
        <v>9933.0</v>
      </c>
      <c r="B2932" s="4" t="s">
        <v>4468</v>
      </c>
      <c r="C2932" s="4" t="s">
        <v>4473</v>
      </c>
      <c r="D2932" s="4" t="s">
        <v>4474</v>
      </c>
      <c r="E2932" s="4">
        <v>1.0</v>
      </c>
      <c r="F2932" s="4" t="str">
        <f>IFERROR(__xludf.DUMMYFUNCTION("GOOGLETRANSLATE(D2932)"),"草莓遇到大麻煩了。科學家競相尋找解決方案。 http://t.co/MqydXRLae7 http://t.co/EpJjkB4Be9")</f>
        <v>草莓遇到大麻煩了。科學家競相尋找解決方案。 http://t.co/MqydXRLae7 http://t.co/EpJjkB4Be9</v>
      </c>
      <c r="G2932" s="4" t="str">
        <f>IFERROR(__xludf.DUMMYFUNCTION("GOOGLETRANSLATE(B2932)"),"麻煩")</f>
        <v>麻煩</v>
      </c>
    </row>
    <row r="2933" ht="15.75" customHeight="1">
      <c r="A2933" s="4">
        <v>9940.0</v>
      </c>
      <c r="B2933" s="4" t="s">
        <v>4468</v>
      </c>
      <c r="D2933" s="4" t="s">
        <v>4475</v>
      </c>
      <c r="E2933" s="4">
        <v>1.0</v>
      </c>
      <c r="F2933" s="4" t="str">
        <f>IFERROR(__xludf.DUMMYFUNCTION("GOOGLETRANSLATE(D2933)"),"@cspan #Prez。總統先生，您是世界上最大的恐怖分子和麻煩製造者。你創造了恐怖分子，你資助了恐怖分子。")</f>
        <v>@cspan #Prez。總統先生，您是世界上最大的恐怖分子和麻煩製造者。你創造了恐怖分子，你資助了恐怖分子。</v>
      </c>
      <c r="G2933" s="4" t="str">
        <f>IFERROR(__xludf.DUMMYFUNCTION("GOOGLETRANSLATE(B2933)"),"麻煩")</f>
        <v>麻煩</v>
      </c>
    </row>
    <row r="2934" ht="15.75" customHeight="1">
      <c r="A2934" s="4">
        <v>9960.0</v>
      </c>
      <c r="B2934" s="4" t="s">
        <v>4476</v>
      </c>
      <c r="D2934" s="4" t="s">
        <v>4477</v>
      </c>
      <c r="E2934" s="4">
        <v>1.0</v>
      </c>
      <c r="F2934" s="4" t="str">
        <f>IFERROR(__xludf.DUMMYFUNCTION("GOOGLETRANSLATE(D2934)"),"那我們有颶風龍捲風海嘯嗎？有人請告訴我到底發生了什麼事#nopower")</f>
        <v>那我們有颶風龍捲風海嘯嗎？有人請告訴我到底發生了什麼事#nopower</v>
      </c>
      <c r="G2934" s="4" t="str">
        <f>IFERROR(__xludf.DUMMYFUNCTION("GOOGLETRANSLATE(B2934)"),"海嘯")</f>
        <v>海嘯</v>
      </c>
    </row>
    <row r="2935" ht="15.75" customHeight="1">
      <c r="A2935" s="4">
        <v>9961.0</v>
      </c>
      <c r="B2935" s="4" t="s">
        <v>4476</v>
      </c>
      <c r="C2935" s="4" t="s">
        <v>1959</v>
      </c>
      <c r="D2935" s="4" t="s">
        <v>4478</v>
      </c>
      <c r="E2935" s="4">
        <v>1.0</v>
      </c>
      <c r="F2935" s="4" t="str">
        <f>IFERROR(__xludf.DUMMYFUNCTION("GOOGLETRANSLATE(D2935)"),"@helene_yancey GodsLove &amp;amp; #感謝我姐姐 Helene 轉發新影片 http://t.co/cybKsXHF7d 即將到來的世界末日美國地震和地震海嘯")</f>
        <v>@helene_yancey GodsLove &amp;amp; #感謝我姐姐 Helene 轉發新影片 http://t.co/cybKsXHF7d 即將到來的世界末日美國地震和地震海嘯</v>
      </c>
      <c r="G2935" s="4" t="str">
        <f>IFERROR(__xludf.DUMMYFUNCTION("GOOGLETRANSLATE(B2935)"),"海嘯")</f>
        <v>海嘯</v>
      </c>
    </row>
    <row r="2936" ht="15.75" customHeight="1">
      <c r="A2936" s="4">
        <v>9972.0</v>
      </c>
      <c r="B2936" s="4" t="s">
        <v>4476</v>
      </c>
      <c r="D2936" s="4" t="s">
        <v>4479</v>
      </c>
      <c r="E2936" s="4">
        <v>1.0</v>
      </c>
      <c r="F2936" s="4" t="str">
        <f>IFERROR(__xludf.DUMMYFUNCTION("GOOGLETRANSLATE(D2936)"),"Crptotech 海嘯和銀行。
 http://t.co/KHzTeVeDja #Banking #tech #bitcoing #blockchain")</f>
        <v>Crptotech 海嘯和銀行。
 http://t.co/KHzTeVeDja #Banking #tech #bitcoing #blockchain</v>
      </c>
      <c r="G2936" s="4" t="str">
        <f>IFERROR(__xludf.DUMMYFUNCTION("GOOGLETRANSLATE(B2936)"),"海嘯")</f>
        <v>海嘯</v>
      </c>
    </row>
    <row r="2937" ht="15.75" customHeight="1">
      <c r="A2937" s="4">
        <v>9976.0</v>
      </c>
      <c r="B2937" s="4" t="s">
        <v>4476</v>
      </c>
      <c r="C2937" s="4" t="s">
        <v>4480</v>
      </c>
      <c r="D2937" s="4" t="s">
        <v>4481</v>
      </c>
      <c r="E2937" s="4">
        <v>1.0</v>
      </c>
      <c r="F2937" s="4" t="str">
        <f>IFERROR(__xludf.DUMMYFUNCTION("GOOGLETRANSLATE(D2937)"),"視覺錯覺 - 雲層翻滾在山上，看起來像海嘯 - 瑞士日內瓦 http://t.co/EyEVZIoPg1")</f>
        <v>視覺錯覺 - 雲層翻滾在山上，看起來像海嘯 - 瑞士日內瓦 http://t.co/EyEVZIoPg1</v>
      </c>
      <c r="G2937" s="4" t="str">
        <f>IFERROR(__xludf.DUMMYFUNCTION("GOOGLETRANSLATE(B2937)"),"海嘯")</f>
        <v>海嘯</v>
      </c>
    </row>
    <row r="2938" ht="15.75" customHeight="1">
      <c r="A2938" s="4">
        <v>9978.0</v>
      </c>
      <c r="B2938" s="4" t="s">
        <v>4476</v>
      </c>
      <c r="C2938" s="4" t="s">
        <v>4482</v>
      </c>
      <c r="D2938" s="4" t="s">
        <v>4483</v>
      </c>
      <c r="E2938" s="4">
        <v>1.0</v>
      </c>
      <c r="F2938" s="4" t="str">
        <f>IFERROR(__xludf.DUMMYFUNCTION("GOOGLETRANSLATE(D2938)"),"日本發生的地震和海嘯「言論自由」也被吞噬。 http://t.co/TJyyFT6NV0")</f>
        <v>日本發生的地震和海嘯「言論自由」也被吞噬。 http://t.co/TJyyFT6NV0</v>
      </c>
      <c r="G2938" s="4" t="str">
        <f>IFERROR(__xludf.DUMMYFUNCTION("GOOGLETRANSLATE(B2938)"),"海嘯")</f>
        <v>海嘯</v>
      </c>
    </row>
    <row r="2939" ht="15.75" customHeight="1">
      <c r="A2939" s="4">
        <v>9985.0</v>
      </c>
      <c r="B2939" s="4" t="s">
        <v>4476</v>
      </c>
      <c r="C2939" s="4" t="s">
        <v>3329</v>
      </c>
      <c r="D2939" s="4" t="s">
        <v>4484</v>
      </c>
      <c r="E2939" s="4">
        <v>1.0</v>
      </c>
      <c r="F2939" s="4" t="str">
        <f>IFERROR(__xludf.DUMMYFUNCTION("GOOGLETRANSLATE(D2939)"),"？#福島？#東電？
日本海嘯造成的堆積如山的廢墟漂到了西岸
http://t.co/y518jYrZav")</f>
        <v>？#福島？#東電？
日本海嘯造成的堆積如山的廢墟漂到了西岸
http://t.co/y518jYrZav</v>
      </c>
      <c r="G2939" s="4" t="str">
        <f>IFERROR(__xludf.DUMMYFUNCTION("GOOGLETRANSLATE(B2939)"),"海嘯")</f>
        <v>海嘯</v>
      </c>
    </row>
    <row r="2940" ht="15.75" customHeight="1">
      <c r="A2940" s="4">
        <v>9988.0</v>
      </c>
      <c r="B2940" s="4" t="s">
        <v>4476</v>
      </c>
      <c r="C2940" s="4" t="s">
        <v>4485</v>
      </c>
      <c r="D2940" s="4" t="s">
        <v>4486</v>
      </c>
      <c r="E2940" s="4">
        <v>1.0</v>
      </c>
      <c r="F2940" s="4" t="str">
        <f>IFERROR(__xludf.DUMMYFUNCTION("GOOGLETRANSLATE(D2940)"),"@slone 第一次世界大戰真的結束了嗎？漣漪依然存在，並已復合成低階海嘯")</f>
        <v>@slone 第一次世界大戰真的結束了嗎？漣漪依然存在，並已復合成低階海嘯</v>
      </c>
      <c r="G2940" s="4" t="str">
        <f>IFERROR(__xludf.DUMMYFUNCTION("GOOGLETRANSLATE(B2940)"),"海嘯")</f>
        <v>海嘯</v>
      </c>
    </row>
    <row r="2941" ht="15.75" customHeight="1">
      <c r="A2941" s="4">
        <v>9989.0</v>
      </c>
      <c r="B2941" s="4" t="s">
        <v>4476</v>
      </c>
      <c r="C2941" s="4" t="s">
        <v>4487</v>
      </c>
      <c r="D2941" s="4" t="s">
        <v>4488</v>
      </c>
      <c r="E2941" s="4">
        <v>1.0</v>
      </c>
      <c r="F2941" s="4" t="str">
        <f>IFERROR(__xludf.DUMMYFUNCTION("GOOGLETRANSLATE(D2941)"),"我希望這次海嘯能夠過去 b4 我必須走到外面去我的車？？？")</f>
        <v>我希望這次海嘯能夠過去 b4 我必須走到外面去我的車？？？</v>
      </c>
      <c r="G2941" s="4" t="str">
        <f>IFERROR(__xludf.DUMMYFUNCTION("GOOGLETRANSLATE(B2941)"),"海嘯")</f>
        <v>海嘯</v>
      </c>
    </row>
    <row r="2942" ht="15.75" customHeight="1">
      <c r="A2942" s="4">
        <v>9991.0</v>
      </c>
      <c r="B2942" s="4" t="s">
        <v>4476</v>
      </c>
      <c r="C2942" s="4" t="s">
        <v>1959</v>
      </c>
      <c r="D2942" s="4" t="s">
        <v>4489</v>
      </c>
      <c r="E2942" s="4">
        <v>1.0</v>
      </c>
      <c r="F2942" s="4" t="str">
        <f>IFERROR(__xludf.DUMMYFUNCTION("GOOGLETRANSLATE(D2942)"),"@author_mike 阿門今天是拯救日。謝謝邁克兄弟的大力鼓勵。 - http://t.co/cybKsXHF7d 美國海嘯即將來臨")</f>
        <v>@author_mike 阿門今天是拯救日。謝謝邁克兄弟的大力鼓勵。 - http://t.co/cybKsXHF7d 美國海嘯即將來臨</v>
      </c>
      <c r="G2942" s="4" t="str">
        <f>IFERROR(__xludf.DUMMYFUNCTION("GOOGLETRANSLATE(B2942)"),"海嘯")</f>
        <v>海嘯</v>
      </c>
    </row>
    <row r="2943" ht="15.75" customHeight="1">
      <c r="A2943" s="4">
        <v>9992.0</v>
      </c>
      <c r="B2943" s="4" t="s">
        <v>4476</v>
      </c>
      <c r="D2943" s="4" t="s">
        <v>4490</v>
      </c>
      <c r="E2943" s="4">
        <v>1.0</v>
      </c>
      <c r="F2943" s="4" t="str">
        <f>IFERROR(__xludf.DUMMYFUNCTION("GOOGLETRANSLATE(D2943)"),"我不再有想念你的浪潮，在我眼裡它們更像是海嘯潮汐")</f>
        <v>我不再有想念你的浪潮，在我眼裡它們更像是海嘯潮汐</v>
      </c>
      <c r="G2943" s="4" t="str">
        <f>IFERROR(__xludf.DUMMYFUNCTION("GOOGLETRANSLATE(B2943)"),"海嘯")</f>
        <v>海嘯</v>
      </c>
    </row>
    <row r="2944" ht="15.75" customHeight="1">
      <c r="A2944" s="4">
        <v>10001.0</v>
      </c>
      <c r="B2944" s="4" t="s">
        <v>4476</v>
      </c>
      <c r="C2944" s="4" t="s">
        <v>4491</v>
      </c>
      <c r="D2944" s="4" t="s">
        <v>4492</v>
      </c>
      <c r="E2944" s="4">
        <v>1.0</v>
      </c>
      <c r="F2944" s="4" t="str">
        <f>IFERROR(__xludf.DUMMYFUNCTION("GOOGLETRANSLATE(D2944)"),"認識 Brinco 您自己的個人地震和海嘯預警信標。 http://t.co/NXkUM9h7wD")</f>
        <v>認識 Brinco 您自己的個人地震和海嘯預警信標。 http://t.co/NXkUM9h7wD</v>
      </c>
      <c r="G2944" s="4" t="str">
        <f>IFERROR(__xludf.DUMMYFUNCTION("GOOGLETRANSLATE(B2944)"),"海嘯")</f>
        <v>海嘯</v>
      </c>
    </row>
    <row r="2945" ht="15.75" customHeight="1">
      <c r="A2945" s="4">
        <v>10008.0</v>
      </c>
      <c r="B2945" s="4" t="s">
        <v>4493</v>
      </c>
      <c r="D2945" s="4" t="s">
        <v>4494</v>
      </c>
      <c r="E2945" s="4">
        <v>1.0</v>
      </c>
      <c r="F2945" s="4" t="str">
        <f>IFERROR(__xludf.DUMMYFUNCTION("GOOGLETRANSLATE(D2945)"),"到最後真是太扭曲了！我當時想哦不？")</f>
        <v>到最後真是太扭曲了！我當時想哦不？</v>
      </c>
      <c r="G2945" s="4" t="str">
        <f>IFERROR(__xludf.DUMMYFUNCTION("GOOGLETRANSLATE(B2945)"),"龍捲風")</f>
        <v>龍捲風</v>
      </c>
    </row>
    <row r="2946" ht="15.75" customHeight="1">
      <c r="A2946" s="4">
        <v>10009.0</v>
      </c>
      <c r="B2946" s="4" t="s">
        <v>4493</v>
      </c>
      <c r="C2946" s="4" t="s">
        <v>2714</v>
      </c>
      <c r="D2946" s="4" t="s">
        <v>4495</v>
      </c>
      <c r="E2946" s="4">
        <v>1.0</v>
      </c>
      <c r="F2946" s="4" t="str">
        <f>IFERROR(__xludf.DUMMYFUNCTION("GOOGLETRANSLATE(D2946)"),"蓋爾和拉塞爾在他們的達爾羅伊家中看到了很多冰雹 - 他們有距離他們家 1/2 英里的龍捲風視頻 #yyc http://t.co/3VfKEdGrsO")</f>
        <v>蓋爾和拉塞爾在他們的達爾羅伊家中看到了很多冰雹 - 他們有距離他們家 1/2 英里的龍捲風視頻 #yyc http://t.co/3VfKEdGrsO</v>
      </c>
      <c r="G2946" s="4" t="str">
        <f>IFERROR(__xludf.DUMMYFUNCTION("GOOGLETRANSLATE(B2946)"),"龍捲風")</f>
        <v>龍捲風</v>
      </c>
    </row>
    <row r="2947" ht="15.75" customHeight="1">
      <c r="A2947" s="4">
        <v>10012.0</v>
      </c>
      <c r="B2947" s="4" t="s">
        <v>4493</v>
      </c>
      <c r="C2947" s="4" t="s">
        <v>4496</v>
      </c>
      <c r="D2947" s="4" t="s">
        <v>4497</v>
      </c>
      <c r="E2947" s="4">
        <v>1.0</v>
      </c>
      <c r="F2947" s="4" t="str">
        <f>IFERROR(__xludf.DUMMYFUNCTION("GOOGLETRANSLATE(D2947)"),"950.如果今天山體滑坡，我站在你這邊
如果一場龍捲風將這一切席捲而去——
你是你自己的婊子！*跑到遠處*")</f>
        <v>950.如果今天山體滑坡，我站在你這邊
如果一場龍捲風將這一切席捲而去——
你是你自己的婊子！*跑到遠處*</v>
      </c>
      <c r="G2947" s="4" t="str">
        <f>IFERROR(__xludf.DUMMYFUNCTION("GOOGLETRANSLATE(B2947)"),"龍捲風")</f>
        <v>龍捲風</v>
      </c>
    </row>
    <row r="2948" ht="15.75" customHeight="1">
      <c r="A2948" s="4">
        <v>10034.0</v>
      </c>
      <c r="B2948" s="4" t="s">
        <v>4493</v>
      </c>
      <c r="C2948" s="4" t="s">
        <v>3919</v>
      </c>
      <c r="D2948" s="4" t="s">
        <v>4498</v>
      </c>
      <c r="E2948" s="4">
        <v>1.0</v>
      </c>
      <c r="F2948" s="4" t="str">
        <f>IFERROR(__xludf.DUMMYFUNCTION("GOOGLETRANSLATE(D2948)"),"根據她的 Friend50 報道，瘋狂媽媽為十幾歲的女兒舉辦了一場裸體扭轉性愛派對 =&amp;gt;http://t.co/Hy5Pbe12TM http://t.co/c1nJpLi5oR")</f>
        <v>根據她的 Friend50 報道，瘋狂媽媽為十幾歲的女兒舉辦了一場裸體扭轉性愛派對 =&amp;gt;http://t.co/Hy5Pbe12TM http://t.co/c1nJpLi5oR</v>
      </c>
      <c r="G2948" s="4" t="str">
        <f>IFERROR(__xludf.DUMMYFUNCTION("GOOGLETRANSLATE(B2948)"),"龍捲風")</f>
        <v>龍捲風</v>
      </c>
    </row>
    <row r="2949" ht="15.75" customHeight="1">
      <c r="A2949" s="4">
        <v>10040.0</v>
      </c>
      <c r="B2949" s="4" t="s">
        <v>4493</v>
      </c>
      <c r="D2949" s="4" t="s">
        <v>4499</v>
      </c>
      <c r="E2949" s="4">
        <v>1.0</v>
      </c>
      <c r="F2949" s="4" t="str">
        <f>IFERROR(__xludf.DUMMYFUNCTION("GOOGLETRANSLATE(D2949)"),"龍捲風：厄爾尼諾現象可能會為加拿大的龍捲風季節帶來推動#Toronto http://t.co/agyCutKBnN")</f>
        <v>龍捲風：厄爾尼諾現象可能會為加拿大的龍捲風季節帶來推動#Toronto http://t.co/agyCutKBnN</v>
      </c>
      <c r="G2949" s="4" t="str">
        <f>IFERROR(__xludf.DUMMYFUNCTION("GOOGLETRANSLATE(B2949)"),"龍捲風")</f>
        <v>龍捲風</v>
      </c>
    </row>
    <row r="2950" ht="15.75" customHeight="1">
      <c r="A2950" s="4">
        <v>10058.0</v>
      </c>
      <c r="B2950" s="4" t="s">
        <v>4500</v>
      </c>
      <c r="D2950" s="4" t="s">
        <v>4501</v>
      </c>
      <c r="E2950" s="4">
        <v>1.0</v>
      </c>
      <c r="F2950" s="4" t="str">
        <f>IFERROR(__xludf.DUMMYFUNCTION("GOOGLETRANSLATE(D2950)"),"#Breaking144 歐巴馬宣布颱風摧毀的塞班島為災難：歐巴馬簽署災難聲明... http://t.co/M8CIKs60BX #AceNewsDesk")</f>
        <v>#Breaking144 歐巴馬宣布颱風摧毀的塞班島為災難：歐巴馬簽署災難聲明... http://t.co/M8CIKs60BX #AceNewsDesk</v>
      </c>
      <c r="G2950" s="4" t="str">
        <f>IFERROR(__xludf.DUMMYFUNCTION("GOOGLETRANSLATE(B2950)"),"颱風")</f>
        <v>颱風</v>
      </c>
    </row>
    <row r="2951" ht="15.75" customHeight="1">
      <c r="A2951" s="4">
        <v>10059.0</v>
      </c>
      <c r="B2951" s="4" t="s">
        <v>4500</v>
      </c>
      <c r="C2951" s="4" t="s">
        <v>4502</v>
      </c>
      <c r="D2951" s="4" t="s">
        <v>4503</v>
      </c>
      <c r="E2951" s="4">
        <v>1.0</v>
      </c>
      <c r="F2951" s="4" t="str">
        <f>IFERROR(__xludf.DUMMYFUNCTION("GOOGLETRANSLATE(D2951)"),"地圖：颱風蘇迪勒接近台灣時的預測路徑；預計 SÛ_ 將在中國南部登陸 http://t.co/JDVSGVhlIs")</f>
        <v>地圖：颱風蘇迪勒接近台灣時的預測路徑；預計 SÛ_ 將在中國南部登陸 http://t.co/JDVSGVhlIs</v>
      </c>
      <c r="G2951" s="4" t="str">
        <f>IFERROR(__xludf.DUMMYFUNCTION("GOOGLETRANSLATE(B2951)"),"颱風")</f>
        <v>颱風</v>
      </c>
    </row>
    <row r="2952" ht="15.75" customHeight="1">
      <c r="A2952" s="4">
        <v>10060.0</v>
      </c>
      <c r="B2952" s="4" t="s">
        <v>4500</v>
      </c>
      <c r="C2952" s="4" t="s">
        <v>2744</v>
      </c>
      <c r="D2952" s="4" t="s">
        <v>4504</v>
      </c>
      <c r="E2952" s="4">
        <v>1.0</v>
      </c>
      <c r="F2952" s="4" t="str">
        <f>IFERROR(__xludf.DUMMYFUNCTION("GOOGLETRANSLATE(D2952)"),"了解您的資金是如何用於應對菲律賓颱風海燕的。請參閱@DevPeace 海燕救助基金報告 http://t.co/JwxrX1LsqO")</f>
        <v>了解您的資金是如何用於應對菲律賓颱風海燕的。請參閱@DevPeace 海燕救助基金報告 http://t.co/JwxrX1LsqO</v>
      </c>
      <c r="G2952" s="4" t="str">
        <f>IFERROR(__xludf.DUMMYFUNCTION("GOOGLETRANSLATE(B2952)"),"颱風")</f>
        <v>颱風</v>
      </c>
    </row>
    <row r="2953" ht="15.75" customHeight="1">
      <c r="A2953" s="4">
        <v>10061.0</v>
      </c>
      <c r="B2953" s="4" t="s">
        <v>4500</v>
      </c>
      <c r="C2953" s="4" t="s">
        <v>4505</v>
      </c>
      <c r="D2953" s="4" t="s">
        <v>4506</v>
      </c>
      <c r="E2953" s="4">
        <v>1.0</v>
      </c>
      <c r="F2953" s="4" t="str">
        <f>IFERROR(__xludf.DUMMYFUNCTION("GOOGLETRANSLATE(D2953)"),"全球降水測量衛星捕捉颱風蘇迪勒 - NASA 颶風的 3D 影像。請瀏覽：http://t.co/sQN4girdvZ")</f>
        <v>全球降水測量衛星捕捉颱風蘇迪勒 - NASA 颶風的 3D 影像。請瀏覽：http://t.co/sQN4girdvZ</v>
      </c>
      <c r="G2953" s="4" t="str">
        <f>IFERROR(__xludf.DUMMYFUNCTION("GOOGLETRANSLATE(B2953)"),"颱風")</f>
        <v>颱風</v>
      </c>
    </row>
    <row r="2954" ht="15.75" customHeight="1">
      <c r="A2954" s="4">
        <v>10064.0</v>
      </c>
      <c r="B2954" s="4" t="s">
        <v>4500</v>
      </c>
      <c r="C2954" s="4" t="s">
        <v>4507</v>
      </c>
      <c r="D2954" s="4" t="s">
        <v>4508</v>
      </c>
      <c r="E2954" s="4">
        <v>1.0</v>
      </c>
      <c r="F2954" s="4" t="str">
        <f>IFERROR(__xludf.DUMMYFUNCTION("GOOGLETRANSLATE(D2954)"),"歐巴馬宣布遭受颱風破壞的塞班島為災難：歐巴馬簽署了北馬里安人的災難聲明... http://t.co/UsVyHdG9OG")</f>
        <v>歐巴馬宣布遭受颱風破壞的塞班島為災難：歐巴馬簽署了北馬里安人的災難聲明... http://t.co/UsVyHdG9OG</v>
      </c>
      <c r="G2954" s="4" t="str">
        <f>IFERROR(__xludf.DUMMYFUNCTION("GOOGLETRANSLATE(B2954)"),"颱風")</f>
        <v>颱風</v>
      </c>
    </row>
    <row r="2955" ht="15.75" customHeight="1">
      <c r="A2955" s="4">
        <v>10066.0</v>
      </c>
      <c r="B2955" s="4" t="s">
        <v>4500</v>
      </c>
      <c r="C2955" s="4" t="s">
        <v>38</v>
      </c>
      <c r="D2955" s="4" t="s">
        <v>4509</v>
      </c>
      <c r="E2955" s="4">
        <v>1.0</v>
      </c>
      <c r="F2955" s="4" t="str">
        <f>IFERROR(__xludf.DUMMYFUNCTION("GOOGLETRANSLATE(D2955)"),"#break #news 全球降水測量衛星捕捉颱風 Soudelor 的 3D 影像 - @NASAHurricane http://t.co/20DNcthr4D")</f>
        <v>#break #news 全球降水測量衛星捕捉颱風 Soudelor 的 3D 影像 - @NASAHurricane http://t.co/20DNcthr4D</v>
      </c>
      <c r="G2955" s="4" t="str">
        <f>IFERROR(__xludf.DUMMYFUNCTION("GOOGLETRANSLATE(B2955)"),"颱風")</f>
        <v>颱風</v>
      </c>
    </row>
    <row r="2956" ht="15.75" customHeight="1">
      <c r="A2956" s="4">
        <v>10067.0</v>
      </c>
      <c r="B2956" s="4" t="s">
        <v>4500</v>
      </c>
      <c r="C2956" s="4" t="s">
        <v>4510</v>
      </c>
      <c r="D2956" s="4" t="s">
        <v>4511</v>
      </c>
      <c r="E2956" s="4">
        <v>1.0</v>
      </c>
      <c r="F2956" s="4" t="str">
        <f>IFERROR(__xludf.DUMMYFUNCTION("GOOGLETRANSLATE(D2956)"),"歐巴馬宣布遭受颱風襲擊的塞班島為災難：歐巴馬簽署了北瑪麗亞人災難聲明... http://t.co/Q3DtOqO04c")</f>
        <v>歐巴馬宣布遭受颱風襲擊的塞班島為災難：歐巴馬簽署了北瑪麗亞人災難聲明... http://t.co/Q3DtOqO04c</v>
      </c>
      <c r="G2956" s="4" t="str">
        <f>IFERROR(__xludf.DUMMYFUNCTION("GOOGLETRANSLATE(B2956)"),"颱風")</f>
        <v>颱風</v>
      </c>
    </row>
    <row r="2957" ht="15.75" customHeight="1">
      <c r="A2957" s="4">
        <v>10069.0</v>
      </c>
      <c r="B2957" s="4" t="s">
        <v>4500</v>
      </c>
      <c r="C2957" s="4" t="s">
        <v>4512</v>
      </c>
      <c r="D2957" s="4" t="s">
        <v>4513</v>
      </c>
      <c r="E2957" s="4">
        <v>1.0</v>
      </c>
      <c r="F2957" s="4" t="str">
        <f>IFERROR(__xludf.DUMMYFUNCTION("GOOGLETRANSLATE(D2957)"),"歐巴馬宣布遭受颱風破壞的塞班島為災難：歐巴馬簽署了北瑪麗亞人災難聲明... http://t.co/qjuU0wcWPx")</f>
        <v>歐巴馬宣布遭受颱風破壞的塞班島為災難：歐巴馬簽署了北瑪麗亞人災難聲明... http://t.co/qjuU0wcWPx</v>
      </c>
      <c r="G2957" s="4" t="str">
        <f>IFERROR(__xludf.DUMMYFUNCTION("GOOGLETRANSLATE(B2957)"),"颱風")</f>
        <v>颱風</v>
      </c>
    </row>
    <row r="2958" ht="15.75" customHeight="1">
      <c r="A2958" s="4">
        <v>10070.0</v>
      </c>
      <c r="B2958" s="4" t="s">
        <v>4500</v>
      </c>
      <c r="C2958" s="4" t="s">
        <v>4514</v>
      </c>
      <c r="D2958" s="4" t="s">
        <v>4515</v>
      </c>
      <c r="E2958" s="4">
        <v>1.0</v>
      </c>
      <c r="F2958" s="4" t="str">
        <f>IFERROR(__xludf.DUMMYFUNCTION("GOOGLETRANSLATE(D2958)"),"@FoxNews 要我向你們報告，歐巴馬先生剛剛宣布颱風蘇德勒後北馬裡亞納群島聯邦災區。你們2slow2報告。")</f>
        <v>@FoxNews 要我向你們報告，歐巴馬先生剛剛宣布颱風蘇德勒後北馬裡亞納群島聯邦災區。你們2slow2報告。</v>
      </c>
      <c r="G2958" s="4" t="str">
        <f>IFERROR(__xludf.DUMMYFUNCTION("GOOGLETRANSLATE(B2958)"),"颱風")</f>
        <v>颱風</v>
      </c>
    </row>
    <row r="2959" ht="15.75" customHeight="1">
      <c r="A2959" s="4">
        <v>10071.0</v>
      </c>
      <c r="B2959" s="4" t="s">
        <v>4500</v>
      </c>
      <c r="D2959" s="4" t="s">
        <v>1693</v>
      </c>
      <c r="E2959" s="4">
        <v>1.0</v>
      </c>
      <c r="F2959" s="4" t="str">
        <f>IFERROR(__xludf.DUMMYFUNCTION("GOOGLETRANSLATE(D2959)"),"abcnews - 歐巴馬宣布遭受颱風襲擊的塞班島為災難：歐巴馬簽署北部災難聲明... http://t.co/mg5eAJElul")</f>
        <v>abcnews - 歐巴馬宣布遭受颱風襲擊的塞班島為災難：歐巴馬簽署北部災難聲明... http://t.co/mg5eAJElul</v>
      </c>
      <c r="G2959" s="4" t="str">
        <f>IFERROR(__xludf.DUMMYFUNCTION("GOOGLETRANSLATE(B2959)"),"颱風")</f>
        <v>颱風</v>
      </c>
    </row>
    <row r="2960" ht="15.75" customHeight="1">
      <c r="A2960" s="4">
        <v>10072.0</v>
      </c>
      <c r="B2960" s="4" t="s">
        <v>4500</v>
      </c>
      <c r="D2960" s="4" t="s">
        <v>4516</v>
      </c>
      <c r="E2960" s="4">
        <v>1.0</v>
      </c>
      <c r="F2960" s="4" t="str">
        <f>IFERROR(__xludf.DUMMYFUNCTION("GOOGLETRANSLATE(D2960)"),"颱風「蘇迪勒」：什麼時候登陸台灣，影響程度如何？ #GeneralNews http://t.co/cWZHgEzAJ4")</f>
        <v>颱風「蘇迪勒」：什麼時候登陸台灣，影響程度如何？ #GeneralNews http://t.co/cWZHgEzAJ4</v>
      </c>
      <c r="G2960" s="4" t="str">
        <f>IFERROR(__xludf.DUMMYFUNCTION("GOOGLETRANSLATE(B2960)"),"颱風")</f>
        <v>颱風</v>
      </c>
    </row>
    <row r="2961" ht="15.75" customHeight="1">
      <c r="A2961" s="4">
        <v>10073.0</v>
      </c>
      <c r="B2961" s="4" t="s">
        <v>4500</v>
      </c>
      <c r="D2961" s="4" t="s">
        <v>4517</v>
      </c>
      <c r="E2961" s="4">
        <v>1.0</v>
      </c>
      <c r="F2961" s="4" t="str">
        <f>IFERROR(__xludf.DUMMYFUNCTION("GOOGLETRANSLATE(D2961)"),"歐巴馬宣布遭受颱風襲擊的塞班島為災難：歐巴馬簽署了北瑪麗亞人災難聲明... http://t.co/9i6CrCRq2m")</f>
        <v>歐巴馬宣布遭受颱風襲擊的塞班島為災難：歐巴馬簽署了北瑪麗亞人災難聲明... http://t.co/9i6CrCRq2m</v>
      </c>
      <c r="G2961" s="4" t="str">
        <f>IFERROR(__xludf.DUMMYFUNCTION("GOOGLETRANSLATE(B2961)"),"颱風")</f>
        <v>颱風</v>
      </c>
    </row>
    <row r="2962" ht="15.75" customHeight="1">
      <c r="A2962" s="4">
        <v>10074.0</v>
      </c>
      <c r="B2962" s="4" t="s">
        <v>4500</v>
      </c>
      <c r="D2962" s="4" t="s">
        <v>4518</v>
      </c>
      <c r="E2962" s="4">
        <v>1.0</v>
      </c>
      <c r="F2962" s="4" t="str">
        <f>IFERROR(__xludf.DUMMYFUNCTION("GOOGLETRANSLATE(D2962)"),"RT_America：RT RT_com：從太空看到的超級颱風蘇迪勒之眼（縮時） https://t.co/FC3BxRtHPG http://t.co/BIU4koWGlz")</f>
        <v>RT_America：RT RT_com：從太空看到的超級颱風蘇迪勒之眼（縮時） https://t.co/FC3BxRtHPG http://t.co/BIU4koWGlz</v>
      </c>
      <c r="G2962" s="4" t="str">
        <f>IFERROR(__xludf.DUMMYFUNCTION("GOOGLETRANSLATE(B2962)"),"颱風")</f>
        <v>颱風</v>
      </c>
    </row>
    <row r="2963" ht="15.75" customHeight="1">
      <c r="A2963" s="4">
        <v>10075.0</v>
      </c>
      <c r="B2963" s="4" t="s">
        <v>4500</v>
      </c>
      <c r="C2963" s="4" t="s">
        <v>38</v>
      </c>
      <c r="D2963" s="4" t="s">
        <v>4519</v>
      </c>
      <c r="E2963" s="4">
        <v>1.0</v>
      </c>
      <c r="F2963" s="4" t="str">
        <f>IFERROR(__xludf.DUMMYFUNCTION("GOOGLETRANSLATE(D2963)"),"颱風「蘇迪勒」瞄準台灣 http://t.co/3Ac5wuy1R0")</f>
        <v>颱風「蘇迪勒」瞄準台灣 http://t.co/3Ac5wuy1R0</v>
      </c>
      <c r="G2963" s="4" t="str">
        <f>IFERROR(__xludf.DUMMYFUNCTION("GOOGLETRANSLATE(B2963)"),"颱風")</f>
        <v>颱風</v>
      </c>
    </row>
    <row r="2964" ht="15.75" customHeight="1">
      <c r="A2964" s="4">
        <v>10076.0</v>
      </c>
      <c r="B2964" s="4" t="s">
        <v>4500</v>
      </c>
      <c r="C2964" s="4" t="s">
        <v>1972</v>
      </c>
      <c r="D2964" s="4" t="s">
        <v>4520</v>
      </c>
      <c r="E2964" s="4">
        <v>1.0</v>
      </c>
      <c r="F2964" s="4" t="str">
        <f>IFERROR(__xludf.DUMMYFUNCTION("GOOGLETRANSLATE(D2964)"),"全球降水測量衛星捕捉颱風蘇迪勒的 3D 影像 - @NASAHurricane http://t.co/iGCEtuMkcW")</f>
        <v>全球降水測量衛星捕捉颱風蘇迪勒的 3D 影像 - @NASAHurricane http://t.co/iGCEtuMkcW</v>
      </c>
      <c r="G2964" s="4" t="str">
        <f>IFERROR(__xludf.DUMMYFUNCTION("GOOGLETRANSLATE(B2964)"),"颱風")</f>
        <v>颱風</v>
      </c>
    </row>
    <row r="2965" ht="15.75" customHeight="1">
      <c r="A2965" s="4">
        <v>10077.0</v>
      </c>
      <c r="B2965" s="4" t="s">
        <v>4500</v>
      </c>
      <c r="C2965" s="4" t="s">
        <v>4521</v>
      </c>
      <c r="D2965" s="4" t="s">
        <v>4522</v>
      </c>
      <c r="E2965" s="4">
        <v>1.0</v>
      </c>
      <c r="F2965" s="4" t="str">
        <f>IFERROR(__xludf.DUMMYFUNCTION("GOOGLETRANSLATE(D2965)"),"歐巴馬宣布遭受颱風襲擊的塞班島為災難 http://t.co/CanEyTtwEV #international")</f>
        <v>歐巴馬宣布遭受颱風襲擊的塞班島為災難 http://t.co/CanEyTtwEV #international</v>
      </c>
      <c r="G2965" s="4" t="str">
        <f>IFERROR(__xludf.DUMMYFUNCTION("GOOGLETRANSLATE(B2965)"),"颱風")</f>
        <v>颱風</v>
      </c>
    </row>
    <row r="2966" ht="15.75" customHeight="1">
      <c r="A2966" s="4">
        <v>10079.0</v>
      </c>
      <c r="B2966" s="4" t="s">
        <v>4500</v>
      </c>
      <c r="D2966" s="4" t="s">
        <v>4523</v>
      </c>
      <c r="E2966" s="4">
        <v>1.0</v>
      </c>
      <c r="F2966" s="4" t="str">
        <f>IFERROR(__xludf.DUMMYFUNCTION("GOOGLETRANSLATE(D2966)"),"nbanews 蘇迪勒 颱風蘇迪勒正瞄準台灣，根據聯合颱風¤Û預計將於週五登陸")</f>
        <v>nbanews 蘇迪勒 颱風蘇迪勒正瞄準台灣，根據聯合颱風¤Û預計將於週五登陸</v>
      </c>
      <c r="G2966" s="4" t="str">
        <f>IFERROR(__xludf.DUMMYFUNCTION("GOOGLETRANSLATE(B2966)"),"颱風")</f>
        <v>颱風</v>
      </c>
    </row>
    <row r="2967" ht="15.75" customHeight="1">
      <c r="A2967" s="4">
        <v>10080.0</v>
      </c>
      <c r="B2967" s="4" t="s">
        <v>4500</v>
      </c>
      <c r="C2967" s="4" t="s">
        <v>1680</v>
      </c>
      <c r="D2967" s="4" t="s">
        <v>1681</v>
      </c>
      <c r="E2967" s="4">
        <v>1.0</v>
      </c>
      <c r="F2967" s="4" t="str">
        <f>IFERROR(__xludf.DUMMYFUNCTION("GOOGLETRANSLATE(D2967)"),"(#LosDelSonido) 歐巴馬宣布颱風摧毀的塞班島為災難：歐巴馬簽署馬薩諸塞州北部災難聲明... (#IvanBerroa)")</f>
        <v>(#LosDelSonido) 歐巴馬宣布颱風摧毀的塞班島為災難：歐巴馬簽署馬薩諸塞州北部災難聲明... (#IvanBerroa)</v>
      </c>
      <c r="G2967" s="4" t="str">
        <f>IFERROR(__xludf.DUMMYFUNCTION("GOOGLETRANSLATE(B2967)"),"颱風")</f>
        <v>颱風</v>
      </c>
    </row>
    <row r="2968" ht="15.75" customHeight="1">
      <c r="A2968" s="4">
        <v>10081.0</v>
      </c>
      <c r="B2968" s="4" t="s">
        <v>4500</v>
      </c>
      <c r="C2968" s="4" t="s">
        <v>4524</v>
      </c>
      <c r="D2968" s="4" t="s">
        <v>4525</v>
      </c>
      <c r="E2968" s="4">
        <v>1.0</v>
      </c>
      <c r="F2968" s="4" t="str">
        <f>IFERROR(__xludf.DUMMYFUNCTION("GOOGLETRANSLATE(D2968)"),"歐巴馬宣布遭受颱風摧殘的塞班島為災難：歐巴馬簽署了北瑪麗亞人災難聲明... http://t.co/PC8BvufLFJ")</f>
        <v>歐巴馬宣布遭受颱風摧殘的塞班島為災難：歐巴馬簽署了北瑪麗亞人災難聲明... http://t.co/PC8BvufLFJ</v>
      </c>
      <c r="G2968" s="4" t="str">
        <f>IFERROR(__xludf.DUMMYFUNCTION("GOOGLETRANSLATE(B2968)"),"颱風")</f>
        <v>颱風</v>
      </c>
    </row>
    <row r="2969" ht="15.75" customHeight="1">
      <c r="A2969" s="4">
        <v>10082.0</v>
      </c>
      <c r="B2969" s="4" t="s">
        <v>4500</v>
      </c>
      <c r="C2969" s="4" t="s">
        <v>4526</v>
      </c>
      <c r="D2969" s="4" t="s">
        <v>4527</v>
      </c>
      <c r="E2969" s="4">
        <v>1.0</v>
      </c>
      <c r="F2969" s="4" t="str">
        <f>IFERROR(__xludf.DUMMYFUNCTION("GOOGLETRANSLATE(D2969)"),"歐巴馬宣布遭受颱風摧殘的塞班島為災難：歐巴馬簽署了北瑪麗亞人災難聲明... http://t.co/BHZr9UgUs2")</f>
        <v>歐巴馬宣布遭受颱風摧殘的塞班島為災難：歐巴馬簽署了北瑪麗亞人災難聲明... http://t.co/BHZr9UgUs2</v>
      </c>
      <c r="G2969" s="4" t="str">
        <f>IFERROR(__xludf.DUMMYFUNCTION("GOOGLETRANSLATE(B2969)"),"颱風")</f>
        <v>颱風</v>
      </c>
    </row>
    <row r="2970" ht="15.75" customHeight="1">
      <c r="A2970" s="4">
        <v>10083.0</v>
      </c>
      <c r="B2970" s="4" t="s">
        <v>4500</v>
      </c>
      <c r="D2970" s="4" t="s">
        <v>4528</v>
      </c>
      <c r="E2970" s="4">
        <v>1.0</v>
      </c>
      <c r="F2970" s="4" t="str">
        <f>IFERROR(__xludf.DUMMYFUNCTION("GOOGLETRANSLATE(D2970)"),"歐巴馬宣布颱風肆虐的塞班島遭遇災難")</f>
        <v>歐巴馬宣布颱風肆虐的塞班島遭遇災難</v>
      </c>
      <c r="G2970" s="4" t="str">
        <f>IFERROR(__xludf.DUMMYFUNCTION("GOOGLETRANSLATE(B2970)"),"颱風")</f>
        <v>颱風</v>
      </c>
    </row>
    <row r="2971" ht="15.75" customHeight="1">
      <c r="A2971" s="4">
        <v>10084.0</v>
      </c>
      <c r="B2971" s="4" t="s">
        <v>4500</v>
      </c>
      <c r="D2971" s="4" t="s">
        <v>4529</v>
      </c>
      <c r="E2971" s="4">
        <v>1.0</v>
      </c>
      <c r="F2971" s="4" t="str">
        <f>IFERROR(__xludf.DUMMYFUNCTION("GOOGLETRANSLATE(D2971)"),"歐巴馬宣布遭受颱風摧殘的塞班島為災難：歐巴馬簽署了北瑪麗亞人災難聲明... http://t.co/VTS9CAyiBC")</f>
        <v>歐巴馬宣布遭受颱風摧殘的塞班島為災難：歐巴馬簽署了北瑪麗亞人災難聲明... http://t.co/VTS9CAyiBC</v>
      </c>
      <c r="G2971" s="4" t="str">
        <f>IFERROR(__xludf.DUMMYFUNCTION("GOOGLETRANSLATE(B2971)"),"颱風")</f>
        <v>颱風</v>
      </c>
    </row>
    <row r="2972" ht="15.75" customHeight="1">
      <c r="A2972" s="4">
        <v>10085.0</v>
      </c>
      <c r="B2972" s="4" t="s">
        <v>4500</v>
      </c>
      <c r="D2972" s="4" t="s">
        <v>4530</v>
      </c>
      <c r="E2972" s="4">
        <v>1.0</v>
      </c>
      <c r="F2972" s="4" t="str">
        <f>IFERROR(__xludf.DUMMYFUNCTION("GOOGLETRANSLATE(D2972)"),"受颱風蘇迪勒影響，蔬菜價格上漲 http://t.co/GeI58Vhbw6")</f>
        <v>受颱風蘇迪勒影響，蔬菜價格上漲 http://t.co/GeI58Vhbw6</v>
      </c>
      <c r="G2972" s="4" t="str">
        <f>IFERROR(__xludf.DUMMYFUNCTION("GOOGLETRANSLATE(B2972)"),"颱風")</f>
        <v>颱風</v>
      </c>
    </row>
    <row r="2973" ht="15.75" customHeight="1">
      <c r="A2973" s="4">
        <v>10087.0</v>
      </c>
      <c r="B2973" s="4" t="s">
        <v>4500</v>
      </c>
      <c r="C2973" s="4" t="s">
        <v>4531</v>
      </c>
      <c r="D2973" s="4" t="s">
        <v>4532</v>
      </c>
      <c r="E2973" s="4">
        <v>1.0</v>
      </c>
      <c r="F2973" s="4" t="str">
        <f>IFERROR(__xludf.DUMMYFUNCTION("GOOGLETRANSLATE(D2973)"),"地圖：颱風蘇迪勒接近台灣時的預測路徑；預計在中國南部登陸... http://t.co/YvaFI3zuJx")</f>
        <v>地圖：颱風蘇迪勒接近台灣時的預測路徑；預計在中國南部登陸... http://t.co/YvaFI3zuJx</v>
      </c>
      <c r="G2973" s="4" t="str">
        <f>IFERROR(__xludf.DUMMYFUNCTION("GOOGLETRANSLATE(B2973)"),"颱風")</f>
        <v>颱風</v>
      </c>
    </row>
    <row r="2974" ht="15.75" customHeight="1">
      <c r="A2974" s="4">
        <v>10088.0</v>
      </c>
      <c r="B2974" s="4" t="s">
        <v>4500</v>
      </c>
      <c r="D2974" s="4" t="s">
        <v>4533</v>
      </c>
      <c r="E2974" s="4">
        <v>1.0</v>
      </c>
      <c r="F2974" s="4" t="str">
        <f>IFERROR(__xludf.DUMMYFUNCTION("GOOGLETRANSLATE(D2974)"),"歐巴馬宣布颱風摧毀的塞班島為災難：在颱風襲擊美國領土後，歐巴馬簽署了北馬裡亞人為災難聲明")</f>
        <v>歐巴馬宣布颱風摧毀的塞班島為災難：在颱風襲擊美國領土後，歐巴馬簽署了北馬裡亞人為災難聲明</v>
      </c>
      <c r="G2974" s="4" t="str">
        <f>IFERROR(__xludf.DUMMYFUNCTION("GOOGLETRANSLATE(B2974)"),"颱風")</f>
        <v>颱風</v>
      </c>
    </row>
    <row r="2975" ht="15.75" customHeight="1">
      <c r="A2975" s="4">
        <v>10089.0</v>
      </c>
      <c r="B2975" s="4" t="s">
        <v>4500</v>
      </c>
      <c r="C2975" s="4" t="s">
        <v>4534</v>
      </c>
      <c r="D2975" s="4" t="s">
        <v>4535</v>
      </c>
      <c r="E2975" s="4">
        <v>1.0</v>
      </c>
      <c r="F2975" s="4" t="str">
        <f>IFERROR(__xludf.DUMMYFUNCTION("GOOGLETRANSLATE(D2975)"),"照片：颱風蘇迪勒瞄準台灣和中國 http://t.co/3OG66NfSIG")</f>
        <v>照片：颱風蘇迪勒瞄準台灣和中國 http://t.co/3OG66NfSIG</v>
      </c>
      <c r="G2975" s="4" t="str">
        <f>IFERROR(__xludf.DUMMYFUNCTION("GOOGLETRANSLATE(B2975)"),"颱風")</f>
        <v>颱風</v>
      </c>
    </row>
    <row r="2976" ht="15.75" customHeight="1">
      <c r="A2976" s="4">
        <v>10091.0</v>
      </c>
      <c r="B2976" s="4" t="s">
        <v>4500</v>
      </c>
      <c r="C2976" s="4" t="s">
        <v>620</v>
      </c>
      <c r="D2976" s="4" t="s">
        <v>4536</v>
      </c>
      <c r="E2976" s="4">
        <v>1.0</v>
      </c>
      <c r="F2976" s="4" t="str">
        <f>IFERROR(__xludf.DUMMYFUNCTION("GOOGLETRANSLATE(D2976)"),"超強颱風正向台灣襲來。 http://t.co/Na2Ey64Vsg")</f>
        <v>超強颱風正向台灣襲來。 http://t.co/Na2Ey64Vsg</v>
      </c>
      <c r="G2976" s="4" t="str">
        <f>IFERROR(__xludf.DUMMYFUNCTION("GOOGLETRANSLATE(B2976)"),"颱風")</f>
        <v>颱風</v>
      </c>
    </row>
    <row r="2977" ht="15.75" customHeight="1">
      <c r="A2977" s="4">
        <v>10092.0</v>
      </c>
      <c r="B2977" s="4" t="s">
        <v>4500</v>
      </c>
      <c r="C2977" s="4" t="s">
        <v>2285</v>
      </c>
      <c r="D2977" s="4" t="s">
        <v>4537</v>
      </c>
      <c r="E2977" s="4">
        <v>1.0</v>
      </c>
      <c r="F2977" s="4" t="str">
        <f>IFERROR(__xludf.DUMMYFUNCTION("GOOGLETRANSLATE(D2977)"),"颱風蘇迪勒中的 GPM 衛星「靶心」http://t.co/7vcEzi6CbB")</f>
        <v>颱風蘇迪勒中的 GPM 衛星「靶心」http://t.co/7vcEzi6CbB</v>
      </c>
      <c r="G2977" s="4" t="str">
        <f>IFERROR(__xludf.DUMMYFUNCTION("GOOGLETRANSLATE(B2977)"),"颱風")</f>
        <v>颱風</v>
      </c>
    </row>
    <row r="2978" ht="15.75" customHeight="1">
      <c r="A2978" s="4">
        <v>10093.0</v>
      </c>
      <c r="B2978" s="4" t="s">
        <v>4500</v>
      </c>
      <c r="C2978" s="4" t="s">
        <v>610</v>
      </c>
      <c r="D2978" s="4" t="s">
        <v>4538</v>
      </c>
      <c r="E2978" s="4">
        <v>1.0</v>
      </c>
      <c r="F2978" s="4" t="str">
        <f>IFERROR(__xludf.DUMMYFUNCTION("GOOGLETRANSLATE(D2978)"),"全球降水測量衛星捕捉颱風蘇迪勒的 3D 影像 - @NASAHurricane http://t.co/MvSRjd4X3D")</f>
        <v>全球降水測量衛星捕捉颱風蘇迪勒的 3D 影像 - @NASAHurricane http://t.co/MvSRjd4X3D</v>
      </c>
      <c r="G2978" s="4" t="str">
        <f>IFERROR(__xludf.DUMMYFUNCTION("GOOGLETRANSLATE(B2978)"),"颱風")</f>
        <v>颱風</v>
      </c>
    </row>
    <row r="2979" ht="15.75" customHeight="1">
      <c r="A2979" s="4">
        <v>10098.0</v>
      </c>
      <c r="B2979" s="4" t="s">
        <v>4500</v>
      </c>
      <c r="C2979" s="4" t="s">
        <v>3548</v>
      </c>
      <c r="D2979" s="4" t="s">
        <v>4539</v>
      </c>
      <c r="E2979" s="4">
        <v>1.0</v>
      </c>
      <c r="F2979" s="4" t="str">
        <f>IFERROR(__xludf.DUMMYFUNCTION("GOOGLETRANSLATE(D2979)"),"地圖：颱風蘇迪勒接近台灣時的預測路徑；預計 SÛ_ 將在中國南部登陸 http://t.co/0XCb7yeqmw")</f>
        <v>地圖：颱風蘇迪勒接近台灣時的預測路徑；預計 SÛ_ 將在中國南部登陸 http://t.co/0XCb7yeqmw</v>
      </c>
      <c r="G2979" s="4" t="str">
        <f>IFERROR(__xludf.DUMMYFUNCTION("GOOGLETRANSLATE(B2979)"),"颱風")</f>
        <v>颱風</v>
      </c>
    </row>
    <row r="2980" ht="15.75" customHeight="1">
      <c r="A2980" s="4">
        <v>10099.0</v>
      </c>
      <c r="B2980" s="4" t="s">
        <v>4500</v>
      </c>
      <c r="D2980" s="4" t="s">
        <v>4540</v>
      </c>
      <c r="E2980" s="4">
        <v>1.0</v>
      </c>
      <c r="F2980" s="4" t="str">
        <f>IFERROR(__xludf.DUMMYFUNCTION("GOOGLETRANSLATE(D2980)"),"颱風蘇迪勒中的 GPM 衛星「靶心」http://t.co/piVeUPiRKY")</f>
        <v>颱風蘇迪勒中的 GPM 衛星「靶心」http://t.co/piVeUPiRKY</v>
      </c>
      <c r="G2980" s="4" t="str">
        <f>IFERROR(__xludf.DUMMYFUNCTION("GOOGLETRANSLATE(B2980)"),"颱風")</f>
        <v>颱風</v>
      </c>
    </row>
    <row r="2981" ht="15.75" customHeight="1">
      <c r="A2981" s="4">
        <v>10100.0</v>
      </c>
      <c r="B2981" s="4" t="s">
        <v>4500</v>
      </c>
      <c r="D2981" s="4" t="s">
        <v>4541</v>
      </c>
      <c r="E2981" s="4">
        <v>1.0</v>
      </c>
      <c r="F2981" s="4" t="str">
        <f>IFERROR(__xludf.DUMMYFUNCTION("GOOGLETRANSLATE(D2981)"),"4Yygb mhtw4fnet
台灣準備迎接 2015 年最強颱風 數千人撤離 - ABC Online")</f>
        <v>4Yygb mhtw4fnet
台灣準備迎接 2015 年最強颱風 數千人撤離 - ABC Online</v>
      </c>
      <c r="G2981" s="4" t="str">
        <f>IFERROR(__xludf.DUMMYFUNCTION("GOOGLETRANSLATE(B2981)"),"颱風")</f>
        <v>颱風</v>
      </c>
    </row>
    <row r="2982" ht="15.75" customHeight="1">
      <c r="A2982" s="4">
        <v>10101.0</v>
      </c>
      <c r="B2982" s="4" t="s">
        <v>4500</v>
      </c>
      <c r="C2982" s="4" t="s">
        <v>4542</v>
      </c>
      <c r="D2982" s="4" t="s">
        <v>4543</v>
      </c>
      <c r="E2982" s="4">
        <v>1.0</v>
      </c>
      <c r="F2982" s="4" t="str">
        <f>IFERROR(__xludf.DUMMYFUNCTION("GOOGLETRANSLATE(D2982)"),"我認為颱風剛剛經過這裡哈哈")</f>
        <v>我認為颱風剛剛經過這裡哈哈</v>
      </c>
      <c r="G2982" s="4" t="str">
        <f>IFERROR(__xludf.DUMMYFUNCTION("GOOGLETRANSLATE(B2982)"),"颱風")</f>
        <v>颱風</v>
      </c>
    </row>
    <row r="2983" ht="15.75" customHeight="1">
      <c r="A2983" s="4">
        <v>10102.0</v>
      </c>
      <c r="B2983" s="4" t="s">
        <v>4500</v>
      </c>
      <c r="D2983" s="4" t="s">
        <v>4544</v>
      </c>
      <c r="E2983" s="4">
        <v>1.0</v>
      </c>
      <c r="F2983" s="4" t="str">
        <f>IFERROR(__xludf.DUMMYFUNCTION("GOOGLETRANSLATE(D2983)"),"請從颱風中恢復過來。 ????")</f>
        <v>請從颱風中恢復過來。 ????</v>
      </c>
      <c r="G2983" s="4" t="str">
        <f>IFERROR(__xludf.DUMMYFUNCTION("GOOGLETRANSLATE(B2983)"),"颱風")</f>
        <v>颱風</v>
      </c>
    </row>
    <row r="2984" ht="15.75" customHeight="1">
      <c r="A2984" s="4">
        <v>10105.0</v>
      </c>
      <c r="B2984" s="4" t="s">
        <v>4500</v>
      </c>
      <c r="C2984" s="4" t="s">
        <v>3427</v>
      </c>
      <c r="D2984" s="4" t="s">
        <v>4545</v>
      </c>
      <c r="E2984" s="4">
        <v>1.0</v>
      </c>
      <c r="F2984" s="4" t="str">
        <f>IFERROR(__xludf.DUMMYFUNCTION("GOOGLETRANSLATE(D2984)"),"#ABCNews 歐巴馬宣布遭受颱風襲擊的塞班島為災難：歐巴馬簽署了災難聲明... http://t.co/DOBZc3piTM #World")</f>
        <v>#ABCNews 歐巴馬宣布遭受颱風襲擊的塞班島為災難：歐巴馬簽署了災難聲明... http://t.co/DOBZc3piTM #World</v>
      </c>
      <c r="G2984" s="4" t="str">
        <f>IFERROR(__xludf.DUMMYFUNCTION("GOOGLETRANSLATE(B2984)"),"颱風")</f>
        <v>颱風</v>
      </c>
    </row>
    <row r="2985" ht="15.75" customHeight="1">
      <c r="A2985" s="4">
        <v>10106.0</v>
      </c>
      <c r="B2985" s="4" t="s">
        <v>4500</v>
      </c>
      <c r="C2985" s="4" t="s">
        <v>4546</v>
      </c>
      <c r="D2985" s="4" t="s">
        <v>4547</v>
      </c>
      <c r="E2985" s="4">
        <v>1.0</v>
      </c>
      <c r="F2985" s="4" t="str">
        <f>IFERROR(__xludf.DUMMYFUNCTION("GOOGLETRANSLATE(D2985)"),"歐巴馬宣布颱風摧毀的塞班島為災難：歐巴馬簽署北瑪莉亞人災難聲明... http://t.co/lEYJwNnAH8")</f>
        <v>歐巴馬宣布颱風摧毀的塞班島為災難：歐巴馬簽署北瑪莉亞人災難聲明... http://t.co/lEYJwNnAH8</v>
      </c>
      <c r="G2985" s="4" t="str">
        <f>IFERROR(__xludf.DUMMYFUNCTION("GOOGLETRANSLATE(B2985)"),"颱風")</f>
        <v>颱風</v>
      </c>
    </row>
    <row r="2986" ht="15.75" customHeight="1">
      <c r="A2986" s="4">
        <v>10107.0</v>
      </c>
      <c r="B2986" s="4" t="s">
        <v>4500</v>
      </c>
      <c r="C2986" s="4" t="s">
        <v>4548</v>
      </c>
      <c r="D2986" s="4" t="s">
        <v>4549</v>
      </c>
      <c r="E2986" s="4">
        <v>1.0</v>
      </c>
      <c r="F2986" s="4" t="str">
        <f>IFERROR(__xludf.DUMMYFUNCTION("GOOGLETRANSLATE(D2986)"),"颱風「蘇迪勒」瞄準台灣 http://t.co/sA5CDWVDXt")</f>
        <v>颱風「蘇迪勒」瞄準台灣 http://t.co/sA5CDWVDXt</v>
      </c>
      <c r="G2986" s="4" t="str">
        <f>IFERROR(__xludf.DUMMYFUNCTION("GOOGLETRANSLATE(B2986)"),"颱風")</f>
        <v>颱風</v>
      </c>
    </row>
    <row r="2987" ht="15.75" customHeight="1">
      <c r="A2987" s="4">
        <v>10127.0</v>
      </c>
      <c r="B2987" s="4" t="s">
        <v>4550</v>
      </c>
      <c r="D2987" s="4" t="s">
        <v>4551</v>
      </c>
      <c r="E2987" s="4">
        <v>1.0</v>
      </c>
      <c r="F2987" s="4" t="str">
        <f>IFERROR(__xludf.DUMMYFUNCTION("GOOGLETRANSLATE(D2987)"),"主啊，還有多久（研究 3）
 第六印開啟了啟示錄第 12 章的事件。羅馬的政治動亂...http://t.co/GW0CXoOJyV")</f>
        <v>主啊，還有多久（研究 3）
 第六印開啟了啟示錄第 12 章的事件。羅馬的政治動亂...http://t.co/GW0CXoOJyV</v>
      </c>
      <c r="G2987" s="4" t="str">
        <f>IFERROR(__xludf.DUMMYFUNCTION("GOOGLETRANSLATE(B2987)"),"動盪")</f>
        <v>動盪</v>
      </c>
    </row>
    <row r="2988" ht="15.75" customHeight="1">
      <c r="A2988" s="4">
        <v>10130.0</v>
      </c>
      <c r="B2988" s="4" t="s">
        <v>4550</v>
      </c>
      <c r="C2988" s="4" t="s">
        <v>4552</v>
      </c>
      <c r="D2988" s="4" t="s">
        <v>4553</v>
      </c>
      <c r="E2988" s="4">
        <v>1.0</v>
      </c>
      <c r="F2988" s="4" t="str">
        <f>IFERROR(__xludf.DUMMYFUNCTION("GOOGLETRANSLATE(D2988)"),"在叢林神殿中發現的古代瑪雅石板 http://t.co/qp6q8RS8ON")</f>
        <v>在叢林神殿中發現的古代瑪雅石板 http://t.co/qp6q8RS8ON</v>
      </c>
      <c r="G2988" s="4" t="str">
        <f>IFERROR(__xludf.DUMMYFUNCTION("GOOGLETRANSLATE(B2988)"),"動盪")</f>
        <v>動盪</v>
      </c>
    </row>
    <row r="2989" ht="15.75" customHeight="1">
      <c r="A2989" s="4">
        <v>10142.0</v>
      </c>
      <c r="B2989" s="4" t="s">
        <v>4550</v>
      </c>
      <c r="C2989" s="4" t="s">
        <v>4554</v>
      </c>
      <c r="D2989" s="4" t="s">
        <v>4555</v>
      </c>
      <c r="E2989" s="4">
        <v>1.0</v>
      </c>
      <c r="F2989" s="4" t="str">
        <f>IFERROR(__xludf.DUMMYFUNCTION("GOOGLETRANSLATE(D2989)"),"看看弗格森劇變一年後的國家行動 https://t.co/M4tuI0P9nT MD 在「報告」法案的最後一組中被提及")</f>
        <v>看看弗格森劇變一年後的國家行動 https://t.co/M4tuI0P9nT MD 在「報告」法案的最後一組中被提及</v>
      </c>
      <c r="G2989" s="4" t="str">
        <f>IFERROR(__xludf.DUMMYFUNCTION("GOOGLETRANSLATE(B2989)"),"動盪")</f>
        <v>動盪</v>
      </c>
    </row>
    <row r="2990" ht="15.75" customHeight="1">
      <c r="A2990" s="4">
        <v>10147.0</v>
      </c>
      <c r="B2990" s="4" t="s">
        <v>4550</v>
      </c>
      <c r="C2990" s="4" t="s">
        <v>4556</v>
      </c>
      <c r="D2990" s="4" t="s">
        <v>4557</v>
      </c>
      <c r="E2990" s="4">
        <v>1.0</v>
      </c>
      <c r="F2990" s="4" t="str">
        <f>IFERROR(__xludf.DUMMYFUNCTION("GOOGLETRANSLATE(D2990)"),"#弗格森劇變一年後國家行動一覽 http://t.co/qwSbVfLPE1")</f>
        <v>#弗格森劇變一年後國家行動一覽 http://t.co/qwSbVfLPE1</v>
      </c>
      <c r="G2990" s="4" t="str">
        <f>IFERROR(__xludf.DUMMYFUNCTION("GOOGLETRANSLATE(B2990)"),"動盪")</f>
        <v>動盪</v>
      </c>
    </row>
    <row r="2991" ht="15.75" customHeight="1">
      <c r="A2991" s="4">
        <v>10153.0</v>
      </c>
      <c r="B2991" s="4" t="s">
        <v>4550</v>
      </c>
      <c r="C2991" s="4" t="s">
        <v>161</v>
      </c>
      <c r="D2991" s="4" t="s">
        <v>4558</v>
      </c>
      <c r="E2991" s="4">
        <v>1.0</v>
      </c>
      <c r="F2991" s="4" t="str">
        <f>IFERROR(__xludf.DUMMYFUNCTION("GOOGLETRANSLATE(D2991)"),"@紐約時報
由於西方在伊拉克、敘利亞、利比亞等地區製造的動亂。")</f>
        <v>@紐約時報
由於西方在伊拉克、敘利亞、利比亞等地區製造的動亂。</v>
      </c>
      <c r="G2991" s="4" t="str">
        <f>IFERROR(__xludf.DUMMYFUNCTION("GOOGLETRANSLATE(B2991)"),"動盪")</f>
        <v>動盪</v>
      </c>
    </row>
    <row r="2992" ht="15.75" customHeight="1">
      <c r="A2992" s="4">
        <v>10156.0</v>
      </c>
      <c r="B2992" s="4" t="s">
        <v>4550</v>
      </c>
      <c r="C2992" s="4" t="s">
        <v>4559</v>
      </c>
      <c r="D2992" s="4" t="s">
        <v>4560</v>
      </c>
      <c r="E2992" s="4">
        <v>1.0</v>
      </c>
      <c r="F2992" s="4" t="str">
        <f>IFERROR(__xludf.DUMMYFUNCTION("GOOGLETRANSLATE(D2992)"),"佛格森劇變一年後國家行動一覽 http://t.co/vXUFtVT9AU")</f>
        <v>佛格森劇變一年後國家行動一覽 http://t.co/vXUFtVT9AU</v>
      </c>
      <c r="G2992" s="4" t="str">
        <f>IFERROR(__xludf.DUMMYFUNCTION("GOOGLETRANSLATE(B2992)"),"動盪")</f>
        <v>動盪</v>
      </c>
    </row>
    <row r="2993" ht="15.75" customHeight="1">
      <c r="A2993" s="4">
        <v>10159.0</v>
      </c>
      <c r="B2993" s="4" t="s">
        <v>4561</v>
      </c>
      <c r="C2993" s="4" t="s">
        <v>89</v>
      </c>
      <c r="D2993" s="4" t="s">
        <v>4562</v>
      </c>
      <c r="E2993" s="4">
        <v>1.0</v>
      </c>
      <c r="F2993" s="4" t="str">
        <f>IFERROR(__xludf.DUMMYFUNCTION("GOOGLETRANSLATE(D2993)"),"可怕的 POV 鏡頭捕捉到了阿姆斯特丹暴風雨期間客機內部的暴力著陸 http://t.co/NqXQYI70W4 #travel")</f>
        <v>可怕的 POV 鏡頭捕捉到了阿姆斯特丹暴風雨期間客機內部的暴力著陸 http://t.co/NqXQYI70W4 #travel</v>
      </c>
      <c r="G2993" s="4" t="str">
        <f>IFERROR(__xludf.DUMMYFUNCTION("GOOGLETRANSLATE(B2993)"),"暴力%20風暴")</f>
        <v>暴力%20風暴</v>
      </c>
    </row>
    <row r="2994" ht="15.75" customHeight="1">
      <c r="A2994" s="4">
        <v>10163.0</v>
      </c>
      <c r="B2994" s="4" t="s">
        <v>4561</v>
      </c>
      <c r="C2994" s="4" t="s">
        <v>4563</v>
      </c>
      <c r="D2994" s="4" t="s">
        <v>4564</v>
      </c>
      <c r="E2994" s="4">
        <v>1.0</v>
      </c>
      <c r="F2994" s="4" t="str">
        <f>IFERROR(__xludf.DUMMYFUNCTION("GOOGLETRANSLATE(D2994)"),"比較猛烈的風暴。今晚可能沒有直播。")</f>
        <v>比較猛烈的風暴。今晚可能沒有直播。</v>
      </c>
      <c r="G2994" s="4" t="str">
        <f>IFERROR(__xludf.DUMMYFUNCTION("GOOGLETRANSLATE(B2994)"),"暴力%20風暴")</f>
        <v>暴力%20風暴</v>
      </c>
    </row>
    <row r="2995" ht="15.75" customHeight="1">
      <c r="A2995" s="4">
        <v>10164.0</v>
      </c>
      <c r="B2995" s="4" t="s">
        <v>4561</v>
      </c>
      <c r="C2995" s="4" t="s">
        <v>4565</v>
      </c>
      <c r="D2995" s="4" t="s">
        <v>4566</v>
      </c>
      <c r="E2995" s="4">
        <v>1.0</v>
      </c>
      <c r="F2995" s="4" t="str">
        <f>IFERROR(__xludf.DUMMYFUNCTION("GOOGLETRANSLATE(D2995)"),"猛烈風暴導致沃特敦洪水氾濫 - http://t.co/3ZASZ6wxjJ")</f>
        <v>猛烈風暴導致沃特敦洪水氾濫 - http://t.co/3ZASZ6wxjJ</v>
      </c>
      <c r="G2995" s="4" t="str">
        <f>IFERROR(__xludf.DUMMYFUNCTION("GOOGLETRANSLATE(B2995)"),"暴力%20風暴")</f>
        <v>暴力%20風暴</v>
      </c>
    </row>
    <row r="2996" ht="15.75" customHeight="1">
      <c r="A2996" s="4">
        <v>10168.0</v>
      </c>
      <c r="B2996" s="4" t="s">
        <v>4561</v>
      </c>
      <c r="C2996" s="4" t="s">
        <v>142</v>
      </c>
      <c r="D2996" s="4" t="s">
        <v>4567</v>
      </c>
      <c r="E2996" s="4">
        <v>1.0</v>
      </c>
      <c r="F2996" s="4" t="str">
        <f>IFERROR(__xludf.DUMMYFUNCTION("GOOGLETRANSLATE(D2996)"),"雷霆磅北變黑
天空胸口深深的瘀青
風呼喊著它的痛苦。
夏天的暴風雨，生活的艱辛
短暴力。")</f>
        <v>雷霆磅北變黑
天空胸口深深的瘀青
風呼喊著它的痛苦。
夏天的暴風雨，生活的艱辛
短暴力。</v>
      </c>
      <c r="G2996" s="4" t="str">
        <f>IFERROR(__xludf.DUMMYFUNCTION("GOOGLETRANSLATE(B2996)"),"暴力%20風暴")</f>
        <v>暴力%20風暴</v>
      </c>
    </row>
    <row r="2997" ht="15.75" customHeight="1">
      <c r="A2997" s="4">
        <v>10169.0</v>
      </c>
      <c r="B2997" s="4" t="s">
        <v>4561</v>
      </c>
      <c r="D2997" s="4" t="s">
        <v>4568</v>
      </c>
      <c r="E2997" s="4">
        <v>1.0</v>
      </c>
      <c r="F2997" s="4" t="str">
        <f>IFERROR(__xludf.DUMMYFUNCTION("GOOGLETRANSLATE(D2997)"),"#stormchase 打破暴力紀錄的 EF-5 俄克拉荷馬州埃爾裡諾龍捲風幾乎席捲... - http://t.co/3SICroAaNz http://t.co/I27Oa0HISp")</f>
        <v>#stormchase 打破暴力紀錄的 EF-5 俄克拉荷馬州埃爾裡諾龍捲風幾乎席捲... - http://t.co/3SICroAaNz http://t.co/I27Oa0HISp</v>
      </c>
      <c r="G2997" s="4" t="str">
        <f>IFERROR(__xludf.DUMMYFUNCTION("GOOGLETRANSLATE(B2997)"),"暴力%20風暴")</f>
        <v>暴力%20風暴</v>
      </c>
    </row>
    <row r="2998" ht="15.75" customHeight="1">
      <c r="A2998" s="4">
        <v>10171.0</v>
      </c>
      <c r="B2998" s="4" t="s">
        <v>4561</v>
      </c>
      <c r="D2998" s="4" t="s">
        <v>4569</v>
      </c>
      <c r="E2998" s="4">
        <v>1.0</v>
      </c>
      <c r="F2998" s="4" t="str">
        <f>IFERROR(__xludf.DUMMYFUNCTION("GOOGLETRANSLATE(D2998)"),"#Amsterdam POV 影片捕捉到了阿姆斯特丹史基浦機場在一次飛行中的暴力著陸... http://t.co/AlUMrGl40e http://t.co/8h2KCTFB8I")</f>
        <v>#Amsterdam POV 影片捕捉到了阿姆斯特丹史基浦機場在一次飛行中的暴力著陸... http://t.co/AlUMrGl40e http://t.co/8h2KCTFB8I</v>
      </c>
      <c r="G2998" s="4" t="str">
        <f>IFERROR(__xludf.DUMMYFUNCTION("GOOGLETRANSLATE(B2998)"),"暴力%20風暴")</f>
        <v>暴力%20風暴</v>
      </c>
    </row>
    <row r="2999" ht="15.75" customHeight="1">
      <c r="A2999" s="4">
        <v>10172.0</v>
      </c>
      <c r="B2999" s="4" t="s">
        <v>4561</v>
      </c>
      <c r="D2999" s="4" t="s">
        <v>4570</v>
      </c>
      <c r="E2999" s="4">
        <v>1.0</v>
      </c>
      <c r="F2999" s="4" t="str">
        <f>IFERROR(__xludf.DUMMYFUNCTION("GOOGLETRANSLATE(D2999)"),"風暴襲擊奧克蘭和北地：一場猛烈的夜間風暴襲擊了奧克蘭和北地，連根拔起...... http://t.co/enrPGRgtTs")</f>
        <v>風暴襲擊奧克蘭和北地：一場猛烈的夜間風暴襲擊了奧克蘭和北地，連根拔起...... http://t.co/enrPGRgtTs</v>
      </c>
      <c r="G2999" s="4" t="str">
        <f>IFERROR(__xludf.DUMMYFUNCTION("GOOGLETRANSLATE(B2999)"),"暴力%20風暴")</f>
        <v>暴力%20風暴</v>
      </c>
    </row>
    <row r="3000" ht="15.75" customHeight="1">
      <c r="A3000" s="4">
        <v>10175.0</v>
      </c>
      <c r="B3000" s="4" t="s">
        <v>4561</v>
      </c>
      <c r="C3000" s="4" t="s">
        <v>1205</v>
      </c>
      <c r="D3000" s="4" t="s">
        <v>4571</v>
      </c>
      <c r="E3000" s="4">
        <v>1.0</v>
      </c>
      <c r="F3000" s="4" t="str">
        <f>IFERROR(__xludf.DUMMYFUNCTION("GOOGLETRANSLATE(D3000)"),"午後暴風雨過後，今晚芝加哥將迎來更惡劣的天氣。詳情----&gt; http://t.co/6Peeip4y7W")</f>
        <v>午後暴風雨過後，今晚芝加哥將迎來更惡劣的天氣。詳情----&gt; http://t.co/6Peeip4y7W</v>
      </c>
      <c r="G3000" s="4" t="str">
        <f>IFERROR(__xludf.DUMMYFUNCTION("GOOGLETRANSLATE(B3000)"),"暴力%20風暴")</f>
        <v>暴力%20風暴</v>
      </c>
    </row>
    <row r="3001" ht="15.75" customHeight="1">
      <c r="A3001" s="4">
        <v>10177.0</v>
      </c>
      <c r="B3001" s="4" t="s">
        <v>4561</v>
      </c>
      <c r="D3001" s="4" t="s">
        <v>4572</v>
      </c>
      <c r="E3001" s="4">
        <v>1.0</v>
      </c>
      <c r="F3001" s="4" t="str">
        <f>IFERROR(__xludf.DUMMYFUNCTION("GOOGLETRANSLATE(D3001)"),"我不明白「拿」任何生命作為戰利品。這是暴力殺戮。 http://t.co/NEqW47E1uj #CecilTheLion #BADChoices #BANTROPHYHUNTING")</f>
        <v>我不明白「拿」任何生命作為戰利品。這是暴力殺戮。 http://t.co/NEqW47E1uj #CecilTheLion #BADChoices #BANTROPHYHUNTING</v>
      </c>
      <c r="G3001" s="4" t="str">
        <f>IFERROR(__xludf.DUMMYFUNCTION("GOOGLETRANSLATE(B3001)"),"暴力%20風暴")</f>
        <v>暴力%20風暴</v>
      </c>
    </row>
    <row r="3002" ht="15.75" customHeight="1">
      <c r="A3002" s="4">
        <v>10179.0</v>
      </c>
      <c r="B3002" s="4" t="s">
        <v>4561</v>
      </c>
      <c r="C3002" s="4" t="s">
        <v>283</v>
      </c>
      <c r="D3002" s="4" t="s">
        <v>4573</v>
      </c>
      <c r="E3002" s="4">
        <v>1.0</v>
      </c>
      <c r="F3002" s="4" t="str">
        <f>IFERROR(__xludf.DUMMYFUNCTION("GOOGLETRANSLATE(D3002)"),"暴力力量廣播電台：正在播放酸性風暴 - 眾神的天災
TuneIn 播放器 @ http://t.co/XsSgEdSbH4")</f>
        <v>暴力力量廣播電台：正在播放酸性風暴 - 眾神的天災
TuneIn 播放器 @ http://t.co/XsSgEdSbH4</v>
      </c>
      <c r="G3002" s="4" t="str">
        <f>IFERROR(__xludf.DUMMYFUNCTION("GOOGLETRANSLATE(B3002)"),"暴力%20風暴")</f>
        <v>暴力%20風暴</v>
      </c>
    </row>
    <row r="3003" ht="15.75" customHeight="1">
      <c r="A3003" s="4">
        <v>10182.0</v>
      </c>
      <c r="B3003" s="4" t="s">
        <v>4561</v>
      </c>
      <c r="C3003" s="4" t="s">
        <v>4574</v>
      </c>
      <c r="D3003" s="4" t="s">
        <v>4575</v>
      </c>
      <c r="E3003" s="4">
        <v>1.0</v>
      </c>
      <c r="F3003" s="4" t="str">
        <f>IFERROR(__xludf.DUMMYFUNCTION("GOOGLETRANSLATE(D3003)"),"美國太平洋司令部。
我能看到它！
他們在和平團結節上傾盡全力
當自由的時候它就消失了
猛烈的風暴襲擊了海")</f>
        <v>美國太平洋司令部。
我能看到它！
他們在和平團結節上傾盡全力
當自由的時候它就消失了
猛烈的風暴襲擊了海</v>
      </c>
      <c r="G3003" s="4" t="str">
        <f>IFERROR(__xludf.DUMMYFUNCTION("GOOGLETRANSLATE(B3003)"),"暴力%20風暴")</f>
        <v>暴力%20風暴</v>
      </c>
    </row>
    <row r="3004" ht="15.75" customHeight="1">
      <c r="A3004" s="4">
        <v>10184.0</v>
      </c>
      <c r="B3004" s="4" t="s">
        <v>4561</v>
      </c>
      <c r="C3004" s="4" t="s">
        <v>4576</v>
      </c>
      <c r="D3004" s="4" t="s">
        <v>4577</v>
      </c>
      <c r="E3004" s="4">
        <v>1.0</v>
      </c>
      <c r="F3004" s="4" t="str">
        <f>IFERROR(__xludf.DUMMYFUNCTION("GOOGLETRANSLATE(D3004)"),"@Vickie627 沙漠風暴是一場無條件的勝利，簽署了條約。在柯林頓的領導下，情況只會變得更糟、更暴力。 #tcot")</f>
        <v>@Vickie627 沙漠風暴是一場無條件的勝利，簽署了條約。在柯林頓的領導下，情況只會變得更糟、更暴力。 #tcot</v>
      </c>
      <c r="G3004" s="4" t="str">
        <f>IFERROR(__xludf.DUMMYFUNCTION("GOOGLETRANSLATE(B3004)"),"暴力%20風暴")</f>
        <v>暴力%20風暴</v>
      </c>
    </row>
    <row r="3005" ht="15.75" customHeight="1">
      <c r="A3005" s="4">
        <v>10186.0</v>
      </c>
      <c r="B3005" s="4" t="s">
        <v>4561</v>
      </c>
      <c r="C3005" s="4" t="s">
        <v>40</v>
      </c>
      <c r="D3005" s="4" t="s">
        <v>4578</v>
      </c>
      <c r="E3005" s="4">
        <v>1.0</v>
      </c>
      <c r="F3005" s="4" t="str">
        <f>IFERROR(__xludf.DUMMYFUNCTION("GOOGLETRANSLATE(D3005)"),"POV 鏡頭捕捉到風暴期間從飛機內部猛烈著陸的畫面 http://t.co/kxewlHH7Uw")</f>
        <v>POV 鏡頭捕捉到風暴期間從飛機內部猛烈著陸的畫面 http://t.co/kxewlHH7Uw</v>
      </c>
      <c r="G3005" s="4" t="str">
        <f>IFERROR(__xludf.DUMMYFUNCTION("GOOGLETRANSLATE(B3005)"),"暴力%20風暴")</f>
        <v>暴力%20風暴</v>
      </c>
    </row>
    <row r="3006" ht="15.75" customHeight="1">
      <c r="A3006" s="4">
        <v>10191.0</v>
      </c>
      <c r="B3006" s="4" t="s">
        <v>4561</v>
      </c>
      <c r="D3006" s="4" t="s">
        <v>4579</v>
      </c>
      <c r="E3006" s="4">
        <v>1.0</v>
      </c>
      <c r="F3006" s="4" t="str">
        <f>IFERROR(__xludf.DUMMYFUNCTION("GOOGLETRANSLATE(D3006)"),"戲劇性影片顯示飛機在暴力風暴中著陸 - http://t.co/oQ0LnF2Yug http://t.co/tZDBcGpSAg")</f>
        <v>戲劇性影片顯示飛機在暴力風暴中著陸 - http://t.co/oQ0LnF2Yug http://t.co/tZDBcGpSAg</v>
      </c>
      <c r="G3006" s="4" t="str">
        <f>IFERROR(__xludf.DUMMYFUNCTION("GOOGLETRANSLATE(B3006)"),"暴力%20風暴")</f>
        <v>暴力%20風暴</v>
      </c>
    </row>
    <row r="3007" ht="15.75" customHeight="1">
      <c r="A3007" s="4">
        <v>10192.0</v>
      </c>
      <c r="B3007" s="4" t="s">
        <v>4561</v>
      </c>
      <c r="C3007" s="4" t="s">
        <v>4580</v>
      </c>
      <c r="D3007" s="4" t="s">
        <v>4581</v>
      </c>
      <c r="E3007" s="4">
        <v>1.0</v>
      </c>
      <c r="F3007" s="4" t="str">
        <f>IFERROR(__xludf.DUMMYFUNCTION("GOOGLETRANSLATE(D3007)"),"戲劇性影片顯示飛機在暴力風暴中著陸 http://t.co/XRgPdlSWfD")</f>
        <v>戲劇性影片顯示飛機在暴力風暴中著陸 http://t.co/XRgPdlSWfD</v>
      </c>
      <c r="G3007" s="4" t="str">
        <f>IFERROR(__xludf.DUMMYFUNCTION("GOOGLETRANSLATE(B3007)"),"暴力%20風暴")</f>
        <v>暴力%20風暴</v>
      </c>
    </row>
    <row r="3008" ht="15.75" customHeight="1">
      <c r="A3008" s="4">
        <v>10194.0</v>
      </c>
      <c r="B3008" s="4" t="s">
        <v>4561</v>
      </c>
      <c r="C3008" s="4" t="s">
        <v>1019</v>
      </c>
      <c r="D3008" s="4" t="s">
        <v>4582</v>
      </c>
      <c r="E3008" s="4">
        <v>1.0</v>
      </c>
      <c r="F3008" s="4" t="str">
        <f>IFERROR(__xludf.DUMMYFUNCTION("GOOGLETRANSLATE(D3008)"),"POV 影片捕捉到暴風雨期間在阿姆斯特丹史基浦機場的暴力著陸... http://t.co/fkv5qXDcy3")</f>
        <v>POV 影片捕捉到暴風雨期間在阿姆斯特丹史基浦機場的暴力著陸... http://t.co/fkv5qXDcy3</v>
      </c>
      <c r="G3008" s="4" t="str">
        <f>IFERROR(__xludf.DUMMYFUNCTION("GOOGLETRANSLATE(B3008)"),"暴力%20風暴")</f>
        <v>暴力%20風暴</v>
      </c>
    </row>
    <row r="3009" ht="15.75" customHeight="1">
      <c r="A3009" s="4">
        <v>10195.0</v>
      </c>
      <c r="B3009" s="4" t="s">
        <v>4561</v>
      </c>
      <c r="D3009" s="4" t="s">
        <v>4583</v>
      </c>
      <c r="E3009" s="4">
        <v>1.0</v>
      </c>
      <c r="F3009" s="4" t="str">
        <f>IFERROR(__xludf.DUMMYFUNCTION("GOOGLETRANSLATE(D3009)"),"風暴閃電襲擊特拉弗斯城擾亂了管理簡報研討會：一場猛烈的夏季風暴席捲了特拉弗斯城... http://t.co/NKAW9EZqGg")</f>
        <v>風暴閃電襲擊特拉弗斯城擾亂了管理簡報研討會：一場猛烈的夏季風暴席捲了特拉弗斯城... http://t.co/NKAW9EZqGg</v>
      </c>
      <c r="G3009" s="4" t="str">
        <f>IFERROR(__xludf.DUMMYFUNCTION("GOOGLETRANSLATE(B3009)"),"暴力%20風暴")</f>
        <v>暴力%20風暴</v>
      </c>
    </row>
    <row r="3010" ht="15.75" customHeight="1">
      <c r="A3010" s="4">
        <v>10197.0</v>
      </c>
      <c r="B3010" s="4" t="s">
        <v>4561</v>
      </c>
      <c r="C3010" s="4" t="s">
        <v>4584</v>
      </c>
      <c r="D3010" s="4" t="s">
        <v>4585</v>
      </c>
      <c r="E3010" s="4">
        <v>1.0</v>
      </c>
      <c r="F3010" s="4" t="str">
        <f>IFERROR(__xludf.DUMMYFUNCTION("GOOGLETRANSLATE(D3010)"),"這是一場猛烈而好戰的風暴。我很享受看著它展開")</f>
        <v>這是一場猛烈而好戰的風暴。我很享受看著它展開</v>
      </c>
      <c r="G3010" s="4" t="str">
        <f>IFERROR(__xludf.DUMMYFUNCTION("GOOGLETRANSLATE(B3010)"),"暴力%20風暴")</f>
        <v>暴力%20風暴</v>
      </c>
    </row>
    <row r="3011" ht="15.75" customHeight="1">
      <c r="A3011" s="4">
        <v>10198.0</v>
      </c>
      <c r="B3011" s="4" t="s">
        <v>4561</v>
      </c>
      <c r="C3011" s="4" t="s">
        <v>4586</v>
      </c>
      <c r="D3011" s="4" t="s">
        <v>4587</v>
      </c>
      <c r="E3011" s="4">
        <v>1.0</v>
      </c>
      <c r="F3011" s="4" t="str">
        <f>IFERROR(__xludf.DUMMYFUNCTION("GOOGLETRANSLATE(D3011)"),"@iateyourfood 哎呀。可憐的小狗。多麼奇怪的猛烈風暴。")</f>
        <v>@iateyourfood 哎呀。可憐的小狗。多麼奇怪的猛烈風暴。</v>
      </c>
      <c r="G3011" s="4" t="str">
        <f>IFERROR(__xludf.DUMMYFUNCTION("GOOGLETRANSLATE(B3011)"),"暴力%20風暴")</f>
        <v>暴力%20風暴</v>
      </c>
    </row>
    <row r="3012" ht="15.75" customHeight="1">
      <c r="A3012" s="4">
        <v>10199.0</v>
      </c>
      <c r="B3012" s="4" t="s">
        <v>4561</v>
      </c>
      <c r="D3012" s="4" t="s">
        <v>4588</v>
      </c>
      <c r="E3012" s="4">
        <v>1.0</v>
      </c>
      <c r="F3012" s="4" t="str">
        <f>IFERROR(__xludf.DUMMYFUNCTION("GOOGLETRANSLATE(D3012)"),"週日下午，一場短暫的猛烈風暴席捲了芝加哥地區，導致一人死亡，洛拉帕盧薩等人被疏散")</f>
        <v>週日下午，一場短暫的猛烈風暴席捲了芝加哥地區，導致一人死亡，洛拉帕盧薩等人被疏散</v>
      </c>
      <c r="G3012" s="4" t="str">
        <f>IFERROR(__xludf.DUMMYFUNCTION("GOOGLETRANSLATE(B3012)"),"暴力%20風暴")</f>
        <v>暴力%20風暴</v>
      </c>
    </row>
    <row r="3013" ht="15.75" customHeight="1">
      <c r="A3013" s="4">
        <v>10201.0</v>
      </c>
      <c r="B3013" s="4" t="s">
        <v>4561</v>
      </c>
      <c r="C3013" s="4" t="s">
        <v>1949</v>
      </c>
      <c r="D3013" s="4" t="s">
        <v>4589</v>
      </c>
      <c r="E3013" s="4">
        <v>1.0</v>
      </c>
      <c r="F3013" s="4" t="str">
        <f>IFERROR(__xludf.DUMMYFUNCTION("GOOGLETRANSLATE(D3013)"),"風暴襲擊北島上半部：一場猛烈的夜間風暴襲擊了北島上半部，連根拔起... http://t.co/fHVOkmpheD")</f>
        <v>風暴襲擊北島上半部：一場猛烈的夜間風暴襲擊了北島上半部，連根拔起... http://t.co/fHVOkmpheD</v>
      </c>
      <c r="G3013" s="4" t="str">
        <f>IFERROR(__xludf.DUMMYFUNCTION("GOOGLETRANSLATE(B3013)"),"暴力%20風暴")</f>
        <v>暴力%20風暴</v>
      </c>
    </row>
    <row r="3014" ht="15.75" customHeight="1">
      <c r="A3014" s="4">
        <v>10202.0</v>
      </c>
      <c r="B3014" s="4" t="s">
        <v>4561</v>
      </c>
      <c r="C3014" s="4" t="s">
        <v>900</v>
      </c>
      <c r="D3014" s="4" t="s">
        <v>4590</v>
      </c>
      <c r="E3014" s="4">
        <v>1.0</v>
      </c>
      <c r="F3014" s="4" t="str">
        <f>IFERROR(__xludf.DUMMYFUNCTION("GOOGLETRANSLATE(D3014)"),"為這位飛行員緩慢鼓掌。戲劇性影片顯示飛機在暴力風暴中著陸 http://t.co/CgVUY3RcxO")</f>
        <v>為這位飛行員緩慢鼓掌。戲劇性影片顯示飛機在暴力風暴中著陸 http://t.co/CgVUY3RcxO</v>
      </c>
      <c r="G3014" s="4" t="str">
        <f>IFERROR(__xludf.DUMMYFUNCTION("GOOGLETRANSLATE(B3014)"),"暴力%20風暴")</f>
        <v>暴力%20風暴</v>
      </c>
    </row>
    <row r="3015" ht="15.75" customHeight="1">
      <c r="A3015" s="4">
        <v>10203.0</v>
      </c>
      <c r="B3015" s="4" t="s">
        <v>4561</v>
      </c>
      <c r="D3015" s="4" t="s">
        <v>4591</v>
      </c>
      <c r="E3015" s="4">
        <v>1.0</v>
      </c>
      <c r="F3015" s="4" t="str">
        <f>IFERROR(__xludf.DUMMYFUNCTION("GOOGLETRANSLATE(D3015)"),"如果您是國家氣象局，遇到旋轉風暴並報告“巨大”/“大規模”/“暴力”龍捲風，您會怎麼做？ https://t.co/J3dI85IST5")</f>
        <v>如果您是國家氣象局，遇到旋轉風暴並報告“巨大”/“大規模”/“暴力”龍捲風，您會怎麼做？ https://t.co/J3dI85IST5</v>
      </c>
      <c r="G3015" s="4" t="str">
        <f>IFERROR(__xludf.DUMMYFUNCTION("GOOGLETRANSLATE(B3015)"),"暴力%20風暴")</f>
        <v>暴力%20風暴</v>
      </c>
    </row>
    <row r="3016" ht="15.75" customHeight="1">
      <c r="A3016" s="4">
        <v>10204.0</v>
      </c>
      <c r="B3016" s="4" t="s">
        <v>4561</v>
      </c>
      <c r="C3016" s="4" t="s">
        <v>4592</v>
      </c>
      <c r="D3016" s="4" t="s">
        <v>4593</v>
      </c>
      <c r="E3016" s="4">
        <v>1.0</v>
      </c>
      <c r="F3016" s="4" t="str">
        <f>IFERROR(__xludf.DUMMYFUNCTION("GOOGLETRANSLATE(D3016)"),"戲劇性影片顯示飛機在暴力風暴中著陸 http://t.co/rJ9gkJKJJn")</f>
        <v>戲劇性影片顯示飛機在暴力風暴中著陸 http://t.co/rJ9gkJKJJn</v>
      </c>
      <c r="G3016" s="4" t="str">
        <f>IFERROR(__xludf.DUMMYFUNCTION("GOOGLETRANSLATE(B3016)"),"暴力%20風暴")</f>
        <v>暴力%20風暴</v>
      </c>
    </row>
    <row r="3017" ht="15.75" customHeight="1">
      <c r="A3017" s="4">
        <v>10206.0</v>
      </c>
      <c r="B3017" s="4" t="s">
        <v>4561</v>
      </c>
      <c r="C3017" s="4" t="s">
        <v>4594</v>
      </c>
      <c r="D3017" s="4" t="s">
        <v>4595</v>
      </c>
      <c r="E3017" s="4">
        <v>1.0</v>
      </c>
      <c r="F3017" s="4" t="str">
        <f>IFERROR(__xludf.DUMMYFUNCTION("GOOGLETRANSLATE(D3017)"),"POV 影片捕捉到暴風雨期間在阿姆斯特丹史基浦機場的暴力著陸 - 《每日郵報》http://t.co/seShqN5DSK #Amsterdam #News")</f>
        <v>POV 影片捕捉到暴風雨期間在阿姆斯特丹史基浦機場的暴力著陸 - 《每日郵報》http://t.co/seShqN5DSK #Amsterdam #News</v>
      </c>
      <c r="G3017" s="4" t="str">
        <f>IFERROR(__xludf.DUMMYFUNCTION("GOOGLETRANSLATE(B3017)"),"暴力%20風暴")</f>
        <v>暴力%20風暴</v>
      </c>
    </row>
    <row r="3018" ht="15.75" customHeight="1">
      <c r="A3018" s="4">
        <v>10207.0</v>
      </c>
      <c r="B3018" s="4" t="s">
        <v>4561</v>
      </c>
      <c r="C3018" s="4" t="s">
        <v>4596</v>
      </c>
      <c r="D3018" s="4" t="s">
        <v>4597</v>
      </c>
      <c r="E3018" s="4">
        <v>1.0</v>
      </c>
      <c r="F3018" s="4" t="str">
        <f>IFERROR(__xludf.DUMMYFUNCTION("GOOGLETRANSLATE(D3018)"),"暴力影片：烏克蘭暴徒殘酷毆打警察，衝進當地行政大樓
我們都在反擊 http://t.co/Byj5Dfa2rv")</f>
        <v>暴力影片：烏克蘭暴徒殘酷毆打警察，衝進當地行政大樓
我們都在反擊 http://t.co/Byj5Dfa2rv</v>
      </c>
      <c r="G3018" s="4" t="str">
        <f>IFERROR(__xludf.DUMMYFUNCTION("GOOGLETRANSLATE(B3018)"),"暴力%20風暴")</f>
        <v>暴力%20風暴</v>
      </c>
    </row>
    <row r="3019" ht="15.75" customHeight="1">
      <c r="A3019" s="4">
        <v>10208.0</v>
      </c>
      <c r="B3019" s="4" t="s">
        <v>4598</v>
      </c>
      <c r="C3019" s="4" t="s">
        <v>4599</v>
      </c>
      <c r="D3019" s="4" t="s">
        <v>4600</v>
      </c>
      <c r="E3019" s="4">
        <v>1.0</v>
      </c>
      <c r="F3019" s="4" t="str">
        <f>IFERROR(__xludf.DUMMYFUNCTION("GOOGLETRANSLATE(D3019)"),"由於勞恩山火山噴發的火山灰，捷星航空和維珍航空被迫再次取消峇裡島航班 http://t.co/jTJoFLtMS4")</f>
        <v>由於勞恩山火山噴發的火山灰，捷星航空和維珍航空被迫再次取消峇裡島航班 http://t.co/jTJoFLtMS4</v>
      </c>
      <c r="G3019" s="4" t="str">
        <f>IFERROR(__xludf.DUMMYFUNCTION("GOOGLETRANSLATE(B3019)"),"火山")</f>
        <v>火山</v>
      </c>
    </row>
    <row r="3020" ht="15.75" customHeight="1">
      <c r="A3020" s="4">
        <v>10209.0</v>
      </c>
      <c r="B3020" s="4" t="s">
        <v>4598</v>
      </c>
      <c r="C3020" s="4" t="s">
        <v>4601</v>
      </c>
      <c r="D3020" s="4" t="s">
        <v>4602</v>
      </c>
      <c r="E3020" s="4">
        <v>1.0</v>
      </c>
      <c r="F3020" s="4" t="str">
        <f>IFERROR(__xludf.DUMMYFUNCTION("GOOGLETRANSLATE(D3020)"),"龍腹內。或是下面的冰洞
堪察加半島的一座火山|攝影：
©丹尼爾·科爾若諾夫
http://t.co/8T36HWgoqd")</f>
        <v>龍腹內。或是下面的冰洞
堪察加半島的一座火山|攝影：
©丹尼爾·科爾若諾夫
http://t.co/8T36HWgoqd</v>
      </c>
      <c r="G3020" s="4" t="str">
        <f>IFERROR(__xludf.DUMMYFUNCTION("GOOGLETRANSLATE(B3020)"),"火山")</f>
        <v>火山</v>
      </c>
    </row>
    <row r="3021" ht="15.75" customHeight="1">
      <c r="A3021" s="4">
        <v>10210.0</v>
      </c>
      <c r="B3021" s="4" t="s">
        <v>4598</v>
      </c>
      <c r="C3021" s="4" t="s">
        <v>38</v>
      </c>
      <c r="D3021" s="4" t="s">
        <v>4603</v>
      </c>
      <c r="E3021" s="4">
        <v>1.0</v>
      </c>
      <c r="F3021" s="4" t="str">
        <f>IFERROR(__xludf.DUMMYFUNCTION("GOOGLETRANSLATE(D3021)"),"日本青島火山。作者：未知 - 看看吧！ http://t.co/OegFQBIqIq
 #青島 #日本 #攝影 #火山")</f>
        <v>日本青島火山。作者：未知 - 看看吧！ http://t.co/OegFQBIqIq
 #青島 #日本 #攝影 #火山</v>
      </c>
      <c r="G3021" s="4" t="str">
        <f>IFERROR(__xludf.DUMMYFUNCTION("GOOGLETRANSLATE(B3021)"),"火山")</f>
        <v>火山</v>
      </c>
    </row>
    <row r="3022" ht="15.75" customHeight="1">
      <c r="A3022" s="4">
        <v>10212.0</v>
      </c>
      <c r="B3022" s="4" t="s">
        <v>4598</v>
      </c>
      <c r="C3022" s="4" t="s">
        <v>1928</v>
      </c>
      <c r="D3022" s="4" t="s">
        <v>4604</v>
      </c>
      <c r="E3022" s="4">
        <v>1.0</v>
      </c>
      <c r="F3022" s="4" t="str">
        <f>IFERROR(__xludf.DUMMYFUNCTION("GOOGLETRANSLATE(D3022)"),"#Earthquake #Earthquake M 1.9 - 夏威夷火山南面5 公里：時間2015-08-06 01:04:01 UTC2015-08-05 15:04:01 -10:00 at ... http://t.co/ eTswuoD3oM")</f>
        <v>#Earthquake #Earthquake M 1.9 - 夏威夷火山南面5 公里：時間2015-08-06 01:04:01 UTC2015-08-05 15:04:01 -10:00 at ... http://t.co/ eTswuoD3oM</v>
      </c>
      <c r="G3022" s="4" t="str">
        <f>IFERROR(__xludf.DUMMYFUNCTION("GOOGLETRANSLATE(B3022)"),"火山")</f>
        <v>火山</v>
      </c>
    </row>
    <row r="3023" ht="15.75" customHeight="1">
      <c r="A3023" s="4">
        <v>10214.0</v>
      </c>
      <c r="B3023" s="4" t="s">
        <v>4598</v>
      </c>
      <c r="C3023" s="4" t="s">
        <v>281</v>
      </c>
      <c r="D3023" s="4" t="s">
        <v>4605</v>
      </c>
      <c r="E3023" s="4">
        <v>1.0</v>
      </c>
      <c r="F3023" s="4" t="str">
        <f>IFERROR(__xludf.DUMMYFUNCTION("GOOGLETRANSLATE(D3023)"),"世界標準時間 01:04 夏威夷火山南側 5 公里處發生 1.94 級地震！ #地震 #火山 http://t.co/auf4J4Owj1")</f>
        <v>世界標準時間 01:04 夏威夷火山南側 5 公里處發生 1.94 級地震！ #地震 #火山 http://t.co/auf4J4Owj1</v>
      </c>
      <c r="G3023" s="4" t="str">
        <f>IFERROR(__xludf.DUMMYFUNCTION("GOOGLETRANSLATE(B3023)"),"火山")</f>
        <v>火山</v>
      </c>
    </row>
    <row r="3024" ht="15.75" customHeight="1">
      <c r="A3024" s="4">
        <v>10215.0</v>
      </c>
      <c r="B3024" s="4" t="s">
        <v>4598</v>
      </c>
      <c r="D3024" s="4" t="s">
        <v>4606</v>
      </c>
      <c r="E3024" s="4">
        <v>1.0</v>
      </c>
      <c r="F3024" s="4" t="str">
        <f>IFERROR(__xludf.DUMMYFUNCTION("GOOGLETRANSLATE(D3024)"),"1.9 #夏威夷火山南 5 公里處的地震 #iPhone 用戶下載 Earthquake 應用程式以獲取更多資訊 http://t.co/V3aZWOAmzK")</f>
        <v>1.9 #夏威夷火山南 5 公里處的地震 #iPhone 用戶下載 Earthquake 應用程式以獲取更多資訊 http://t.co/V3aZWOAmzK</v>
      </c>
      <c r="G3024" s="4" t="str">
        <f>IFERROR(__xludf.DUMMYFUNCTION("GOOGLETRANSLATE(B3024)"),"火山")</f>
        <v>火山</v>
      </c>
    </row>
    <row r="3025" ht="15.75" customHeight="1">
      <c r="A3025" s="4">
        <v>10217.0</v>
      </c>
      <c r="B3025" s="4" t="s">
        <v>4598</v>
      </c>
      <c r="D3025" s="4" t="s">
        <v>4607</v>
      </c>
      <c r="E3025" s="4">
        <v>1.0</v>
      </c>
      <c r="F3025" s="4" t="str">
        <f>IFERROR(__xludf.DUMMYFUNCTION("GOOGLETRANSLATE(D3025)"),"印尼火山爆發引發交通混亂：在這張由影片製作的圖片中，Raung 山位於Û_ http://t.co/7muG2kAhL7 ？")</f>
        <v>印尼火山爆發引發交通混亂：在這張由影片製作的圖片中，Raung 山位於Û_ http://t.co/7muG2kAhL7 ？</v>
      </c>
      <c r="G3025" s="4" t="str">
        <f>IFERROR(__xludf.DUMMYFUNCTION("GOOGLETRANSLATE(B3025)"),"火山")</f>
        <v>火山</v>
      </c>
    </row>
    <row r="3026" ht="15.75" customHeight="1">
      <c r="A3026" s="4">
        <v>10220.0</v>
      </c>
      <c r="B3026" s="4" t="s">
        <v>4598</v>
      </c>
      <c r="C3026" s="4" t="s">
        <v>1947</v>
      </c>
      <c r="D3026" s="4" t="s">
        <v>1948</v>
      </c>
      <c r="E3026" s="4">
        <v>1.0</v>
      </c>
      <c r="F3026" s="4" t="str">
        <f>IFERROR(__xludf.DUMMYFUNCTION("GOOGLETRANSLATE(D3026)"),"美國地質調查局 (USGS) 於 2015 年 8 月 6 日@ 1:04:01 UTC 報告了夏威夷火山南側 5 公里的 M1.94 #地震 http://t.co/Njd28pg9Xv #quake")</f>
        <v>美國地質調查局 (USGS) 於 2015 年 8 月 6 日@ 1:04:01 UTC 報告了夏威夷火山南側 5 公里的 M1.94 #地震 http://t.co/Njd28pg9Xv #quake</v>
      </c>
      <c r="G3026" s="4" t="str">
        <f>IFERROR(__xludf.DUMMYFUNCTION("GOOGLETRANSLATE(B3026)"),"火山")</f>
        <v>火山</v>
      </c>
    </row>
    <row r="3027" ht="15.75" customHeight="1">
      <c r="A3027" s="4">
        <v>10222.0</v>
      </c>
      <c r="B3027" s="4" t="s">
        <v>4598</v>
      </c>
      <c r="C3027" s="4" t="s">
        <v>1947</v>
      </c>
      <c r="D3027" s="4" t="s">
        <v>4608</v>
      </c>
      <c r="E3027" s="4">
        <v>1.0</v>
      </c>
      <c r="F3027" s="4" t="str">
        <f>IFERROR(__xludf.DUMMYFUNCTION("GOOGLETRANSLATE(D3027)"),"USGS EQ：夏威夷火山M 1.9 - 5 公里南：時間2015-08-06 01:04:01 UTC2015-08-05 15:04:01 -10:00 a... http://t.co/3rrGHT4ewp #地震")</f>
        <v>USGS EQ：夏威夷火山M 1.9 - 5 公里南：時間2015-08-06 01:04:01 UTC2015-08-05 15:04:01 -10:00 a... http://t.co/3rrGHT4ewp #地震</v>
      </c>
      <c r="G3027" s="4" t="str">
        <f>IFERROR(__xludf.DUMMYFUNCTION("GOOGLETRANSLATE(B3027)"),"火山")</f>
        <v>火山</v>
      </c>
    </row>
    <row r="3028" ht="15.75" customHeight="1">
      <c r="A3028" s="4">
        <v>10223.0</v>
      </c>
      <c r="B3028" s="4" t="s">
        <v>4598</v>
      </c>
      <c r="D3028" s="4" t="s">
        <v>4609</v>
      </c>
      <c r="E3028" s="4">
        <v>1.0</v>
      </c>
      <c r="F3028" s="4" t="str">
        <f>IFERROR(__xludf.DUMMYFUNCTION("GOOGLETRANSLATE(D3028)"),"#USGS M 1.9 - 夏威夷火山南面5 公里：時間2015-08-06 01:04:01 UTC2015-08-05 15:04:01 -10:00 位於震央... http://t.co/dIsrwhQGym # SM")</f>
        <v>#USGS M 1.9 - 夏威夷火山南面5 公里：時間2015-08-06 01:04:01 UTC2015-08-05 15:04:01 -10:00 位於震央... http://t.co/dIsrwhQGym # SM</v>
      </c>
      <c r="G3028" s="4" t="str">
        <f>IFERROR(__xludf.DUMMYFUNCTION("GOOGLETRANSLATE(B3028)"),"火山")</f>
        <v>火山</v>
      </c>
    </row>
    <row r="3029" ht="15.75" customHeight="1">
      <c r="A3029" s="4">
        <v>10224.0</v>
      </c>
      <c r="B3029" s="4" t="s">
        <v>4598</v>
      </c>
      <c r="D3029" s="4" t="s">
        <v>4610</v>
      </c>
      <c r="E3029" s="4">
        <v>1.0</v>
      </c>
      <c r="F3029" s="4" t="str">
        <f>IFERROR(__xludf.DUMMYFUNCTION("GOOGLETRANSLATE(D3029)"),"@MrMikeEaton @Muazimus_Prime 地獄山山火山。")</f>
        <v>@MrMikeEaton @Muazimus_Prime 地獄山山火山。</v>
      </c>
      <c r="G3029" s="4" t="str">
        <f>IFERROR(__xludf.DUMMYFUNCTION("GOOGLETRANSLATE(B3029)"),"火山")</f>
        <v>火山</v>
      </c>
    </row>
    <row r="3030" ht="15.75" customHeight="1">
      <c r="A3030" s="4">
        <v>10229.0</v>
      </c>
      <c r="B3030" s="4" t="s">
        <v>4598</v>
      </c>
      <c r="D3030" s="4" t="s">
        <v>4611</v>
      </c>
      <c r="E3030" s="4">
        <v>1.0</v>
      </c>
      <c r="F3030" s="4" t="str">
        <f>IFERROR(__xludf.DUMMYFUNCTION("GOOGLETRANSLATE(D3030)"),"M1.94 [01:04 UTC]？夏威夷火山以南 5 公里。 http://t.co/zToyd8EbJ")</f>
        <v>M1.94 [01:04 UTC]？夏威夷火山以南 5 公里。 http://t.co/zToyd8EbJ</v>
      </c>
      <c r="G3030" s="4" t="str">
        <f>IFERROR(__xludf.DUMMYFUNCTION("GOOGLETRANSLATE(B3030)"),"火山")</f>
        <v>火山</v>
      </c>
    </row>
    <row r="3031" ht="15.75" customHeight="1">
      <c r="A3031" s="4">
        <v>10236.0</v>
      </c>
      <c r="B3031" s="4" t="s">
        <v>4598</v>
      </c>
      <c r="C3031" s="4" t="s">
        <v>4612</v>
      </c>
      <c r="D3031" s="4" t="s">
        <v>4613</v>
      </c>
      <c r="E3031" s="4">
        <v>1.0</v>
      </c>
      <c r="F3031" s="4" t="str">
        <f>IFERROR(__xludf.DUMMYFUNCTION("GOOGLETRANSLATE(D3031)"),"我將影片新增至 @YouTube 播放清單 http://t.co/y2Mt6v13E8 文件：火山和地震 - 火山內部")</f>
        <v>我將影片新增至 @YouTube 播放清單 http://t.co/y2Mt6v13E8 文件：火山和地震 - 火山內部</v>
      </c>
      <c r="G3031" s="4" t="str">
        <f>IFERROR(__xludf.DUMMYFUNCTION("GOOGLETRANSLATE(B3031)"),"火山")</f>
        <v>火山</v>
      </c>
    </row>
    <row r="3032" ht="15.75" customHeight="1">
      <c r="A3032" s="4">
        <v>10237.0</v>
      </c>
      <c r="B3032" s="4" t="s">
        <v>4598</v>
      </c>
      <c r="C3032" s="4" t="s">
        <v>2306</v>
      </c>
      <c r="D3032" s="4" t="s">
        <v>4614</v>
      </c>
      <c r="E3032" s="4">
        <v>1.0</v>
      </c>
      <c r="F3032" s="4" t="str">
        <f>IFERROR(__xludf.DUMMYFUNCTION("GOOGLETRANSLATE(D3032)"),"他不僅知道最新的研究，孩子的胃腸專家還唱了《腦筋急轉彎》中的火山歌曲。這就是全人護理。")</f>
        <v>他不僅知道最新的研究，孩子的胃腸專家還唱了《腦筋急轉彎》中的火山歌曲。這就是全人護理。</v>
      </c>
      <c r="G3032" s="4" t="str">
        <f>IFERROR(__xludf.DUMMYFUNCTION("GOOGLETRANSLATE(B3032)"),"火山")</f>
        <v>火山</v>
      </c>
    </row>
    <row r="3033" ht="15.75" customHeight="1">
      <c r="A3033" s="4">
        <v>10239.0</v>
      </c>
      <c r="B3033" s="4" t="s">
        <v>4598</v>
      </c>
      <c r="C3033" s="4" t="s">
        <v>4615</v>
      </c>
      <c r="D3033" s="4" t="s">
        <v>4616</v>
      </c>
      <c r="E3033" s="4">
        <v>1.0</v>
      </c>
      <c r="F3033" s="4" t="str">
        <f>IFERROR(__xludf.DUMMYFUNCTION("GOOGLETRANSLATE(D3033)"),"@alextucker 火山碗飲料")</f>
        <v>@alextucker 火山碗飲料</v>
      </c>
      <c r="G3033" s="4" t="str">
        <f>IFERROR(__xludf.DUMMYFUNCTION("GOOGLETRANSLATE(B3033)"),"火山")</f>
        <v>火山</v>
      </c>
    </row>
    <row r="3034" ht="15.75" customHeight="1">
      <c r="A3034" s="4">
        <v>10244.0</v>
      </c>
      <c r="B3034" s="4" t="s">
        <v>4598</v>
      </c>
      <c r="C3034" s="4" t="s">
        <v>112</v>
      </c>
      <c r="D3034" s="4" t="s">
        <v>4617</v>
      </c>
      <c r="E3034" s="4">
        <v>1.0</v>
      </c>
      <c r="F3034" s="4" t="str">
        <f>IFERROR(__xludf.DUMMYFUNCTION("GOOGLETRANSLATE(D3034)"),"熱心是一座火山，山頂上不長出優柔寡斷的草")</f>
        <v>熱心是一座火山，山頂上不長出優柔寡斷的草</v>
      </c>
      <c r="G3034" s="4" t="str">
        <f>IFERROR(__xludf.DUMMYFUNCTION("GOOGLETRANSLATE(B3034)"),"火山")</f>
        <v>火山</v>
      </c>
    </row>
    <row r="3035" ht="15.75" customHeight="1">
      <c r="A3035" s="4">
        <v>10246.0</v>
      </c>
      <c r="B3035" s="4" t="s">
        <v>4598</v>
      </c>
      <c r="C3035" s="4" t="s">
        <v>4618</v>
      </c>
      <c r="D3035" s="4" t="s">
        <v>4619</v>
      </c>
      <c r="E3035" s="4">
        <v>1.0</v>
      </c>
      <c r="F3035" s="4" t="str">
        <f>IFERROR(__xludf.DUMMYFUNCTION("GOOGLETRANSLATE(D3035)"),"@volcano_tornado 在其他地方住了一段時間，Da Mill 還不錯，兒子！ ＃看法")</f>
        <v>@volcano_tornado 在其他地方住了一段時間，Da Mill 還不錯，兒子！ ＃看法</v>
      </c>
      <c r="G3035" s="4" t="str">
        <f>IFERROR(__xludf.DUMMYFUNCTION("GOOGLETRANSLATE(B3035)"),"火山")</f>
        <v>火山</v>
      </c>
    </row>
    <row r="3036" ht="15.75" customHeight="1">
      <c r="A3036" s="4">
        <v>10247.0</v>
      </c>
      <c r="B3036" s="4" t="s">
        <v>4598</v>
      </c>
      <c r="D3036" s="4" t="s">
        <v>4620</v>
      </c>
      <c r="E3036" s="4">
        <v>1.0</v>
      </c>
      <c r="F3036" s="4" t="str">
        <f>IFERROR(__xludf.DUMMYFUNCTION("GOOGLETRANSLATE(D3036)"),"#M 1.9地震- 夏威夷火山南側5公里：時間2015-08-06 01:04:01 UTC2015-08-05 15:04:01 -10:00 at ep... http://t.co/ RTUeTdfBqb #西斯米克")</f>
        <v>#M 1.9地震- 夏威夷火山南側5公里：時間2015-08-06 01:04:01 UTC2015-08-05 15:04:01 -10:00 at ep... http://t.co/ RTUeTdfBqb #西斯米克</v>
      </c>
      <c r="G3036" s="4" t="str">
        <f>IFERROR(__xludf.DUMMYFUNCTION("GOOGLETRANSLATE(B3036)"),"火山")</f>
        <v>火山</v>
      </c>
    </row>
    <row r="3037" ht="15.75" customHeight="1">
      <c r="A3037" s="4">
        <v>10255.0</v>
      </c>
      <c r="B3037" s="4" t="s">
        <v>4621</v>
      </c>
      <c r="C3037" s="4" t="s">
        <v>4622</v>
      </c>
      <c r="D3037" s="4" t="s">
        <v>4623</v>
      </c>
      <c r="E3037" s="4">
        <v>1.0</v>
      </c>
      <c r="F3037" s="4" t="str">
        <f>IFERROR(__xludf.DUMMYFUNCTION("GOOGLETRANSLATE(D3037)"),"謝謝@scegnews！我們的社區看起來像戰區，但我們在 4 小時內就恢復了供電！")</f>
        <v>謝謝@scegnews！我們的社區看起來像戰區，但我們在 4 小時內就恢復了供電！</v>
      </c>
      <c r="G3037" s="4" t="str">
        <f>IFERROR(__xludf.DUMMYFUNCTION("GOOGLETRANSLATE(B3037)"),"戰爭%20zone")</f>
        <v>戰爭%20zone</v>
      </c>
    </row>
    <row r="3038" ht="15.75" customHeight="1">
      <c r="A3038" s="4">
        <v>10265.0</v>
      </c>
      <c r="B3038" s="4" t="s">
        <v>4621</v>
      </c>
      <c r="C3038" s="4" t="s">
        <v>4624</v>
      </c>
      <c r="D3038" s="4" t="s">
        <v>4625</v>
      </c>
      <c r="E3038" s="4">
        <v>1.0</v>
      </c>
      <c r="F3038" s="4" t="str">
        <f>IFERROR(__xludf.DUMMYFUNCTION("GOOGLETRANSLATE(D3038)"),"毒品戰爭使美國變成了戰區。")</f>
        <v>毒品戰爭使美國變成了戰區。</v>
      </c>
      <c r="G3038" s="4" t="str">
        <f>IFERROR(__xludf.DUMMYFUNCTION("GOOGLETRANSLATE(B3038)"),"戰爭%20zone")</f>
        <v>戰爭%20zone</v>
      </c>
    </row>
    <row r="3039" ht="15.75" customHeight="1">
      <c r="A3039" s="4">
        <v>10268.0</v>
      </c>
      <c r="B3039" s="4" t="s">
        <v>4621</v>
      </c>
      <c r="C3039" s="4" t="s">
        <v>4626</v>
      </c>
      <c r="D3039" s="4" t="s">
        <v>4627</v>
      </c>
      <c r="E3039" s="4">
        <v>1.0</v>
      </c>
      <c r="F3039" s="4" t="str">
        <f>IFERROR(__xludf.DUMMYFUNCTION("GOOGLETRANSLATE(D3039)"),"#DebateQuestionsWeWantToHear 如果你發動另一場戰爭，你願意 2 自己去戰區還是派你的兒子和/或女兒 2 去戰鬥？")</f>
        <v>#DebateQuestionsWeWantToHear 如果你發動另一場戰爭，你願意 2 自己去戰區還是派你的兒子和/或女兒 2 去戰鬥？</v>
      </c>
      <c r="G3039" s="4" t="str">
        <f>IFERROR(__xludf.DUMMYFUNCTION("GOOGLETRANSLATE(B3039)"),"戰爭%20zone")</f>
        <v>戰爭%20zone</v>
      </c>
    </row>
    <row r="3040" ht="15.75" customHeight="1">
      <c r="A3040" s="4">
        <v>10270.0</v>
      </c>
      <c r="B3040" s="4" t="s">
        <v>4621</v>
      </c>
      <c r="D3040" s="4" t="s">
        <v>4628</v>
      </c>
      <c r="E3040" s="4">
        <v>1.0</v>
      </c>
      <c r="F3040" s="4" t="str">
        <f>IFERROR(__xludf.DUMMYFUNCTION("GOOGLETRANSLATE(D3040)"),"#WorldWatchesFerguson #Florida @GovJayNixon @clairecmc 你怎麼敢把我們的街道變成戰區——一場針對公民的戰爭？")</f>
        <v>#WorldWatchesFerguson #Florida @GovJayNixon @clairecmc 你怎麼敢把我們的街道變成戰區——一場針對公民的戰爭？</v>
      </c>
      <c r="G3040" s="4" t="str">
        <f>IFERROR(__xludf.DUMMYFUNCTION("GOOGLETRANSLATE(B3040)"),"戰爭%20zone")</f>
        <v>戰爭%20zone</v>
      </c>
    </row>
    <row r="3041" ht="15.75" customHeight="1">
      <c r="A3041" s="4">
        <v>10274.0</v>
      </c>
      <c r="B3041" s="4" t="s">
        <v>4621</v>
      </c>
      <c r="D3041" s="4" t="s">
        <v>4629</v>
      </c>
      <c r="E3041" s="4">
        <v>1.0</v>
      </c>
      <c r="F3041" s="4" t="str">
        <f>IFERROR(__xludf.DUMMYFUNCTION("GOOGLETRANSLATE(D3041)"),"看起來和聽起來都像戰區")</f>
        <v>看起來和聽起來都像戰區</v>
      </c>
      <c r="G3041" s="4" t="str">
        <f>IFERROR(__xludf.DUMMYFUNCTION("GOOGLETRANSLATE(B3041)"),"戰爭%20zone")</f>
        <v>戰爭%20zone</v>
      </c>
    </row>
    <row r="3042" ht="15.75" customHeight="1">
      <c r="A3042" s="4">
        <v>10283.0</v>
      </c>
      <c r="B3042" s="4" t="s">
        <v>4621</v>
      </c>
      <c r="C3042" s="4" t="s">
        <v>4630</v>
      </c>
      <c r="D3042" s="4" t="s">
        <v>4631</v>
      </c>
      <c r="E3042" s="4">
        <v>1.0</v>
      </c>
      <c r="F3042" s="4" t="str">
        <f>IFERROR(__xludf.DUMMYFUNCTION("GOOGLETRANSLATE(D3042)"),"這是一場單向音樂會而不是戰區這是什麼#OTRAMETLIFE http://t.co/PtY9HRCUZH")</f>
        <v>這是一場單向音樂會而不是戰區這是什麼#OTRAMETLIFE http://t.co/PtY9HRCUZH</v>
      </c>
      <c r="G3042" s="4" t="str">
        <f>IFERROR(__xludf.DUMMYFUNCTION("GOOGLETRANSLATE(B3042)"),"戰爭%20zone")</f>
        <v>戰爭%20zone</v>
      </c>
    </row>
    <row r="3043" ht="15.75" customHeight="1">
      <c r="A3043" s="4">
        <v>10284.0</v>
      </c>
      <c r="B3043" s="4" t="s">
        <v>4621</v>
      </c>
      <c r="C3043" s="4" t="s">
        <v>4632</v>
      </c>
      <c r="D3043" s="4" t="s">
        <v>4633</v>
      </c>
      <c r="E3043" s="4">
        <v>1.0</v>
      </c>
      <c r="F3043" s="4" t="str">
        <f>IFERROR(__xludf.DUMMYFUNCTION("GOOGLETRANSLATE(D3043)"),"外面看起來就像是戰區。這是怎麼回事？")</f>
        <v>外面看起來就像是戰區。這是怎麼回事？</v>
      </c>
      <c r="G3043" s="4" t="str">
        <f>IFERROR(__xludf.DUMMYFUNCTION("GOOGLETRANSLATE(B3043)"),"戰爭%20zone")</f>
        <v>戰爭%20zone</v>
      </c>
    </row>
    <row r="3044" ht="15.75" customHeight="1">
      <c r="A3044" s="4">
        <v>10286.0</v>
      </c>
      <c r="B3044" s="4" t="s">
        <v>4634</v>
      </c>
      <c r="C3044" s="4" t="s">
        <v>94</v>
      </c>
      <c r="D3044" s="4" t="s">
        <v>4635</v>
      </c>
      <c r="E3044" s="4">
        <v>1.0</v>
      </c>
      <c r="F3044" s="4" t="str">
        <f>IFERROR(__xludf.DUMMYFUNCTION("GOOGLETRANSLATE(D3044)"),"70年前的今天，美國向日本投下核武。以下是一些文章，分享了我對該決定的看法Û_")</f>
        <v>70年前的今天，美國向日本投下核武。以下是一些文章，分享了我對該決定的看法Û_</v>
      </c>
      <c r="G3044" s="4" t="str">
        <f>IFERROR(__xludf.DUMMYFUNCTION("GOOGLETRANSLATE(B3044)"),"武器")</f>
        <v>武器</v>
      </c>
    </row>
    <row r="3045" ht="15.75" customHeight="1">
      <c r="A3045" s="4">
        <v>10288.0</v>
      </c>
      <c r="B3045" s="4" t="s">
        <v>4634</v>
      </c>
      <c r="C3045" s="4" t="s">
        <v>4636</v>
      </c>
      <c r="D3045" s="4" t="s">
        <v>4637</v>
      </c>
      <c r="E3045" s="4">
        <v>1.0</v>
      </c>
      <c r="F3045" s="4" t="str">
        <f>IFERROR(__xludf.DUMMYFUNCTION("GOOGLETRANSLATE(D3045)"),"安倍政府表示，這些飛彈不是“武器”，因此日本自衛隊可以在行使集體自衛權時向盟友提供這些飛彈。")</f>
        <v>安倍政府表示，這些飛彈不是“武器”，因此日本自衛隊可以在行使集體自衛權時向盟友提供這些飛彈。</v>
      </c>
      <c r="G3045" s="4" t="str">
        <f>IFERROR(__xludf.DUMMYFUNCTION("GOOGLETRANSLATE(B3045)"),"武器")</f>
        <v>武器</v>
      </c>
    </row>
    <row r="3046" ht="15.75" customHeight="1">
      <c r="A3046" s="4">
        <v>10289.0</v>
      </c>
      <c r="B3046" s="4" t="s">
        <v>4634</v>
      </c>
      <c r="C3046" s="4" t="s">
        <v>4638</v>
      </c>
      <c r="D3046" s="4" t="s">
        <v>4639</v>
      </c>
      <c r="E3046" s="4">
        <v>1.0</v>
      </c>
      <c r="F3046" s="4" t="str">
        <f>IFERROR(__xludf.DUMMYFUNCTION("GOOGLETRANSLATE(D3046)"),"請容許我重申，這不是武器，而是個人的心態！ #專業#幫幫忙！ -軍團！ https://t.co/2lGTZkwMqW")</f>
        <v>請容許我重申，這不是武器，而是個人的心態！ #專業#幫幫忙！ -軍團！ https://t.co/2lGTZkwMqW</v>
      </c>
      <c r="G3046" s="4" t="str">
        <f>IFERROR(__xludf.DUMMYFUNCTION("GOOGLETRANSLATE(B3046)"),"武器")</f>
        <v>武器</v>
      </c>
    </row>
    <row r="3047" ht="15.75" customHeight="1">
      <c r="A3047" s="4">
        <v>10296.0</v>
      </c>
      <c r="B3047" s="4" t="s">
        <v>4634</v>
      </c>
      <c r="D3047" s="4" t="s">
        <v>4640</v>
      </c>
      <c r="E3047" s="4">
        <v>1.0</v>
      </c>
      <c r="F3047" s="4" t="str">
        <f>IFERROR(__xludf.DUMMYFUNCTION("GOOGLETRANSLATE(D3047)"),"九鐵貓 XII：這種惡夢般的殘酷武器用於鄉村俱樂部的儀式 http://t.co/xpFmR368uF http://t.co/nmAUMYdKe1")</f>
        <v>九鐵貓 XII：這種惡夢般的殘酷武器用於鄉村俱樂部的儀式 http://t.co/xpFmR368uF http://t.co/nmAUMYdKe1</v>
      </c>
      <c r="G3047" s="4" t="str">
        <f>IFERROR(__xludf.DUMMYFUNCTION("GOOGLETRANSLATE(B3047)"),"武器")</f>
        <v>武器</v>
      </c>
    </row>
    <row r="3048" ht="15.75" customHeight="1">
      <c r="A3048" s="4">
        <v>10304.0</v>
      </c>
      <c r="B3048" s="4" t="s">
        <v>4634</v>
      </c>
      <c r="C3048" s="4" t="s">
        <v>4641</v>
      </c>
      <c r="D3048" s="4" t="s">
        <v>4642</v>
      </c>
      <c r="E3048" s="4">
        <v>1.0</v>
      </c>
      <c r="F3048" s="4" t="str">
        <f>IFERROR(__xludf.DUMMYFUNCTION("GOOGLETRANSLATE(D3048)"),"伊朗軍艦將武器指向美國直升機官員稱http://t.co/SnqfHpYm3O #tcot")</f>
        <v>伊朗軍艦將武器指向美國直升機官員稱http://t.co/SnqfHpYm3O #tcot</v>
      </c>
      <c r="G3048" s="4" t="str">
        <f>IFERROR(__xludf.DUMMYFUNCTION("GOOGLETRANSLATE(B3048)"),"武器")</f>
        <v>武器</v>
      </c>
    </row>
    <row r="3049" ht="15.75" customHeight="1">
      <c r="A3049" s="4">
        <v>10305.0</v>
      </c>
      <c r="B3049" s="4" t="s">
        <v>4634</v>
      </c>
      <c r="C3049" s="4" t="s">
        <v>4643</v>
      </c>
      <c r="D3049" s="4" t="s">
        <v>4644</v>
      </c>
      <c r="E3049" s="4">
        <v>1.0</v>
      </c>
      <c r="F3049" s="4" t="str">
        <f>IFERROR(__xludf.DUMMYFUNCTION("GOOGLETRANSLATE(D3049)"),"突發新聞：歐巴馬官員向穆斯林恐怖分子提供了德州攻擊中使用的武器 http://t.co/RJcaxjp4oS")</f>
        <v>突發新聞：歐巴馬官員向穆斯林恐怖分子提供了德州攻擊中使用的武器 http://t.co/RJcaxjp4oS</v>
      </c>
      <c r="G3049" s="4" t="str">
        <f>IFERROR(__xludf.DUMMYFUNCTION("GOOGLETRANSLATE(B3049)"),"武器")</f>
        <v>武器</v>
      </c>
    </row>
    <row r="3050" ht="15.75" customHeight="1">
      <c r="A3050" s="4">
        <v>10307.0</v>
      </c>
      <c r="B3050" s="4" t="s">
        <v>4634</v>
      </c>
      <c r="D3050" s="4" t="s">
        <v>4645</v>
      </c>
      <c r="E3050" s="4">
        <v>1.0</v>
      </c>
      <c r="F3050" s="4" t="str">
        <f>IFERROR(__xludf.DUMMYFUNCTION("GOOGLETRANSLATE(D3050)"),"@abcnews 核彈是一種可怕的武器！！")</f>
        <v>@abcnews 核彈是一種可怕的武器！！</v>
      </c>
      <c r="G3050" s="4" t="str">
        <f>IFERROR(__xludf.DUMMYFUNCTION("GOOGLETRANSLATE(B3050)"),"武器")</f>
        <v>武器</v>
      </c>
    </row>
    <row r="3051" ht="15.75" customHeight="1">
      <c r="A3051" s="4">
        <v>10310.0</v>
      </c>
      <c r="B3051" s="4" t="s">
        <v>4634</v>
      </c>
      <c r="C3051" s="4" t="s">
        <v>1738</v>
      </c>
      <c r="D3051" s="4" t="s">
        <v>4646</v>
      </c>
      <c r="E3051" s="4">
        <v>1.0</v>
      </c>
      <c r="F3051" s="4" t="str">
        <f>IFERROR(__xludf.DUMMYFUNCTION("GOOGLETRANSLATE(D3051)"),"對 #terror 以及如何對抗它的罕見見解 http://t.co/t6OBVWaPhW #Cameroon #USA #Whitehouse #ES #FR #Nigeria #UK #Africa #DE #CA #AU #JP")</f>
        <v>對 #terror 以及如何對抗它的罕見見解 http://t.co/t6OBVWaPhW #Cameroon #USA #Whitehouse #ES #FR #Nigeria #UK #Africa #DE #CA #AU #JP</v>
      </c>
      <c r="G3051" s="4" t="str">
        <f>IFERROR(__xludf.DUMMYFUNCTION("GOOGLETRANSLATE(B3051)"),"武器")</f>
        <v>武器</v>
      </c>
    </row>
    <row r="3052" ht="15.75" customHeight="1">
      <c r="A3052" s="4">
        <v>10315.0</v>
      </c>
      <c r="B3052" s="4" t="s">
        <v>4634</v>
      </c>
      <c r="C3052" s="4" t="s">
        <v>4636</v>
      </c>
      <c r="D3052" s="4" t="s">
        <v>4647</v>
      </c>
      <c r="E3052" s="4">
        <v>1.0</v>
      </c>
      <c r="F3052" s="4" t="str">
        <f>IFERROR(__xludf.DUMMYFUNCTION("GOOGLETRANSLATE(D3052)"),"安倍政府明確表示手榴彈不是「武器」。")</f>
        <v>安倍政府明確表示手榴彈不是「武器」。</v>
      </c>
      <c r="G3052" s="4" t="str">
        <f>IFERROR(__xludf.DUMMYFUNCTION("GOOGLETRANSLATE(B3052)"),"武器")</f>
        <v>武器</v>
      </c>
    </row>
    <row r="3053" ht="15.75" customHeight="1">
      <c r="A3053" s="4">
        <v>10318.0</v>
      </c>
      <c r="B3053" s="4" t="s">
        <v>4634</v>
      </c>
      <c r="D3053" s="4" t="s">
        <v>4648</v>
      </c>
      <c r="E3053" s="4">
        <v>1.0</v>
      </c>
      <c r="F3053" s="4" t="str">
        <f>IFERROR(__xludf.DUMMYFUNCTION("GOOGLETRANSLATE(D3053)"),"即使你有武器和徽章，我們也會把它們放在你屁股上？？？")</f>
        <v>即使你有武器和徽章，我們也會把它們放在你屁股上？？？</v>
      </c>
      <c r="G3053" s="4" t="str">
        <f>IFERROR(__xludf.DUMMYFUNCTION("GOOGLETRANSLATE(B3053)"),"武器")</f>
        <v>武器</v>
      </c>
    </row>
    <row r="3054" ht="15.75" customHeight="1">
      <c r="A3054" s="4">
        <v>10330.0</v>
      </c>
      <c r="B3054" s="4" t="s">
        <v>4634</v>
      </c>
      <c r="C3054" s="4" t="s">
        <v>4649</v>
      </c>
      <c r="D3054" s="4" t="s">
        <v>4650</v>
      </c>
      <c r="E3054" s="4">
        <v>1.0</v>
      </c>
      <c r="F3054" s="4" t="str">
        <f>IFERROR(__xludf.DUMMYFUNCTION("GOOGLETRANSLATE(D3054)"),"那天記住核武的威力…廣島70號")</f>
        <v>那天記住核武的威力…廣島70號</v>
      </c>
      <c r="G3054" s="4" t="str">
        <f>IFERROR(__xludf.DUMMYFUNCTION("GOOGLETRANSLATE(B3054)"),"武器")</f>
        <v>武器</v>
      </c>
    </row>
    <row r="3055" ht="15.75" customHeight="1">
      <c r="A3055" s="4">
        <v>10331.0</v>
      </c>
      <c r="B3055" s="4" t="s">
        <v>4634</v>
      </c>
      <c r="C3055" s="4" t="s">
        <v>942</v>
      </c>
      <c r="D3055" s="4" t="s">
        <v>4651</v>
      </c>
      <c r="E3055" s="4">
        <v>1.0</v>
      </c>
      <c r="F3055" s="4" t="str">
        <f>IFERROR(__xludf.DUMMYFUNCTION("GOOGLETRANSLATE(D3055)"),"2011 年 3 月 8 日：警方在布朗克斯攔住一名 41 歲的男子，理由是「對受害者或地點進行了調查」。沒有找到武器。")</f>
        <v>2011 年 3 月 8 日：警方在布朗克斯攔住一名 41 歲的男子，理由是「對受害者或地點進行了調查」。沒有找到武器。</v>
      </c>
      <c r="G3055" s="4" t="str">
        <f>IFERROR(__xludf.DUMMYFUNCTION("GOOGLETRANSLATE(B3055)"),"武器")</f>
        <v>武器</v>
      </c>
    </row>
    <row r="3056" ht="15.75" customHeight="1">
      <c r="A3056" s="4">
        <v>10332.0</v>
      </c>
      <c r="B3056" s="4" t="s">
        <v>4634</v>
      </c>
      <c r="C3056" s="4" t="s">
        <v>4652</v>
      </c>
      <c r="D3056" s="4" t="s">
        <v>4653</v>
      </c>
      <c r="E3056" s="4">
        <v>1.0</v>
      </c>
      <c r="F3056" s="4" t="str">
        <f>IFERROR(__xludf.DUMMYFUNCTION("GOOGLETRANSLATE(D3056)"),"哈哈
看看生活在美國幫派最猖獗的一些城市裡的人們說話有多難聽
你的嘴巴不是武器
你他媽的窩囊廢")</f>
        <v>哈哈
看看生活在美國幫派最猖獗的一些城市裡的人們說話有多難聽
你的嘴巴不是武器
你他媽的窩囊廢</v>
      </c>
      <c r="G3056" s="4" t="str">
        <f>IFERROR(__xludf.DUMMYFUNCTION("GOOGLETRANSLATE(B3056)"),"武器")</f>
        <v>武器</v>
      </c>
    </row>
    <row r="3057" ht="15.75" customHeight="1">
      <c r="A3057" s="4">
        <v>10334.0</v>
      </c>
      <c r="B3057" s="4" t="s">
        <v>4634</v>
      </c>
      <c r="C3057" s="4" t="s">
        <v>4654</v>
      </c>
      <c r="D3057" s="4" t="s">
        <v>4655</v>
      </c>
      <c r="E3057" s="4">
        <v>1.0</v>
      </c>
      <c r="F3057" s="4" t="str">
        <f>IFERROR(__xludf.DUMMYFUNCTION("GOOGLETRANSLATE(D3057)"),"伊朗軍艦將武器指向美國直升機...... http://t.co/cgFZk8Ha1R")</f>
        <v>伊朗軍艦將武器指向美國直升機...... http://t.co/cgFZk8Ha1R</v>
      </c>
      <c r="G3057" s="4" t="str">
        <f>IFERROR(__xludf.DUMMYFUNCTION("GOOGLETRANSLATE(B3057)"),"武器")</f>
        <v>武器</v>
      </c>
    </row>
    <row r="3058" ht="15.75" customHeight="1">
      <c r="A3058" s="4">
        <v>10337.0</v>
      </c>
      <c r="B3058" s="4" t="s">
        <v>4656</v>
      </c>
      <c r="C3058" s="4" t="s">
        <v>4657</v>
      </c>
      <c r="D3058" s="4" t="s">
        <v>4658</v>
      </c>
      <c r="E3058" s="4">
        <v>1.0</v>
      </c>
      <c r="F3058" s="4" t="str">
        <f>IFERROR(__xludf.DUMMYFUNCTION("GOOGLETRANSLATE(D3058)"),"同意 - 特別是在自動武器方面。沒有正當理由需要一個@Argus_99 @HeidiA1438")</f>
        <v>同意 - 特別是在自動武器方面。沒有正當理由需要一個@Argus_99 @HeidiA1438</v>
      </c>
      <c r="G3058" s="4" t="str">
        <f>IFERROR(__xludf.DUMMYFUNCTION("GOOGLETRANSLATE(B3058)"),"武器")</f>
        <v>武器</v>
      </c>
    </row>
    <row r="3059" ht="15.75" customHeight="1">
      <c r="A3059" s="4">
        <v>10339.0</v>
      </c>
      <c r="B3059" s="4" t="s">
        <v>4656</v>
      </c>
      <c r="C3059" s="4" t="s">
        <v>1972</v>
      </c>
      <c r="D3059" s="4" t="s">
        <v>4659</v>
      </c>
      <c r="E3059" s="4">
        <v>1.0</v>
      </c>
      <c r="F3059" s="4" t="str">
        <f>IFERROR(__xludf.DUMMYFUNCTION("GOOGLETRANSLATE(D3059)"),"我很抱歉，但如果你必須訴諸武器來解決某些事情，那麼無論輸贏，你都得像個男人一樣接受你的狗屎。就這樣吧")</f>
        <v>我很抱歉，但如果你必須訴諸武器來解決某些事情，那麼無論輸贏，你都得像個男人一樣接受你的狗屎。就這樣吧</v>
      </c>
      <c r="G3059" s="4" t="str">
        <f>IFERROR(__xludf.DUMMYFUNCTION("GOOGLETRANSLATE(B3059)"),"武器")</f>
        <v>武器</v>
      </c>
    </row>
    <row r="3060" ht="15.75" customHeight="1">
      <c r="A3060" s="4">
        <v>10340.0</v>
      </c>
      <c r="B3060" s="4" t="s">
        <v>4656</v>
      </c>
      <c r="C3060" s="4" t="s">
        <v>4660</v>
      </c>
      <c r="D3060" s="4" t="s">
        <v>4661</v>
      </c>
      <c r="E3060" s="4">
        <v>1.0</v>
      </c>
      <c r="F3060" s="4" t="str">
        <f>IFERROR(__xludf.DUMMYFUNCTION("GOOGLETRANSLATE(D3060)"),"人們對福利浪費納稅人錢的持續抗議感到難以置信，但從未對 1000 億英鎊核武提出類似的反對意見")</f>
        <v>人們對福利浪費納稅人錢的持續抗議感到難以置信，但從未對 1000 億英鎊核武提出類似的反對意見</v>
      </c>
      <c r="G3060" s="4" t="str">
        <f>IFERROR(__xludf.DUMMYFUNCTION("GOOGLETRANSLATE(B3060)"),"武器")</f>
        <v>武器</v>
      </c>
    </row>
    <row r="3061" ht="15.75" customHeight="1">
      <c r="A3061" s="4">
        <v>10341.0</v>
      </c>
      <c r="B3061" s="4" t="s">
        <v>4656</v>
      </c>
      <c r="D3061" s="4" t="s">
        <v>4662</v>
      </c>
      <c r="E3061" s="4">
        <v>1.0</v>
      </c>
      <c r="F3061" s="4" t="str">
        <f>IFERROR(__xludf.DUMMYFUNCTION("GOOGLETRANSLATE(D3061)"),"自 2012 年 8 月 20 日化學武器「紅線」警告以來，LCC 已確認 #Syria 至少有 96,355 人被殺。")</f>
        <v>自 2012 年 8 月 20 日化學武器「紅線」警告以來，LCC 已確認 #Syria 至少有 96,355 人被殺。</v>
      </c>
      <c r="G3061" s="4" t="str">
        <f>IFERROR(__xludf.DUMMYFUNCTION("GOOGLETRANSLATE(B3061)"),"武器")</f>
        <v>武器</v>
      </c>
    </row>
    <row r="3062" ht="15.75" customHeight="1">
      <c r="A3062" s="4">
        <v>10344.0</v>
      </c>
      <c r="B3062" s="4" t="s">
        <v>4656</v>
      </c>
      <c r="C3062" s="4" t="s">
        <v>4663</v>
      </c>
      <c r="D3062" s="4" t="s">
        <v>4664</v>
      </c>
      <c r="E3062" s="4">
        <v>1.0</v>
      </c>
      <c r="F3062" s="4" t="str">
        <f>IFERROR(__xludf.DUMMYFUNCTION("GOOGLETRANSLATE(D3062)"),"友情提醒，唯一使用核武的國家是美國，而且是針對平民。 https://t.co/7QrEPylLUK")</f>
        <v>友情提醒，唯一使用核武的國家是美國，而且是針對平民。 https://t.co/7QrEPylLUK</v>
      </c>
      <c r="G3062" s="4" t="str">
        <f>IFERROR(__xludf.DUMMYFUNCTION("GOOGLETRANSLATE(B3062)"),"武器")</f>
        <v>武器</v>
      </c>
    </row>
    <row r="3063" ht="15.75" customHeight="1">
      <c r="A3063" s="4">
        <v>10349.0</v>
      </c>
      <c r="B3063" s="4" t="s">
        <v>4656</v>
      </c>
      <c r="C3063" s="4" t="s">
        <v>4152</v>
      </c>
      <c r="D3063" s="4" t="s">
        <v>4665</v>
      </c>
      <c r="E3063" s="4">
        <v>1.0</v>
      </c>
      <c r="F3063" s="4" t="str">
        <f>IFERROR(__xludf.DUMMYFUNCTION("GOOGLETRANSLATE(D3063)"),"廣島和長崎我記得所有在美國使用核武的戰爭罪行中喪生的人 https://t.co/NDxrK2NCLN #USWarCrimes")</f>
        <v>廣島和長崎我記得所有在美國使用核武的戰爭罪行中喪生的人 https://t.co/NDxrK2NCLN #USWarCrimes</v>
      </c>
      <c r="G3063" s="4" t="str">
        <f>IFERROR(__xludf.DUMMYFUNCTION("GOOGLETRANSLATE(B3063)"),"武器")</f>
        <v>武器</v>
      </c>
    </row>
    <row r="3064" ht="15.75" customHeight="1">
      <c r="A3064" s="4">
        <v>10355.0</v>
      </c>
      <c r="B3064" s="4" t="s">
        <v>4656</v>
      </c>
      <c r="D3064" s="4" t="s">
        <v>4666</v>
      </c>
      <c r="E3064" s="4">
        <v>1.0</v>
      </c>
      <c r="F3064" s="4" t="str">
        <f>IFERROR(__xludf.DUMMYFUNCTION("GOOGLETRANSLATE(D3064)"),"@NRO 除非被命令在執勤或穿著軍裝時不得攜帶未經授權的武器。這就是規則傻瓜")</f>
        <v>@NRO 除非被命令在執勤或穿著軍裝時不得攜帶未經授權的武器。這就是規則傻瓜</v>
      </c>
      <c r="G3064" s="4" t="str">
        <f>IFERROR(__xludf.DUMMYFUNCTION("GOOGLETRANSLATE(B3064)"),"武器")</f>
        <v>武器</v>
      </c>
    </row>
    <row r="3065" ht="15.75" customHeight="1">
      <c r="A3065" s="4">
        <v>10358.0</v>
      </c>
      <c r="B3065" s="4" t="s">
        <v>4656</v>
      </c>
      <c r="D3065" s="4" t="s">
        <v>4667</v>
      </c>
      <c r="E3065" s="4">
        <v>1.0</v>
      </c>
      <c r="F3065" s="4" t="str">
        <f>IFERROR(__xludf.DUMMYFUNCTION("GOOGLETRANSLATE(D3065)"),"烏克蘭在裴洛西訪問基輔期間主張購買美國武器 http://t.co/jnN0kRNXvY http://t.co/5LOiWuyv5r")</f>
        <v>烏克蘭在裴洛西訪問基輔期間主張購買美國武器 http://t.co/jnN0kRNXvY http://t.co/5LOiWuyv5r</v>
      </c>
      <c r="G3065" s="4" t="str">
        <f>IFERROR(__xludf.DUMMYFUNCTION("GOOGLETRANSLATE(B3065)"),"武器")</f>
        <v>武器</v>
      </c>
    </row>
    <row r="3066" ht="15.75" customHeight="1">
      <c r="A3066" s="4">
        <v>10365.0</v>
      </c>
      <c r="B3066" s="4" t="s">
        <v>4656</v>
      </c>
      <c r="C3066" s="4" t="s">
        <v>4668</v>
      </c>
      <c r="D3066" s="4" t="s">
        <v>4669</v>
      </c>
      <c r="E3066" s="4">
        <v>1.0</v>
      </c>
      <c r="F3066" s="4" t="str">
        <f>IFERROR(__xludf.DUMMYFUNCTION("GOOGLETRANSLATE(D3066)"),"@eyecuts @Erasuterism 我非常喜歡 96 Gal Deco，即使它的搭配有點棘手。很高興有更多武器獲得 Splash Wall")</f>
        <v>@eyecuts @Erasuterism 我非常喜歡 96 Gal Deco，即使它的搭配有點棘手。很高興有更多武器獲得 Splash Wall</v>
      </c>
      <c r="G3066" s="4" t="str">
        <f>IFERROR(__xludf.DUMMYFUNCTION("GOOGLETRANSLATE(B3066)"),"武器")</f>
        <v>武器</v>
      </c>
    </row>
    <row r="3067" ht="15.75" customHeight="1">
      <c r="A3067" s="4">
        <v>10366.0</v>
      </c>
      <c r="B3067" s="4" t="s">
        <v>4656</v>
      </c>
      <c r="C3067" s="4" t="s">
        <v>3474</v>
      </c>
      <c r="D3067" s="4" t="s">
        <v>4670</v>
      </c>
      <c r="E3067" s="4">
        <v>1.0</v>
      </c>
      <c r="F3067" s="4" t="str">
        <f>IFERROR(__xludf.DUMMYFUNCTION("GOOGLETRANSLATE(D3067)"),"#戰地1942被遺忘的希望秘密武器")</f>
        <v>#戰地1942被遺忘的希望秘密武器</v>
      </c>
      <c r="G3067" s="4" t="str">
        <f>IFERROR(__xludf.DUMMYFUNCTION("GOOGLETRANSLATE(B3067)"),"武器")</f>
        <v>武器</v>
      </c>
    </row>
    <row r="3068" ht="15.75" customHeight="1">
      <c r="A3068" s="4">
        <v>10367.0</v>
      </c>
      <c r="B3068" s="4" t="s">
        <v>4656</v>
      </c>
      <c r="C3068" s="4" t="s">
        <v>2183</v>
      </c>
      <c r="D3068" s="4" t="s">
        <v>4671</v>
      </c>
      <c r="E3068" s="4">
        <v>1.0</v>
      </c>
      <c r="F3068" s="4" t="str">
        <f>IFERROR(__xludf.DUMMYFUNCTION("GOOGLETRANSLATE(D3068)"),"二戰記憶加上廣島的教訓我們仍然需要核武http://t.co/xbMm7ITe9q #denver #billings #rapidcity #seattle #cheyenne")</f>
        <v>二戰記憶加上廣島的教訓我們仍然需要核武http://t.co/xbMm7ITe9q #denver #billings #rapidcity #seattle #cheyenne</v>
      </c>
      <c r="G3068" s="4" t="str">
        <f>IFERROR(__xludf.DUMMYFUNCTION("GOOGLETRANSLATE(B3068)"),"武器")</f>
        <v>武器</v>
      </c>
    </row>
    <row r="3069" ht="15.75" customHeight="1">
      <c r="A3069" s="4">
        <v>10371.0</v>
      </c>
      <c r="B3069" s="4" t="s">
        <v>4656</v>
      </c>
      <c r="C3069" s="4" t="s">
        <v>4672</v>
      </c>
      <c r="D3069" s="4" t="s">
        <v>4673</v>
      </c>
      <c r="E3069" s="4">
        <v>1.0</v>
      </c>
      <c r="F3069" s="4" t="str">
        <f>IFERROR(__xludf.DUMMYFUNCTION("GOOGLETRANSLATE(D3069)"),"安倍首相承諾將盡一切努力尋求一個沒有核武的世界。 http://t.co/CBXnHhZ6kD")</f>
        <v>安倍首相承諾將盡一切努力尋求一個沒有核武的世界。 http://t.co/CBXnHhZ6kD</v>
      </c>
      <c r="G3069" s="4" t="str">
        <f>IFERROR(__xludf.DUMMYFUNCTION("GOOGLETRANSLATE(B3069)"),"武器")</f>
        <v>武器</v>
      </c>
    </row>
    <row r="3070" ht="15.75" customHeight="1">
      <c r="A3070" s="4">
        <v>10374.0</v>
      </c>
      <c r="B3070" s="4" t="s">
        <v>4656</v>
      </c>
      <c r="C3070" s="4" t="s">
        <v>4674</v>
      </c>
      <c r="D3070" s="4" t="s">
        <v>4675</v>
      </c>
      <c r="E3070" s="4">
        <v>1.0</v>
      </c>
      <c r="F3070" s="4" t="str">
        <f>IFERROR(__xludf.DUMMYFUNCTION("GOOGLETRANSLATE(D3070)"),"我將堅決反對核武。")</f>
        <v>我將堅決反對核武。</v>
      </c>
      <c r="G3070" s="4" t="str">
        <f>IFERROR(__xludf.DUMMYFUNCTION("GOOGLETRANSLATE(B3070)"),"武器")</f>
        <v>武器</v>
      </c>
    </row>
    <row r="3071" ht="15.75" customHeight="1">
      <c r="A3071" s="4">
        <v>10375.0</v>
      </c>
      <c r="B3071" s="4" t="s">
        <v>4656</v>
      </c>
      <c r="C3071" s="4" t="s">
        <v>2958</v>
      </c>
      <c r="D3071" s="4" t="s">
        <v>4676</v>
      </c>
      <c r="E3071" s="4">
        <v>1.0</v>
      </c>
      <c r="F3071" s="4" t="str">
        <f>IFERROR(__xludf.DUMMYFUNCTION("GOOGLETRANSLATE(D3071)"),"二戰記憶加上廣島的教訓我們仍然需要核武http://t.co/MTgFx3efIv #denver #billings #rapidcity #seattle #cheyenne")</f>
        <v>二戰記憶加上廣島的教訓我們仍然需要核武http://t.co/MTgFx3efIv #denver #billings #rapidcity #seattle #cheyenne</v>
      </c>
      <c r="G3071" s="4" t="str">
        <f>IFERROR(__xludf.DUMMYFUNCTION("GOOGLETRANSLATE(B3071)"),"武器")</f>
        <v>武器</v>
      </c>
    </row>
    <row r="3072" ht="15.75" customHeight="1">
      <c r="A3072" s="4">
        <v>10382.0</v>
      </c>
      <c r="B3072" s="4" t="s">
        <v>4656</v>
      </c>
      <c r="C3072" s="4" t="s">
        <v>289</v>
      </c>
      <c r="D3072" s="4" t="s">
        <v>4677</v>
      </c>
      <c r="E3072" s="4">
        <v>1.0</v>
      </c>
      <c r="F3072" s="4" t="str">
        <f>IFERROR(__xludf.DUMMYFUNCTION("GOOGLETRANSLATE(D3072)"),"海軍：查塔努加攻擊事件中軍官未因武器違規而受到指控
 http://t.co/hddBMU2ycA")</f>
        <v>海軍：查塔努加攻擊事件中軍官未因武器違規而受到指控
 http://t.co/hddBMU2ycA</v>
      </c>
      <c r="G3072" s="4" t="str">
        <f>IFERROR(__xludf.DUMMYFUNCTION("GOOGLETRANSLATE(B3072)"),"武器")</f>
        <v>武器</v>
      </c>
    </row>
    <row r="3073" ht="15.75" customHeight="1">
      <c r="A3073" s="4">
        <v>10383.0</v>
      </c>
      <c r="B3073" s="4" t="s">
        <v>4656</v>
      </c>
      <c r="C3073" s="4" t="s">
        <v>3329</v>
      </c>
      <c r="D3073" s="4" t="s">
        <v>4678</v>
      </c>
      <c r="E3073" s="4">
        <v>1.0</v>
      </c>
      <c r="F3073" s="4" t="str">
        <f>IFERROR(__xludf.DUMMYFUNCTION("GOOGLETRANSLATE(D3073)"),"「雷根政府已安排將以色列武器發送給危地馬拉軍隊http://t.co/4fYNQ1hWWb")</f>
        <v>「雷根政府已安排將以色列武器發送給危地馬拉軍隊http://t.co/4fYNQ1hWWb</v>
      </c>
      <c r="G3073" s="4" t="str">
        <f>IFERROR(__xludf.DUMMYFUNCTION("GOOGLETRANSLATE(B3073)"),"武器")</f>
        <v>武器</v>
      </c>
    </row>
    <row r="3074" ht="15.75" customHeight="1">
      <c r="A3074" s="4">
        <v>10384.0</v>
      </c>
      <c r="B3074" s="4" t="s">
        <v>4656</v>
      </c>
      <c r="C3074" s="4" t="s">
        <v>4679</v>
      </c>
      <c r="D3074" s="4" t="s">
        <v>4680</v>
      </c>
      <c r="E3074" s="4">
        <v>1.0</v>
      </c>
      <c r="F3074" s="4" t="str">
        <f>IFERROR(__xludf.DUMMYFUNCTION("GOOGLETRANSLATE(D3074)"),"悼念廣島和長崎的罹難者。再也不！禁止核武！ ：https://t.co/J3cIRXjFa6")</f>
        <v>悼念廣島和長崎的罹難者。再也不！禁止核武！ ：https://t.co/J3cIRXjFa6</v>
      </c>
      <c r="G3074" s="4" t="str">
        <f>IFERROR(__xludf.DUMMYFUNCTION("GOOGLETRANSLATE(B3074)"),"武器")</f>
        <v>武器</v>
      </c>
    </row>
    <row r="3075" ht="15.75" customHeight="1">
      <c r="A3075" s="4">
        <v>10390.0</v>
      </c>
      <c r="B3075" s="4" t="s">
        <v>4681</v>
      </c>
      <c r="C3075" s="4" t="s">
        <v>4682</v>
      </c>
      <c r="D3075" s="4" t="s">
        <v>4683</v>
      </c>
      <c r="E3075" s="4">
        <v>1.0</v>
      </c>
      <c r="F3075" s="4" t="str">
        <f>IFERROR(__xludf.DUMMYFUNCTION("GOOGLETRANSLATE(D3075)"),"四分之一旋風。他們看不到它的到來。")</f>
        <v>四分之一旋風。他們看不到它的到來。</v>
      </c>
      <c r="G3075" s="4" t="str">
        <f>IFERROR(__xludf.DUMMYFUNCTION("GOOGLETRANSLATE(B3075)"),"旋風")</f>
        <v>旋風</v>
      </c>
    </row>
    <row r="3076" ht="15.75" customHeight="1">
      <c r="A3076" s="4">
        <v>10394.0</v>
      </c>
      <c r="B3076" s="4" t="s">
        <v>4681</v>
      </c>
      <c r="C3076" s="4" t="s">
        <v>4684</v>
      </c>
      <c r="D3076" s="4" t="s">
        <v>4685</v>
      </c>
      <c r="E3076" s="4">
        <v>1.0</v>
      </c>
      <c r="F3076" s="4" t="str">
        <f>IFERROR(__xludf.DUMMYFUNCTION("GOOGLETRANSLATE(D3076)"),"泰國天氣預報 旋風即將來臨...9月2日 https://t.co/rUKjYjG9oQ")</f>
        <v>泰國天氣預報 旋風即將來臨...9月2日 https://t.co/rUKjYjG9oQ</v>
      </c>
      <c r="G3076" s="4" t="str">
        <f>IFERROR(__xludf.DUMMYFUNCTION("GOOGLETRANSLATE(B3076)"),"旋風")</f>
        <v>旋風</v>
      </c>
    </row>
    <row r="3077" ht="15.75" customHeight="1">
      <c r="A3077" s="4">
        <v>10396.0</v>
      </c>
      <c r="B3077" s="4" t="s">
        <v>4681</v>
      </c>
      <c r="D3077" s="4" t="s">
        <v>4686</v>
      </c>
      <c r="E3077" s="4">
        <v>1.0</v>
      </c>
      <c r="F3077" s="4" t="str">
        <f>IFERROR(__xludf.DUMMYFUNCTION("GOOGLETRANSLATE(D3077)"),"生活可以狂野，當...
你陷入旋風了嗎？？")</f>
        <v>生活可以狂野，當...
你陷入旋風了嗎？？</v>
      </c>
      <c r="G3077" s="4" t="str">
        <f>IFERROR(__xludf.DUMMYFUNCTION("GOOGLETRANSLATE(B3077)"),"旋風")</f>
        <v>旋風</v>
      </c>
    </row>
    <row r="3078" ht="15.75" customHeight="1">
      <c r="A3078" s="4">
        <v>10406.0</v>
      </c>
      <c r="B3078" s="4" t="s">
        <v>4681</v>
      </c>
      <c r="C3078" s="4" t="s">
        <v>291</v>
      </c>
      <c r="D3078" s="4" t="s">
        <v>4687</v>
      </c>
      <c r="E3078" s="4">
        <v>1.0</v>
      </c>
      <c r="F3078" s="4" t="str">
        <f>IFERROR(__xludf.DUMMYFUNCTION("GOOGLETRANSLATE(D3078)"),"從西雅圖塔科馬和波特蘭回來。旋風！ http://t.co/qwHINBni8e")</f>
        <v>從西雅圖塔科馬和波特蘭回來。旋風！ http://t.co/qwHINBni8e</v>
      </c>
      <c r="G3078" s="4" t="str">
        <f>IFERROR(__xludf.DUMMYFUNCTION("GOOGLETRANSLATE(B3078)"),"旋風")</f>
        <v>旋風</v>
      </c>
    </row>
    <row r="3079" ht="15.75" customHeight="1">
      <c r="A3079" s="4">
        <v>10409.0</v>
      </c>
      <c r="B3079" s="4" t="s">
        <v>4681</v>
      </c>
      <c r="C3079" s="4" t="s">
        <v>4688</v>
      </c>
      <c r="D3079" s="4" t="s">
        <v>4689</v>
      </c>
      <c r="E3079" s="4">
        <v>1.0</v>
      </c>
      <c r="F3079" s="4" t="str">
        <f>IFERROR(__xludf.DUMMYFUNCTION("GOOGLETRANSLATE(D3079)"),"五年前的今天我搬到了英國。這真是一個旋風般的時代啊！ http://t.co/eaSlGeA1B7")</f>
        <v>五年前的今天我搬到了英國。這真是一個旋風般的時代啊！ http://t.co/eaSlGeA1B7</v>
      </c>
      <c r="G3079" s="4" t="str">
        <f>IFERROR(__xludf.DUMMYFUNCTION("GOOGLETRANSLATE(B3079)"),"旋風")</f>
        <v>旋風</v>
      </c>
    </row>
    <row r="3080" ht="15.75" customHeight="1">
      <c r="A3080" s="4">
        <v>10410.0</v>
      </c>
      <c r="B3080" s="4" t="s">
        <v>4681</v>
      </c>
      <c r="D3080" s="4" t="s">
        <v>4690</v>
      </c>
      <c r="E3080" s="4">
        <v>1.0</v>
      </c>
      <c r="F3080" s="4" t="str">
        <f>IFERROR(__xludf.DUMMYFUNCTION("GOOGLETRANSLATE(D3080)"),"Whirlwind Medusa Audio Snake：16 個麥克風輸入 0 個回傳 150 英尺 http://t.co/mxkAlMQpdb http://t.co/8KZnhtYtt9")</f>
        <v>Whirlwind Medusa Audio Snake：16 個麥克風輸入 0 個回傳 150 英尺 http://t.co/mxkAlMQpdb http://t.co/8KZnhtYtt9</v>
      </c>
      <c r="G3080" s="4" t="str">
        <f>IFERROR(__xludf.DUMMYFUNCTION("GOOGLETRANSLATE(B3080)"),"旋風")</f>
        <v>旋風</v>
      </c>
    </row>
    <row r="3081" ht="15.75" customHeight="1">
      <c r="A3081" s="4">
        <v>10412.0</v>
      </c>
      <c r="B3081" s="4" t="s">
        <v>4681</v>
      </c>
      <c r="C3081" s="4" t="s">
        <v>4691</v>
      </c>
      <c r="D3081" s="4" t="s">
        <v>4692</v>
      </c>
      <c r="E3081" s="4">
        <v>1.0</v>
      </c>
      <c r="F3081" s="4" t="str">
        <f>IFERROR(__xludf.DUMMYFUNCTION("GOOGLETRANSLATE(D3081)"),"@byuwnbeki 那個旋風肆虐的夜晚，你悲傷的眼神和心中默契的故事")</f>
        <v>@byuwnbeki 那個旋風肆虐的夜晚，你悲傷的眼神和心中默契的故事</v>
      </c>
      <c r="G3081" s="4" t="str">
        <f>IFERROR(__xludf.DUMMYFUNCTION("GOOGLETRANSLATE(B3081)"),"旋風")</f>
        <v>旋風</v>
      </c>
    </row>
    <row r="3082" ht="15.75" customHeight="1">
      <c r="A3082" s="4">
        <v>10414.0</v>
      </c>
      <c r="B3082" s="4" t="s">
        <v>4681</v>
      </c>
      <c r="C3082" s="4" t="s">
        <v>1086</v>
      </c>
      <c r="D3082" s="4" t="s">
        <v>4693</v>
      </c>
      <c r="E3082" s="4">
        <v>1.0</v>
      </c>
      <c r="F3082" s="4" t="str">
        <f>IFERROR(__xludf.DUMMYFUNCTION("GOOGLETRANSLATE(D3082)"),"旋風已經持續了一個多小時，而且依然強勁。中東部分地區陷入停滯。")</f>
        <v>旋風已經持續了一個多小時，而且依然強勁。中東部分地區陷入停滯。</v>
      </c>
      <c r="G3082" s="4" t="str">
        <f>IFERROR(__xludf.DUMMYFUNCTION("GOOGLETRANSLATE(B3082)"),"旋風")</f>
        <v>旋風</v>
      </c>
    </row>
    <row r="3083" ht="15.75" customHeight="1">
      <c r="A3083" s="4">
        <v>10418.0</v>
      </c>
      <c r="B3083" s="4" t="s">
        <v>4681</v>
      </c>
      <c r="C3083" s="4" t="s">
        <v>4694</v>
      </c>
      <c r="D3083" s="4" t="s">
        <v>4695</v>
      </c>
      <c r="E3083" s="4">
        <v>1.0</v>
      </c>
      <c r="F3083" s="4" t="str">
        <f>IFERROR(__xludf.DUMMYFUNCTION("GOOGLETRANSLATE(D3083)"),"兩個小時去參加客戶會議。 #tubestrike 帶來的情緒旋風")</f>
        <v>兩個小時去參加客戶會議。 #tubestrike 帶來的情緒旋風</v>
      </c>
      <c r="G3083" s="4" t="str">
        <f>IFERROR(__xludf.DUMMYFUNCTION("GOOGLETRANSLATE(B3083)"),"旋風")</f>
        <v>旋風</v>
      </c>
    </row>
    <row r="3084" ht="15.75" customHeight="1">
      <c r="A3084" s="4">
        <v>10420.0</v>
      </c>
      <c r="B3084" s="4" t="s">
        <v>4681</v>
      </c>
      <c r="D3084" s="4" t="s">
        <v>4696</v>
      </c>
      <c r="E3084" s="4">
        <v>1.0</v>
      </c>
      <c r="F3084" s="4" t="str">
        <f>IFERROR(__xludf.DUMMYFUNCTION("GOOGLETRANSLATE(D3084)"),"感覺我無法控制此刻生活中發生的任何事情。 #旋風#排水")</f>
        <v>感覺我無法控制此刻生活中發生的任何事情。 #旋風#排水</v>
      </c>
      <c r="G3084" s="4" t="str">
        <f>IFERROR(__xludf.DUMMYFUNCTION("GOOGLETRANSLATE(B3084)"),"旋風")</f>
        <v>旋風</v>
      </c>
    </row>
    <row r="3085" ht="15.75" customHeight="1">
      <c r="A3085" s="4">
        <v>10421.0</v>
      </c>
      <c r="B3085" s="4" t="s">
        <v>4681</v>
      </c>
      <c r="C3085" s="4" t="s">
        <v>4697</v>
      </c>
      <c r="D3085" s="4" t="s">
        <v>4698</v>
      </c>
      <c r="E3085" s="4">
        <v>1.0</v>
      </c>
      <c r="F3085" s="4" t="str">
        <f>IFERROR(__xludf.DUMMYFUNCTION("GOOGLETRANSLATE(D3085)"),"理查德在旋風幾天后回歸 http://t.co/L8W30WFW3R #MLB")</f>
        <v>理查德在旋風幾天后回歸 http://t.co/L8W30WFW3R #MLB</v>
      </c>
      <c r="G3085" s="4" t="str">
        <f>IFERROR(__xludf.DUMMYFUNCTION("GOOGLETRANSLATE(B3085)"),"旋風")</f>
        <v>旋風</v>
      </c>
    </row>
    <row r="3086" ht="15.75" customHeight="1">
      <c r="A3086" s="4">
        <v>10426.0</v>
      </c>
      <c r="B3086" s="4" t="s">
        <v>4681</v>
      </c>
      <c r="C3086" s="4" t="s">
        <v>4699</v>
      </c>
      <c r="D3086" s="4" t="s">
        <v>4700</v>
      </c>
      <c r="E3086" s="4">
        <v>1.0</v>
      </c>
      <c r="F3086" s="4" t="str">
        <f>IFERROR(__xludf.DUMMYFUNCTION("GOOGLETRANSLATE(D3086)"),"@ckosova 閱讀《旋風》中有關此主題的內容以及其他內容。炸彈拯救了數百萬人的生命，是的，這是事實。")</f>
        <v>@ckosova 閱讀《旋風》中有關此主題的內容以及其他內容。炸彈拯救了數百萬人的生命，是的，這是事實。</v>
      </c>
      <c r="G3086" s="4" t="str">
        <f>IFERROR(__xludf.DUMMYFUNCTION("GOOGLETRANSLATE(B3086)"),"旋風")</f>
        <v>旋風</v>
      </c>
    </row>
    <row r="3087" ht="15.75" customHeight="1">
      <c r="A3087" s="4">
        <v>10433.0</v>
      </c>
      <c r="B3087" s="4" t="s">
        <v>4681</v>
      </c>
      <c r="C3087" s="4" t="s">
        <v>4701</v>
      </c>
      <c r="D3087" s="4" t="s">
        <v>4702</v>
      </c>
      <c r="E3087" s="4">
        <v>1.0</v>
      </c>
      <c r="F3087" s="4" t="str">
        <f>IFERROR(__xludf.DUMMYFUNCTION("GOOGLETRANSLATE(D3087)"),"過去的一周絕對是旋風...前往雅典")</f>
        <v>過去的一周絕對是旋風...前往雅典</v>
      </c>
      <c r="G3087" s="4" t="str">
        <f>IFERROR(__xludf.DUMMYFUNCTION("GOOGLETRANSLATE(B3087)"),"旋風")</f>
        <v>旋風</v>
      </c>
    </row>
    <row r="3088" ht="15.75" customHeight="1">
      <c r="A3088" s="4">
        <v>10434.0</v>
      </c>
      <c r="B3088" s="4" t="s">
        <v>4681</v>
      </c>
      <c r="C3088" s="4" t="s">
        <v>4703</v>
      </c>
      <c r="D3088" s="4" t="s">
        <v>4704</v>
      </c>
      <c r="E3088" s="4">
        <v>1.0</v>
      </c>
      <c r="F3088" s="4" t="str">
        <f>IFERROR(__xludf.DUMMYFUNCTION("GOOGLETRANSLATE(D3088)"),"勝利：利索夫斯基上海大師賽資格賽第二輪5-0旋風隊！ | http://t.co/MLigPUHVOh #斯諾克 http://t.co/TcS2Cd5y6y")</f>
        <v>勝利：利索夫斯基上海大師賽資格賽第二輪5-0旋風隊！ | http://t.co/MLigPUHVOh #斯諾克 http://t.co/TcS2Cd5y6y</v>
      </c>
      <c r="G3088" s="4" t="str">
        <f>IFERROR(__xludf.DUMMYFUNCTION("GOOGLETRANSLATE(B3088)"),"旋風")</f>
        <v>旋風</v>
      </c>
    </row>
    <row r="3089" ht="15.75" customHeight="1">
      <c r="A3089" s="4">
        <v>10436.0</v>
      </c>
      <c r="B3089" s="4" t="s">
        <v>4705</v>
      </c>
      <c r="C3089" s="4" t="s">
        <v>4706</v>
      </c>
      <c r="D3089" s="4" t="s">
        <v>4707</v>
      </c>
      <c r="E3089" s="4">
        <v>1.0</v>
      </c>
      <c r="F3089" s="4" t="str">
        <f>IFERROR(__xludf.DUMMYFUNCTION("GOOGLETRANSLATE(D3089)"),"隨著野火變黑，加州北部乾旱的哈里斯縣變成了火藥桶。 https://t.co/i2lwTy5YuP")</f>
        <v>隨著野火變黑，加州北部乾旱的哈里斯縣變成了火藥桶。 https://t.co/i2lwTy5YuP</v>
      </c>
      <c r="G3089" s="4" t="str">
        <f>IFERROR(__xludf.DUMMYFUNCTION("GOOGLETRANSLATE(B3089)"),"狂野%20火")</f>
        <v>狂野%20火</v>
      </c>
    </row>
    <row r="3090" ht="15.75" customHeight="1">
      <c r="A3090" s="4">
        <v>10439.0</v>
      </c>
      <c r="B3090" s="4" t="s">
        <v>4705</v>
      </c>
      <c r="C3090" s="4" t="s">
        <v>4708</v>
      </c>
      <c r="D3090" s="4" t="s">
        <v>4709</v>
      </c>
      <c r="E3090" s="4">
        <v>1.0</v>
      </c>
      <c r="F3090" s="4" t="str">
        <f>IFERROR(__xludf.DUMMYFUNCTION("GOOGLETRANSLATE(D3090)"),"@ABC 收集的西海岸野火文章和影片 http://t.co/qd3DSSFWUE")</f>
        <v>@ABC 收集的西海岸野火文章和影片 http://t.co/qd3DSSFWUE</v>
      </c>
      <c r="G3090" s="4" t="str">
        <f>IFERROR(__xludf.DUMMYFUNCTION("GOOGLETRANSLATE(B3090)"),"狂野%20火")</f>
        <v>狂野%20火</v>
      </c>
    </row>
    <row r="3091" ht="15.75" customHeight="1">
      <c r="A3091" s="4">
        <v>10441.0</v>
      </c>
      <c r="B3091" s="4" t="s">
        <v>4705</v>
      </c>
      <c r="D3091" s="4" t="s">
        <v>4710</v>
      </c>
      <c r="E3091" s="4">
        <v>1.0</v>
      </c>
      <c r="F3091" s="4" t="str">
        <f>IFERROR(__xludf.DUMMYFUNCTION("GOOGLETRANSLATE(D3091)"),"我的姐夫 riooooos 接到電話前往北方撲滅野火。男生是 Û_ 的野獸 https://t.co/463P0yS0Eb")</f>
        <v>我的姐夫 riooooos 接到電話前往北方撲滅野火。男生是 Û_ 的野獸 https://t.co/463P0yS0Eb</v>
      </c>
      <c r="G3091" s="4" t="str">
        <f>IFERROR(__xludf.DUMMYFUNCTION("GOOGLETRANSLATE(B3091)"),"狂野%20火")</f>
        <v>狂野%20火</v>
      </c>
    </row>
    <row r="3092" ht="15.75" customHeight="1">
      <c r="A3092" s="4">
        <v>10443.0</v>
      </c>
      <c r="B3092" s="4" t="s">
        <v>4705</v>
      </c>
      <c r="C3092" s="4" t="s">
        <v>4711</v>
      </c>
      <c r="D3092" s="4" t="s">
        <v>4712</v>
      </c>
      <c r="E3092" s="4">
        <v>1.0</v>
      </c>
      <c r="F3092" s="4" t="str">
        <f>IFERROR(__xludf.DUMMYFUNCTION("GOOGLETRANSLATE(D3092)"),"幾場野火燒毀了加州的大片土地。這是其中一場較大的火災。 http://t.co/2M1gNeaiFl http://t.co/UQh85MiP0v")</f>
        <v>幾場野火燒毀了加州的大片土地。這是其中一場較大的火災。 http://t.co/2M1gNeaiFl http://t.co/UQh85MiP0v</v>
      </c>
      <c r="G3092" s="4" t="str">
        <f>IFERROR(__xludf.DUMMYFUNCTION("GOOGLETRANSLATE(B3092)"),"狂野%20火")</f>
        <v>狂野%20火</v>
      </c>
    </row>
    <row r="3093" ht="15.75" customHeight="1">
      <c r="A3093" s="4">
        <v>10444.0</v>
      </c>
      <c r="B3093" s="4" t="s">
        <v>4705</v>
      </c>
      <c r="C3093" s="4" t="s">
        <v>1118</v>
      </c>
      <c r="D3093" s="4" t="s">
        <v>4713</v>
      </c>
      <c r="E3093" s="4">
        <v>1.0</v>
      </c>
      <c r="F3093" s="4" t="str">
        <f>IFERROR(__xludf.DUMMYFUNCTION("GOOGLETRANSLATE(D3093)"),"地圖顯示了加州所有野火正在燃燒的位置：這張地圖由 CAL FIREÛ_ http://t.co/0x8jAQToWM http://t.co/m1RoSi2Wcs 創建")</f>
        <v>地圖顯示了加州所有野火正在燃燒的位置：這張地圖由 CAL FIREÛ_ http://t.co/0x8jAQToWM http://t.co/m1RoSi2Wcs 創建</v>
      </c>
      <c r="G3093" s="4" t="str">
        <f>IFERROR(__xludf.DUMMYFUNCTION("GOOGLETRANSLATE(B3093)"),"狂野%20火")</f>
        <v>狂野%20火</v>
      </c>
    </row>
    <row r="3094" ht="15.75" customHeight="1">
      <c r="A3094" s="4">
        <v>10445.0</v>
      </c>
      <c r="B3094" s="4" t="s">
        <v>4705</v>
      </c>
      <c r="D3094" s="4" t="s">
        <v>4714</v>
      </c>
      <c r="E3094" s="4">
        <v>1.0</v>
      </c>
      <c r="F3094" s="4" t="str">
        <f>IFERROR(__xludf.DUMMYFUNCTION("GOOGLETRANSLATE(D3094)"),"聖貝納迪諾縣消防隊的一些出色工作的精彩鏡頭，他們現在也在從事野火工作......http://t.co/QCYQHvn2Ha")</f>
        <v>聖貝納迪諾縣消防隊的一些出色工作的精彩鏡頭，他們現在也在從事野火工作......http://t.co/QCYQHvn2Ha</v>
      </c>
      <c r="G3094" s="4" t="str">
        <f>IFERROR(__xludf.DUMMYFUNCTION("GOOGLETRANSLATE(B3094)"),"狂野%20火")</f>
        <v>狂野%20火</v>
      </c>
    </row>
    <row r="3095" ht="15.75" customHeight="1">
      <c r="A3095" s="4">
        <v>10446.0</v>
      </c>
      <c r="B3095" s="4" t="s">
        <v>4705</v>
      </c>
      <c r="D3095" s="4" t="s">
        <v>4715</v>
      </c>
      <c r="E3095" s="4">
        <v>1.0</v>
      </c>
      <c r="F3095" s="4" t="str">
        <f>IFERROR(__xludf.DUMMYFUNCTION("GOOGLETRANSLATE(D3095)"),"上帝禁止這是真的#加州有足夠多的嚴重#乾旱和乾旱問題。 #野火。 http://t.co/CMsgexM4FC #核電#SanOnofre")</f>
        <v>上帝禁止這是真的#加州有足夠多的嚴重#乾旱和乾旱問題。 #野火。 http://t.co/CMsgexM4FC #核電#SanOnofre</v>
      </c>
      <c r="G3095" s="4" t="str">
        <f>IFERROR(__xludf.DUMMYFUNCTION("GOOGLETRANSLATE(B3095)"),"狂野%20火")</f>
        <v>狂野%20火</v>
      </c>
    </row>
    <row r="3096" ht="15.75" customHeight="1">
      <c r="A3096" s="4">
        <v>10448.0</v>
      </c>
      <c r="B3096" s="4" t="s">
        <v>4705</v>
      </c>
      <c r="C3096" s="4" t="s">
        <v>4716</v>
      </c>
      <c r="D3096" s="4" t="s">
        <v>4717</v>
      </c>
      <c r="E3096" s="4">
        <v>1.0</v>
      </c>
      <c r="F3096" s="4" t="str">
        <f>IFERROR(__xludf.DUMMYFUNCTION("GOOGLETRANSLATE(D3096)"),"消防隊員前往加州撲滅野火 http://t.co/J2PYkYo0EN")</f>
        <v>消防隊員前往加州撲滅野火 http://t.co/J2PYkYo0EN</v>
      </c>
      <c r="G3096" s="4" t="str">
        <f>IFERROR(__xludf.DUMMYFUNCTION("GOOGLETRANSLATE(B3096)"),"狂野%20火")</f>
        <v>狂野%20火</v>
      </c>
    </row>
    <row r="3097" ht="15.75" customHeight="1">
      <c r="A3097" s="4">
        <v>10449.0</v>
      </c>
      <c r="B3097" s="4" t="s">
        <v>4705</v>
      </c>
      <c r="C3097" s="4" t="s">
        <v>38</v>
      </c>
      <c r="D3097" s="4" t="s">
        <v>4718</v>
      </c>
      <c r="E3097" s="4">
        <v>1.0</v>
      </c>
      <c r="F3097" s="4" t="str">
        <f>IFERROR(__xludf.DUMMYFUNCTION("GOOGLETRANSLATE(D3097)"),"#FOXDebateQuestions：歐巴馬制定伊斯蘭教法的努力在多大程度上加劇了加州野火？")</f>
        <v>#FOXDebateQuestions：歐巴馬制定伊斯蘭教法的努力在多大程度上加劇了加州野火？</v>
      </c>
      <c r="G3097" s="4" t="str">
        <f>IFERROR(__xludf.DUMMYFUNCTION("GOOGLETRANSLATE(B3097)"),"狂野%20火")</f>
        <v>狂野%20火</v>
      </c>
    </row>
    <row r="3098" ht="15.75" customHeight="1">
      <c r="A3098" s="4">
        <v>10450.0</v>
      </c>
      <c r="B3098" s="4" t="s">
        <v>4705</v>
      </c>
      <c r="C3098" s="4" t="s">
        <v>295</v>
      </c>
      <c r="D3098" s="4" t="s">
        <v>4719</v>
      </c>
      <c r="E3098" s="4">
        <v>1.0</v>
      </c>
      <c r="F3098" s="4" t="str">
        <f>IFERROR(__xludf.DUMMYFUNCTION("GOOGLETRANSLATE(D3098)"),"為我的表弟祈禱！他在加州幫忙撲滅野火。")</f>
        <v>為我的表弟祈禱！他在加州幫忙撲滅野火。</v>
      </c>
      <c r="G3098" s="4" t="str">
        <f>IFERROR(__xludf.DUMMYFUNCTION("GOOGLETRANSLATE(B3098)"),"狂野%20火")</f>
        <v>狂野%20火</v>
      </c>
    </row>
    <row r="3099" ht="15.75" customHeight="1">
      <c r="A3099" s="4">
        <v>10451.0</v>
      </c>
      <c r="B3099" s="4" t="s">
        <v>4705</v>
      </c>
      <c r="C3099" s="4" t="s">
        <v>4720</v>
      </c>
      <c r="D3099" s="4" t="s">
        <v>4721</v>
      </c>
      <c r="E3099" s="4">
        <v>1.0</v>
      </c>
      <c r="F3099" s="4" t="str">
        <f>IFERROR(__xludf.DUMMYFUNCTION("GOOGLETRANSLATE(D3099)"),"災難性野火威脅美國中西部和美國共和黨人反對新的氣候變遷規則我想這就是達爾文主義的終極")</f>
        <v>災難性野火威脅美國中西部和美國共和黨人反對新的氣候變遷規則我想這就是達爾文主義的終極</v>
      </c>
      <c r="G3099" s="4" t="str">
        <f>IFERROR(__xludf.DUMMYFUNCTION("GOOGLETRANSLATE(B3099)"),"狂野%20火")</f>
        <v>狂野%20火</v>
      </c>
    </row>
    <row r="3100" ht="15.75" customHeight="1">
      <c r="A3100" s="4">
        <v>10455.0</v>
      </c>
      <c r="B3100" s="4" t="s">
        <v>4705</v>
      </c>
      <c r="C3100" s="4" t="s">
        <v>3873</v>
      </c>
      <c r="D3100" s="4" t="s">
        <v>4722</v>
      </c>
      <c r="E3100" s="4">
        <v>1.0</v>
      </c>
      <c r="F3100" s="4" t="str">
        <f>IFERROR(__xludf.DUMMYFUNCTION("GOOGLETRANSLATE(D3100)"),"@Jennife29916207 今天讀到野火時我在想你")</f>
        <v>@Jennife29916207 今天讀到野火時我在想你</v>
      </c>
      <c r="G3100" s="4" t="str">
        <f>IFERROR(__xludf.DUMMYFUNCTION("GOOGLETRANSLATE(B3100)"),"狂野%20火")</f>
        <v>狂野%20火</v>
      </c>
    </row>
    <row r="3101" ht="15.75" customHeight="1">
      <c r="A3101" s="4">
        <v>10456.0</v>
      </c>
      <c r="B3101" s="4" t="s">
        <v>4705</v>
      </c>
      <c r="C3101" s="4" t="s">
        <v>4723</v>
      </c>
      <c r="D3101" s="4" t="s">
        <v>4724</v>
      </c>
      <c r="E3101" s="4">
        <v>1.0</v>
      </c>
      <c r="F3101" s="4" t="str">
        <f>IFERROR(__xludf.DUMMYFUNCTION("GOOGLETRANSLATE(D3101)"),"@cnni @PrisonPlanet 氣候變遷 CNN 天氣「專家」警告：野火、雨水、洪水 注意到太陽了嗎？ http://t.co/0sZwlWL9qU")</f>
        <v>@cnni @PrisonPlanet 氣候變遷 CNN 天氣「專家」警告：野火、雨水、洪水 注意到太陽了嗎？ http://t.co/0sZwlWL9qU</v>
      </c>
      <c r="G3101" s="4" t="str">
        <f>IFERROR(__xludf.DUMMYFUNCTION("GOOGLETRANSLATE(B3101)"),"狂野%20火")</f>
        <v>狂野%20火</v>
      </c>
    </row>
    <row r="3102" ht="15.75" customHeight="1">
      <c r="A3102" s="4">
        <v>10457.0</v>
      </c>
      <c r="B3102" s="4" t="s">
        <v>4705</v>
      </c>
      <c r="C3102" s="4" t="s">
        <v>1118</v>
      </c>
      <c r="D3102" s="4" t="s">
        <v>4725</v>
      </c>
      <c r="E3102" s="4">
        <v>1.0</v>
      </c>
      <c r="F3102" s="4" t="str">
        <f>IFERROR(__xludf.DUMMYFUNCTION("GOOGLETRANSLATE(D3102)"),"@SenFeinstein 謝謝參議員范斯坦現在趕緊回家，因為加州正在發生一場無法控制的巨大野火。閃電正在引發新的火災。")</f>
        <v>@SenFeinstein 謝謝參議員范斯坦現在趕緊回家，因為加州正在發生一場無法控制的巨大野火。閃電正在引發新的火災。</v>
      </c>
      <c r="G3102" s="4" t="str">
        <f>IFERROR(__xludf.DUMMYFUNCTION("GOOGLETRANSLATE(B3102)"),"狂野%20火")</f>
        <v>狂野%20火</v>
      </c>
    </row>
    <row r="3103" ht="15.75" customHeight="1">
      <c r="A3103" s="4">
        <v>10458.0</v>
      </c>
      <c r="B3103" s="4" t="s">
        <v>4705</v>
      </c>
      <c r="C3103" s="4" t="s">
        <v>4726</v>
      </c>
      <c r="D3103" s="4" t="s">
        <v>4727</v>
      </c>
      <c r="E3103" s="4">
        <v>1.0</v>
      </c>
      <c r="F3103" s="4" t="str">
        <f>IFERROR(__xludf.DUMMYFUNCTION("GOOGLETRANSLATE(D3103)"),"野火把我嚇壞了。真的不")</f>
        <v>野火把我嚇壞了。真的不</v>
      </c>
      <c r="G3103" s="4" t="str">
        <f>IFERROR(__xludf.DUMMYFUNCTION("GOOGLETRANSLATE(B3103)"),"狂野%20火")</f>
        <v>狂野%20火</v>
      </c>
    </row>
    <row r="3104" ht="15.75" customHeight="1">
      <c r="A3104" s="4">
        <v>10461.0</v>
      </c>
      <c r="B3104" s="4" t="s">
        <v>4705</v>
      </c>
      <c r="C3104" s="4" t="s">
        <v>4728</v>
      </c>
      <c r="D3104" s="4" t="s">
        <v>4729</v>
      </c>
      <c r="E3104" s="4">
        <v>1.0</v>
      </c>
      <c r="F3104" s="4" t="str">
        <f>IFERROR(__xludf.DUMMYFUNCTION("GOOGLETRANSLATE(D3104)"),"男人！如果我現在就在加州，我會盡全力幫助撲滅野火。")</f>
        <v>男人！如果我現在就在加州，我會盡全力幫助撲滅野火。</v>
      </c>
      <c r="G3104" s="4" t="str">
        <f>IFERROR(__xludf.DUMMYFUNCTION("GOOGLETRANSLATE(B3104)"),"狂野%20火")</f>
        <v>狂野%20火</v>
      </c>
    </row>
    <row r="3105" ht="15.75" customHeight="1">
      <c r="A3105" s="4">
        <v>10462.0</v>
      </c>
      <c r="B3105" s="4" t="s">
        <v>4705</v>
      </c>
      <c r="C3105" s="4" t="s">
        <v>4730</v>
      </c>
      <c r="D3105" s="4" t="s">
        <v>4731</v>
      </c>
      <c r="E3105" s="4">
        <v>1.0</v>
      </c>
      <c r="F3105" s="4" t="str">
        <f>IFERROR(__xludf.DUMMYFUNCTION("GOOGLETRANSLATE(D3105)"),"在歐洲，大自然是仁慈的，而在美國，卻有龍捲風、颶風、野火、地震、山洪、大雪、乾旱。")</f>
        <v>在歐洲，大自然是仁慈的，而在美國，卻有龍捲風、颶風、野火、地震、山洪、大雪、乾旱。</v>
      </c>
      <c r="G3105" s="4" t="str">
        <f>IFERROR(__xludf.DUMMYFUNCTION("GOOGLETRANSLATE(B3105)"),"狂野%20火")</f>
        <v>狂野%20火</v>
      </c>
    </row>
    <row r="3106" ht="15.75" customHeight="1">
      <c r="A3106" s="4">
        <v>10466.0</v>
      </c>
      <c r="B3106" s="4" t="s">
        <v>4705</v>
      </c>
      <c r="C3106" s="4" t="s">
        <v>4732</v>
      </c>
      <c r="D3106" s="4" t="s">
        <v>4733</v>
      </c>
      <c r="E3106" s="4">
        <v>1.0</v>
      </c>
      <c r="F3106" s="4" t="str">
        <f>IFERROR(__xludf.DUMMYFUNCTION("GOOGLETRANSLATE(D3106)"),"來自康乃狄克州的消防隊員前往加州撲滅野火 http://t.co/QWpUxPyWbF http://t.co/8jlXZ6fkxy")</f>
        <v>來自康乃狄克州的消防隊員前往加州撲滅野火 http://t.co/QWpUxPyWbF http://t.co/8jlXZ6fkxy</v>
      </c>
      <c r="G3106" s="4" t="str">
        <f>IFERROR(__xludf.DUMMYFUNCTION("GOOGLETRANSLATE(B3106)"),"狂野%20火")</f>
        <v>狂野%20火</v>
      </c>
    </row>
    <row r="3107" ht="15.75" customHeight="1">
      <c r="A3107" s="4">
        <v>10467.0</v>
      </c>
      <c r="B3107" s="4" t="s">
        <v>4705</v>
      </c>
      <c r="C3107" s="4" t="s">
        <v>4734</v>
      </c>
      <c r="D3107" s="4" t="s">
        <v>4735</v>
      </c>
      <c r="E3107" s="4">
        <v>1.0</v>
      </c>
      <c r="F3107" s="4" t="str">
        <f>IFERROR(__xludf.DUMMYFUNCTION("GOOGLETRANSLATE(D3107)"),"西部的野火太瘋狂了。")</f>
        <v>西部的野火太瘋狂了。</v>
      </c>
      <c r="G3107" s="4" t="str">
        <f>IFERROR(__xludf.DUMMYFUNCTION("GOOGLETRANSLATE(B3107)"),"狂野%20火")</f>
        <v>狂野%20火</v>
      </c>
    </row>
    <row r="3108" ht="15.75" customHeight="1">
      <c r="A3108" s="4">
        <v>10468.0</v>
      </c>
      <c r="B3108" s="4" t="s">
        <v>4705</v>
      </c>
      <c r="C3108" s="4" t="s">
        <v>4736</v>
      </c>
      <c r="D3108" s="4" t="s">
        <v>4737</v>
      </c>
      <c r="E3108" s="4">
        <v>1.0</v>
      </c>
      <c r="F3108" s="4" t="str">
        <f>IFERROR(__xludf.DUMMYFUNCTION("GOOGLETRANSLATE(D3108)"),"DEEP 人員幫助撲滅加州野火 http://t.co/QKz2Sp06xn 來自 @thedayct")</f>
        <v>DEEP 人員幫助撲滅加州野火 http://t.co/QKz2Sp06xn 來自 @thedayct</v>
      </c>
      <c r="G3108" s="4" t="str">
        <f>IFERROR(__xludf.DUMMYFUNCTION("GOOGLETRANSLATE(B3108)"),"狂野%20火")</f>
        <v>狂野%20火</v>
      </c>
    </row>
    <row r="3109" ht="15.75" customHeight="1">
      <c r="A3109" s="4">
        <v>10470.0</v>
      </c>
      <c r="B3109" s="4" t="s">
        <v>4705</v>
      </c>
      <c r="D3109" s="4" t="s">
        <v>4738</v>
      </c>
      <c r="E3109" s="4">
        <v>1.0</v>
      </c>
      <c r="F3109" s="4" t="str">
        <f>IFERROR(__xludf.DUMMYFUNCTION("GOOGLETRANSLATE(D3109)"),"@aria_ahrary @TheTawniest 加州的野火失控，甚至在該州北部也是如此。很麻煩。")</f>
        <v>@aria_ahrary @TheTawniest 加州的野火失控，甚至在該州北部也是如此。很麻煩。</v>
      </c>
      <c r="G3109" s="4" t="str">
        <f>IFERROR(__xludf.DUMMYFUNCTION("GOOGLETRANSLATE(B3109)"),"狂野%20火")</f>
        <v>狂野%20火</v>
      </c>
    </row>
    <row r="3110" ht="15.75" customHeight="1">
      <c r="A3110" s="4">
        <v>10471.0</v>
      </c>
      <c r="B3110" s="4" t="s">
        <v>4705</v>
      </c>
      <c r="D3110" s="4" t="s">
        <v>4739</v>
      </c>
      <c r="E3110" s="4">
        <v>1.0</v>
      </c>
      <c r="F3110" s="4" t="str">
        <f>IFERROR(__xludf.DUMMYFUNCTION("GOOGLETRANSLATE(D3110)"),"整集：WN 08/02/15：加州野火迫使 12,000 人撤離#Worldnews http://t.co/9ikhdyHVnC")</f>
        <v>整集：WN 08/02/15：加州野火迫使 12,000 人撤離#Worldnews http://t.co/9ikhdyHVnC</v>
      </c>
      <c r="G3110" s="4" t="str">
        <f>IFERROR(__xludf.DUMMYFUNCTION("GOOGLETRANSLATE(B3110)"),"狂野%20火")</f>
        <v>狂野%20火</v>
      </c>
    </row>
    <row r="3111" ht="15.75" customHeight="1">
      <c r="A3111" s="4">
        <v>10473.0</v>
      </c>
      <c r="B3111" s="4" t="s">
        <v>4705</v>
      </c>
      <c r="C3111" s="4" t="s">
        <v>1445</v>
      </c>
      <c r="D3111" s="4" t="s">
        <v>4740</v>
      </c>
      <c r="E3111" s="4">
        <v>1.0</v>
      </c>
      <c r="F3111" s="4" t="str">
        <f>IFERROR(__xludf.DUMMYFUNCTION("GOOGLETRANSLATE(D3111)"),"@randererson62 看著野火的新聞，希望一切都好。")</f>
        <v>@randererson62 看著野火的新聞，希望一切都好。</v>
      </c>
      <c r="G3111" s="4" t="str">
        <f>IFERROR(__xludf.DUMMYFUNCTION("GOOGLETRANSLATE(B3111)"),"狂野%20火")</f>
        <v>狂野%20火</v>
      </c>
    </row>
    <row r="3112" ht="15.75" customHeight="1">
      <c r="A3112" s="4">
        <v>10479.0</v>
      </c>
      <c r="B3112" s="4" t="s">
        <v>4705</v>
      </c>
      <c r="D3112" s="4" t="s">
        <v>4741</v>
      </c>
      <c r="E3112" s="4">
        <v>1.0</v>
      </c>
      <c r="F3112" s="4" t="str">
        <f>IFERROR(__xludf.DUMMYFUNCTION("GOOGLETRANSLATE(D3112)"),"@EnzasBargains A5 捐贈了一些水果零食和為我們撲滅野火的消防員送上handi濕紙巾！ #利潤給人民")</f>
        <v>@EnzasBargains A5 捐贈了一些水果零食和為我們撲滅野火的消防員送上handi濕紙巾！ #利潤給人民</v>
      </c>
      <c r="G3112" s="4" t="str">
        <f>IFERROR(__xludf.DUMMYFUNCTION("GOOGLETRANSLATE(B3112)"),"狂野%20火")</f>
        <v>狂野%20火</v>
      </c>
    </row>
    <row r="3113" ht="15.75" customHeight="1">
      <c r="A3113" s="4">
        <v>10481.0</v>
      </c>
      <c r="B3113" s="4" t="s">
        <v>4705</v>
      </c>
      <c r="D3113" s="4" t="s">
        <v>4742</v>
      </c>
      <c r="E3113" s="4">
        <v>1.0</v>
      </c>
      <c r="F3113" s="4" t="str">
        <f>IFERROR(__xludf.DUMMYFUNCTION("GOOGLETRANSLATE(D3113)"),"野火..我來了。 ????")</f>
        <v>野火..我來了。 ????</v>
      </c>
      <c r="G3113" s="4" t="str">
        <f>IFERROR(__xludf.DUMMYFUNCTION("GOOGLETRANSLATE(B3113)"),"狂野%20火")</f>
        <v>狂野%20火</v>
      </c>
    </row>
    <row r="3114" ht="15.75" customHeight="1">
      <c r="A3114" s="4">
        <v>10483.0</v>
      </c>
      <c r="B3114" s="4" t="s">
        <v>4705</v>
      </c>
      <c r="D3114" s="4" t="s">
        <v>4743</v>
      </c>
      <c r="E3114" s="4">
        <v>1.0</v>
      </c>
      <c r="F3114" s="4" t="str">
        <f>IFERROR(__xludf.DUMMYFUNCTION("GOOGLETRANSLATE(D3114)"),"我的心與所有受到卡利野火影響的人們同在？？？")</f>
        <v>我的心與所有受到卡利野火影響的人們同在？？？</v>
      </c>
      <c r="G3114" s="4" t="str">
        <f>IFERROR(__xludf.DUMMYFUNCTION("GOOGLETRANSLATE(B3114)"),"狂野%20火")</f>
        <v>狂野%20火</v>
      </c>
    </row>
    <row r="3115" ht="15.75" customHeight="1">
      <c r="A3115" s="4">
        <v>10484.0</v>
      </c>
      <c r="B3115" s="4" t="s">
        <v>4705</v>
      </c>
      <c r="C3115" s="4" t="s">
        <v>3611</v>
      </c>
      <c r="D3115" s="4" t="s">
        <v>4744</v>
      </c>
      <c r="E3115" s="4">
        <v>1.0</v>
      </c>
      <c r="F3115" s="4" t="str">
        <f>IFERROR(__xludf.DUMMYFUNCTION("GOOGLETRANSLATE(D3115)"),"加州的野火……一定是全球暖化。不可能只是由一些惡棍徒步旅行者點燃的極端高溫和乾燥的樹葉相結合。")</f>
        <v>加州的野火……一定是全球暖化。不可能只是由一些惡棍徒步旅行者點燃的極端高溫和乾燥的樹葉相結合。</v>
      </c>
      <c r="G3115" s="4" t="str">
        <f>IFERROR(__xludf.DUMMYFUNCTION("GOOGLETRANSLATE(B3115)"),"狂野%20火")</f>
        <v>狂野%20火</v>
      </c>
    </row>
    <row r="3116" ht="15.75" customHeight="1">
      <c r="A3116" s="4">
        <v>10485.0</v>
      </c>
      <c r="B3116" s="4" t="s">
        <v>4745</v>
      </c>
      <c r="C3116" s="4" t="s">
        <v>4746</v>
      </c>
      <c r="D3116" s="4" t="s">
        <v>4747</v>
      </c>
      <c r="E3116" s="4">
        <v>1.0</v>
      </c>
      <c r="F3116" s="4" t="str">
        <f>IFERROR(__xludf.DUMMYFUNCTION("GOOGLETRANSLATE(D3116)"),"#FingerRockFire 是否讓您想知道「我是否為野火做好了準備」？請瀏覽 http://t.co/eX8A5JYZm5 #azwx http://t.co/DeEeKobmXa")</f>
        <v>#FingerRockFire 是否讓您想知道「我是否為野火做好了準備」？請瀏覽 http://t.co/eX8A5JYZm5 #azwx http://t.co/DeEeKobmXa</v>
      </c>
      <c r="G3116" s="4" t="str">
        <f>IFERROR(__xludf.DUMMYFUNCTION("GOOGLETRANSLATE(B3116)"),"野火")</f>
        <v>野火</v>
      </c>
    </row>
    <row r="3117" ht="15.75" customHeight="1">
      <c r="A3117" s="4">
        <v>10486.0</v>
      </c>
      <c r="B3117" s="4" t="s">
        <v>4745</v>
      </c>
      <c r="D3117" s="4" t="s">
        <v>4748</v>
      </c>
      <c r="E3117" s="4">
        <v>1.0</v>
      </c>
      <c r="F3117" s="4" t="str">
        <f>IFERROR(__xludf.DUMMYFUNCTION("GOOGLETRANSLATE(D3117)"),"kc5kH mhtw4fnet
救援人員趕赴北加州大火 - 哥倫比亞廣播公司新聞")</f>
        <v>kc5kH mhtw4fnet
救援人員趕赴北加州大火 - 哥倫比亞廣播公司新聞</v>
      </c>
      <c r="G3117" s="4" t="str">
        <f>IFERROR(__xludf.DUMMYFUNCTION("GOOGLETRANSLATE(B3117)"),"野火")</f>
        <v>野火</v>
      </c>
    </row>
    <row r="3118" ht="15.75" customHeight="1">
      <c r="A3118" s="4">
        <v>10487.0</v>
      </c>
      <c r="B3118" s="4" t="s">
        <v>4745</v>
      </c>
      <c r="C3118" s="4" t="s">
        <v>4749</v>
      </c>
      <c r="D3118" s="4" t="s">
        <v>4750</v>
      </c>
      <c r="E3118" s="4">
        <v>1.0</v>
      </c>
      <c r="F3118" s="4" t="str">
        <f>IFERROR(__xludf.DUMMYFUNCTION("GOOGLETRANSLATE(D3118)"),"皮斯加國家森林大火蔓延至 375 英畝 - WSOC 夏洛特 http://t.co/djUfkRrtFt")</f>
        <v>皮斯加國家森林大火蔓延至 375 英畝 - WSOC 夏洛特 http://t.co/djUfkRrtFt</v>
      </c>
      <c r="G3118" s="4" t="str">
        <f>IFERROR(__xludf.DUMMYFUNCTION("GOOGLETRANSLATE(B3118)"),"野火")</f>
        <v>野火</v>
      </c>
    </row>
    <row r="3119" ht="15.75" customHeight="1">
      <c r="A3119" s="4">
        <v>10488.0</v>
      </c>
      <c r="B3119" s="4" t="s">
        <v>4745</v>
      </c>
      <c r="D3119" s="4" t="s">
        <v>4751</v>
      </c>
      <c r="E3119" s="4">
        <v>1.0</v>
      </c>
      <c r="F3119" s="4" t="str">
        <f>IFERROR(__xludf.DUMMYFUNCTION("GOOGLETRANSLATE(D3119)"),"複雜路線上午火災更新（複雜路線野火）：火災更新：複雜路線週四早上八月... http://t.co/nS5lBS5ZUp #CAFire")</f>
        <v>複雜路線上午火災更新（複雜路線野火）：火災更新：複雜路線週四早上八月... http://t.co/nS5lBS5ZUp #CAFire</v>
      </c>
      <c r="G3119" s="4" t="str">
        <f>IFERROR(__xludf.DUMMYFUNCTION("GOOGLETRANSLATE(B3119)"),"野火")</f>
        <v>野火</v>
      </c>
    </row>
    <row r="3120" ht="15.75" customHeight="1">
      <c r="A3120" s="4">
        <v>10489.0</v>
      </c>
      <c r="B3120" s="4" t="s">
        <v>4745</v>
      </c>
      <c r="D3120" s="4" t="s">
        <v>4752</v>
      </c>
      <c r="E3120" s="4">
        <v>1.0</v>
      </c>
      <c r="F3120" s="4" t="str">
        <f>IFERROR(__xludf.DUMMYFUNCTION("GOOGLETRANSLATE(D3120)"),"Parker Ridge 情況說明書 2015 年 8 月 6 日（Parker Ridge 野火）：資訊電話：208-267-6773 電子郵件：pa... http://t.co/ezEIsaSm0C #IDFire")</f>
        <v>Parker Ridge 情況說明書 2015 年 8 月 6 日（Parker Ridge 野火）：資訊電話：208-267-6773 電子郵件：pa... http://t.co/ezEIsaSm0C #IDFire</v>
      </c>
      <c r="G3120" s="4" t="str">
        <f>IFERROR(__xludf.DUMMYFUNCTION("GOOGLETRANSLATE(B3120)"),"野火")</f>
        <v>野火</v>
      </c>
    </row>
    <row r="3121" ht="15.75" customHeight="1">
      <c r="A3121" s="4">
        <v>10492.0</v>
      </c>
      <c r="B3121" s="4" t="s">
        <v>4745</v>
      </c>
      <c r="C3121" s="4" t="s">
        <v>4753</v>
      </c>
      <c r="D3121" s="4" t="s">
        <v>4754</v>
      </c>
      <c r="E3121" s="4">
        <v>1.0</v>
      </c>
      <c r="F3121" s="4" t="str">
        <f>IFERROR(__xludf.DUMMYFUNCTION("GOOGLETRANSLATE(D3121)"),"「有些壁爐像野火一樣燃燒」 https://t.co/of3td6DGLb 作者：Bees Knees")</f>
        <v>「有些壁爐像野火一樣燃燒」 https://t.co/of3td6DGLb 作者：Bees Knees</v>
      </c>
      <c r="G3121" s="4" t="str">
        <f>IFERROR(__xludf.DUMMYFUNCTION("GOOGLETRANSLATE(B3121)"),"野火")</f>
        <v>野火</v>
      </c>
    </row>
    <row r="3122" ht="15.75" customHeight="1">
      <c r="A3122" s="4">
        <v>10498.0</v>
      </c>
      <c r="B3122" s="4" t="s">
        <v>4745</v>
      </c>
      <c r="D3122" s="4" t="s">
        <v>4755</v>
      </c>
      <c r="E3122" s="4">
        <v>1.0</v>
      </c>
      <c r="F3122" s="4" t="str">
        <f>IFERROR(__xludf.DUMMYFUNCTION("GOOGLETRANSLATE(D3122)"),"無人機受到攻擊：官員懸賞 75,000 美元獎勵飛越野火的飛行員 http://t.co/d2vEppeh8S #photography #arts")</f>
        <v>無人機受到攻擊：官員懸賞 75,000 美元獎勵飛越野火的飛行員 http://t.co/d2vEppeh8S #photography #arts</v>
      </c>
      <c r="G3122" s="4" t="str">
        <f>IFERROR(__xludf.DUMMYFUNCTION("GOOGLETRANSLATE(B3122)"),"野火")</f>
        <v>野火</v>
      </c>
    </row>
    <row r="3123" ht="15.75" customHeight="1">
      <c r="A3123" s="4">
        <v>10499.0</v>
      </c>
      <c r="B3123" s="4" t="s">
        <v>4745</v>
      </c>
      <c r="C3123" s="4" t="s">
        <v>4756</v>
      </c>
      <c r="D3123" s="4" t="s">
        <v>4757</v>
      </c>
      <c r="E3123" s="4">
        <v>1.0</v>
      </c>
      <c r="F3123" s="4" t="str">
        <f>IFERROR(__xludf.DUMMYFUNCTION("GOOGLETRANSLATE(D3123)"),"請注意餘燼！ http://t.co/LZmL1xB2nH")</f>
        <v>請注意餘燼！ http://t.co/LZmL1xB2nH</v>
      </c>
      <c r="G3123" s="4" t="str">
        <f>IFERROR(__xludf.DUMMYFUNCTION("GOOGLETRANSLATE(B3123)"),"野火")</f>
        <v>野火</v>
      </c>
    </row>
    <row r="3124" ht="15.75" customHeight="1">
      <c r="A3124" s="4">
        <v>10500.0</v>
      </c>
      <c r="B3124" s="4" t="s">
        <v>4745</v>
      </c>
      <c r="C3124" s="4" t="s">
        <v>283</v>
      </c>
      <c r="D3124" s="4" t="s">
        <v>4758</v>
      </c>
      <c r="E3124" s="4">
        <v>1.0</v>
      </c>
      <c r="F3124" s="4" t="str">
        <f>IFERROR(__xludf.DUMMYFUNCTION("GOOGLETRANSLATE(D3124)"),"加州野火摧毀了更多房屋，但工作人員仍在推進 http://t.co/7XQ8JrtL7I 免費線上工具 http://t.co/J90dT2qnXb")</f>
        <v>加州野火摧毀了更多房屋，但工作人員仍在推進 http://t.co/7XQ8JrtL7I 免費線上工具 http://t.co/J90dT2qnXb</v>
      </c>
      <c r="G3124" s="4" t="str">
        <f>IFERROR(__xludf.DUMMYFUNCTION("GOOGLETRANSLATE(B3124)"),"野火")</f>
        <v>野火</v>
      </c>
    </row>
    <row r="3125" ht="15.75" customHeight="1">
      <c r="A3125" s="4">
        <v>10502.0</v>
      </c>
      <c r="B3125" s="4" t="s">
        <v>4745</v>
      </c>
      <c r="D3125" s="4" t="s">
        <v>4759</v>
      </c>
      <c r="E3125" s="4">
        <v>1.0</v>
      </c>
      <c r="F3125" s="4" t="str">
        <f>IFERROR(__xludf.DUMMYFUNCTION("GOOGLETRANSLATE(D3125)"),"#IDFire Parker Ridge 情況說明書 2015 年 8 月 6 日（Parker Ridge 野火）：資訊電話：208-267-6773 電子郵件：pa... http://t.co/ZggpaCjP7D")</f>
        <v>#IDFire Parker Ridge 情況說明書 2015 年 8 月 6 日（Parker Ridge 野火）：資訊電話：208-267-6773 電子郵件：pa... http://t.co/ZggpaCjP7D</v>
      </c>
      <c r="G3125" s="4" t="str">
        <f>IFERROR(__xludf.DUMMYFUNCTION("GOOGLETRANSLATE(B3125)"),"野火")</f>
        <v>野火</v>
      </c>
    </row>
    <row r="3126" ht="15.75" customHeight="1">
      <c r="A3126" s="4">
        <v>10503.0</v>
      </c>
      <c r="B3126" s="4" t="s">
        <v>4745</v>
      </c>
      <c r="C3126" s="4" t="s">
        <v>4760</v>
      </c>
      <c r="D3126" s="4" t="s">
        <v>4761</v>
      </c>
      <c r="E3126" s="4">
        <v>1.0</v>
      </c>
      <c r="F3126" s="4" t="str">
        <f>IFERROR(__xludf.DUMMYFUNCTION("GOOGLETRANSLATE(D3126)"),"洛杉磯面臨巨大野火的危險嗎？ - 洛杉磯哪條路？在 KCRW http://t.co/6AgMkx2WW4")</f>
        <v>洛杉磯面臨巨大野火的危險嗎？ - 洛杉磯哪條路？在 KCRW http://t.co/6AgMkx2WW4</v>
      </c>
      <c r="G3126" s="4" t="str">
        <f>IFERROR(__xludf.DUMMYFUNCTION("GOOGLETRANSLATE(B3126)"),"野火")</f>
        <v>野火</v>
      </c>
    </row>
    <row r="3127" ht="15.75" customHeight="1">
      <c r="A3127" s="4">
        <v>10505.0</v>
      </c>
      <c r="B3127" s="4" t="s">
        <v>4745</v>
      </c>
      <c r="C3127" s="4" t="s">
        <v>764</v>
      </c>
      <c r="D3127" s="4" t="s">
        <v>4762</v>
      </c>
      <c r="E3127" s="4">
        <v>1.0</v>
      </c>
      <c r="F3127" s="4" t="str">
        <f>IFERROR(__xludf.DUMMYFUNCTION("GOOGLETRANSLATE(D3127)"),"加州正在與 2015 年迄今為止最可怕的野火作鬥爭。 http://t.co/Lec1vmS7x2")</f>
        <v>加州正在與 2015 年迄今為止最可怕的野火作鬥爭。 http://t.co/Lec1vmS7x2</v>
      </c>
      <c r="G3127" s="4" t="str">
        <f>IFERROR(__xludf.DUMMYFUNCTION("GOOGLETRANSLATE(B3127)"),"野火")</f>
        <v>野火</v>
      </c>
    </row>
    <row r="3128" ht="15.75" customHeight="1">
      <c r="A3128" s="4">
        <v>10506.0</v>
      </c>
      <c r="B3128" s="4" t="s">
        <v>4745</v>
      </c>
      <c r="D3128" s="4" t="s">
        <v>4763</v>
      </c>
      <c r="E3128" s="4">
        <v>1.0</v>
      </c>
      <c r="F3128" s="4" t="str">
        <f>IFERROR(__xludf.DUMMYFUNCTION("GOOGLETRANSLATE(D3128)"),"美國加州野火燃燒中國經濟網：http://t.co/U2dO2mC2ri http://t.co/3oM3xw6CZ8")</f>
        <v>美國加州野火燃燒中國經濟網：http://t.co/U2dO2mC2ri http://t.co/3oM3xw6CZ8</v>
      </c>
      <c r="G3128" s="4" t="str">
        <f>IFERROR(__xludf.DUMMYFUNCTION("GOOGLETRANSLATE(B3128)"),"野火")</f>
        <v>野火</v>
      </c>
    </row>
    <row r="3129" ht="15.75" customHeight="1">
      <c r="A3129" s="4">
        <v>10508.0</v>
      </c>
      <c r="B3129" s="4" t="s">
        <v>4745</v>
      </c>
      <c r="C3129" s="4" t="s">
        <v>4764</v>
      </c>
      <c r="D3129" s="4" t="s">
        <v>4765</v>
      </c>
      <c r="E3129" s="4">
        <v>1.0</v>
      </c>
      <c r="F3129" s="4" t="str">
        <f>IFERROR(__xludf.DUMMYFUNCTION("GOOGLETRANSLATE(D3129)"),"本斯頓博士談#野火管理：受影響的火災區域的數量和規模以及撲滅火災的成本均呈上升趨勢。#smem")</f>
        <v>本斯頓博士談#野火管理：受影響的火災區域的數量和規模以及撲滅火災的成本均呈上升趨勢。#smem</v>
      </c>
      <c r="G3129" s="4" t="str">
        <f>IFERROR(__xludf.DUMMYFUNCTION("GOOGLETRANSLATE(B3129)"),"野火")</f>
        <v>野火</v>
      </c>
    </row>
    <row r="3130" ht="15.75" customHeight="1">
      <c r="A3130" s="4">
        <v>10511.0</v>
      </c>
      <c r="B3130" s="4" t="s">
        <v>4745</v>
      </c>
      <c r="C3130" s="4" t="s">
        <v>38</v>
      </c>
      <c r="D3130" s="4" t="s">
        <v>4766</v>
      </c>
      <c r="E3130" s="4">
        <v>1.0</v>
      </c>
      <c r="F3130" s="4" t="str">
        <f>IFERROR(__xludf.DUMMYFUNCTION("GOOGLETRANSLATE(D3130)"),"最新動態：華盛頓#Wildfire 懷念小鎮；疏散結束 - KHQ 現在 http://t.co/aNlhW2IzkZ")</f>
        <v>最新動態：華盛頓#Wildfire 懷念小鎮；疏散結束 - KHQ 現在 http://t.co/aNlhW2IzkZ</v>
      </c>
      <c r="G3130" s="4" t="str">
        <f>IFERROR(__xludf.DUMMYFUNCTION("GOOGLETRANSLATE(B3130)"),"野火")</f>
        <v>野火</v>
      </c>
    </row>
    <row r="3131" ht="15.75" customHeight="1">
      <c r="A3131" s="4">
        <v>10515.0</v>
      </c>
      <c r="B3131" s="4" t="s">
        <v>4745</v>
      </c>
      <c r="C3131" s="4" t="s">
        <v>4767</v>
      </c>
      <c r="D3131" s="4" t="s">
        <v>4768</v>
      </c>
      <c r="E3131" s="4">
        <v>1.0</v>
      </c>
      <c r="F3131" s="4" t="str">
        <f>IFERROR(__xludf.DUMMYFUNCTION("GOOGLETRANSLATE(D3131)"),"照片：洛基大火已成為加州今年最具破壞性的野火。 http://t.co/h9v4HoWtiP http://t.co/8IcSesHbj3")</f>
        <v>照片：洛基大火已成為加州今年最具破壞性的野火。 http://t.co/h9v4HoWtiP http://t.co/8IcSesHbj3</v>
      </c>
      <c r="G3131" s="4" t="str">
        <f>IFERROR(__xludf.DUMMYFUNCTION("GOOGLETRANSLATE(B3131)"),"野火")</f>
        <v>野火</v>
      </c>
    </row>
    <row r="3132" ht="15.75" customHeight="1">
      <c r="A3132" s="4">
        <v>10516.0</v>
      </c>
      <c r="B3132" s="4" t="s">
        <v>4745</v>
      </c>
      <c r="C3132" s="4" t="s">
        <v>2720</v>
      </c>
      <c r="D3132" s="4" t="s">
        <v>4769</v>
      </c>
      <c r="E3132" s="4">
        <v>1.0</v>
      </c>
      <c r="F3132" s="4" t="str">
        <f>IFERROR(__xludf.DUMMYFUNCTION("GOOGLETRANSLATE(D3132)"),"哥倫比亞河鎮附近的野火已被控制 50% http://t.co/gzGpWSqyMW #FireNews #WA http://t.co/ay49MTYyL8")</f>
        <v>哥倫比亞河鎮附近的野火已被控制 50% http://t.co/gzGpWSqyMW #FireNews #WA http://t.co/ay49MTYyL8</v>
      </c>
      <c r="G3132" s="4" t="str">
        <f>IFERROR(__xludf.DUMMYFUNCTION("GOOGLETRANSLATE(B3132)"),"野火")</f>
        <v>野火</v>
      </c>
    </row>
    <row r="3133" ht="15.75" customHeight="1">
      <c r="A3133" s="4">
        <v>10517.0</v>
      </c>
      <c r="B3133" s="4" t="s">
        <v>4745</v>
      </c>
      <c r="D3133" s="4" t="s">
        <v>4770</v>
      </c>
      <c r="E3133" s="4">
        <v>1.0</v>
      </c>
      <c r="F3133" s="4" t="str">
        <f>IFERROR(__xludf.DUMMYFUNCTION("GOOGLETRANSLATE(D3133)"),"！華盛頓野火燃燒，居民返回被摧毀的家園 http://t.co/UcI8stQUg1")</f>
        <v>！華盛頓野火燃燒，居民返回被摧毀的家園 http://t.co/UcI8stQUg1</v>
      </c>
      <c r="G3133" s="4" t="str">
        <f>IFERROR(__xludf.DUMMYFUNCTION("GOOGLETRANSLATE(B3133)"),"野火")</f>
        <v>野火</v>
      </c>
    </row>
    <row r="3134" ht="15.75" customHeight="1">
      <c r="A3134" s="4">
        <v>10518.0</v>
      </c>
      <c r="B3134" s="4" t="s">
        <v>4745</v>
      </c>
      <c r="C3134" s="4" t="s">
        <v>193</v>
      </c>
      <c r="D3134" s="4" t="s">
        <v>4771</v>
      </c>
      <c r="E3134" s="4">
        <v>1.0</v>
      </c>
      <c r="F3134" s="4" t="str">
        <f>IFERROR(__xludf.DUMMYFUNCTION("GOOGLETRANSLATE(D3134)"),"加州正在與 2015 年迄今為止最可怕的野火作鬥爭 - 洛基大火 http://t.co/sPT54KfA9Q")</f>
        <v>加州正在與 2015 年迄今為止最可怕的野火作鬥爭 - 洛基大火 http://t.co/sPT54KfA9Q</v>
      </c>
      <c r="G3134" s="4" t="str">
        <f>IFERROR(__xludf.DUMMYFUNCTION("GOOGLETRANSLATE(B3134)"),"野火")</f>
        <v>野火</v>
      </c>
    </row>
    <row r="3135" ht="15.75" customHeight="1">
      <c r="A3135" s="4">
        <v>10519.0</v>
      </c>
      <c r="B3135" s="4" t="s">
        <v>4745</v>
      </c>
      <c r="D3135" s="4" t="s">
        <v>4772</v>
      </c>
      <c r="E3135" s="4">
        <v>1.0</v>
      </c>
      <c r="F3135" s="4" t="str">
        <f>IFERROR(__xludf.DUMMYFUNCTION("GOOGLETRANSLATE(D3135)"),"2015 年 8 月 6 日孤獨火災更新（孤獨野火）：摘要：這場由閃電引起的火災正在... http://t.co/4eSbsA8InT #UTFire")</f>
        <v>2015 年 8 月 6 日孤獨火災更新（孤獨野火）：摘要：這場由閃電引起的火災正在... http://t.co/4eSbsA8InT #UTFire</v>
      </c>
      <c r="G3135" s="4" t="str">
        <f>IFERROR(__xludf.DUMMYFUNCTION("GOOGLETRANSLATE(B3135)"),"野火")</f>
        <v>野火</v>
      </c>
    </row>
    <row r="3136" ht="15.75" customHeight="1">
      <c r="A3136" s="4">
        <v>10520.0</v>
      </c>
      <c r="B3136" s="4" t="s">
        <v>4745</v>
      </c>
      <c r="C3136" s="4" t="s">
        <v>4773</v>
      </c>
      <c r="D3136" s="4" t="s">
        <v>4774</v>
      </c>
      <c r="E3136" s="4">
        <v>1.0</v>
      </c>
      <c r="F3136" s="4" t="str">
        <f>IFERROR(__xludf.DUMMYFUNCTION("GOOGLETRANSLATE(D3136)"),"最新消息：更多房屋被北加州野火夷為平地 - LancasterOnline http://t.co/ph7wllKRfI #Lancaster")</f>
        <v>最新消息：更多房屋被北加州野火夷為平地 - LancasterOnline http://t.co/ph7wllKRfI #Lancaster</v>
      </c>
      <c r="G3136" s="4" t="str">
        <f>IFERROR(__xludf.DUMMYFUNCTION("GOOGLETRANSLATE(B3136)"),"野火")</f>
        <v>野火</v>
      </c>
    </row>
    <row r="3137" ht="15.75" customHeight="1">
      <c r="A3137" s="4">
        <v>10521.0</v>
      </c>
      <c r="B3137" s="4" t="s">
        <v>4745</v>
      </c>
      <c r="D3137" s="4" t="s">
        <v>4775</v>
      </c>
      <c r="E3137" s="4">
        <v>1.0</v>
      </c>
      <c r="F3137" s="4" t="str">
        <f>IFERROR(__xludf.DUMMYFUNCTION("GOOGLETRANSLATE(D3137)"),"路透社頭條新聞：照片：洛基大火已成為加州最嚴重的... - http://t.co/qwrRfDGXCc #NewsInTweets http://t.co/sstj2bEpqn")</f>
        <v>路透社頭條新聞：照片：洛基大火已成為加州最嚴重的... - http://t.co/qwrRfDGXCc #NewsInTweets http://t.co/sstj2bEpqn</v>
      </c>
      <c r="G3137" s="4" t="str">
        <f>IFERROR(__xludf.DUMMYFUNCTION("GOOGLETRANSLATE(B3137)"),"野火")</f>
        <v>野火</v>
      </c>
    </row>
    <row r="3138" ht="15.75" customHeight="1">
      <c r="A3138" s="4">
        <v>10522.0</v>
      </c>
      <c r="B3138" s="4" t="s">
        <v>4745</v>
      </c>
      <c r="D3138" s="4" t="s">
        <v>4776</v>
      </c>
      <c r="E3138" s="4">
        <v>1.0</v>
      </c>
      <c r="F3138" s="4" t="str">
        <f>IFERROR(__xludf.DUMMYFUNCTION("GOOGLETRANSLATE(D3138)"),"這台機器確實引起了我的注意。 #直升機 #消防 #wildfire #oregon #easternoregonÛ_ https://t.co/V6qxnFHRxF")</f>
        <v>這台機器確實引起了我的注意。 #直升機 #消防 #wildfire #oregon #easternoregonÛ_ https://t.co/V6qxnFHRxF</v>
      </c>
      <c r="G3138" s="4" t="str">
        <f>IFERROR(__xludf.DUMMYFUNCTION("GOOGLETRANSLATE(B3138)"),"野火")</f>
        <v>野火</v>
      </c>
    </row>
    <row r="3139" ht="15.75" customHeight="1">
      <c r="A3139" s="4">
        <v>10524.0</v>
      </c>
      <c r="B3139" s="4" t="s">
        <v>4745</v>
      </c>
      <c r="D3139" s="4" t="s">
        <v>4777</v>
      </c>
      <c r="E3139" s="4">
        <v>1.0</v>
      </c>
      <c r="F3139" s="4" t="str">
        <f>IFERROR(__xludf.DUMMYFUNCTION("GOOGLETRANSLATE(D3139)"),"對於那些受 #CalWildfires 影響的人，這裡有一些很好的恢復技巧，可以幫助您在災後恢復 http://t.co/wwxbGuBww5")</f>
        <v>對於那些受 #CalWildfires 影響的人，這裡有一些很好的恢復技巧，可以幫助您在災後恢復 http://t.co/wwxbGuBww5</v>
      </c>
      <c r="G3139" s="4" t="str">
        <f>IFERROR(__xludf.DUMMYFUNCTION("GOOGLETRANSLATE(B3139)"),"野火")</f>
        <v>野火</v>
      </c>
    </row>
    <row r="3140" ht="15.75" customHeight="1">
      <c r="A3140" s="4">
        <v>10525.0</v>
      </c>
      <c r="B3140" s="4" t="s">
        <v>4745</v>
      </c>
      <c r="D3140" s="4" t="s">
        <v>4778</v>
      </c>
      <c r="E3140" s="4">
        <v>1.0</v>
      </c>
      <c r="F3140" s="4" t="str">
        <f>IFERROR(__xludf.DUMMYFUNCTION("GOOGLETRANSLATE(D3140)"),"#IDFire 切羅基路和 22 號公路（三姊妹野火）：有兩條路不對外開放：... http://t.co/UORXfF0NfX")</f>
        <v>#IDFire 切羅基路和 22 號公路（三姊妹野火）：有兩條路不對外開放：... http://t.co/UORXfF0NfX</v>
      </c>
      <c r="G3140" s="4" t="str">
        <f>IFERROR(__xludf.DUMMYFUNCTION("GOOGLETRANSLATE(B3140)"),"野火")</f>
        <v>野火</v>
      </c>
    </row>
    <row r="3141" ht="15.75" customHeight="1">
      <c r="A3141" s="4">
        <v>10527.0</v>
      </c>
      <c r="B3141" s="4" t="s">
        <v>4745</v>
      </c>
      <c r="C3141" s="4" t="s">
        <v>4779</v>
      </c>
      <c r="D3141" s="4" t="s">
        <v>4780</v>
      </c>
      <c r="E3141" s="4">
        <v>1.0</v>
      </c>
      <c r="F3141" s="4" t="str">
        <f>IFERROR(__xludf.DUMMYFUNCTION("GOOGLETRANSLATE(D3141)"),"俄勒岡州最大的野火減緩了成長 http://t.co/P0GoS5URXG 來自 @katunews")</f>
        <v>俄勒岡州最大的野火減緩了成長 http://t.co/P0GoS5URXG 來自 @katunews</v>
      </c>
      <c r="G3141" s="4" t="str">
        <f>IFERROR(__xludf.DUMMYFUNCTION("GOOGLETRANSLATE(B3141)"),"野火")</f>
        <v>野火</v>
      </c>
    </row>
    <row r="3142" ht="15.75" customHeight="1">
      <c r="A3142" s="4">
        <v>10529.0</v>
      </c>
      <c r="B3142" s="4" t="s">
        <v>4745</v>
      </c>
      <c r="D3142" s="4" t="s">
        <v>4781</v>
      </c>
      <c r="E3142" s="4">
        <v>1.0</v>
      </c>
      <c r="F3142" s="4" t="str">
        <f>IFERROR(__xludf.DUMMYFUNCTION("GOOGLETRANSLATE(D3142)"),"媒體發布 - 消防隊員要求徒步旅行者在當地步道入口處登入（帕克嶺野火）：帕克... http://t.co/ABlz20mgzv #IDFire")</f>
        <v>媒體發布 - 消防隊員要求徒步旅行者在當地步道入口處登入（帕克嶺野火）：帕克... http://t.co/ABlz20mgzv #IDFire</v>
      </c>
      <c r="G3142" s="4" t="str">
        <f>IFERROR(__xludf.DUMMYFUNCTION("GOOGLETRANSLATE(B3142)"),"野火")</f>
        <v>野火</v>
      </c>
    </row>
    <row r="3143" ht="15.75" customHeight="1">
      <c r="A3143" s="4">
        <v>10533.0</v>
      </c>
      <c r="B3143" s="4" t="s">
        <v>4745</v>
      </c>
      <c r="C3143" s="4" t="s">
        <v>38</v>
      </c>
      <c r="D3143" s="4" t="s">
        <v>4782</v>
      </c>
      <c r="E3143" s="4">
        <v>1.0</v>
      </c>
      <c r="F3143" s="4" t="str">
        <f>IFERROR(__xludf.DUMMYFUNCTION("GOOGLETRANSLATE(D3143)"),"最新消息：#野火摧毀了更多房屋，但工作人員繼續前進 - WQOW 電視新聞 18 http://t.co/Hj26SFDdfI")</f>
        <v>最新消息：#野火摧毀了更多房屋，但工作人員繼續前進 - WQOW 電視新聞 18 http://t.co/Hj26SFDdfI</v>
      </c>
      <c r="G3143" s="4" t="str">
        <f>IFERROR(__xludf.DUMMYFUNCTION("GOOGLETRANSLATE(B3143)"),"野火")</f>
        <v>野火</v>
      </c>
    </row>
    <row r="3144" ht="15.75" customHeight="1">
      <c r="A3144" s="4">
        <v>10534.0</v>
      </c>
      <c r="B3144" s="4" t="s">
        <v>4745</v>
      </c>
      <c r="C3144" s="4" t="s">
        <v>2288</v>
      </c>
      <c r="D3144" s="4" t="s">
        <v>4783</v>
      </c>
      <c r="E3144" s="4">
        <v>1.0</v>
      </c>
      <c r="F3144" s="4" t="str">
        <f>IFERROR(__xludf.DUMMYFUNCTION("GOOGLETRANSLATE(D3144)"),"#加州#野火摧毀了更多房屋，但救援人員仍在前進。 http://t.co/2PPzGpxybi http://t.co/dS9khKffwc")</f>
        <v>#加州#野火摧毀了更多房屋，但救援人員仍在前進。 http://t.co/2PPzGpxybi http://t.co/dS9khKffwc</v>
      </c>
      <c r="G3144" s="4" t="str">
        <f>IFERROR(__xludf.DUMMYFUNCTION("GOOGLETRANSLATE(B3144)"),"野火")</f>
        <v>野火</v>
      </c>
    </row>
    <row r="3145" ht="15.75" customHeight="1">
      <c r="A3145" s="4">
        <v>10536.0</v>
      </c>
      <c r="B3145" s="4" t="s">
        <v>4784</v>
      </c>
      <c r="D3145" s="4" t="s">
        <v>4785</v>
      </c>
      <c r="E3145" s="4">
        <v>1.0</v>
      </c>
      <c r="F3145" s="4" t="str">
        <f>IFERROR(__xludf.DUMMYFUNCTION("GOOGLETRANSLATE(D3145)"),"風暴持久性額外條件 - 默許龍捲風撤退：ZiUW http://t.co/iRt4kkgsJx")</f>
        <v>風暴持久性額外條件 - 默許龍捲風撤退：ZiUW http://t.co/iRt4kkgsJx</v>
      </c>
      <c r="G3145" s="4" t="str">
        <f>IFERROR(__xludf.DUMMYFUNCTION("GOOGLETRANSLATE(B3145)"),"風暴")</f>
        <v>風暴</v>
      </c>
    </row>
    <row r="3146" ht="15.75" customHeight="1">
      <c r="A3146" s="4">
        <v>10540.0</v>
      </c>
      <c r="B3146" s="4" t="s">
        <v>4784</v>
      </c>
      <c r="C3146" s="4" t="s">
        <v>4786</v>
      </c>
      <c r="D3146" s="4" t="s">
        <v>4787</v>
      </c>
      <c r="E3146" s="4">
        <v>1.0</v>
      </c>
      <c r="F3146" s="4" t="str">
        <f>IFERROR(__xludf.DUMMYFUNCTION("GOOGLETRANSLATE(D3146)"),"現實訓練：暴風雨期間火車從高架軌道上掉下來 http://t.co/JIOMnrCygT #Paramedic #EMS")</f>
        <v>現實訓練：暴風雨期間火車從高架軌道上掉下來 http://t.co/JIOMnrCygT #Paramedic #EMS</v>
      </c>
      <c r="G3146" s="4" t="str">
        <f>IFERROR(__xludf.DUMMYFUNCTION("GOOGLETRANSLATE(B3146)"),"風暴")</f>
        <v>風暴</v>
      </c>
    </row>
    <row r="3147" ht="15.75" customHeight="1">
      <c r="A3147" s="4">
        <v>10543.0</v>
      </c>
      <c r="B3147" s="4" t="s">
        <v>4784</v>
      </c>
      <c r="D3147" s="4" t="s">
        <v>4788</v>
      </c>
      <c r="E3147" s="4">
        <v>1.0</v>
      </c>
      <c r="F3147" s="4" t="str">
        <f>IFERROR(__xludf.DUMMYFUNCTION("GOOGLETRANSLATE(D3147)"),"IJ：德州尋求對風暴保險公司變更規則的評論 http://t.co/h132iuL7MU")</f>
        <v>IJ：德州尋求對風暴保險公司變更規則的評論 http://t.co/h132iuL7MU</v>
      </c>
      <c r="G3147" s="4" t="str">
        <f>IFERROR(__xludf.DUMMYFUNCTION("GOOGLETRANSLATE(B3147)"),"風暴")</f>
        <v>風暴</v>
      </c>
    </row>
    <row r="3148" ht="15.75" customHeight="1">
      <c r="A3148" s="4">
        <v>10544.0</v>
      </c>
      <c r="B3148" s="4" t="s">
        <v>4784</v>
      </c>
      <c r="C3148" s="4" t="s">
        <v>3124</v>
      </c>
      <c r="D3148" s="4" t="s">
        <v>4789</v>
      </c>
      <c r="E3148" s="4">
        <v>1.0</v>
      </c>
      <c r="F3148" s="4" t="str">
        <f>IFERROR(__xludf.DUMMYFUNCTION("GOOGLETRANSLATE(D3148)"),"*看著外面的暴風雨*niiiice")</f>
        <v>*看著外面的暴風雨*niiiice</v>
      </c>
      <c r="G3148" s="4" t="str">
        <f>IFERROR(__xludf.DUMMYFUNCTION("GOOGLETRANSLATE(B3148)"),"風暴")</f>
        <v>風暴</v>
      </c>
    </row>
    <row r="3149" ht="15.75" customHeight="1">
      <c r="A3149" s="4">
        <v>10545.0</v>
      </c>
      <c r="B3149" s="4" t="s">
        <v>4784</v>
      </c>
      <c r="D3149" s="4" t="s">
        <v>4790</v>
      </c>
      <c r="E3149" s="4">
        <v>1.0</v>
      </c>
      <c r="F3149" s="4" t="str">
        <f>IFERROR(__xludf.DUMMYFUNCTION("GOOGLETRANSLATE(D3149)"),"德克薩斯州尋求對 WindstormåÊInsurer 變更規則的評論 http://t.co/92fwtObi3U")</f>
        <v>德克薩斯州尋求對 WindstormåÊInsurer 變更規則的評論 http://t.co/92fwtObi3U</v>
      </c>
      <c r="G3149" s="4" t="str">
        <f>IFERROR(__xludf.DUMMYFUNCTION("GOOGLETRANSLATE(B3149)"),"風暴")</f>
        <v>風暴</v>
      </c>
    </row>
    <row r="3150" ht="15.75" customHeight="1">
      <c r="A3150" s="4">
        <v>10550.0</v>
      </c>
      <c r="B3150" s="4" t="s">
        <v>4784</v>
      </c>
      <c r="C3150" s="4" t="s">
        <v>997</v>
      </c>
      <c r="D3150" s="4" t="s">
        <v>4791</v>
      </c>
      <c r="E3150" s="4">
        <v>1.0</v>
      </c>
      <c r="F3150" s="4" t="str">
        <f>IFERROR(__xludf.DUMMYFUNCTION("GOOGLETRANSLATE(D3150)"),"NEMA Ekiti 向 Gbonyin LGA 的 Ode-Ekiti 受雨/風暴災害影響的受害者分發了救災物資。")</f>
        <v>NEMA Ekiti 向 Gbonyin LGA 的 Ode-Ekiti 受雨/風暴災害影響的受害者分發了救災物資。</v>
      </c>
      <c r="G3150" s="4" t="str">
        <f>IFERROR(__xludf.DUMMYFUNCTION("GOOGLETRANSLATE(B3150)"),"風暴")</f>
        <v>風暴</v>
      </c>
    </row>
    <row r="3151" ht="15.75" customHeight="1">
      <c r="A3151" s="4">
        <v>10551.0</v>
      </c>
      <c r="B3151" s="4" t="s">
        <v>4784</v>
      </c>
      <c r="C3151" s="4" t="s">
        <v>612</v>
      </c>
      <c r="D3151" s="4" t="s">
        <v>4792</v>
      </c>
      <c r="E3151" s="4">
        <v>1.0</v>
      </c>
      <c r="F3151" s="4" t="str">
        <f>IFERROR(__xludf.DUMMYFUNCTION("GOOGLETRANSLATE(D3151)"),"現實訓練：暴風雨期間火車從高架軌道上掉下來 http://t.co/etgQf28MgE")</f>
        <v>現實訓練：暴風雨期間火車從高架軌道上掉下來 http://t.co/etgQf28MgE</v>
      </c>
      <c r="G3151" s="4" t="str">
        <f>IFERROR(__xludf.DUMMYFUNCTION("GOOGLETRANSLATE(B3151)"),"風暴")</f>
        <v>風暴</v>
      </c>
    </row>
    <row r="3152" ht="15.75" customHeight="1">
      <c r="A3152" s="4">
        <v>10552.0</v>
      </c>
      <c r="B3152" s="4" t="s">
        <v>4784</v>
      </c>
      <c r="D3152" s="4" t="s">
        <v>4793</v>
      </c>
      <c r="E3152" s="4">
        <v>1.0</v>
      </c>
      <c r="F3152" s="4" t="str">
        <f>IFERROR(__xludf.DUMMYFUNCTION("GOOGLETRANSLATE(D3152)"),"#Insurance Texas 尋求對風暴保險公司變更規則的評論：德克薩斯州保險部是...... http://t.co/byvUBg0WyE")</f>
        <v>#Insurance Texas 尋求對風暴保險公司變更規則的評論：德克薩斯州保險部是...... http://t.co/byvUBg0WyE</v>
      </c>
      <c r="G3152" s="4" t="str">
        <f>IFERROR(__xludf.DUMMYFUNCTION("GOOGLETRANSLATE(B3152)"),"風暴")</f>
        <v>風暴</v>
      </c>
    </row>
    <row r="3153" ht="15.75" customHeight="1">
      <c r="A3153" s="4">
        <v>10555.0</v>
      </c>
      <c r="B3153" s="4" t="s">
        <v>4784</v>
      </c>
      <c r="D3153" s="4" t="s">
        <v>4794</v>
      </c>
      <c r="E3153" s="4">
        <v>1.0</v>
      </c>
      <c r="F3153" s="4" t="str">
        <f>IFERROR(__xludf.DUMMYFUNCTION("GOOGLETRANSLATE(D3153)"),"現實訓練：暴風雨期間火車從高架軌道上掉下來 http://t.co/wAL4FrTfKa #fire #ems")</f>
        <v>現實訓練：暴風雨期間火車從高架軌道上掉下來 http://t.co/wAL4FrTfKa #fire #ems</v>
      </c>
      <c r="G3153" s="4" t="str">
        <f>IFERROR(__xludf.DUMMYFUNCTION("GOOGLETRANSLATE(B3153)"),"風暴")</f>
        <v>風暴</v>
      </c>
    </row>
    <row r="3154" ht="15.75" customHeight="1">
      <c r="A3154" s="4">
        <v>10561.0</v>
      </c>
      <c r="B3154" s="4" t="s">
        <v>4784</v>
      </c>
      <c r="C3154" s="4" t="s">
        <v>612</v>
      </c>
      <c r="D3154" s="4" t="s">
        <v>4795</v>
      </c>
      <c r="E3154" s="4">
        <v>1.0</v>
      </c>
      <c r="F3154" s="4" t="str">
        <f>IFERROR(__xludf.DUMMYFUNCTION("GOOGLETRANSLATE(D3154)"),"現實訓練：暴風雨期間火車從高架軌道上掉下來 http://t.co/qzRciNaF5z")</f>
        <v>現實訓練：暴風雨期間火車從高架軌道上掉下來 http://t.co/qzRciNaF5z</v>
      </c>
      <c r="G3154" s="4" t="str">
        <f>IFERROR(__xludf.DUMMYFUNCTION("GOOGLETRANSLATE(B3154)"),"風暴")</f>
        <v>風暴</v>
      </c>
    </row>
    <row r="3155" ht="15.75" customHeight="1">
      <c r="A3155" s="4">
        <v>10563.0</v>
      </c>
      <c r="B3155" s="4" t="s">
        <v>4784</v>
      </c>
      <c r="C3155" s="4" t="s">
        <v>4796</v>
      </c>
      <c r="D3155" s="4" t="s">
        <v>4797</v>
      </c>
      <c r="E3155" s="4">
        <v>1.0</v>
      </c>
      <c r="F3155" s="4" t="str">
        <f>IFERROR(__xludf.DUMMYFUNCTION("GOOGLETRANSLATE(D3155)"),"我珍貴的橄欖樹輸掉了這場戰鬥…#yyc 又一場瘋狂的風暴！ @weathernetwork http://t.co/N00DVXEga2")</f>
        <v>我珍貴的橄欖樹輸掉了這場戰鬥…#yyc 又一場瘋狂的風暴！ @weathernetwork http://t.co/N00DVXEga2</v>
      </c>
      <c r="G3155" s="4" t="str">
        <f>IFERROR(__xludf.DUMMYFUNCTION("GOOGLETRANSLATE(B3155)"),"風暴")</f>
        <v>風暴</v>
      </c>
    </row>
    <row r="3156" ht="15.75" customHeight="1">
      <c r="A3156" s="4">
        <v>10568.0</v>
      </c>
      <c r="B3156" s="4" t="s">
        <v>4784</v>
      </c>
      <c r="D3156" s="4" t="s">
        <v>4798</v>
      </c>
      <c r="E3156" s="4">
        <v>1.0</v>
      </c>
      <c r="F3156" s="4" t="str">
        <f>IFERROR(__xludf.DUMMYFUNCTION("GOOGLETRANSLATE(D3156)"),"密西根西北部#WindStorm（純粹）恢復更新：Leelanau 和Grand Traverse - 緊急狀態 2b 延長 http://t.co/OSKfyj8CK7 #BeSafe")</f>
        <v>密西根西北部#WindStorm（純粹）恢復更新：Leelanau 和Grand Traverse - 緊急狀態 2b 延長 http://t.co/OSKfyj8CK7 #BeSafe</v>
      </c>
      <c r="G3156" s="4" t="str">
        <f>IFERROR(__xludf.DUMMYFUNCTION("GOOGLETRANSLATE(B3156)"),"風暴")</f>
        <v>風暴</v>
      </c>
    </row>
    <row r="3157" ht="15.75" customHeight="1">
      <c r="A3157" s="4">
        <v>10574.0</v>
      </c>
      <c r="B3157" s="4" t="s">
        <v>4784</v>
      </c>
      <c r="C3157" s="4" t="s">
        <v>4799</v>
      </c>
      <c r="D3157" s="4" t="s">
        <v>4800</v>
      </c>
      <c r="E3157" s="4">
        <v>1.0</v>
      </c>
      <c r="F3157" s="4" t="str">
        <f>IFERROR(__xludf.DUMMYFUNCTION("GOOGLETRANSLATE(D3157)"),"該死...想知道我的無人機在這場怪異的暴風雨之後最終去了哪裡...？ https://t.co/dHgGxo7Mcc")</f>
        <v>該死...想知道我的無人機在這場怪異的暴風雨之後最終去了哪裡...？ https://t.co/dHgGxo7Mcc</v>
      </c>
      <c r="G3157" s="4" t="str">
        <f>IFERROR(__xludf.DUMMYFUNCTION("GOOGLETRANSLATE(B3157)"),"風暴")</f>
        <v>風暴</v>
      </c>
    </row>
    <row r="3158" ht="15.75" customHeight="1">
      <c r="A3158" s="4">
        <v>10575.0</v>
      </c>
      <c r="B3158" s="4" t="s">
        <v>4784</v>
      </c>
      <c r="D3158" s="4" t="s">
        <v>4801</v>
      </c>
      <c r="E3158" s="4">
        <v>1.0</v>
      </c>
      <c r="F3158" s="4" t="str">
        <f>IFERROR(__xludf.DUMMYFUNCTION("GOOGLETRANSLATE(D3158)"),"@blakeshelton 不要在風暴中放屁。快來關注我。天啊。")</f>
        <v>@blakeshelton 不要在風暴中放屁。快來關注我。天啊。</v>
      </c>
      <c r="G3158" s="4" t="str">
        <f>IFERROR(__xludf.DUMMYFUNCTION("GOOGLETRANSLATE(B3158)"),"風暴")</f>
        <v>風暴</v>
      </c>
    </row>
    <row r="3159" ht="15.75" customHeight="1">
      <c r="A3159" s="4">
        <v>10582.0</v>
      </c>
      <c r="B3159" s="4" t="s">
        <v>4784</v>
      </c>
      <c r="C3159" s="4" t="s">
        <v>4802</v>
      </c>
      <c r="D3159" s="4" t="s">
        <v>4803</v>
      </c>
      <c r="E3159" s="4">
        <v>1.0</v>
      </c>
      <c r="F3159" s="4" t="str">
        <f>IFERROR(__xludf.DUMMYFUNCTION("GOOGLETRANSLATE(D3159)"),"@rangerkaitimay 在傑克遜附近有大風暴雷聲和一些降雨……現在平靜了。")</f>
        <v>@rangerkaitimay 在傑克遜附近有大風暴雷聲和一些降雨……現在平靜了。</v>
      </c>
      <c r="G3159" s="4" t="str">
        <f>IFERROR(__xludf.DUMMYFUNCTION("GOOGLETRANSLATE(B3159)"),"風暴")</f>
        <v>風暴</v>
      </c>
    </row>
    <row r="3160" ht="15.75" customHeight="1">
      <c r="A3160" s="4">
        <v>10583.0</v>
      </c>
      <c r="B3160" s="4" t="s">
        <v>4784</v>
      </c>
      <c r="C3160" s="4" t="s">
        <v>4804</v>
      </c>
      <c r="D3160" s="4" t="s">
        <v>4805</v>
      </c>
      <c r="E3160" s="4">
        <v>1.0</v>
      </c>
      <c r="F3160" s="4" t="str">
        <f>IFERROR(__xludf.DUMMYFUNCTION("GOOGLETRANSLATE(D3160)"),"TWIA 董事會批准升息 5%：德州風暴保險協會 (TWIA) 董事會訴... http://t.co/TWPl0NL8cx")</f>
        <v>TWIA 董事會批准升息 5%：德州風暴保險協會 (TWIA) 董事會訴... http://t.co/TWPl0NL8cx</v>
      </c>
      <c r="G3160" s="4" t="str">
        <f>IFERROR(__xludf.DUMMYFUNCTION("GOOGLETRANSLATE(B3160)"),"風暴")</f>
        <v>風暴</v>
      </c>
    </row>
    <row r="3161" ht="15.75" customHeight="1">
      <c r="A3161" s="4">
        <v>10585.0</v>
      </c>
      <c r="B3161" s="4" t="s">
        <v>4806</v>
      </c>
      <c r="D3161" s="4" t="s">
        <v>4807</v>
      </c>
      <c r="E3161" s="4">
        <v>1.0</v>
      </c>
      <c r="F3161" s="4" t="str">
        <f>IFERROR(__xludf.DUMMYFUNCTION("GOOGLETRANSLATE(D3161)"),"薩爾瓦多巴士襲擊中槍手造成四人死亡：疑似薩爾瓦多幫派成員殺死四人並受傷... http://t.co/r8k6rXw6D6")</f>
        <v>薩爾瓦多巴士襲擊中槍手造成四人死亡：疑似薩爾瓦多幫派成員殺死四人並受傷... http://t.co/r8k6rXw6D6</v>
      </c>
      <c r="G3161" s="4" t="str">
        <f>IFERROR(__xludf.DUMMYFUNCTION("GOOGLETRANSLATE(B3161)"),"受傷的")</f>
        <v>受傷的</v>
      </c>
    </row>
    <row r="3162" ht="15.75" customHeight="1">
      <c r="A3162" s="4">
        <v>10587.0</v>
      </c>
      <c r="B3162" s="4" t="s">
        <v>4806</v>
      </c>
      <c r="C3162" s="4" t="s">
        <v>4808</v>
      </c>
      <c r="D3162" s="4" t="s">
        <v>4809</v>
      </c>
      <c r="E3162" s="4">
        <v>1.0</v>
      </c>
      <c r="F3162" s="4" t="str">
        <f>IFERROR(__xludf.DUMMYFUNCTION("GOOGLETRANSLATE(D3162)"),"警官受傷嫌犯在交槍後死亡 http://t.co/XxFk4KHbIw")</f>
        <v>警官受傷嫌犯在交槍後死亡 http://t.co/XxFk4KHbIw</v>
      </c>
      <c r="G3162" s="4" t="str">
        <f>IFERROR(__xludf.DUMMYFUNCTION("GOOGLETRANSLATE(B3162)"),"受傷的")</f>
        <v>受傷的</v>
      </c>
    </row>
    <row r="3163" ht="15.75" customHeight="1">
      <c r="A3163" s="4">
        <v>10590.0</v>
      </c>
      <c r="B3163" s="4" t="s">
        <v>4806</v>
      </c>
      <c r="C3163" s="4" t="s">
        <v>627</v>
      </c>
      <c r="D3163" s="4" t="s">
        <v>4810</v>
      </c>
      <c r="E3163" s="4">
        <v>1.0</v>
      </c>
      <c r="F3163" s="4" t="str">
        <f>IFERROR(__xludf.DUMMYFUNCTION("GOOGLETRANSLATE(D3163)"),"薩爾瓦多首都附近的巴士上發生槍手槍擊事件，造成 4 人死亡，一週前，幫派攻擊導致 8 名巴士司機死亡：http://t.co/Pz56zJSsfT bitÛ_")</f>
        <v>薩爾瓦多首都附近的巴士上發生槍手槍擊事件，造成 4 人死亡，一週前，幫派攻擊導致 8 名巴士司機死亡：http://t.co/Pz56zJSsfT bitÛ_</v>
      </c>
      <c r="G3163" s="4" t="str">
        <f>IFERROR(__xludf.DUMMYFUNCTION("GOOGLETRANSLATE(B3163)"),"受傷的")</f>
        <v>受傷的</v>
      </c>
    </row>
    <row r="3164" ht="15.75" customHeight="1">
      <c r="A3164" s="4">
        <v>10591.0</v>
      </c>
      <c r="B3164" s="4" t="s">
        <v>4806</v>
      </c>
      <c r="C3164" s="4" t="s">
        <v>1458</v>
      </c>
      <c r="D3164" s="4" t="s">
        <v>4811</v>
      </c>
      <c r="E3164" s="4">
        <v>1.0</v>
      </c>
      <c r="F3164" s="4" t="str">
        <f>IFERROR(__xludf.DUMMYFUNCTION("GOOGLETRANSLATE(D3164)"),"警察受傷嫌疑人在交火中喪生：里士滿警察受傷嫌疑人在槍擊中喪生... http://t.co/crCN8rwvKj")</f>
        <v>警察受傷嫌疑人在交火中喪生：里士滿警察受傷嫌疑人在槍擊中喪生... http://t.co/crCN8rwvKj</v>
      </c>
      <c r="G3164" s="4" t="str">
        <f>IFERROR(__xludf.DUMMYFUNCTION("GOOGLETRANSLATE(B3164)"),"受傷的")</f>
        <v>受傷的</v>
      </c>
    </row>
    <row r="3165" ht="15.75" customHeight="1">
      <c r="A3165" s="4">
        <v>10592.0</v>
      </c>
      <c r="B3165" s="4" t="s">
        <v>4806</v>
      </c>
      <c r="C3165" s="4" t="s">
        <v>291</v>
      </c>
      <c r="D3165" s="4" t="s">
        <v>4812</v>
      </c>
      <c r="E3165" s="4">
        <v>1.0</v>
      </c>
      <c r="F3165" s="4" t="str">
        <f>IFERROR(__xludf.DUMMYFUNCTION("GOOGLETRANSLATE(D3165)"),"一名男子在佛蒙特街開槍殺死另一名傷者 #Buffalo - http://t.co/KakY4mpCO4")</f>
        <v>一名男子在佛蒙特街開槍殺死另一名傷者 #Buffalo - http://t.co/KakY4mpCO4</v>
      </c>
      <c r="G3165" s="4" t="str">
        <f>IFERROR(__xludf.DUMMYFUNCTION("GOOGLETRANSLATE(B3165)"),"受傷的")</f>
        <v>受傷的</v>
      </c>
    </row>
    <row r="3166" ht="15.75" customHeight="1">
      <c r="A3166" s="4">
        <v>10593.0</v>
      </c>
      <c r="B3166" s="4" t="s">
        <v>4806</v>
      </c>
      <c r="C3166" s="4" t="s">
        <v>4813</v>
      </c>
      <c r="D3166" s="4" t="s">
        <v>4814</v>
      </c>
      <c r="E3166" s="4">
        <v>1.0</v>
      </c>
      <c r="F3166" s="4" t="str">
        <f>IFERROR(__xludf.DUMMYFUNCTION("GOOGLETRANSLATE(D3166)"),"里士滿警察受傷嫌疑犯被殺 http://t.co/m9d2ElImZI")</f>
        <v>里士滿警察受傷嫌疑犯被殺 http://t.co/m9d2ElImZI</v>
      </c>
      <c r="G3166" s="4" t="str">
        <f>IFERROR(__xludf.DUMMYFUNCTION("GOOGLETRANSLATE(B3166)"),"受傷的")</f>
        <v>受傷的</v>
      </c>
    </row>
    <row r="3167" ht="15.75" customHeight="1">
      <c r="A3167" s="4">
        <v>10598.0</v>
      </c>
      <c r="B3167" s="4" t="s">
        <v>4806</v>
      </c>
      <c r="C3167" s="4" t="s">
        <v>4815</v>
      </c>
      <c r="D3167" s="4" t="s">
        <v>4816</v>
      </c>
      <c r="E3167" s="4">
        <v>1.0</v>
      </c>
      <c r="F3167" s="4" t="str">
        <f>IFERROR(__xludf.DUMMYFUNCTION("GOOGLETRANSLATE(D3167)"),"菲利普親王談到了在阿姆利則被英國人謀殺的人數…
這有點誇張了，肯定包括受傷的人。")</f>
        <v>菲利普親王談到了在阿姆利則被英國人謀殺的人數…
這有點誇張了，肯定包括受傷的人。</v>
      </c>
      <c r="G3167" s="4" t="str">
        <f>IFERROR(__xludf.DUMMYFUNCTION("GOOGLETRANSLATE(B3167)"),"受傷的")</f>
        <v>受傷的</v>
      </c>
    </row>
    <row r="3168" ht="15.75" customHeight="1">
      <c r="A3168" s="4">
        <v>10599.0</v>
      </c>
      <c r="B3168" s="4" t="s">
        <v>4806</v>
      </c>
      <c r="C3168" s="4" t="s">
        <v>4817</v>
      </c>
      <c r="D3168" s="4" t="s">
        <v>4818</v>
      </c>
      <c r="E3168" s="4">
        <v>1.0</v>
      </c>
      <c r="F3168" s="4" t="str">
        <f>IFERROR(__xludf.DUMMYFUNCTION("GOOGLETRANSLATE(D3168)"),"加州警察透過 @FoxNews 應用程式獲取了槍手的草圖，該槍手殺死了一名受傷的兩名警員 http://t.co/3Ife1zsop7")</f>
        <v>加州警察透過 @FoxNews 應用程式獲取了槍手的草圖，該槍手殺死了一名受傷的兩名警員 http://t.co/3Ife1zsop7</v>
      </c>
      <c r="G3168" s="4" t="str">
        <f>IFERROR(__xludf.DUMMYFUNCTION("GOOGLETRANSLATE(B3168)"),"受傷的")</f>
        <v>受傷的</v>
      </c>
    </row>
    <row r="3169" ht="15.75" customHeight="1">
      <c r="A3169" s="4">
        <v>10600.0</v>
      </c>
      <c r="B3169" s="4" t="s">
        <v>4806</v>
      </c>
      <c r="C3169" s="4" t="s">
        <v>4819</v>
      </c>
      <c r="D3169" s="4" t="s">
        <v>4820</v>
      </c>
      <c r="E3169" s="4">
        <v>1.0</v>
      </c>
      <c r="F3169" s="4" t="str">
        <f>IFERROR(__xludf.DUMMYFUNCTION("GOOGLETRANSLATE(D3169)"),"警察受傷嫌疑人在交火後死亡：里士滿警察受傷嫌疑人在交火後死亡")</f>
        <v>警察受傷嫌疑人在交火後死亡：里士滿警察受傷嫌疑人在交火後死亡</v>
      </c>
      <c r="G3169" s="4" t="str">
        <f>IFERROR(__xludf.DUMMYFUNCTION("GOOGLETRANSLATE(B3169)"),"受傷的")</f>
        <v>受傷的</v>
      </c>
    </row>
    <row r="3170" ht="15.75" customHeight="1">
      <c r="A3170" s="4">
        <v>10601.0</v>
      </c>
      <c r="B3170" s="4" t="s">
        <v>4806</v>
      </c>
      <c r="C3170" s="4" t="s">
        <v>1207</v>
      </c>
      <c r="D3170" s="4" t="s">
        <v>4821</v>
      </c>
      <c r="E3170" s="4">
        <v>1.0</v>
      </c>
      <c r="F3170" s="4" t="str">
        <f>IFERROR(__xludf.DUMMYFUNCTION("GOOGLETRANSLATE(D3170)"),"我們不要忘記我們受傷的女性退伍軍人。 http://t.co/rZ7fbr10xw")</f>
        <v>我們不要忘記我們受傷的女性退伍軍人。 http://t.co/rZ7fbr10xw</v>
      </c>
      <c r="G3170" s="4" t="str">
        <f>IFERROR(__xludf.DUMMYFUNCTION("GOOGLETRANSLATE(B3170)"),"受傷的")</f>
        <v>受傷的</v>
      </c>
    </row>
    <row r="3171" ht="15.75" customHeight="1">
      <c r="A3171" s="4">
        <v>10603.0</v>
      </c>
      <c r="B3171" s="4" t="s">
        <v>4806</v>
      </c>
      <c r="C3171" s="4" t="s">
        <v>4822</v>
      </c>
      <c r="D3171" s="4" t="s">
        <v>4823</v>
      </c>
      <c r="E3171" s="4">
        <v>1.0</v>
      </c>
      <c r="F3171" s="4" t="str">
        <f>IFERROR(__xludf.DUMMYFUNCTION("GOOGLETRANSLATE(D3171)"),"槍手在薩爾瓦多巴士襲擊中殺死四人：疑似薩爾瓦多幫派成員殺死四人並受傷... http://t.co/CNtwB6ScZj")</f>
        <v>槍手在薩爾瓦多巴士襲擊中殺死四人：疑似薩爾瓦多幫派成員殺死四人並受傷... http://t.co/CNtwB6ScZj</v>
      </c>
      <c r="G3171" s="4" t="str">
        <f>IFERROR(__xludf.DUMMYFUNCTION("GOOGLETRANSLATE(B3171)"),"受傷的")</f>
        <v>受傷的</v>
      </c>
    </row>
    <row r="3172" ht="15.75" customHeight="1">
      <c r="A3172" s="4">
        <v>10606.0</v>
      </c>
      <c r="B3172" s="4" t="s">
        <v>4806</v>
      </c>
      <c r="C3172" s="4" t="s">
        <v>38</v>
      </c>
      <c r="D3172" s="4" t="s">
        <v>4824</v>
      </c>
      <c r="E3172" s="4">
        <v>1.0</v>
      </c>
      <c r="F3172" s="4" t="str">
        <f>IFERROR(__xludf.DUMMYFUNCTION("GOOGLETRANSLATE(D3172)"),"一名男子在佛蒙特街開槍打死另一名傷者 #Buffalo - http://t.co/8ACDF4Zui6")</f>
        <v>一名男子在佛蒙特街開槍打死另一名傷者 #Buffalo - http://t.co/8ACDF4Zui6</v>
      </c>
      <c r="G3172" s="4" t="str">
        <f>IFERROR(__xludf.DUMMYFUNCTION("GOOGLETRANSLATE(B3172)"),"受傷的")</f>
        <v>受傷的</v>
      </c>
    </row>
    <row r="3173" ht="15.75" customHeight="1">
      <c r="A3173" s="4">
        <v>10611.0</v>
      </c>
      <c r="B3173" s="4" t="s">
        <v>4806</v>
      </c>
      <c r="C3173" s="4" t="s">
        <v>4825</v>
      </c>
      <c r="D3173" s="4" t="s">
        <v>4826</v>
      </c>
      <c r="E3173" s="4">
        <v>1.0</v>
      </c>
      <c r="F3173" s="4" t="str">
        <f>IFERROR(__xludf.DUMMYFUNCTION("GOOGLETRANSLATE(D3173)"),"警察受傷嫌疑人在交火後死亡：弗吉尼亞州里士滿（美聯社） ÛÓ 一名里士滿警察... http://t.co/Y0qQS2L7bS")</f>
        <v>警察受傷嫌疑人在交火後死亡：弗吉尼亞州里士滿（美聯社） ÛÓ 一名里士滿警察... http://t.co/Y0qQS2L7bS</v>
      </c>
      <c r="G3173" s="4" t="str">
        <f>IFERROR(__xludf.DUMMYFUNCTION("GOOGLETRANSLATE(B3173)"),"受傷的")</f>
        <v>受傷的</v>
      </c>
    </row>
    <row r="3174" ht="15.75" customHeight="1">
      <c r="A3174" s="4">
        <v>10612.0</v>
      </c>
      <c r="B3174" s="4" t="s">
        <v>4806</v>
      </c>
      <c r="D3174" s="4" t="s">
        <v>4827</v>
      </c>
      <c r="E3174" s="4">
        <v>1.0</v>
      </c>
      <c r="F3174" s="4" t="str">
        <f>IFERROR(__xludf.DUMMYFUNCTION("GOOGLETRANSLATE(D3174)"),"警官受傷嫌疑人在交槍後死亡 - http://t.co/iPHaZV47g7")</f>
        <v>警官受傷嫌疑人在交槍後死亡 - http://t.co/iPHaZV47g7</v>
      </c>
      <c r="G3174" s="4" t="str">
        <f>IFERROR(__xludf.DUMMYFUNCTION("GOOGLETRANSLATE(B3174)"),"受傷的")</f>
        <v>受傷的</v>
      </c>
    </row>
    <row r="3175" ht="15.75" customHeight="1">
      <c r="A3175" s="4">
        <v>10613.0</v>
      </c>
      <c r="B3175" s="4" t="s">
        <v>4806</v>
      </c>
      <c r="C3175" s="4" t="s">
        <v>38</v>
      </c>
      <c r="D3175" s="4" t="s">
        <v>4828</v>
      </c>
      <c r="E3175" s="4">
        <v>1.0</v>
      </c>
      <c r="F3175" s="4" t="str">
        <f>IFERROR(__xludf.DUMMYFUNCTION("GOOGLETRANSLATE(D3175)"),"警官受傷嫌犯在交槍後死亡 http://t.co/brE2lGmn7C #ABC #News #AN247")</f>
        <v>警官受傷嫌犯在交槍後死亡 http://t.co/brE2lGmn7C #ABC #News #AN247</v>
      </c>
      <c r="G3175" s="4" t="str">
        <f>IFERROR(__xludf.DUMMYFUNCTION("GOOGLETRANSLATE(B3175)"),"受傷的")</f>
        <v>受傷的</v>
      </c>
    </row>
    <row r="3176" ht="15.75" customHeight="1">
      <c r="A3176" s="4">
        <v>10615.0</v>
      </c>
      <c r="B3176" s="4" t="s">
        <v>4806</v>
      </c>
      <c r="C3176" s="4" t="s">
        <v>4829</v>
      </c>
      <c r="D3176" s="4" t="s">
        <v>4830</v>
      </c>
      <c r="E3176" s="4">
        <v>1.0</v>
      </c>
      <c r="F3176" s="4" t="str">
        <f>IFERROR(__xludf.DUMMYFUNCTION("GOOGLETRANSLATE(D3176)"),"@wocowae 警官受傷嫌疑人在交火後死亡 http://t.co/oiOeCbsh1f ushed")</f>
        <v>@wocowae 警官受傷嫌疑人在交火後死亡 http://t.co/oiOeCbsh1f ushed</v>
      </c>
      <c r="G3176" s="4" t="str">
        <f>IFERROR(__xludf.DUMMYFUNCTION("GOOGLETRANSLATE(B3176)"),"受傷的")</f>
        <v>受傷的</v>
      </c>
    </row>
    <row r="3177" ht="15.75" customHeight="1">
      <c r="A3177" s="4">
        <v>10616.0</v>
      </c>
      <c r="B3177" s="4" t="s">
        <v>4806</v>
      </c>
      <c r="C3177" s="4" t="s">
        <v>708</v>
      </c>
      <c r="D3177" s="4" t="s">
        <v>4831</v>
      </c>
      <c r="E3177" s="4">
        <v>1.0</v>
      </c>
      <c r="F3177" s="4" t="str">
        <f>IFERROR(__xludf.DUMMYFUNCTION("GOOGLETRANSLATE(D3177)"),"警察局長向人群保證，這起與警官有關的槍擊事件將得到調查：http://t.co/KMXzhO5TFM。 http://t.co/AlBvDNwJtg")</f>
        <v>警察局長向人群保證，這起與警官有關的槍擊事件將得到調查：http://t.co/KMXzhO5TFM。 http://t.co/AlBvDNwJtg</v>
      </c>
      <c r="G3177" s="4" t="str">
        <f>IFERROR(__xludf.DUMMYFUNCTION("GOOGLETRANSLATE(B3177)"),"受傷的")</f>
        <v>受傷的</v>
      </c>
    </row>
    <row r="3178" ht="15.75" customHeight="1">
      <c r="A3178" s="4">
        <v>10620.0</v>
      </c>
      <c r="B3178" s="4" t="s">
        <v>4806</v>
      </c>
      <c r="D3178" s="4" t="s">
        <v>4832</v>
      </c>
      <c r="E3178" s="4">
        <v>1.0</v>
      </c>
      <c r="F3178" s="4" t="str">
        <f>IFERROR(__xludf.DUMMYFUNCTION("GOOGLETRANSLATE(D3178)"),"警察受傷嫌疑犯在交槍後死亡：里士滿警察受傷嫌疑人被殺... http://t.co/5uFTRXPpV0")</f>
        <v>警察受傷嫌疑犯在交槍後死亡：里士滿警察受傷嫌疑人被殺... http://t.co/5uFTRXPpV0</v>
      </c>
      <c r="G3178" s="4" t="str">
        <f>IFERROR(__xludf.DUMMYFUNCTION("GOOGLETRANSLATE(B3178)"),"受傷的")</f>
        <v>受傷的</v>
      </c>
    </row>
    <row r="3179" ht="15.75" customHeight="1">
      <c r="A3179" s="4">
        <v>10622.0</v>
      </c>
      <c r="B3179" s="4" t="s">
        <v>4806</v>
      </c>
      <c r="C3179" s="4" t="s">
        <v>2881</v>
      </c>
      <c r="D3179" s="4" t="s">
        <v>4833</v>
      </c>
      <c r="E3179" s="4">
        <v>1.0</v>
      </c>
      <c r="F3179" s="4" t="str">
        <f>IFERROR(__xludf.DUMMYFUNCTION("GOOGLETRANSLATE(D3179)"),"警察受傷嫌疑人在交火中喪生：里士滿警察受傷嫌疑人在槍擊中喪生... http://t.co/zDHwRN6cZc")</f>
        <v>警察受傷嫌疑人在交火中喪生：里士滿警察受傷嫌疑人在槍擊中喪生... http://t.co/zDHwRN6cZc</v>
      </c>
      <c r="G3179" s="4" t="str">
        <f>IFERROR(__xludf.DUMMYFUNCTION("GOOGLETRANSLATE(B3179)"),"受傷的")</f>
        <v>受傷的</v>
      </c>
    </row>
    <row r="3180" ht="15.75" customHeight="1">
      <c r="A3180" s="4">
        <v>10623.0</v>
      </c>
      <c r="B3180" s="4" t="s">
        <v>4806</v>
      </c>
      <c r="D3180" s="4" t="s">
        <v>4834</v>
      </c>
      <c r="E3180" s="4">
        <v>1.0</v>
      </c>
      <c r="F3180" s="4" t="str">
        <f>IFERROR(__xludf.DUMMYFUNCTION("GOOGLETRANSLATE(D3180)"),"警察受傷嫌犯交槍後死亡")</f>
        <v>警察受傷嫌犯交槍後死亡</v>
      </c>
      <c r="G3180" s="4" t="str">
        <f>IFERROR(__xludf.DUMMYFUNCTION("GOOGLETRANSLATE(B3180)"),"受傷的")</f>
        <v>受傷的</v>
      </c>
    </row>
    <row r="3181" ht="15.75" customHeight="1">
      <c r="A3181" s="4">
        <v>10625.0</v>
      </c>
      <c r="B3181" s="4" t="s">
        <v>4806</v>
      </c>
      <c r="D3181" s="4" t="s">
        <v>4835</v>
      </c>
      <c r="E3181" s="4">
        <v>1.0</v>
      </c>
      <c r="F3181" s="4" t="str">
        <f>IFERROR(__xludf.DUMMYFUNCTION("GOOGLETRANSLATE(D3181)"),"警官受傷，嫌疑人在交火中喪生：里士滿警方稱，一名警官受傷，一名... http://t.co/HwOrB1N6vN")</f>
        <v>警官受傷，嫌疑人在交火中喪生：里士滿警方稱，一名警官受傷，一名... http://t.co/HwOrB1N6vN</v>
      </c>
      <c r="G3181" s="4" t="str">
        <f>IFERROR(__xludf.DUMMYFUNCTION("GOOGLETRANSLATE(B3181)"),"受傷的")</f>
        <v>受傷的</v>
      </c>
    </row>
    <row r="3182" ht="15.75" customHeight="1">
      <c r="A3182" s="4">
        <v>10626.0</v>
      </c>
      <c r="B3182" s="4" t="s">
        <v>4806</v>
      </c>
      <c r="C3182" s="4" t="s">
        <v>4836</v>
      </c>
      <c r="D3182" s="4" t="s">
        <v>4837</v>
      </c>
      <c r="E3182" s="4">
        <v>1.0</v>
      </c>
      <c r="F3182" s="4" t="str">
        <f>IFERROR(__xludf.DUMMYFUNCTION("GOOGLETRANSLATE(D3182)"),".@wwp 正在為超過 75,000 名退伍軍人提供服務。 52,000 名 OIF/OEF 獸醫有身體創傷；更多的人有隱形的http://t.co/sHHLV4dPlz #client")</f>
        <v>.@wwp 正在為超過 75,000 名退伍軍人提供服務。 52,000 名 OIF/OEF 獸醫有身體創傷；更多的人有隱形的http://t.co/sHHLV4dPlz #client</v>
      </c>
      <c r="G3182" s="4" t="str">
        <f>IFERROR(__xludf.DUMMYFUNCTION("GOOGLETRANSLATE(B3182)"),"受傷的")</f>
        <v>受傷的</v>
      </c>
    </row>
    <row r="3183" ht="15.75" customHeight="1">
      <c r="A3183" s="4">
        <v>10627.0</v>
      </c>
      <c r="B3183" s="4" t="s">
        <v>4806</v>
      </c>
      <c r="C3183" s="4" t="s">
        <v>704</v>
      </c>
      <c r="D3183" s="4" t="s">
        <v>4838</v>
      </c>
      <c r="E3183" s="4">
        <v>1.0</v>
      </c>
      <c r="F3183" s="4" t="str">
        <f>IFERROR(__xludf.DUMMYFUNCTION("GOOGLETRANSLATE(D3183)"),"[#Latestnews] 警官在交火後打傷嫌疑人死亡：弗吉尼亞州里士滿 (美聯社) ÛÓ 一名里士滿警察... http://t.co/ia1HnGnHVB")</f>
        <v>[#Latestnews] 警官在交火後打傷嫌疑人死亡：弗吉尼亞州里士滿 (美聯社) ÛÓ 一名里士滿警察... http://t.co/ia1HnGnHVB</v>
      </c>
      <c r="G3183" s="4" t="str">
        <f>IFERROR(__xludf.DUMMYFUNCTION("GOOGLETRANSLATE(B3183)"),"受傷的")</f>
        <v>受傷的</v>
      </c>
    </row>
    <row r="3184" ht="15.75" customHeight="1">
      <c r="A3184" s="4">
        <v>10628.0</v>
      </c>
      <c r="B3184" s="4" t="s">
        <v>4806</v>
      </c>
      <c r="C3184" s="4" t="s">
        <v>38</v>
      </c>
      <c r="D3184" s="4" t="s">
        <v>4839</v>
      </c>
      <c r="E3184" s="4">
        <v>1.0</v>
      </c>
      <c r="F3184" s="4" t="str">
        <f>IFERROR(__xludf.DUMMYFUNCTION("GOOGLETRANSLATE(D3184)"),"美國廣播公司新聞：警察受傷嫌犯在交火後死亡。更多#news - http://t.co/AzovGv4SB6")</f>
        <v>美國廣播公司新聞：警察受傷嫌犯在交火後死亡。更多#news - http://t.co/AzovGv4SB6</v>
      </c>
      <c r="G3184" s="4" t="str">
        <f>IFERROR(__xludf.DUMMYFUNCTION("GOOGLETRANSLATE(B3184)"),"受傷的")</f>
        <v>受傷的</v>
      </c>
    </row>
    <row r="3185" ht="15.75" customHeight="1">
      <c r="A3185" s="4">
        <v>10631.0</v>
      </c>
      <c r="B3185" s="4" t="s">
        <v>4806</v>
      </c>
      <c r="C3185" s="4" t="s">
        <v>4829</v>
      </c>
      <c r="D3185" s="4" t="s">
        <v>4840</v>
      </c>
      <c r="E3185" s="4">
        <v>1.0</v>
      </c>
      <c r="F3185" s="4" t="str">
        <f>IFERROR(__xludf.DUMMYFUNCTION("GOOGLETRANSLATE(D3185)"),"@wocowae 警官受傷嫌疑人在交火中喪生 http://t.co/QI2BDvkab7 ushed")</f>
        <v>@wocowae 警官受傷嫌疑人在交火中喪生 http://t.co/QI2BDvkab7 ushed</v>
      </c>
      <c r="G3185" s="4" t="str">
        <f>IFERROR(__xludf.DUMMYFUNCTION("GOOGLETRANSLATE(B3185)"),"受傷的")</f>
        <v>受傷的</v>
      </c>
    </row>
    <row r="3186" ht="15.75" customHeight="1">
      <c r="A3186" s="4">
        <v>10632.0</v>
      </c>
      <c r="B3186" s="4" t="s">
        <v>4806</v>
      </c>
      <c r="C3186" s="4" t="s">
        <v>1458</v>
      </c>
      <c r="D3186" s="4" t="s">
        <v>4841</v>
      </c>
      <c r="E3186" s="4">
        <v>1.0</v>
      </c>
      <c r="F3186" s="4" t="str">
        <f>IFERROR(__xludf.DUMMYFUNCTION("GOOGLETRANSLATE(D3186)"),"警察受傷嫌犯在交槍後死亡：里士滿警察受傷嫌犯被殺... http://t.co/w0r8EAOKA0")</f>
        <v>警察受傷嫌犯在交槍後死亡：里士滿警察受傷嫌犯被殺... http://t.co/w0r8EAOKA0</v>
      </c>
      <c r="G3186" s="4" t="str">
        <f>IFERROR(__xludf.DUMMYFUNCTION("GOOGLETRANSLATE(B3186)"),"受傷的")</f>
        <v>受傷的</v>
      </c>
    </row>
    <row r="3187" ht="15.75" customHeight="1">
      <c r="A3187" s="4">
        <v>10636.0</v>
      </c>
      <c r="B3187" s="4" t="s">
        <v>4842</v>
      </c>
      <c r="C3187" s="4" t="s">
        <v>4843</v>
      </c>
      <c r="D3187" s="4" t="s">
        <v>4844</v>
      </c>
      <c r="E3187" s="4">
        <v>1.0</v>
      </c>
      <c r="F3187" s="4" t="str">
        <f>IFERROR(__xludf.DUMMYFUNCTION("GOOGLETRANSLATE(D3187)"),"9 號槍傷位於二頭肌。十處傷口中唯一一處不在胸部/軀幹區域。 #KerrickTrial #JonathanFerrell")</f>
        <v>9 號槍傷位於二頭肌。十處傷口中唯一一處不在胸部/軀幹區域。 #KerrickTrial #JonathanFerrell</v>
      </c>
      <c r="G3187" s="4" t="str">
        <f>IFERROR(__xludf.DUMMYFUNCTION("GOOGLETRANSLATE(B3187)"),"傷口")</f>
        <v>傷口</v>
      </c>
    </row>
    <row r="3188" ht="15.75" customHeight="1">
      <c r="A3188" s="4">
        <v>10641.0</v>
      </c>
      <c r="B3188" s="4" t="s">
        <v>4842</v>
      </c>
      <c r="C3188" s="4" t="s">
        <v>4845</v>
      </c>
      <c r="D3188" s="4" t="s">
        <v>4846</v>
      </c>
      <c r="E3188" s="4">
        <v>1.0</v>
      </c>
      <c r="F3188" s="4" t="str">
        <f>IFERROR(__xludf.DUMMYFUNCTION("GOOGLETRANSLATE(D3188)"),"閱讀〜無休止衝突的未癒合創傷#Kashmir #Pakistan #India http://t.co/sAF9MoSkSN #EndOccupation #EndConflict #FreeKashmir")</f>
        <v>閱讀〜無休止衝突的未癒合創傷#Kashmir #Pakistan #India http://t.co/sAF9MoSkSN #EndOccupation #EndConflict #FreeKashmir</v>
      </c>
      <c r="G3188" s="4" t="str">
        <f>IFERROR(__xludf.DUMMYFUNCTION("GOOGLETRANSLATE(B3188)"),"傷口")</f>
        <v>傷口</v>
      </c>
    </row>
    <row r="3189" ht="15.75" customHeight="1">
      <c r="A3189" s="4">
        <v>10647.0</v>
      </c>
      <c r="B3189" s="4" t="s">
        <v>4842</v>
      </c>
      <c r="C3189" s="4" t="s">
        <v>4845</v>
      </c>
      <c r="D3189" s="4" t="s">
        <v>4847</v>
      </c>
      <c r="E3189" s="4">
        <v>1.0</v>
      </c>
      <c r="F3189" s="4" t="str">
        <f>IFERROR(__xludf.DUMMYFUNCTION("GOOGLETRANSLATE(D3189)"),"根據 SKIMS 進行的研究，#克什米爾超過 50% 的人口患有精神疾病 http://t.co/sAF9MoSkSN #KashmirConflict")</f>
        <v>根據 SKIMS 進行的研究，#克什米爾超過 50% 的人口患有精神疾病 http://t.co/sAF9MoSkSN #KashmirConflict</v>
      </c>
      <c r="G3189" s="4" t="str">
        <f>IFERROR(__xludf.DUMMYFUNCTION("GOOGLETRANSLATE(B3189)"),"傷口")</f>
        <v>傷口</v>
      </c>
    </row>
    <row r="3190" ht="15.75" customHeight="1">
      <c r="A3190" s="4">
        <v>10657.0</v>
      </c>
      <c r="B3190" s="4" t="s">
        <v>4842</v>
      </c>
      <c r="C3190" s="4" t="s">
        <v>4848</v>
      </c>
      <c r="D3190" s="4" t="s">
        <v>4849</v>
      </c>
      <c r="E3190" s="4">
        <v>1.0</v>
      </c>
      <c r="F3190" s="4" t="str">
        <f>IFERROR(__xludf.DUMMYFUNCTION("GOOGLETRANSLATE(D3190)"),"歐文博士說費雷爾的十處槍傷中有四處「迅速致命」#KerrickTrial #TWCNewsCLT http://t.co/nNBEXhKlHr")</f>
        <v>歐文博士說費雷爾的十處槍傷中有四處「迅速致命」#KerrickTrial #TWCNewsCLT http://t.co/nNBEXhKlHr</v>
      </c>
      <c r="G3190" s="4" t="str">
        <f>IFERROR(__xludf.DUMMYFUNCTION("GOOGLETRANSLATE(B3190)"),"傷口")</f>
        <v>傷口</v>
      </c>
    </row>
    <row r="3191" ht="15.75" customHeight="1">
      <c r="A3191" s="4">
        <v>10667.0</v>
      </c>
      <c r="B3191" s="4" t="s">
        <v>4842</v>
      </c>
      <c r="D3191" s="4" t="s">
        <v>4850</v>
      </c>
      <c r="E3191" s="4">
        <v>1.0</v>
      </c>
      <c r="F3191" s="4" t="str">
        <f>IFERROR(__xludf.DUMMYFUNCTION("GOOGLETRANSLATE(D3191)"),"伍德勞恩槍擊 79 歲女子青少年 - 伍德勞恩 - http://t.co/nu3XXn55vS 芝加哥 http://t.co/XNGrfNQSx3")</f>
        <v>伍德勞恩槍擊 79 歲女子青少年 - 伍德勞恩 - http://t.co/nu3XXn55vS 芝加哥 http://t.co/XNGrfNQSx3</v>
      </c>
      <c r="G3191" s="4" t="str">
        <f>IFERROR(__xludf.DUMMYFUNCTION("GOOGLETRANSLATE(B3191)"),"傷口")</f>
        <v>傷口</v>
      </c>
    </row>
    <row r="3192" ht="15.75" customHeight="1">
      <c r="A3192" s="4">
        <v>10676.0</v>
      </c>
      <c r="B3192" s="4" t="s">
        <v>4842</v>
      </c>
      <c r="C3192" s="4" t="s">
        <v>4851</v>
      </c>
      <c r="D3192" s="4" t="s">
        <v>4852</v>
      </c>
      <c r="E3192" s="4">
        <v>1.0</v>
      </c>
      <c r="F3192" s="4" t="str">
        <f>IFERROR(__xludf.DUMMYFUNCTION("GOOGLETRANSLATE(D3192)"),"@IcyMagistrate ÛÓ她的上臂ÛÒ那些/該死的/冰柱射彈ÛÒ和腿上的各種其他傷口，這個女孩看起來更像是一個縮影ÛÓ")</f>
        <v>@IcyMagistrate ÛÓ她的上臂ÛÒ那些/該死的/冰柱射彈ÛÒ和腿上的各種其他傷口，這個女孩看起來更像是一個縮影ÛÓ</v>
      </c>
      <c r="G3192" s="4" t="str">
        <f>IFERROR(__xludf.DUMMYFUNCTION("GOOGLETRANSLATE(B3192)"),"傷口")</f>
        <v>傷口</v>
      </c>
    </row>
    <row r="3193" ht="15.75" customHeight="1">
      <c r="A3193" s="4">
        <v>10677.0</v>
      </c>
      <c r="B3193" s="4" t="s">
        <v>4842</v>
      </c>
      <c r="C3193" s="4" t="s">
        <v>4853</v>
      </c>
      <c r="D3193" s="4" t="s">
        <v>4854</v>
      </c>
      <c r="E3193" s="4">
        <v>1.0</v>
      </c>
      <c r="F3193" s="4" t="str">
        <f>IFERROR(__xludf.DUMMYFUNCTION("GOOGLETRANSLATE(D3193)"),"加薩走廊爆炸造成 4 人受傷 30 人受傷；原因未知 http://t.co/GopSiCP8bm 來自 @Reuters")</f>
        <v>加薩走廊爆炸造成 4 人受傷 30 人受傷；原因未知 http://t.co/GopSiCP8bm 來自 @Reuters</v>
      </c>
      <c r="G3193" s="4" t="str">
        <f>IFERROR(__xludf.DUMMYFUNCTION("GOOGLETRANSLATE(B3193)"),"傷口")</f>
        <v>傷口</v>
      </c>
    </row>
    <row r="3194" ht="15.75" customHeight="1">
      <c r="A3194" s="4">
        <v>10680.0</v>
      </c>
      <c r="B3194" s="4" t="s">
        <v>4842</v>
      </c>
      <c r="C3194" s="4" t="s">
        <v>4855</v>
      </c>
      <c r="D3194" s="4" t="s">
        <v>4856</v>
      </c>
      <c r="E3194" s="4">
        <v>1.0</v>
      </c>
      <c r="F3194" s="4" t="str">
        <f>IFERROR(__xludf.DUMMYFUNCTION("GOOGLETRANSLATE(D3194)"),"在我身上爬
這些傷口他們不會癒合")</f>
        <v>在我身上爬
這些傷口他們不會癒合</v>
      </c>
      <c r="G3194" s="4" t="str">
        <f>IFERROR(__xludf.DUMMYFUNCTION("GOOGLETRANSLATE(B3194)"),"傷口")</f>
        <v>傷口</v>
      </c>
    </row>
    <row r="3195" ht="15.75" customHeight="1">
      <c r="A3195" s="4">
        <v>10681.0</v>
      </c>
      <c r="B3195" s="4" t="s">
        <v>4842</v>
      </c>
      <c r="C3195" s="4" t="s">
        <v>1458</v>
      </c>
      <c r="D3195" s="4" t="s">
        <v>4857</v>
      </c>
      <c r="E3195" s="4">
        <v>1.0</v>
      </c>
      <c r="F3195" s="4" t="str">
        <f>IFERROR(__xludf.DUMMYFUNCTION("GOOGLETRANSLATE(D3195)"),"司機撞車撞以色列士兵受傷3：軍事：一名司機撞車撞一群以色列士兵…http://t.co/oBSZ45ybAJ")</f>
        <v>司機撞車撞以色列士兵受傷3：軍事：一名司機撞車撞一群以色列士兵…http://t.co/oBSZ45ybAJ</v>
      </c>
      <c r="G3195" s="4" t="str">
        <f>IFERROR(__xludf.DUMMYFUNCTION("GOOGLETRANSLATE(B3195)"),"傷口")</f>
        <v>傷口</v>
      </c>
    </row>
    <row r="3196" ht="15.75" customHeight="1">
      <c r="A3196" s="4">
        <v>10682.0</v>
      </c>
      <c r="B3196" s="4" t="s">
        <v>4842</v>
      </c>
      <c r="D3196" s="4" t="s">
        <v>4858</v>
      </c>
      <c r="E3196" s="4">
        <v>1.0</v>
      </c>
      <c r="F3196" s="4" t="str">
        <f>IFERROR(__xludf.DUMMYFUNCTION("GOOGLETRANSLATE(D3196)"),"悲傷 - 舊疤痕上的新傷口（2015 死亡金屬）http://t.co/L056yj2IOi http://t.co/uTMWMjiRty")</f>
        <v>悲傷 - 舊疤痕上的新傷口（2015 死亡金屬）http://t.co/L056yj2IOi http://t.co/uTMWMjiRty</v>
      </c>
      <c r="G3196" s="4" t="str">
        <f>IFERROR(__xludf.DUMMYFUNCTION("GOOGLETRANSLATE(B3196)"),"傷口")</f>
        <v>傷口</v>
      </c>
    </row>
    <row r="3197" ht="15.75" customHeight="1">
      <c r="A3197" s="4">
        <v>10686.0</v>
      </c>
      <c r="B3197" s="4" t="s">
        <v>4859</v>
      </c>
      <c r="D3197" s="4" t="s">
        <v>4860</v>
      </c>
      <c r="E3197" s="4">
        <v>1.0</v>
      </c>
      <c r="F3197" s="4" t="str">
        <f>IFERROR(__xludf.DUMMYFUNCTION("GOOGLETRANSLATE(D3197)"),"@Captainn_Morgan 車禍？？")</f>
        <v>@Captainn_Morgan 車禍？？</v>
      </c>
      <c r="G3197" s="4" t="str">
        <f>IFERROR(__xludf.DUMMYFUNCTION("GOOGLETRANSLATE(B3197)"),"破壞")</f>
        <v>破壞</v>
      </c>
    </row>
    <row r="3198" ht="15.75" customHeight="1">
      <c r="A3198" s="4">
        <v>10692.0</v>
      </c>
      <c r="B3198" s="4" t="s">
        <v>4859</v>
      </c>
      <c r="C3198" s="4" t="s">
        <v>4861</v>
      </c>
      <c r="D3198" s="4" t="s">
        <v>4862</v>
      </c>
      <c r="E3198" s="4">
        <v>1.0</v>
      </c>
      <c r="F3198" s="4" t="str">
        <f>IFERROR(__xludf.DUMMYFUNCTION("GOOGLETRANSLATE(D3198)"),"沃特敦公報所有者被控沉船事故 http://t.co/JHc2RT0V9F")</f>
        <v>沃特敦公報所有者被控沉船事故 http://t.co/JHc2RT0V9F</v>
      </c>
      <c r="G3198" s="4" t="str">
        <f>IFERROR(__xludf.DUMMYFUNCTION("GOOGLETRANSLATE(B3198)"),"破壞")</f>
        <v>破壞</v>
      </c>
    </row>
    <row r="3199" ht="15.75" customHeight="1">
      <c r="A3199" s="4">
        <v>10702.0</v>
      </c>
      <c r="B3199" s="4" t="s">
        <v>4859</v>
      </c>
      <c r="D3199" s="4" t="s">
        <v>4863</v>
      </c>
      <c r="E3199" s="4">
        <v>1.0</v>
      </c>
      <c r="F3199" s="4" t="str">
        <f>IFERROR(__xludf.DUMMYFUNCTION("GOOGLETRANSLATE(D3199)"),"日落男孩毀了我的床原創 1979 年美國 gimp 標籤乙烯基 7' 45 newave http://t.co/X0QLgwoyMT http://t.co/hQNx8qMeG3")</f>
        <v>日落男孩毀了我的床原創 1979 年美國 gimp 標籤乙烯基 7' 45 newave http://t.co/X0QLgwoyMT http://t.co/hQNx8qMeG3</v>
      </c>
      <c r="G3199" s="4" t="str">
        <f>IFERROR(__xludf.DUMMYFUNCTION("GOOGLETRANSLATE(B3199)"),"破壞")</f>
        <v>破壞</v>
      </c>
    </row>
    <row r="3200" ht="15.75" customHeight="1">
      <c r="A3200" s="4">
        <v>10711.0</v>
      </c>
      <c r="B3200" s="4" t="s">
        <v>4859</v>
      </c>
      <c r="C3200" s="4" t="s">
        <v>4864</v>
      </c>
      <c r="D3200" s="4" t="s">
        <v>4865</v>
      </c>
      <c r="E3200" s="4">
        <v>1.0</v>
      </c>
      <c r="F3200" s="4" t="str">
        <f>IFERROR(__xludf.DUMMYFUNCTION("GOOGLETRANSLATE(D3200)"),"@GeorgeFoster72 和埃德蒙·菲茨杰拉德號的沉船")</f>
        <v>@GeorgeFoster72 和埃德蒙·菲茨杰拉德號的沉船</v>
      </c>
      <c r="G3200" s="4" t="str">
        <f>IFERROR(__xludf.DUMMYFUNCTION("GOOGLETRANSLATE(B3200)"),"破壞")</f>
        <v>破壞</v>
      </c>
    </row>
    <row r="3201" ht="15.75" customHeight="1">
      <c r="A3201" s="4">
        <v>10715.0</v>
      </c>
      <c r="B3201" s="4" t="s">
        <v>4859</v>
      </c>
      <c r="D3201" s="4" t="s">
        <v>4866</v>
      </c>
      <c r="E3201" s="4">
        <v>1.0</v>
      </c>
      <c r="F3201" s="4" t="str">
        <f>IFERROR(__xludf.DUMMYFUNCTION("GOOGLETRANSLATE(D3201)"),"密西西比州戴維森伍德沃德大道北行道路堵塞造成的殘骸#shoaltraffic")</f>
        <v>密西西比州戴維森伍德沃德大道北行道路堵塞造成的殘骸#shoaltraffic</v>
      </c>
      <c r="G3201" s="4" t="str">
        <f>IFERROR(__xludf.DUMMYFUNCTION("GOOGLETRANSLATE(B3201)"),"破壞")</f>
        <v>破壞</v>
      </c>
    </row>
    <row r="3202" ht="15.75" customHeight="1">
      <c r="A3202" s="4">
        <v>10722.0</v>
      </c>
      <c r="B3202" s="4" t="s">
        <v>4859</v>
      </c>
      <c r="C3202" s="4" t="s">
        <v>4867</v>
      </c>
      <c r="D3202" s="4" t="s">
        <v>4868</v>
      </c>
      <c r="E3202" s="4">
        <v>1.0</v>
      </c>
      <c r="F3202" s="4" t="str">
        <f>IFERROR(__xludf.DUMMYFUNCTION("GOOGLETRANSLATE(D3202)"),"格里爾男子在海難中死亡 http://t.co/n2qZbMZuly")</f>
        <v>格里爾男子在海難中死亡 http://t.co/n2qZbMZuly</v>
      </c>
      <c r="G3202" s="4" t="str">
        <f>IFERROR(__xludf.DUMMYFUNCTION("GOOGLETRANSLATE(B3202)"),"破壞")</f>
        <v>破壞</v>
      </c>
    </row>
    <row r="3203" ht="15.75" customHeight="1">
      <c r="A3203" s="4">
        <v>10729.0</v>
      </c>
      <c r="B3203" s="4" t="s">
        <v>4859</v>
      </c>
      <c r="C3203" s="4" t="s">
        <v>4869</v>
      </c>
      <c r="D3203" s="4" t="s">
        <v>4870</v>
      </c>
      <c r="E3203" s="4">
        <v>1.0</v>
      </c>
      <c r="F3203" s="4" t="str">
        <f>IFERROR(__xludf.DUMMYFUNCTION("GOOGLETRANSLATE(D3203)"),"天啊，如果該隱死了，我就會情緒崩潰#emmerdale")</f>
        <v>天啊，如果該隱死了，我就會情緒崩潰#emmerdale</v>
      </c>
      <c r="G3203" s="4" t="str">
        <f>IFERROR(__xludf.DUMMYFUNCTION("GOOGLETRANSLATE(B3203)"),"破壞")</f>
        <v>破壞</v>
      </c>
    </row>
    <row r="3204" ht="15.75" customHeight="1">
      <c r="A3204" s="4">
        <v>10735.0</v>
      </c>
      <c r="B3204" s="4" t="s">
        <v>4871</v>
      </c>
      <c r="C3204" s="4" t="s">
        <v>323</v>
      </c>
      <c r="D3204" s="4" t="s">
        <v>4872</v>
      </c>
      <c r="E3204" s="4">
        <v>1.0</v>
      </c>
      <c r="F3204" s="4" t="str">
        <f>IFERROR(__xludf.DUMMYFUNCTION("GOOGLETRANSLATE(D3204)"),"「最終確認」殘骸來自 MH370：馬來西亞總理：調查人員和受害者家屬... http://t.co/SfAKQNveta")</f>
        <v>「最終確認」殘骸來自 MH370：馬來西亞總理：調查人員和受害者家屬... http://t.co/SfAKQNveta</v>
      </c>
      <c r="G3204" s="4" t="str">
        <f>IFERROR(__xludf.DUMMYFUNCTION("GOOGLETRANSLATE(B3204)"),"殘骸")</f>
        <v>殘骸</v>
      </c>
    </row>
    <row r="3205" ht="15.75" customHeight="1">
      <c r="A3205" s="4">
        <v>10736.0</v>
      </c>
      <c r="B3205" s="4" t="s">
        <v>4871</v>
      </c>
      <c r="C3205" s="4" t="s">
        <v>563</v>
      </c>
      <c r="D3205" s="4" t="s">
        <v>4873</v>
      </c>
      <c r="E3205" s="4">
        <v>1.0</v>
      </c>
      <c r="F3205" s="4" t="str">
        <f>IFERROR(__xludf.DUMMYFUNCTION("GOOGLETRANSLATE(D3205)"),"殘骸確認為失蹤的馬來西亞航空 MH370 航班的一部分 http://t.co/yoPeYPJkb2（VICE 新聞）")</f>
        <v>殘骸確認為失蹤的馬來西亞航空 MH370 航班的一部分 http://t.co/yoPeYPJkb2（VICE 新聞）</v>
      </c>
      <c r="G3205" s="4" t="str">
        <f>IFERROR(__xludf.DUMMYFUNCTION("GOOGLETRANSLATE(B3205)"),"殘骸")</f>
        <v>殘骸</v>
      </c>
    </row>
    <row r="3206" ht="15.75" customHeight="1">
      <c r="A3206" s="4">
        <v>10737.0</v>
      </c>
      <c r="B3206" s="4" t="s">
        <v>4871</v>
      </c>
      <c r="D3206" s="4" t="s">
        <v>4874</v>
      </c>
      <c r="E3206" s="4">
        <v>1.0</v>
      </c>
      <c r="F3206" s="4" t="str">
        <f>IFERROR(__xludf.DUMMYFUNCTION("GOOGLETRANSLATE(D3206)"),"「最終確認」殘骸來自 MH370：馬來西亞總理：調查人員和受害者家屬... http://t.co/gRh7zLK979")</f>
        <v>「最終確認」殘骸來自 MH370：馬來西亞總理：調查人員和受害者家屬... http://t.co/gRh7zLK979</v>
      </c>
      <c r="G3206" s="4" t="str">
        <f>IFERROR(__xludf.DUMMYFUNCTION("GOOGLETRANSLATE(B3206)"),"殘骸")</f>
        <v>殘骸</v>
      </c>
    </row>
    <row r="3207" ht="15.75" customHeight="1">
      <c r="A3207" s="4">
        <v>10739.0</v>
      </c>
      <c r="B3207" s="4" t="s">
        <v>4871</v>
      </c>
      <c r="C3207" s="4" t="s">
        <v>482</v>
      </c>
      <c r="D3207" s="4" t="s">
        <v>4875</v>
      </c>
      <c r="E3207" s="4">
        <v>1.0</v>
      </c>
      <c r="F3207" s="4" t="str">
        <f>IFERROR(__xludf.DUMMYFUNCTION("GOOGLETRANSLATE(D3207)"),"MH370 罹難者家屬對媒體首先得知殘骸確認感到憤怒 http://t.co/carMqiVkwU")</f>
        <v>MH370 罹難者家屬對媒體首先得知殘骸確認感到憤怒 http://t.co/carMqiVkwU</v>
      </c>
      <c r="G3207" s="4" t="str">
        <f>IFERROR(__xludf.DUMMYFUNCTION("GOOGLETRANSLATE(B3207)"),"殘骸")</f>
        <v>殘骸</v>
      </c>
    </row>
    <row r="3208" ht="15.75" customHeight="1">
      <c r="A3208" s="4">
        <v>10741.0</v>
      </c>
      <c r="B3208" s="4" t="s">
        <v>4871</v>
      </c>
      <c r="D3208" s="4" t="s">
        <v>4876</v>
      </c>
      <c r="E3208" s="4">
        <v>1.0</v>
      </c>
      <c r="F3208" s="4" t="str">
        <f>IFERROR(__xludf.DUMMYFUNCTION("GOOGLETRANSLATE(D3208)"),"「最終確認」殘骸來自 MH370：馬來西亞總理：調查人員和受害者家屬... http://t.co/cs8mYAunA4")</f>
        <v>「最終確認」殘骸來自 MH370：馬來西亞總理：調查人員和受害者家屬... http://t.co/cs8mYAunA4</v>
      </c>
      <c r="G3208" s="4" t="str">
        <f>IFERROR(__xludf.DUMMYFUNCTION("GOOGLETRANSLATE(B3208)"),"殘骸")</f>
        <v>殘骸</v>
      </c>
    </row>
    <row r="3209" ht="15.75" customHeight="1">
      <c r="A3209" s="4">
        <v>10743.0</v>
      </c>
      <c r="B3209" s="4" t="s">
        <v>4871</v>
      </c>
      <c r="C3209" s="4" t="s">
        <v>602</v>
      </c>
      <c r="D3209" s="4" t="s">
        <v>4877</v>
      </c>
      <c r="E3209" s="4">
        <v>1.0</v>
      </c>
      <c r="F3209" s="4" t="str">
        <f>IFERROR(__xludf.DUMMYFUNCTION("GOOGLETRANSLATE(D3209)"),"#澳洲#新聞； RT janeenorman：根據副總理 Û_ 的說法，「高機率」飛機殘骸來自#MH370 http://t.co/cdOHgnJmsT")</f>
        <v>#澳洲#新聞； RT janeenorman：根據副總理 Û_ 的說法，「高機率」飛機殘骸來自#MH370 http://t.co/cdOHgnJmsT</v>
      </c>
      <c r="G3209" s="4" t="str">
        <f>IFERROR(__xludf.DUMMYFUNCTION("GOOGLETRANSLATE(B3209)"),"殘骸")</f>
        <v>殘骸</v>
      </c>
    </row>
    <row r="3210" ht="15.75" customHeight="1">
      <c r="A3210" s="4">
        <v>10744.0</v>
      </c>
      <c r="B3210" s="4" t="s">
        <v>4871</v>
      </c>
      <c r="C3210" s="4" t="s">
        <v>323</v>
      </c>
      <c r="D3210" s="4" t="s">
        <v>4878</v>
      </c>
      <c r="E3210" s="4">
        <v>1.0</v>
      </c>
      <c r="F3210" s="4" t="str">
        <f>IFERROR(__xludf.DUMMYFUNCTION("GOOGLETRANSLATE(D3210)"),"「最終確認」殘骸來自 MH370：馬來西亞總理：調查人員和受害者家屬... http://t.co/v5Ogr3F5N9")</f>
        <v>「最終確認」殘骸來自 MH370：馬來西亞總理：調查人員和受害者家屬... http://t.co/v5Ogr3F5N9</v>
      </c>
      <c r="G3210" s="4" t="str">
        <f>IFERROR(__xludf.DUMMYFUNCTION("GOOGLETRANSLATE(B3210)"),"殘骸")</f>
        <v>殘骸</v>
      </c>
    </row>
    <row r="3211" ht="15.75" customHeight="1">
      <c r="A3211" s="4">
        <v>10745.0</v>
      </c>
      <c r="B3211" s="4" t="s">
        <v>4871</v>
      </c>
      <c r="C3211" s="4" t="s">
        <v>4879</v>
      </c>
      <c r="D3211" s="4" t="s">
        <v>4880</v>
      </c>
      <c r="E3211" s="4">
        <v>1.0</v>
      </c>
      <c r="F3211" s="4" t="str">
        <f>IFERROR(__xludf.DUMMYFUNCTION("GOOGLETRANSLATE(D3211)"),"「最終確認」殘骸來自 MH370：馬來西亞總理：調查人員和受害者家屬... http://t.co/4xB4ZwyhCt")</f>
        <v>「最終確認」殘骸來自 MH370：馬來西亞總理：調查人員和受害者家屬... http://t.co/4xB4ZwyhCt</v>
      </c>
      <c r="G3211" s="4" t="str">
        <f>IFERROR(__xludf.DUMMYFUNCTION("GOOGLETRANSLATE(B3211)"),"殘骸")</f>
        <v>殘骸</v>
      </c>
    </row>
    <row r="3212" ht="15.75" customHeight="1">
      <c r="A3212" s="4">
        <v>10746.0</v>
      </c>
      <c r="B3212" s="4" t="s">
        <v>4871</v>
      </c>
      <c r="D3212" s="4" t="s">
        <v>4881</v>
      </c>
      <c r="E3212" s="4">
        <v>1.0</v>
      </c>
      <c r="F3212" s="4" t="str">
        <f>IFERROR(__xludf.DUMMYFUNCTION("GOOGLETRANSLATE(D3212)"),"吉隆坡（路透社） - 上週被沖到印度洋島嶼海灘上的一塊機翼碎片是馬來西亞 A 號客機殘骸的一部分")</f>
        <v>吉隆坡（路透社） - 上週被沖到印度洋島嶼海灘上的一塊機翼碎片是馬來西亞 A 號客機殘骸的一部分</v>
      </c>
      <c r="G3212" s="4" t="str">
        <f>IFERROR(__xludf.DUMMYFUNCTION("GOOGLETRANSLATE(B3212)"),"殘骸")</f>
        <v>殘骸</v>
      </c>
    </row>
    <row r="3213" ht="15.75" customHeight="1">
      <c r="A3213" s="4">
        <v>10747.0</v>
      </c>
      <c r="B3213" s="4" t="s">
        <v>4871</v>
      </c>
      <c r="D3213" s="4" t="s">
        <v>4882</v>
      </c>
      <c r="E3213" s="4">
        <v>1.0</v>
      </c>
      <c r="F3213" s="4" t="str">
        <f>IFERROR(__xludf.DUMMYFUNCTION("GOOGLETRANSLATE(D3213)"),"#science 現在，一塊 MH370 航班殘骸已在魯尼島得到確認，是否有可能... http://t.co/uqva3dfbCA")</f>
        <v>#science 現在，一塊 MH370 航班殘骸已在魯尼島得到確認，是否有可能... http://t.co/uqva3dfbCA</v>
      </c>
      <c r="G3213" s="4" t="str">
        <f>IFERROR(__xludf.DUMMYFUNCTION("GOOGLETRANSLATE(B3213)"),"殘骸")</f>
        <v>殘骸</v>
      </c>
    </row>
    <row r="3214" ht="15.75" customHeight="1">
      <c r="A3214" s="4">
        <v>10748.0</v>
      </c>
      <c r="B3214" s="4" t="s">
        <v>4871</v>
      </c>
      <c r="C3214" s="4" t="s">
        <v>2093</v>
      </c>
      <c r="D3214" s="4" t="s">
        <v>4883</v>
      </c>
      <c r="E3214" s="4">
        <v>1.0</v>
      </c>
      <c r="F3214" s="4" t="str">
        <f>IFERROR(__xludf.DUMMYFUNCTION("GOOGLETRANSLATE(D3214)"),"馬來西亞總理確認殘骸屬於 MH370 http://t.co/kacrlpjC0l http://t.co/YjJbNTcaZY")</f>
        <v>馬來西亞總理確認殘骸屬於 MH370 http://t.co/kacrlpjC0l http://t.co/YjJbNTcaZY</v>
      </c>
      <c r="G3214" s="4" t="str">
        <f>IFERROR(__xludf.DUMMYFUNCTION("GOOGLETRANSLATE(B3214)"),"殘骸")</f>
        <v>殘骸</v>
      </c>
    </row>
    <row r="3215" ht="15.75" customHeight="1">
      <c r="A3215" s="4">
        <v>10749.0</v>
      </c>
      <c r="B3215" s="4" t="s">
        <v>4871</v>
      </c>
      <c r="D3215" s="4" t="s">
        <v>4884</v>
      </c>
      <c r="E3215" s="4">
        <v>1.0</v>
      </c>
      <c r="F3215" s="4" t="str">
        <f>IFERROR(__xludf.DUMMYFUNCTION("GOOGLETRANSLATE(D3215)"),"「最終確認」殘骸來自 MH370：馬來西亞總理：調查人員和受害者家屬... http://t.co/KfzvMXj9ST")</f>
        <v>「最終確認」殘骸來自 MH370：馬來西亞總理：調查人員和受害者家屬... http://t.co/KfzvMXj9ST</v>
      </c>
      <c r="G3215" s="4" t="str">
        <f>IFERROR(__xludf.DUMMYFUNCTION("GOOGLETRANSLATE(B3215)"),"殘骸")</f>
        <v>殘骸</v>
      </c>
    </row>
    <row r="3216" ht="15.75" customHeight="1">
      <c r="A3216" s="4">
        <v>10750.0</v>
      </c>
      <c r="B3216" s="4" t="s">
        <v>4871</v>
      </c>
      <c r="C3216" s="4" t="s">
        <v>1990</v>
      </c>
      <c r="D3216" s="4" t="s">
        <v>4885</v>
      </c>
      <c r="E3216" s="4">
        <v>1.0</v>
      </c>
      <c r="F3216" s="4" t="str">
        <f>IFERROR(__xludf.DUMMYFUNCTION("GOOGLETRANSLATE(D3216)"),"「最終確認」殘骸來自 MH370：馬來西亞總理：調查人員和受害者家屬... http://t.co/pTeVY815mt")</f>
        <v>「最終確認」殘骸來自 MH370：馬來西亞總理：調查人員和受害者家屬... http://t.co/pTeVY815mt</v>
      </c>
      <c r="G3216" s="4" t="str">
        <f>IFERROR(__xludf.DUMMYFUNCTION("GOOGLETRANSLATE(B3216)"),"殘骸")</f>
        <v>殘骸</v>
      </c>
    </row>
    <row r="3217" ht="15.75" customHeight="1">
      <c r="A3217" s="4">
        <v>10751.0</v>
      </c>
      <c r="B3217" s="4" t="s">
        <v>4871</v>
      </c>
      <c r="C3217" s="4" t="s">
        <v>4886</v>
      </c>
      <c r="D3217" s="4" t="s">
        <v>4887</v>
      </c>
      <c r="E3217" s="4">
        <v>1.0</v>
      </c>
      <c r="F3217" s="4" t="str">
        <f>IFERROR(__xludf.DUMMYFUNCTION("GOOGLETRANSLATE(D3217)"),"中央情報局陰謀！ *翻白眼* RT @ajabrown：MH370 罹難者的中國親屬稱留尼汪島殘骸是被安放的 http://t.co/wmNb5ITa5P")</f>
        <v>中央情報局陰謀！ *翻白眼* RT @ajabrown：MH370 罹難者的中國親屬稱留尼汪島殘骸是被安放的 http://t.co/wmNb5ITa5P</v>
      </c>
      <c r="G3217" s="4" t="str">
        <f>IFERROR(__xludf.DUMMYFUNCTION("GOOGLETRANSLATE(B3217)"),"殘骸")</f>
        <v>殘骸</v>
      </c>
    </row>
    <row r="3218" ht="15.75" customHeight="1">
      <c r="A3218" s="4">
        <v>10752.0</v>
      </c>
      <c r="B3218" s="4" t="s">
        <v>4871</v>
      </c>
      <c r="C3218" s="4" t="s">
        <v>323</v>
      </c>
      <c r="D3218" s="4" t="s">
        <v>4888</v>
      </c>
      <c r="E3218" s="4">
        <v>1.0</v>
      </c>
      <c r="F3218" s="4" t="str">
        <f>IFERROR(__xludf.DUMMYFUNCTION("GOOGLETRANSLATE(D3218)"),"「最終確認」殘骸來自 MH370：馬來西亞總理：調查人員和受害者家屬... http://t.co/4sf0rgn8Wo")</f>
        <v>「最終確認」殘骸來自 MH370：馬來西亞總理：調查人員和受害者家屬... http://t.co/4sf0rgn8Wo</v>
      </c>
      <c r="G3218" s="4" t="str">
        <f>IFERROR(__xludf.DUMMYFUNCTION("GOOGLETRANSLATE(B3218)"),"殘骸")</f>
        <v>殘骸</v>
      </c>
    </row>
    <row r="3219" ht="15.75" customHeight="1">
      <c r="A3219" s="4">
        <v>10753.0</v>
      </c>
      <c r="B3219" s="4" t="s">
        <v>4871</v>
      </c>
      <c r="C3219" s="4" t="s">
        <v>323</v>
      </c>
      <c r="D3219" s="4" t="s">
        <v>4889</v>
      </c>
      <c r="E3219" s="4">
        <v>1.0</v>
      </c>
      <c r="F3219" s="4" t="str">
        <f>IFERROR(__xludf.DUMMYFUNCTION("GOOGLETRANSLATE(D3219)"),"「最終確認」殘骸來自 MH370：馬來西亞總理：調查人員和受害者家屬... http://t.co/leDmVEZCoL")</f>
        <v>「最終確認」殘骸來自 MH370：馬來西亞總理：調查人員和受害者家屬... http://t.co/leDmVEZCoL</v>
      </c>
      <c r="G3219" s="4" t="str">
        <f>IFERROR(__xludf.DUMMYFUNCTION("GOOGLETRANSLATE(B3219)"),"殘骸")</f>
        <v>殘骸</v>
      </c>
    </row>
    <row r="3220" ht="15.75" customHeight="1">
      <c r="A3220" s="4">
        <v>10754.0</v>
      </c>
      <c r="B3220" s="4" t="s">
        <v>4871</v>
      </c>
      <c r="C3220" s="4" t="s">
        <v>4890</v>
      </c>
      <c r="D3220" s="4" t="s">
        <v>4891</v>
      </c>
      <c r="E3220" s="4">
        <v>1.0</v>
      </c>
      <c r="F3220" s="4" t="str">
        <f>IFERROR(__xludf.DUMMYFUNCTION("GOOGLETRANSLATE(D3220)"),"馬來西亞總理「最終確認」殘骸來自 MH370")</f>
        <v>馬來西亞總理「最終確認」殘骸來自 MH370</v>
      </c>
      <c r="G3220" s="4" t="str">
        <f>IFERROR(__xludf.DUMMYFUNCTION("GOOGLETRANSLATE(B3220)"),"殘骸")</f>
        <v>殘骸</v>
      </c>
    </row>
    <row r="3221" ht="15.75" customHeight="1">
      <c r="A3221" s="4">
        <v>10755.0</v>
      </c>
      <c r="B3221" s="4" t="s">
        <v>4871</v>
      </c>
      <c r="D3221" s="4" t="s">
        <v>4892</v>
      </c>
      <c r="E3221" s="4">
        <v>1.0</v>
      </c>
      <c r="F3221" s="4" t="str">
        <f>IFERROR(__xludf.DUMMYFUNCTION("GOOGLETRANSLATE(D3221)"),"相關新聞：
馬來西亞總理稱發現的飛機殘骸是失蹤的MH370的一部分？
 - 世界 - BuzzFeed | http://t.co/qSiPL1C9Fa")</f>
        <v>相關新聞：
馬來西亞總理稱發現的飛機殘骸是失蹤的MH370的一部分？
 - 世界 - BuzzFeed | http://t.co/qSiPL1C9Fa</v>
      </c>
      <c r="G3221" s="4" t="str">
        <f>IFERROR(__xludf.DUMMYFUNCTION("GOOGLETRANSLATE(B3221)"),"殘骸")</f>
        <v>殘骸</v>
      </c>
    </row>
    <row r="3222" ht="15.75" customHeight="1">
      <c r="A3222" s="4">
        <v>10759.0</v>
      </c>
      <c r="B3222" s="4" t="s">
        <v>4871</v>
      </c>
      <c r="C3222" s="4" t="s">
        <v>2347</v>
      </c>
      <c r="D3222" s="4" t="s">
        <v>4893</v>
      </c>
      <c r="E3222" s="4">
        <v>1.0</v>
      </c>
      <c r="F3222" s="4" t="str">
        <f>IFERROR(__xludf.DUMMYFUNCTION("GOOGLETRANSLATE(D3222)"),"馬來西亞總理稱留尼旺島殘骸來自 MH370：http://t.co/bpTZAMjl2K via @slate")</f>
        <v>馬來西亞總理稱留尼旺島殘骸來自 MH370：http://t.co/bpTZAMjl2K via @slate</v>
      </c>
      <c r="G3222" s="4" t="str">
        <f>IFERROR(__xludf.DUMMYFUNCTION("GOOGLETRANSLATE(B3222)"),"殘骸")</f>
        <v>殘骸</v>
      </c>
    </row>
    <row r="3223" ht="15.75" customHeight="1">
      <c r="A3223" s="4">
        <v>10760.0</v>
      </c>
      <c r="B3223" s="4" t="s">
        <v>4871</v>
      </c>
      <c r="D3223" s="4" t="s">
        <v>4894</v>
      </c>
      <c r="E3223" s="4">
        <v>1.0</v>
      </c>
      <c r="F3223" s="4" t="str">
        <f>IFERROR(__xludf.DUMMYFUNCTION("GOOGLETRANSLATE(D3223)"),"「最終確認」殘骸來自 MH370：馬來西亞總理：調查人員和受害者家屬... http://t.co/LjylxZ1fBi")</f>
        <v>「最終確認」殘骸來自 MH370：馬來西亞總理：調查人員和受害者家屬... http://t.co/LjylxZ1fBi</v>
      </c>
      <c r="G3223" s="4" t="str">
        <f>IFERROR(__xludf.DUMMYFUNCTION("GOOGLETRANSLATE(B3223)"),"殘骸")</f>
        <v>殘骸</v>
      </c>
    </row>
    <row r="3224" ht="15.75" customHeight="1">
      <c r="A3224" s="4">
        <v>10763.0</v>
      </c>
      <c r="B3224" s="4" t="s">
        <v>4871</v>
      </c>
      <c r="D3224" s="4" t="s">
        <v>4895</v>
      </c>
      <c r="E3224" s="4">
        <v>1.0</v>
      </c>
      <c r="F3224" s="4" t="str">
        <f>IFERROR(__xludf.DUMMYFUNCTION("GOOGLETRANSLATE(D3224)"),"首架失蹤的波音 777 飛機的第一塊殘骸於 3 月初與機上 239 名乘客一起消失。")</f>
        <v>首架失蹤的波音 777 飛機的第一塊殘骸於 3 月初與機上 239 名乘客一起消失。</v>
      </c>
      <c r="G3224" s="4" t="str">
        <f>IFERROR(__xludf.DUMMYFUNCTION("GOOGLETRANSLATE(B3224)"),"殘骸")</f>
        <v>殘骸</v>
      </c>
    </row>
    <row r="3225" ht="15.75" customHeight="1">
      <c r="A3225" s="4">
        <v>10764.0</v>
      </c>
      <c r="B3225" s="4" t="s">
        <v>4871</v>
      </c>
      <c r="C3225" s="4" t="s">
        <v>4896</v>
      </c>
      <c r="D3225" s="4" t="s">
        <v>4897</v>
      </c>
      <c r="E3225" s="4">
        <v>1.0</v>
      </c>
      <c r="F3225" s="4" t="str">
        <f>IFERROR(__xludf.DUMMYFUNCTION("GOOGLETRANSLATE(D3225)"),"「最終確認」殘骸來自 MH370：馬來西亞總理：調查人員和受害者家屬... http://t.co/VAZpG0ftmU")</f>
        <v>「最終確認」殘骸來自 MH370：馬來西亞總理：調查人員和受害者家屬... http://t.co/VAZpG0ftmU</v>
      </c>
      <c r="G3225" s="4" t="str">
        <f>IFERROR(__xludf.DUMMYFUNCTION("GOOGLETRANSLATE(B3225)"),"殘骸")</f>
        <v>殘骸</v>
      </c>
    </row>
    <row r="3226" ht="15.75" customHeight="1">
      <c r="A3226" s="4">
        <v>10765.0</v>
      </c>
      <c r="B3226" s="4" t="s">
        <v>4871</v>
      </c>
      <c r="C3226" s="4" t="s">
        <v>400</v>
      </c>
      <c r="D3226" s="4" t="s">
        <v>4898</v>
      </c>
      <c r="E3226" s="4">
        <v>1.0</v>
      </c>
      <c r="F3226" s="4" t="str">
        <f>IFERROR(__xludf.DUMMYFUNCTION("GOOGLETRANSLATE(D3226)"),"#science 現在，一塊 MH370 航班殘骸已在魯尼島得到確認，是否有可能... http://t.co/qNVXJ2pAlJ")</f>
        <v>#science 現在，一塊 MH370 航班殘骸已在魯尼島得到確認，是否有可能... http://t.co/qNVXJ2pAlJ</v>
      </c>
      <c r="G3226" s="4" t="str">
        <f>IFERROR(__xludf.DUMMYFUNCTION("GOOGLETRANSLATE(B3226)"),"殘骸")</f>
        <v>殘骸</v>
      </c>
    </row>
    <row r="3227" ht="15.75" customHeight="1">
      <c r="A3227" s="4">
        <v>10766.0</v>
      </c>
      <c r="B3227" s="4" t="s">
        <v>4871</v>
      </c>
      <c r="C3227" s="4" t="s">
        <v>323</v>
      </c>
      <c r="D3227" s="4" t="s">
        <v>4899</v>
      </c>
      <c r="E3227" s="4">
        <v>1.0</v>
      </c>
      <c r="F3227" s="4" t="str">
        <f>IFERROR(__xludf.DUMMYFUNCTION("GOOGLETRANSLATE(D3227)"),"「最終確認」殘骸來自 MH370：馬來西亞總理：調查人員和受害者家屬... http://t.co/DtFSWNJZIL")</f>
        <v>「最終確認」殘骸來自 MH370：馬來西亞總理：調查人員和受害者家屬... http://t.co/DtFSWNJZIL</v>
      </c>
      <c r="G3227" s="4" t="str">
        <f>IFERROR(__xludf.DUMMYFUNCTION("GOOGLETRANSLATE(B3227)"),"殘骸")</f>
        <v>殘骸</v>
      </c>
    </row>
    <row r="3228" ht="15.75" customHeight="1">
      <c r="A3228" s="4">
        <v>10767.0</v>
      </c>
      <c r="B3228" s="4" t="s">
        <v>4871</v>
      </c>
      <c r="C3228" s="4" t="s">
        <v>4900</v>
      </c>
      <c r="D3228" s="4" t="s">
        <v>4901</v>
      </c>
      <c r="E3228" s="4">
        <v>1.0</v>
      </c>
      <c r="F3228" s="4" t="str">
        <f>IFERROR(__xludf.DUMMYFUNCTION("GOOGLETRANSLATE(D3228)"),"「最終確認」殘骸來自 MH370：馬來西亞總理：調查人員和遇難者家屬... http://t.co/EdEKrmqTpQ")</f>
        <v>「最終確認」殘骸來自 MH370：馬來西亞總理：調查人員和遇難者家屬... http://t.co/EdEKrmqTpQ</v>
      </c>
      <c r="G3228" s="4" t="str">
        <f>IFERROR(__xludf.DUMMYFUNCTION("GOOGLETRANSLATE(B3228)"),"殘骸")</f>
        <v>殘骸</v>
      </c>
    </row>
    <row r="3229" ht="15.75" customHeight="1">
      <c r="A3229" s="4">
        <v>10768.0</v>
      </c>
      <c r="B3229" s="4" t="s">
        <v>4871</v>
      </c>
      <c r="D3229" s="4" t="s">
        <v>4902</v>
      </c>
      <c r="E3229" s="4">
        <v>1.0</v>
      </c>
      <c r="F3229" s="4" t="str">
        <f>IFERROR(__xludf.DUMMYFUNCTION("GOOGLETRANSLATE(D3229)"),"殘骸是MH370：納吉
http://t.co/iidKC0jSBx #MH370 #najibrazak #MalaysiaAirlines")</f>
        <v>殘骸是MH370：納吉
http://t.co/iidKC0jSBx #MH370 #najibrazak #MalaysiaAirlines</v>
      </c>
      <c r="G3229" s="4" t="str">
        <f>IFERROR(__xludf.DUMMYFUNCTION("GOOGLETRANSLATE(B3229)"),"殘骸")</f>
        <v>殘骸</v>
      </c>
    </row>
    <row r="3230" ht="15.75" customHeight="1">
      <c r="A3230" s="4">
        <v>10769.0</v>
      </c>
      <c r="B3230" s="4" t="s">
        <v>4871</v>
      </c>
      <c r="C3230" s="4" t="s">
        <v>4903</v>
      </c>
      <c r="D3230" s="4" t="s">
        <v>4904</v>
      </c>
      <c r="E3230" s="4">
        <v>1.0</v>
      </c>
      <c r="F3230" s="4" t="str">
        <f>IFERROR(__xludf.DUMMYFUNCTION("GOOGLETRANSLATE(D3230)"),"請參閱「馬來西亞確認飛機殘骸來自 MH370 航班」：http://t.co/UB3woZ2UT1")</f>
        <v>請參閱「馬來西亞確認飛機殘骸來自 MH370 航班」：http://t.co/UB3woZ2UT1</v>
      </c>
      <c r="G3230" s="4" t="str">
        <f>IFERROR(__xludf.DUMMYFUNCTION("GOOGLETRANSLATE(B3230)"),"殘骸")</f>
        <v>殘骸</v>
      </c>
    </row>
    <row r="3231" ht="15.75" customHeight="1">
      <c r="A3231" s="4">
        <v>10770.0</v>
      </c>
      <c r="B3231" s="4" t="s">
        <v>4871</v>
      </c>
      <c r="C3231" s="4" t="s">
        <v>400</v>
      </c>
      <c r="D3231" s="4" t="s">
        <v>4905</v>
      </c>
      <c r="E3231" s="4">
        <v>1.0</v>
      </c>
      <c r="F3231" s="4" t="str">
        <f>IFERROR(__xludf.DUMMYFUNCTION("GOOGLETRANSLATE(D3231)"),"#science 現在，一塊 MH370 航班殘骸已在魯尼島得到確認，是否有可能... http://t.co/Z2vDGIyOwf")</f>
        <v>#science 現在，一塊 MH370 航班殘骸已在魯尼島得到確認，是否有可能... http://t.co/Z2vDGIyOwf</v>
      </c>
      <c r="G3231" s="4" t="str">
        <f>IFERROR(__xludf.DUMMYFUNCTION("GOOGLETRANSLATE(B3231)"),"殘骸")</f>
        <v>殘骸</v>
      </c>
    </row>
    <row r="3232" ht="15.75" customHeight="1">
      <c r="A3232" s="4">
        <v>10771.0</v>
      </c>
      <c r="B3232" s="4" t="s">
        <v>4871</v>
      </c>
      <c r="C3232" s="4" t="s">
        <v>323</v>
      </c>
      <c r="D3232" s="4" t="s">
        <v>4891</v>
      </c>
      <c r="E3232" s="4">
        <v>1.0</v>
      </c>
      <c r="F3232" s="4" t="str">
        <f>IFERROR(__xludf.DUMMYFUNCTION("GOOGLETRANSLATE(D3232)"),"馬來西亞總理「最終確認」殘骸來自 MH370")</f>
        <v>馬來西亞總理「最終確認」殘骸來自 MH370</v>
      </c>
      <c r="G3232" s="4" t="str">
        <f>IFERROR(__xludf.DUMMYFUNCTION("GOOGLETRANSLATE(B3232)"),"殘骸")</f>
        <v>殘骸</v>
      </c>
    </row>
    <row r="3233" ht="15.75" customHeight="1">
      <c r="A3233" s="4">
        <v>10772.0</v>
      </c>
      <c r="B3233" s="4" t="s">
        <v>4871</v>
      </c>
      <c r="C3233" s="4" t="s">
        <v>323</v>
      </c>
      <c r="D3233" s="4" t="s">
        <v>4906</v>
      </c>
      <c r="E3233" s="4">
        <v>1.0</v>
      </c>
      <c r="F3233" s="4" t="str">
        <f>IFERROR(__xludf.DUMMYFUNCTION("GOOGLETRANSLATE(D3233)"),"「最終確認」殘骸來自 MH370：馬來西亞總理：調查人員和受害者家屬... http://t.co/2Jr3Yo55dr")</f>
        <v>「最終確認」殘骸來自 MH370：馬來西亞總理：調查人員和受害者家屬... http://t.co/2Jr3Yo55dr</v>
      </c>
      <c r="G3233" s="4" t="str">
        <f>IFERROR(__xludf.DUMMYFUNCTION("GOOGLETRANSLATE(B3233)"),"殘骸")</f>
        <v>殘骸</v>
      </c>
    </row>
    <row r="3234" ht="15.75" customHeight="1">
      <c r="A3234" s="4">
        <v>10774.0</v>
      </c>
      <c r="B3234" s="4" t="s">
        <v>4871</v>
      </c>
      <c r="D3234" s="4" t="s">
        <v>4907</v>
      </c>
      <c r="E3234" s="4">
        <v>1.0</v>
      </c>
      <c r="F3234" s="4" t="str">
        <f>IFERROR(__xludf.DUMMYFUNCTION("GOOGLETRANSLATE(D3234)"),"「最終確認」來自 MH370 的殘骸：馬來西亞總理 http://t.co/Rp2DxFKHDQ | https://t.co/akmIHLRIs1")</f>
        <v>「最終確認」來自 MH370 的殘骸：馬來西亞總理 http://t.co/Rp2DxFKHDQ | https://t.co/akmIHLRIs1</v>
      </c>
      <c r="G3234" s="4" t="str">
        <f>IFERROR(__xludf.DUMMYFUNCTION("GOOGLETRANSLATE(B3234)"),"殘骸")</f>
        <v>殘骸</v>
      </c>
    </row>
    <row r="3235" ht="15.75" customHeight="1">
      <c r="A3235" s="4">
        <v>10775.0</v>
      </c>
      <c r="B3235" s="4" t="s">
        <v>4871</v>
      </c>
      <c r="C3235" s="4" t="s">
        <v>323</v>
      </c>
      <c r="D3235" s="4" t="s">
        <v>4908</v>
      </c>
      <c r="E3235" s="4">
        <v>1.0</v>
      </c>
      <c r="F3235" s="4" t="str">
        <f>IFERROR(__xludf.DUMMYFUNCTION("GOOGLETRANSLATE(D3235)"),"「最終確認」殘骸來自 MH370：馬來西亞總理：調查人員和受害者家屬... http://t.co/KuKmAL605a")</f>
        <v>「最終確認」殘骸來自 MH370：馬來西亞總理：調查人員和受害者家屬... http://t.co/KuKmAL605a</v>
      </c>
      <c r="G3235" s="4" t="str">
        <f>IFERROR(__xludf.DUMMYFUNCTION("GOOGLETRANSLATE(B3235)"),"殘骸")</f>
        <v>殘骸</v>
      </c>
    </row>
    <row r="3236" ht="15.75" customHeight="1">
      <c r="A3236" s="4">
        <v>10776.0</v>
      </c>
      <c r="B3236" s="4" t="s">
        <v>4871</v>
      </c>
      <c r="C3236" s="4" t="s">
        <v>34</v>
      </c>
      <c r="D3236" s="4" t="s">
        <v>4891</v>
      </c>
      <c r="E3236" s="4">
        <v>1.0</v>
      </c>
      <c r="F3236" s="4" t="str">
        <f>IFERROR(__xludf.DUMMYFUNCTION("GOOGLETRANSLATE(D3236)"),"馬來西亞總理「最終確認」殘骸來自 MH370")</f>
        <v>馬來西亞總理「最終確認」殘骸來自 MH370</v>
      </c>
      <c r="G3236" s="4" t="str">
        <f>IFERROR(__xludf.DUMMYFUNCTION("GOOGLETRANSLATE(B3236)"),"殘骸")</f>
        <v>殘骸</v>
      </c>
    </row>
    <row r="3237" ht="15.75" customHeight="1">
      <c r="A3237" s="4">
        <v>10777.0</v>
      </c>
      <c r="B3237" s="4" t="s">
        <v>4871</v>
      </c>
      <c r="D3237" s="4" t="s">
        <v>4909</v>
      </c>
      <c r="E3237" s="4">
        <v>1.0</v>
      </c>
      <c r="F3237" s="4" t="str">
        <f>IFERROR(__xludf.DUMMYFUNCTION("GOOGLETRANSLATE(D3237)"),"「最終確認」殘骸來自 MH370：馬來西亞總理：調查人員和受害者家屬... http://t.co/yi54XRHQGB")</f>
        <v>「最終確認」殘骸來自 MH370：馬來西亞總理：調查人員和受害者家屬... http://t.co/yi54XRHQGB</v>
      </c>
      <c r="G3237" s="4" t="str">
        <f>IFERROR(__xludf.DUMMYFUNCTION("GOOGLETRANSLATE(B3237)"),"殘骸")</f>
        <v>殘骸</v>
      </c>
    </row>
    <row r="3238" ht="15.75" customHeight="1">
      <c r="A3238" s="4">
        <v>10779.0</v>
      </c>
      <c r="B3238" s="4" t="s">
        <v>4871</v>
      </c>
      <c r="C3238" s="4" t="s">
        <v>4910</v>
      </c>
      <c r="D3238" s="4" t="s">
        <v>4911</v>
      </c>
      <c r="E3238" s="4">
        <v>1.0</v>
      </c>
      <c r="F3238" s="4" t="str">
        <f>IFERROR(__xludf.DUMMYFUNCTION("GOOGLETRANSLATE(D3238)"),"「最終確認」殘骸來自 MH370：馬來西亞總理：調查人員和受害者家屬... http://t.co/MSsq0sVnBM")</f>
        <v>「最終確認」殘骸來自 MH370：馬來西亞總理：調查人員和受害者家屬... http://t.co/MSsq0sVnBM</v>
      </c>
      <c r="G3238" s="4" t="str">
        <f>IFERROR(__xludf.DUMMYFUNCTION("GOOGLETRANSLATE(B3238)"),"殘骸")</f>
        <v>殘骸</v>
      </c>
    </row>
    <row r="3239" ht="15.75" customHeight="1">
      <c r="A3239" s="4">
        <v>10780.0</v>
      </c>
      <c r="B3239" s="4" t="s">
        <v>4871</v>
      </c>
      <c r="C3239" s="4" t="s">
        <v>323</v>
      </c>
      <c r="D3239" s="4" t="s">
        <v>4912</v>
      </c>
      <c r="E3239" s="4">
        <v>1.0</v>
      </c>
      <c r="F3239" s="4" t="str">
        <f>IFERROR(__xludf.DUMMYFUNCTION("GOOGLETRANSLATE(D3239)"),"「最終確認」殘骸來自 MH370：馬來西亞總理：調查人員和受害者家屬... http://t.co/nn6Y0fD3l0")</f>
        <v>「最終確認」殘骸來自 MH370：馬來西亞總理：調查人員和受害者家屬... http://t.co/nn6Y0fD3l0</v>
      </c>
      <c r="G3239" s="4" t="str">
        <f>IFERROR(__xludf.DUMMYFUNCTION("GOOGLETRANSLATE(B3239)"),"殘骸")</f>
        <v>殘骸</v>
      </c>
    </row>
    <row r="3240" ht="15.75" customHeight="1">
      <c r="A3240" s="4">
        <v>10782.0</v>
      </c>
      <c r="B3240" s="4" t="s">
        <v>4871</v>
      </c>
      <c r="C3240" s="4" t="s">
        <v>4913</v>
      </c>
      <c r="D3240" s="4" t="s">
        <v>4914</v>
      </c>
      <c r="E3240" s="4">
        <v>1.0</v>
      </c>
      <c r="F3240" s="4" t="str">
        <f>IFERROR(__xludf.DUMMYFUNCTION("GOOGLETRANSLATE(D3240)"),"「最終確認」殘骸來自 MH370：馬來西亞總理：調查人員和受害者家屬... http://t.co/1YIxFG1Hdy")</f>
        <v>「最終確認」殘骸來自 MH370：馬來西亞總理：調查人員和受害者家屬... http://t.co/1YIxFG1Hdy</v>
      </c>
      <c r="G3240" s="4" t="str">
        <f>IFERROR(__xludf.DUMMYFUNCTION("GOOGLETRANSLATE(B3240)"),"殘骸")</f>
        <v>殘骸</v>
      </c>
    </row>
    <row r="3241" ht="15.75" customHeight="1">
      <c r="A3241" s="4">
        <v>10783.0</v>
      </c>
      <c r="B3241" s="4" t="s">
        <v>4871</v>
      </c>
      <c r="C3241" s="4" t="s">
        <v>4915</v>
      </c>
      <c r="D3241" s="4" t="s">
        <v>4916</v>
      </c>
      <c r="E3241" s="4">
        <v>1.0</v>
      </c>
      <c r="F3241" s="4" t="str">
        <f>IFERROR(__xludf.DUMMYFUNCTION("GOOGLETRANSLATE(D3241)"),"透過 @YahooNewsDigest “最終確認”殘骸來自失踪的 MH370 航班")</f>
        <v>透過 @YahooNewsDigest “最終確認”殘骸來自失踪的 MH370 航班</v>
      </c>
      <c r="G3241" s="4" t="str">
        <f>IFERROR(__xludf.DUMMYFUNCTION("GOOGLETRANSLATE(B3241)"),"殘骸")</f>
        <v>殘骸</v>
      </c>
    </row>
    <row r="3242" ht="15.75" customHeight="1">
      <c r="A3242" s="4">
        <v>10784.0</v>
      </c>
      <c r="B3242" s="4" t="s">
        <v>4871</v>
      </c>
      <c r="C3242" s="4" t="s">
        <v>323</v>
      </c>
      <c r="D3242" s="4" t="s">
        <v>4917</v>
      </c>
      <c r="E3242" s="4">
        <v>1.0</v>
      </c>
      <c r="F3242" s="4" t="str">
        <f>IFERROR(__xludf.DUMMYFUNCTION("GOOGLETRANSLATE(D3242)"),"「最終確認」殘骸來自 MH370：馬來西亞總理：調查人員和受害者家屬... http://t.co/5EBpYbFH4D")</f>
        <v>「最終確認」殘骸來自 MH370：馬來西亞總理：調查人員和受害者家屬... http://t.co/5EBpYbFH4D</v>
      </c>
      <c r="G3242" s="4" t="str">
        <f>IFERROR(__xludf.DUMMYFUNCTION("GOOGLETRANSLATE(B3242)"),"殘骸")</f>
        <v>殘骸</v>
      </c>
    </row>
    <row r="3243" ht="15.75" customHeight="1">
      <c r="A3243" s="4">
        <v>10795.0</v>
      </c>
      <c r="B3243" s="4" t="s">
        <v>4918</v>
      </c>
      <c r="C3243" s="4" t="s">
        <v>4919</v>
      </c>
      <c r="D3243" s="4" t="s">
        <v>4920</v>
      </c>
      <c r="E3243" s="4">
        <v>1.0</v>
      </c>
      <c r="F3243" s="4" t="str">
        <f>IFERROR(__xludf.DUMMYFUNCTION("GOOGLETRANSLATE(D3243)"),"以色列毀了我的家。現在它想要我的土地。
https://t.co/g0r3ZR1nQj")</f>
        <v>以色列毀了我的家。現在它想要我的土地。
https://t.co/g0r3ZR1nQj</v>
      </c>
      <c r="G3243" s="4" t="str">
        <f>IFERROR(__xludf.DUMMYFUNCTION("GOOGLETRANSLATE(B3243)"),"失事的")</f>
        <v>失事的</v>
      </c>
    </row>
    <row r="3244" ht="15.75" customHeight="1">
      <c r="A3244" s="4">
        <v>10808.0</v>
      </c>
      <c r="B3244" s="4" t="s">
        <v>4918</v>
      </c>
      <c r="D3244" s="4" t="s">
        <v>4921</v>
      </c>
      <c r="E3244" s="4">
        <v>1.0</v>
      </c>
      <c r="F3244" s="4" t="str">
        <f>IFERROR(__xludf.DUMMYFUNCTION("GOOGLETRANSLATE(D3244)"),"30萬輛異國情調的汽車在火車事故中失事
http://t.co/J49xEuj7Ps")</f>
        <v>30萬輛異國情調的汽車在火車事故中失事
http://t.co/J49xEuj7Ps</v>
      </c>
      <c r="G3244" s="4" t="str">
        <f>IFERROR(__xludf.DUMMYFUNCTION("GOOGLETRANSLATE(B3244)"),"失事的")</f>
        <v>失事的</v>
      </c>
    </row>
    <row r="3245" ht="15.75" customHeight="1">
      <c r="A3245" s="4">
        <v>10823.0</v>
      </c>
      <c r="B3245" s="4" t="s">
        <v>4918</v>
      </c>
      <c r="C3245" s="4" t="s">
        <v>4922</v>
      </c>
      <c r="D3245" s="4" t="s">
        <v>4923</v>
      </c>
      <c r="E3245" s="4">
        <v>1.0</v>
      </c>
      <c r="F3245" s="4" t="str">
        <f>IFERROR(__xludf.DUMMYFUNCTION("GOOGLETRANSLATE(D3245)"),"@Kirafrog @mount_wario 你又失事了嗎？")</f>
        <v>@Kirafrog @mount_wario 你又失事了嗎？</v>
      </c>
      <c r="G3245" s="4" t="str">
        <f>IFERROR(__xludf.DUMMYFUNCTION("GOOGLETRANSLATE(B3245)"),"失事的")</f>
        <v>失事的</v>
      </c>
    </row>
    <row r="3246" ht="15.75" customHeight="1">
      <c r="A3246" s="4">
        <v>10835.0</v>
      </c>
      <c r="D3246" s="4" t="s">
        <v>4924</v>
      </c>
      <c r="E3246" s="4">
        <v>1.0</v>
      </c>
      <c r="F3246" s="4" t="str">
        <f>IFERROR(__xludf.DUMMYFUNCTION("GOOGLETRANSLATE(D3246)"),"16 歲庫德工人黨自殺式炸彈襲擊者在土耳其陸軍戰壕引爆炸彈的照片發布 http://t.co/aaWZXykLES http://t.co/RsMvgDxRiv")</f>
        <v>16 歲庫德工人黨自殺式炸彈襲擊者在土耳其陸軍戰壕引爆炸彈的照片發布 http://t.co/aaWZXykLES http://t.co/RsMvgDxRiv</v>
      </c>
      <c r="G3246" s="4" t="str">
        <f>IFERROR(__xludf.DUMMYFUNCTION("GOOGLETRANSLATE(B3246)"),"#VALUE!")</f>
        <v>#VALUE!</v>
      </c>
    </row>
    <row r="3247" ht="15.75" customHeight="1">
      <c r="A3247" s="4">
        <v>10839.0</v>
      </c>
      <c r="D3247" s="4" t="s">
        <v>4925</v>
      </c>
      <c r="E3247" s="4">
        <v>1.0</v>
      </c>
      <c r="F3247" s="4" t="str">
        <f>IFERROR(__xludf.DUMMYFUNCTION("GOOGLETRANSLATE(D3247)"),"卡加利警方因洪水封鎖卡加利道路。 http://t.co/RLN09WKe9g")</f>
        <v>卡加利警方因洪水封鎖卡加利道路。 http://t.co/RLN09WKe9g</v>
      </c>
      <c r="G3247" s="4" t="str">
        <f>IFERROR(__xludf.DUMMYFUNCTION("GOOGLETRANSLATE(B3247)"),"#VALUE!")</f>
        <v>#VALUE!</v>
      </c>
    </row>
    <row r="3248" ht="15.75" customHeight="1">
      <c r="A3248" s="4">
        <v>10840.0</v>
      </c>
      <c r="D3248" s="4" t="s">
        <v>4926</v>
      </c>
      <c r="E3248" s="4">
        <v>1.0</v>
      </c>
      <c r="F3248" s="4" t="str">
        <f>IFERROR(__xludf.DUMMYFUNCTION("GOOGLETRANSLATE(D3248)"),"#地震偵測#日本 15:41:07 地震強度 0 岩手宮城 JST #?? http://t.co/gMoUl9zQ2Q")</f>
        <v>#地震偵測#日本 15:41:07 地震強度 0 岩手宮城 JST #?? http://t.co/gMoUl9zQ2Q</v>
      </c>
      <c r="G3248" s="4" t="str">
        <f>IFERROR(__xludf.DUMMYFUNCTION("GOOGLETRANSLATE(B3248)"),"#VALUE!")</f>
        <v>#VALUE!</v>
      </c>
    </row>
    <row r="3249" ht="15.75" customHeight="1">
      <c r="A3249" s="4">
        <v>10842.0</v>
      </c>
      <c r="D3249" s="4" t="s">
        <v>4927</v>
      </c>
      <c r="E3249" s="4">
        <v>1.0</v>
      </c>
      <c r="F3249" s="4" t="str">
        <f>IFERROR(__xludf.DUMMYFUNCTION("GOOGLETRANSLATE(D3249)"),"突發新聞：#ISIS 聲稱對沙烏地阿拉伯清真寺攻擊負責，造成 13 人死亡 http://t.co/VZ640XOSwj http://t.co/m2HpnOAK8b")</f>
        <v>突發新聞：#ISIS 聲稱對沙烏地阿拉伯清真寺攻擊負責，造成 13 人死亡 http://t.co/VZ640XOSwj http://t.co/m2HpnOAK8b</v>
      </c>
      <c r="G3249" s="4" t="str">
        <f>IFERROR(__xludf.DUMMYFUNCTION("GOOGLETRANSLATE(B3249)"),"#VALUE!")</f>
        <v>#VALUE!</v>
      </c>
    </row>
    <row r="3250" ht="15.75" customHeight="1">
      <c r="A3250" s="4">
        <v>10843.0</v>
      </c>
      <c r="D3250" s="4" t="s">
        <v>4928</v>
      </c>
      <c r="E3250" s="4">
        <v>1.0</v>
      </c>
      <c r="F3250" s="4" t="str">
        <f>IFERROR(__xludf.DUMMYFUNCTION("GOOGLETRANSLATE(D3250)"),"天啊地震")</f>
        <v>天啊地震</v>
      </c>
      <c r="G3250" s="4" t="str">
        <f>IFERROR(__xludf.DUMMYFUNCTION("GOOGLETRANSLATE(B3250)"),"#VALUE!")</f>
        <v>#VALUE!</v>
      </c>
    </row>
    <row r="3251" ht="15.75" customHeight="1">
      <c r="A3251" s="4">
        <v>10844.0</v>
      </c>
      <c r="D3251" s="4" t="s">
        <v>4929</v>
      </c>
      <c r="E3251" s="4">
        <v>1.0</v>
      </c>
      <c r="F3251" s="4" t="str">
        <f>IFERROR(__xludf.DUMMYFUNCTION("GOOGLETRANSLATE(D3251)"),"惡劣天氣公告第 5 號：颱風 ÛÏ#HannaPHÛ (SOUDELOR) 熱帶氣旋：2006 年下午 5:00 發布警告... http://t.co/tHhjJw51PE Û_")</f>
        <v>惡劣天氣公告第 5 號：颱風 ÛÏ#HannaPHÛ (SOUDELOR) 熱帶氣旋：2006 年下午 5:00 發布警告... http://t.co/tHhjJw51PE Û_</v>
      </c>
      <c r="G3251" s="4" t="str">
        <f>IFERROR(__xludf.DUMMYFUNCTION("GOOGLETRANSLATE(B3251)"),"#VALUE!")</f>
        <v>#VALUE!</v>
      </c>
    </row>
    <row r="3252" ht="15.75" customHeight="1">
      <c r="A3252" s="4">
        <v>10846.0</v>
      </c>
      <c r="D3252" s="4" t="s">
        <v>4930</v>
      </c>
      <c r="E3252" s="4">
        <v>1.0</v>
      </c>
      <c r="F3252" s="4" t="str">
        <f>IFERROR(__xludf.DUMMYFUNCTION("GOOGLETRANSLATE(D3252)"),"熱浪警報aa？阿約德伊。正當我計劃一年後拜訪朋友時。")</f>
        <v>熱浪警報aa？阿約德伊。正當我計劃一年後拜訪朋友時。</v>
      </c>
      <c r="G3252" s="4" t="str">
        <f>IFERROR(__xludf.DUMMYFUNCTION("GOOGLETRANSLATE(B3252)"),"#VALUE!")</f>
        <v>#VALUE!</v>
      </c>
    </row>
    <row r="3253" ht="15.75" customHeight="1">
      <c r="A3253" s="4">
        <v>10847.0</v>
      </c>
      <c r="D3253" s="4" t="s">
        <v>4931</v>
      </c>
      <c r="E3253" s="4">
        <v>1.0</v>
      </c>
      <c r="F3253" s="4" t="str">
        <f>IFERROR(__xludf.DUMMYFUNCTION("GOOGLETRANSLATE(D3253)"),"一名「伊斯蘭國」組織自殺式炸彈襲擊者在沙烏地阿拉伯特種部隊總部內的一座清真寺內引爆了一件裝滿炸藥的背心，造成 15 人死亡。")</f>
        <v>一名「伊斯蘭國」組織自殺式炸彈襲擊者在沙烏地阿拉伯特種部隊總部內的一座清真寺內引爆了一件裝滿炸藥的背心，造成 15 人死亡。</v>
      </c>
      <c r="G3253" s="4" t="str">
        <f>IFERROR(__xludf.DUMMYFUNCTION("GOOGLETRANSLATE(B3253)"),"#VALUE!")</f>
        <v>#VALUE!</v>
      </c>
    </row>
    <row r="3254" ht="15.75" customHeight="1">
      <c r="A3254" s="4">
        <v>10849.0</v>
      </c>
      <c r="D3254" s="4" t="s">
        <v>4932</v>
      </c>
      <c r="E3254" s="4">
        <v>1.0</v>
      </c>
      <c r="F3254" s="4" t="str">
        <f>IFERROR(__xludf.DUMMYFUNCTION("GOOGLETRANSLATE(D3254)"),"一個煤氣東西剛剛爆炸，我聽到尖叫聲，現在整條街都充滿煤氣味......？")</f>
        <v>一個煤氣東西剛剛爆炸，我聽到尖叫聲，現在整條街都充滿煤氣味......？</v>
      </c>
      <c r="G3254" s="4" t="str">
        <f>IFERROR(__xludf.DUMMYFUNCTION("GOOGLETRANSLATE(B3254)"),"#VALUE!")</f>
        <v>#VALUE!</v>
      </c>
    </row>
    <row r="3255" ht="15.75" customHeight="1">
      <c r="A3255" s="4">
        <v>10850.0</v>
      </c>
      <c r="D3255" s="4" t="s">
        <v>4933</v>
      </c>
      <c r="E3255" s="4">
        <v>1.0</v>
      </c>
      <c r="F3255" s="4" t="str">
        <f>IFERROR(__xludf.DUMMYFUNCTION("GOOGLETRANSLATE(D3255)"),"NWS：謝爾比縣山洪預警持續至週三晚上 08:00。 http://t.co/nZ7ACKRrJi #tnwx")</f>
        <v>NWS：謝爾比縣山洪預警持續至週三晚上 08:00。 http://t.co/nZ7ACKRrJi #tnwx</v>
      </c>
      <c r="G3255" s="4" t="str">
        <f>IFERROR(__xludf.DUMMYFUNCTION("GOOGLETRANSLATE(B3255)"),"#VALUE!")</f>
        <v>#VALUE!</v>
      </c>
    </row>
    <row r="3256" ht="15.75" customHeight="1">
      <c r="A3256" s="4">
        <v>10851.0</v>
      </c>
      <c r="D3256" s="4" t="s">
        <v>4934</v>
      </c>
      <c r="E3256" s="4">
        <v>1.0</v>
      </c>
      <c r="F3256" s="4" t="str">
        <f>IFERROR(__xludf.DUMMYFUNCTION("GOOGLETRANSLATE(D3256)"),"RT @LivingSafely：#NWS 對#AR #NC #OK 的部分地區發出嚴重#雷暴警告。預計會有更多創傷案例：http://t.co/FWqfCKNCQW")</f>
        <v>RT @LivingSafely：#NWS 對#AR #NC #OK 的部分地區發出嚴重#雷暴警告。預計會有更多創傷案例：http://t.co/FWqfCKNCQW</v>
      </c>
      <c r="G3256" s="4" t="str">
        <f>IFERROR(__xludf.DUMMYFUNCTION("GOOGLETRANSLATE(B3256)"),"#VALUE!")</f>
        <v>#VALUE!</v>
      </c>
    </row>
    <row r="3257" ht="15.75" customHeight="1">
      <c r="A3257" s="4">
        <v>10852.0</v>
      </c>
      <c r="D3257" s="4" t="s">
        <v>4935</v>
      </c>
      <c r="E3257" s="4">
        <v>1.0</v>
      </c>
      <c r="F3257" s="4" t="str">
        <f>IFERROR(__xludf.DUMMYFUNCTION("GOOGLETRANSLATE(D3257)"),"#??? #?? #??? #??? MH370：留尼旺島發現的飛機殘骸來自失蹤的馬來西亞航空公司...... http://t.co/5B7qT2YxdA")</f>
        <v>#??? #?? #??? #??? MH370：留尼旺島發現的飛機殘骸來自失蹤的馬來西亞航空公司...... http://t.co/5B7qT2YxdA</v>
      </c>
      <c r="G3257" s="4" t="str">
        <f>IFERROR(__xludf.DUMMYFUNCTION("GOOGLETRANSLATE(B3257)"),"#VALUE!")</f>
        <v>#VALUE!</v>
      </c>
    </row>
    <row r="3258" ht="15.75" customHeight="1">
      <c r="A3258" s="4">
        <v>10853.0</v>
      </c>
      <c r="D3258" s="4" t="s">
        <v>4936</v>
      </c>
      <c r="E3258" s="4">
        <v>1.0</v>
      </c>
      <c r="F3258" s="4" t="str">
        <f>IFERROR(__xludf.DUMMYFUNCTION("GOOGLETRANSLATE(D3258)"),"三個孩子的父親超車並相撞後失去了對汽車的控制#BathAndNorthEastSomerset http://t.co/fa3FcnlN86")</f>
        <v>三個孩子的父親超車並相撞後失去了對汽車的控制#BathAndNorthEastSomerset http://t.co/fa3FcnlN86</v>
      </c>
      <c r="G3258" s="4" t="str">
        <f>IFERROR(__xludf.DUMMYFUNCTION("GOOGLETRANSLATE(B3258)"),"#VALUE!")</f>
        <v>#VALUE!</v>
      </c>
    </row>
    <row r="3259" ht="15.75" customHeight="1">
      <c r="A3259" s="4">
        <v>10854.0</v>
      </c>
      <c r="D3259" s="4" t="s">
        <v>4937</v>
      </c>
      <c r="E3259" s="4">
        <v>1.0</v>
      </c>
      <c r="F3259" s="4" t="str">
        <f>IFERROR(__xludf.DUMMYFUNCTION("GOOGLETRANSLATE(D3259)"),"1.3 #Earthquake in 9Km Ssw Of Anza California #iPhone 用戶下載 Earthquake 應用程式以取得更多資訊 http://t.co/V3aZWOAmzK")</f>
        <v>1.3 #Earthquake in 9Km Ssw Of Anza California #iPhone 用戶下載 Earthquake 應用程式以取得更多資訊 http://t.co/V3aZWOAmzK</v>
      </c>
      <c r="G3259" s="4" t="str">
        <f>IFERROR(__xludf.DUMMYFUNCTION("GOOGLETRANSLATE(B3259)"),"#VALUE!")</f>
        <v>#VALUE!</v>
      </c>
    </row>
    <row r="3260" ht="15.75" customHeight="1">
      <c r="A3260" s="4">
        <v>10855.0</v>
      </c>
      <c r="D3260" s="4" t="s">
        <v>2219</v>
      </c>
      <c r="E3260" s="4">
        <v>1.0</v>
      </c>
      <c r="F3260" s="4" t="str">
        <f>IFERROR(__xludf.DUMMYFUNCTION("GOOGLETRANSLATE(D3260)"),"羅斯福鎮解除疏散令：http://t.co/EDyfo6E2PU http://t.co/M5KxLPKFA1")</f>
        <v>羅斯福鎮解除疏散令：http://t.co/EDyfo6E2PU http://t.co/M5KxLPKFA1</v>
      </c>
      <c r="G3260" s="4" t="str">
        <f>IFERROR(__xludf.DUMMYFUNCTION("GOOGLETRANSLATE(B3260)"),"#VALUE!")</f>
        <v>#VALUE!</v>
      </c>
    </row>
    <row r="3261" ht="15.75" customHeight="1">
      <c r="A3261" s="4">
        <v>10859.0</v>
      </c>
      <c r="D3261" s="4" t="s">
        <v>4938</v>
      </c>
      <c r="E3261" s="4">
        <v>1.0</v>
      </c>
      <c r="F3261" s="4" t="str">
        <f>IFERROR(__xludf.DUMMYFUNCTION("GOOGLETRANSLATE(D3261)"),"#break #LA Refugio 漏油事件的代價可能比預計的更大 http://t.co/5ueCmcv2Pk")</f>
        <v>#break #LA Refugio 漏油事件的代價可能比預計的更大 http://t.co/5ueCmcv2Pk</v>
      </c>
      <c r="G3261" s="4" t="str">
        <f>IFERROR(__xludf.DUMMYFUNCTION("GOOGLETRANSLATE(B3261)"),"#VALUE!")</f>
        <v>#VALUE!</v>
      </c>
    </row>
    <row r="3262" ht="15.75" customHeight="1">
      <c r="A3262" s="4">
        <v>10860.0</v>
      </c>
      <c r="D3262" s="4" t="s">
        <v>4939</v>
      </c>
      <c r="E3262" s="4">
        <v>1.0</v>
      </c>
      <c r="F3262" s="4" t="str">
        <f>IFERROR(__xludf.DUMMYFUNCTION("GOOGLETRANSLATE(D3262)"),"警報器剛剛響起，這不是福尼龍捲風警告？")</f>
        <v>警報器剛剛響起，這不是福尼龍捲風警告？</v>
      </c>
      <c r="G3262" s="4" t="str">
        <f>IFERROR(__xludf.DUMMYFUNCTION("GOOGLETRANSLATE(B3262)"),"#VALUE!")</f>
        <v>#VALUE!</v>
      </c>
    </row>
    <row r="3263" ht="15.75" customHeight="1">
      <c r="A3263" s="4">
        <v>10862.0</v>
      </c>
      <c r="D3263" s="4" t="s">
        <v>4940</v>
      </c>
      <c r="E3263" s="4">
        <v>1.0</v>
      </c>
      <c r="F3263" s="4" t="str">
        <f>IFERROR(__xludf.DUMMYFUNCTION("GOOGLETRANSLATE(D3263)"),"官員稱，阿拉巴馬州一處疑似伊波拉病例出現症狀後，已對其進行隔離... http://t.co/rqKK15uhEY")</f>
        <v>官員稱，阿拉巴馬州一處疑似伊波拉病例出現症狀後，已對其進行隔離... http://t.co/rqKK15uhEY</v>
      </c>
      <c r="G3263" s="4" t="str">
        <f>IFERROR(__xludf.DUMMYFUNCTION("GOOGLETRANSLATE(B3263)"),"#VALUE!")</f>
        <v>#VALUE!</v>
      </c>
    </row>
    <row r="3264" ht="15.75" customHeight="1">
      <c r="A3264" s="4">
        <v>10863.0</v>
      </c>
      <c r="D3264" s="4" t="s">
        <v>4941</v>
      </c>
      <c r="E3264" s="4">
        <v>1.0</v>
      </c>
      <c r="F3264" s="4" t="str">
        <f>IFERROR(__xludf.DUMMYFUNCTION("GOOGLETRANSLATE(D3264)"),"#WorldNews G:link 電車上倒塌的電線：更新：消防人員已疏散多達 30 名被困的乘客... http://t.co/EYSVvzA7Qm")</f>
        <v>#WorldNews G:link 電車上倒塌的電線：更新：消防人員已疏散多達 30 名被困的乘客... http://t.co/EYSVvzA7Qm</v>
      </c>
      <c r="G3264" s="4" t="str">
        <f>IFERROR(__xludf.DUMMYFUNCTION("GOOGLETRANSLATE(B3264)"),"#VALUE!")</f>
        <v>#VALUE!</v>
      </c>
    </row>
    <row r="3265" ht="15.75" customHeight="1">
      <c r="A3265" s="4">
        <v>10864.0</v>
      </c>
      <c r="D3265" s="4" t="s">
        <v>4942</v>
      </c>
      <c r="E3265" s="4">
        <v>1.0</v>
      </c>
      <c r="F3265" s="4" t="str">
        <f>IFERROR(__xludf.DUMMYFUNCTION("GOOGLETRANSLATE(D3265)"),"另一方面，我在沃爾瑪，那裡有一枚炸彈，每個人都必須撤離，所以請繼續關注我是否爆炸")</f>
        <v>另一方面，我在沃爾瑪，那裡有一枚炸彈，每個人都必須撤離，所以請繼續關注我是否爆炸</v>
      </c>
      <c r="G3265" s="4" t="str">
        <f>IFERROR(__xludf.DUMMYFUNCTION("GOOGLETRANSLATE(B3265)"),"#VALUE!")</f>
        <v>#VALUE!</v>
      </c>
    </row>
    <row r="3266" ht="15.75" customHeight="1">
      <c r="A3266" s="4">
        <v>10866.0</v>
      </c>
      <c r="D3266" s="4" t="s">
        <v>4943</v>
      </c>
      <c r="E3266" s="4">
        <v>1.0</v>
      </c>
      <c r="F3266" s="4" t="str">
        <f>IFERROR(__xludf.DUMMYFUNCTION("GOOGLETRANSLATE(D3266)"),"自殺式炸彈襲擊者在沙烏地阿拉伯安全地點清真寺造成 15 人死亡 - 路透社透過 World - Google 新聞 - Wall ... http://t.co/nF4IculOje")</f>
        <v>自殺式炸彈襲擊者在沙烏地阿拉伯安全地點清真寺造成 15 人死亡 - 路透社透過 World - Google 新聞 - Wall ... http://t.co/nF4IculOje</v>
      </c>
      <c r="G3266" s="4" t="str">
        <f>IFERROR(__xludf.DUMMYFUNCTION("GOOGLETRANSLATE(B3266)"),"#VALUE!")</f>
        <v>#VALUE!</v>
      </c>
    </row>
    <row r="3267" ht="15.75" customHeight="1">
      <c r="A3267" s="4">
        <v>10867.0</v>
      </c>
      <c r="D3267" s="4" t="s">
        <v>4568</v>
      </c>
      <c r="E3267" s="4">
        <v>1.0</v>
      </c>
      <c r="F3267" s="4" t="str">
        <f>IFERROR(__xludf.DUMMYFUNCTION("GOOGLETRANSLATE(D3267)"),"#stormchase 打破暴力紀錄的 EF-5 俄克拉荷馬州埃爾裡諾龍捲風幾乎席捲... - http://t.co/3SICroAaNz http://t.co/I27Oa0HISp")</f>
        <v>#stormchase 打破暴力紀錄的 EF-5 俄克拉荷馬州埃爾裡諾龍捲風幾乎席捲... - http://t.co/3SICroAaNz http://t.co/I27Oa0HISp</v>
      </c>
      <c r="G3267" s="4" t="str">
        <f>IFERROR(__xludf.DUMMYFUNCTION("GOOGLETRANSLATE(B3267)"),"#VALUE!")</f>
        <v>#VALUE!</v>
      </c>
    </row>
    <row r="3268" ht="15.75" customHeight="1">
      <c r="A3268" s="4">
        <v>10869.0</v>
      </c>
      <c r="D3268" s="4" t="s">
        <v>4944</v>
      </c>
      <c r="E3268" s="4">
        <v>1.0</v>
      </c>
      <c r="F3268" s="4" t="str">
        <f>IFERROR(__xludf.DUMMYFUNCTION("GOOGLETRANSLATE(D3268)"),"兩台支撐橋樑的巨型起重機倒塌到附近的房屋 http://t.co/STfMbbZFB5")</f>
        <v>兩台支撐橋樑的巨型起重機倒塌到附近的房屋 http://t.co/STfMbbZFB5</v>
      </c>
      <c r="G3268" s="4" t="str">
        <f>IFERROR(__xludf.DUMMYFUNCTION("GOOGLETRANSLATE(B3268)"),"#VALUE!")</f>
        <v>#VALUE!</v>
      </c>
    </row>
    <row r="3269" ht="15.75" customHeight="1">
      <c r="A3269" s="4">
        <v>10870.0</v>
      </c>
      <c r="D3269" s="4" t="s">
        <v>4738</v>
      </c>
      <c r="E3269" s="4">
        <v>1.0</v>
      </c>
      <c r="F3269" s="4" t="str">
        <f>IFERROR(__xludf.DUMMYFUNCTION("GOOGLETRANSLATE(D3269)"),"@aria_ahrary @TheTawniest 加州的野火失控，甚至在該州北部也是如此。很麻煩。")</f>
        <v>@aria_ahrary @TheTawniest 加州的野火失控，甚至在該州北部也是如此。很麻煩。</v>
      </c>
      <c r="G3269" s="4" t="str">
        <f>IFERROR(__xludf.DUMMYFUNCTION("GOOGLETRANSLATE(B3269)"),"#VALUE!")</f>
        <v>#VALUE!</v>
      </c>
    </row>
    <row r="3270" ht="15.75" customHeight="1">
      <c r="A3270" s="4">
        <v>10871.0</v>
      </c>
      <c r="D3270" s="4" t="s">
        <v>4611</v>
      </c>
      <c r="E3270" s="4">
        <v>1.0</v>
      </c>
      <c r="F3270" s="4" t="str">
        <f>IFERROR(__xludf.DUMMYFUNCTION("GOOGLETRANSLATE(D3270)"),"M1.94 [01:04 UTC]？夏威夷火山以南 5 公里。 http://t.co/zToyd8EbJ")</f>
        <v>M1.94 [01:04 UTC]？夏威夷火山以南 5 公里。 http://t.co/zToyd8EbJ</v>
      </c>
      <c r="G3270" s="4" t="str">
        <f>IFERROR(__xludf.DUMMYFUNCTION("GOOGLETRANSLATE(B3270)"),"#VALUE!")</f>
        <v>#VALUE!</v>
      </c>
    </row>
    <row r="3271" ht="15.75" customHeight="1">
      <c r="A3271" s="4">
        <v>10872.0</v>
      </c>
      <c r="D3271" s="4" t="s">
        <v>1055</v>
      </c>
      <c r="E3271" s="4">
        <v>1.0</v>
      </c>
      <c r="F3271" s="4" t="str">
        <f>IFERROR(__xludf.DUMMYFUNCTION("GOOGLETRANSLATE(D3271)"),"在小葡萄牙，一輛電動自行車與一輛汽車相撞，警方正在進行調查。電動自行車騎士受重傷，沒有生命危險。")</f>
        <v>在小葡萄牙，一輛電動自行車與一輛汽車相撞，警方正在進行調查。電動自行車騎士受重傷，沒有生命危險。</v>
      </c>
      <c r="G3271" s="4" t="str">
        <f>IFERROR(__xludf.DUMMYFUNCTION("GOOGLETRANSLATE(B3271)"),"#VALUE!")</f>
        <v>#VALUE!</v>
      </c>
    </row>
    <row r="3272" ht="15.75" customHeight="1">
      <c r="A3272" s="4">
        <v>10873.0</v>
      </c>
      <c r="D3272" s="4" t="s">
        <v>4945</v>
      </c>
      <c r="E3272" s="4">
        <v>1.0</v>
      </c>
      <c r="F3272" s="4" t="str">
        <f>IFERROR(__xludf.DUMMYFUNCTION("GOOGLETRANSLATE(D3272)"),"最新消息：更多房屋被北加州野火夷為平地 - ABC 新聞 http://t.co/YmY4rSkQ3d")</f>
        <v>最新消息：更多房屋被北加州野火夷為平地 - ABC 新聞 http://t.co/YmY4rSkQ3d</v>
      </c>
      <c r="G3272" s="4" t="str">
        <f>IFERROR(__xludf.DUMMYFUNCTION("GOOGLETRANSLATE(B3272)"),"#VALUE!")</f>
        <v>#VALUE!</v>
      </c>
    </row>
    <row r="3273" ht="15.75" customHeight="1">
      <c r="A3273" s="4">
        <v>23.0</v>
      </c>
      <c r="D3273" s="4" t="s">
        <v>4946</v>
      </c>
      <c r="E3273" s="4">
        <v>0.0</v>
      </c>
      <c r="F3273" s="4" t="str">
        <f>IFERROR(__xludf.DUMMYFUNCTION("GOOGLETRANSLATE(D3273)"),"小伙子怎麼了？")</f>
        <v>小伙子怎麼了？</v>
      </c>
      <c r="G3273" s="4" t="str">
        <f>IFERROR(__xludf.DUMMYFUNCTION("GOOGLETRANSLATE(B3273)"),"#VALUE!")</f>
        <v>#VALUE!</v>
      </c>
    </row>
    <row r="3274" ht="15.75" customHeight="1">
      <c r="A3274" s="4">
        <v>24.0</v>
      </c>
      <c r="D3274" s="4" t="s">
        <v>4947</v>
      </c>
      <c r="E3274" s="4">
        <v>0.0</v>
      </c>
      <c r="F3274" s="4" t="str">
        <f>IFERROR(__xludf.DUMMYFUNCTION("GOOGLETRANSLATE(D3274)"),"我愛水果")</f>
        <v>我愛水果</v>
      </c>
      <c r="G3274" s="4" t="str">
        <f>IFERROR(__xludf.DUMMYFUNCTION("GOOGLETRANSLATE(B3274)"),"#VALUE!")</f>
        <v>#VALUE!</v>
      </c>
    </row>
    <row r="3275" ht="15.75" customHeight="1">
      <c r="A3275" s="4">
        <v>25.0</v>
      </c>
      <c r="D3275" s="4" t="s">
        <v>4948</v>
      </c>
      <c r="E3275" s="4">
        <v>0.0</v>
      </c>
      <c r="F3275" s="4" t="str">
        <f>IFERROR(__xludf.DUMMYFUNCTION("GOOGLETRANSLATE(D3275)"),"夏天很可愛")</f>
        <v>夏天很可愛</v>
      </c>
      <c r="G3275" s="4" t="str">
        <f>IFERROR(__xludf.DUMMYFUNCTION("GOOGLETRANSLATE(B3275)"),"#VALUE!")</f>
        <v>#VALUE!</v>
      </c>
    </row>
    <row r="3276" ht="15.75" customHeight="1">
      <c r="A3276" s="4">
        <v>26.0</v>
      </c>
      <c r="D3276" s="4" t="s">
        <v>4949</v>
      </c>
      <c r="E3276" s="4">
        <v>0.0</v>
      </c>
      <c r="F3276" s="4" t="str">
        <f>IFERROR(__xludf.DUMMYFUNCTION("GOOGLETRANSLATE(D3276)"),"我的車真快")</f>
        <v>我的車真快</v>
      </c>
      <c r="G3276" s="4" t="str">
        <f>IFERROR(__xludf.DUMMYFUNCTION("GOOGLETRANSLATE(B3276)"),"#VALUE!")</f>
        <v>#VALUE!</v>
      </c>
    </row>
    <row r="3277" ht="15.75" customHeight="1">
      <c r="A3277" s="4">
        <v>28.0</v>
      </c>
      <c r="D3277" s="4" t="s">
        <v>4950</v>
      </c>
      <c r="E3277" s="4">
        <v>0.0</v>
      </c>
      <c r="F3277" s="4" t="str">
        <f>IFERROR(__xludf.DUMMYFUNCTION("GOOGLETRANSLATE(D3277)"),"真是太好了啊啊啊啊啊！！！！！！")</f>
        <v>真是太好了啊啊啊啊啊！！！！！！</v>
      </c>
      <c r="G3277" s="4" t="str">
        <f>IFERROR(__xludf.DUMMYFUNCTION("GOOGLETRANSLATE(B3277)"),"#VALUE!")</f>
        <v>#VALUE!</v>
      </c>
    </row>
    <row r="3278" ht="15.75" customHeight="1">
      <c r="A3278" s="4">
        <v>31.0</v>
      </c>
      <c r="D3278" s="4" t="s">
        <v>4951</v>
      </c>
      <c r="E3278" s="4">
        <v>0.0</v>
      </c>
      <c r="F3278" s="4" t="str">
        <f>IFERROR(__xludf.DUMMYFUNCTION("GOOGLETRANSLATE(D3278)"),"這是荒唐的....")</f>
        <v>這是荒唐的....</v>
      </c>
      <c r="G3278" s="4" t="str">
        <f>IFERROR(__xludf.DUMMYFUNCTION("GOOGLETRANSLATE(B3278)"),"#VALUE!")</f>
        <v>#VALUE!</v>
      </c>
    </row>
    <row r="3279" ht="15.75" customHeight="1">
      <c r="A3279" s="4">
        <v>32.0</v>
      </c>
      <c r="D3279" s="4" t="s">
        <v>4952</v>
      </c>
      <c r="E3279" s="4">
        <v>0.0</v>
      </c>
      <c r="F3279" s="4" t="str">
        <f>IFERROR(__xludf.DUMMYFUNCTION("GOOGLETRANSLATE(D3279)"),"倫敦很酷；）")</f>
        <v>倫敦很酷；）</v>
      </c>
      <c r="G3279" s="4" t="str">
        <f>IFERROR(__xludf.DUMMYFUNCTION("GOOGLETRANSLATE(B3279)"),"#VALUE!")</f>
        <v>#VALUE!</v>
      </c>
    </row>
    <row r="3280" ht="15.75" customHeight="1">
      <c r="A3280" s="4">
        <v>33.0</v>
      </c>
      <c r="D3280" s="4" t="s">
        <v>4953</v>
      </c>
      <c r="E3280" s="4">
        <v>0.0</v>
      </c>
      <c r="F3280" s="4" t="str">
        <f>IFERROR(__xludf.DUMMYFUNCTION("GOOGLETRANSLATE(D3280)"),"熱愛滑雪")</f>
        <v>熱愛滑雪</v>
      </c>
      <c r="G3280" s="4" t="str">
        <f>IFERROR(__xludf.DUMMYFUNCTION("GOOGLETRANSLATE(B3280)"),"#VALUE!")</f>
        <v>#VALUE!</v>
      </c>
    </row>
    <row r="3281" ht="15.75" customHeight="1">
      <c r="A3281" s="4">
        <v>34.0</v>
      </c>
      <c r="D3281" s="4" t="s">
        <v>4954</v>
      </c>
      <c r="E3281" s="4">
        <v>0.0</v>
      </c>
      <c r="F3281" s="4" t="str">
        <f>IFERROR(__xludf.DUMMYFUNCTION("GOOGLETRANSLATE(D3281)"),"多麼美好的一天啊！")</f>
        <v>多麼美好的一天啊！</v>
      </c>
      <c r="G3281" s="4" t="str">
        <f>IFERROR(__xludf.DUMMYFUNCTION("GOOGLETRANSLATE(B3281)"),"#VALUE!")</f>
        <v>#VALUE!</v>
      </c>
    </row>
    <row r="3282" ht="15.75" customHeight="1">
      <c r="A3282" s="4">
        <v>36.0</v>
      </c>
      <c r="D3282" s="4" t="s">
        <v>4955</v>
      </c>
      <c r="E3282" s="4">
        <v>0.0</v>
      </c>
      <c r="F3282" s="4" t="str">
        <f>IFERROR(__xludf.DUMMYFUNCTION("GOOGLETRANSLATE(D3282)"),"酷酷")</f>
        <v>酷酷</v>
      </c>
      <c r="G3282" s="4" t="str">
        <f>IFERROR(__xludf.DUMMYFUNCTION("GOOGLETRANSLATE(B3282)"),"#VALUE!")</f>
        <v>#VALUE!</v>
      </c>
    </row>
    <row r="3283" ht="15.75" customHeight="1">
      <c r="A3283" s="4">
        <v>37.0</v>
      </c>
      <c r="D3283" s="4" t="s">
        <v>4956</v>
      </c>
      <c r="E3283" s="4">
        <v>0.0</v>
      </c>
      <c r="F3283" s="4" t="str">
        <f>IFERROR(__xludf.DUMMYFUNCTION("GOOGLETRANSLATE(D3283)"),"不行啊……我不能吃那個東西")</f>
        <v>不行啊……我不能吃那個東西</v>
      </c>
      <c r="G3283" s="4" t="str">
        <f>IFERROR(__xludf.DUMMYFUNCTION("GOOGLETRANSLATE(B3283)"),"#VALUE!")</f>
        <v>#VALUE!</v>
      </c>
    </row>
    <row r="3284" ht="15.75" customHeight="1">
      <c r="A3284" s="4">
        <v>38.0</v>
      </c>
      <c r="D3284" s="4" t="s">
        <v>4957</v>
      </c>
      <c r="E3284" s="4">
        <v>0.0</v>
      </c>
      <c r="F3284" s="4" t="str">
        <f>IFERROR(__xludf.DUMMYFUNCTION("GOOGLETRANSLATE(D3284)"),"上週在紐約！")</f>
        <v>上週在紐約！</v>
      </c>
      <c r="G3284" s="4" t="str">
        <f>IFERROR(__xludf.DUMMYFUNCTION("GOOGLETRANSLATE(B3284)"),"#VALUE!")</f>
        <v>#VALUE!</v>
      </c>
    </row>
    <row r="3285" ht="15.75" customHeight="1">
      <c r="A3285" s="4">
        <v>39.0</v>
      </c>
      <c r="D3285" s="4" t="s">
        <v>4958</v>
      </c>
      <c r="E3285" s="4">
        <v>0.0</v>
      </c>
      <c r="F3285" s="4" t="str">
        <f>IFERROR(__xludf.DUMMYFUNCTION("GOOGLETRANSLATE(D3285)"),"愛我的女朋友")</f>
        <v>愛我的女朋友</v>
      </c>
      <c r="G3285" s="4" t="str">
        <f>IFERROR(__xludf.DUMMYFUNCTION("GOOGLETRANSLATE(B3285)"),"#VALUE!")</f>
        <v>#VALUE!</v>
      </c>
    </row>
    <row r="3286" ht="15.75" customHeight="1">
      <c r="A3286" s="4">
        <v>40.0</v>
      </c>
      <c r="D3286" s="4" t="s">
        <v>4959</v>
      </c>
      <c r="E3286" s="4">
        <v>0.0</v>
      </c>
      <c r="F3286" s="4" t="str">
        <f>IFERROR(__xludf.DUMMYFUNCTION("GOOGLETRANSLATE(D3286)"),"酷酷:)")</f>
        <v>酷酷:)</v>
      </c>
      <c r="G3286" s="4" t="str">
        <f>IFERROR(__xludf.DUMMYFUNCTION("GOOGLETRANSLATE(B3286)"),"#VALUE!")</f>
        <v>#VALUE!</v>
      </c>
    </row>
    <row r="3287" ht="15.75" customHeight="1">
      <c r="A3287" s="4">
        <v>41.0</v>
      </c>
      <c r="D3287" s="4" t="s">
        <v>4960</v>
      </c>
      <c r="E3287" s="4">
        <v>0.0</v>
      </c>
      <c r="F3287" s="4" t="str">
        <f>IFERROR(__xludf.DUMMYFUNCTION("GOOGLETRANSLATE(D3287)"),"你喜歡麵食嗎？")</f>
        <v>你喜歡麵食嗎？</v>
      </c>
      <c r="G3287" s="4" t="str">
        <f>IFERROR(__xludf.DUMMYFUNCTION("GOOGLETRANSLATE(B3287)"),"#VALUE!")</f>
        <v>#VALUE!</v>
      </c>
    </row>
    <row r="3288" ht="15.75" customHeight="1">
      <c r="A3288" s="4">
        <v>44.0</v>
      </c>
      <c r="D3288" s="4" t="s">
        <v>4961</v>
      </c>
      <c r="E3288" s="4">
        <v>0.0</v>
      </c>
      <c r="F3288" s="4" t="str">
        <f>IFERROR(__xludf.DUMMYFUNCTION("GOOGLETRANSLATE(D3288)"),"結束！")</f>
        <v>結束！</v>
      </c>
      <c r="G3288" s="4" t="str">
        <f>IFERROR(__xludf.DUMMYFUNCTION("GOOGLETRANSLATE(B3288)"),"#VALUE!")</f>
        <v>#VALUE!</v>
      </c>
    </row>
    <row r="3289" ht="15.75" customHeight="1">
      <c r="A3289" s="4">
        <v>49.0</v>
      </c>
      <c r="B3289" s="4" t="s">
        <v>22</v>
      </c>
      <c r="C3289" s="4" t="s">
        <v>4962</v>
      </c>
      <c r="D3289" s="4" t="s">
        <v>4963</v>
      </c>
      <c r="E3289" s="4">
        <v>0.0</v>
      </c>
      <c r="F3289" s="4" t="str">
        <f>IFERROR(__xludf.DUMMYFUNCTION("GOOGLETRANSLATE(D3289)"),"我們總是試圖帶來沉重的東西。 #metal #RT http://t.co/YAo1e0xngw")</f>
        <v>我們總是試圖帶來沉重的東西。 #metal #RT http://t.co/YAo1e0xngw</v>
      </c>
      <c r="G3289" s="4" t="str">
        <f>IFERROR(__xludf.DUMMYFUNCTION("GOOGLETRANSLATE(B3289)"),"燃燒")</f>
        <v>燃燒</v>
      </c>
    </row>
    <row r="3290" ht="15.75" customHeight="1">
      <c r="A3290" s="4">
        <v>52.0</v>
      </c>
      <c r="B3290" s="4" t="s">
        <v>22</v>
      </c>
      <c r="C3290" s="4" t="s">
        <v>438</v>
      </c>
      <c r="D3290" s="4" t="s">
        <v>4964</v>
      </c>
      <c r="E3290" s="4">
        <v>0.0</v>
      </c>
      <c r="F3290" s="4" t="str">
        <f>IFERROR(__xludf.DUMMYFUNCTION("GOOGLETRANSLATE(D3290)"),"哭喊著想要更多！讓我燃燒")</f>
        <v>哭喊著想要更多！讓我燃燒</v>
      </c>
      <c r="G3290" s="4" t="str">
        <f>IFERROR(__xludf.DUMMYFUNCTION("GOOGLETRANSLATE(B3290)"),"燃燒")</f>
        <v>燃燒</v>
      </c>
    </row>
    <row r="3291" ht="15.75" customHeight="1">
      <c r="A3291" s="4">
        <v>53.0</v>
      </c>
      <c r="B3291" s="4" t="s">
        <v>22</v>
      </c>
      <c r="C3291" s="4" t="s">
        <v>1445</v>
      </c>
      <c r="D3291" s="4" t="s">
        <v>4965</v>
      </c>
      <c r="E3291" s="4">
        <v>0.0</v>
      </c>
      <c r="F3291" s="4" t="str">
        <f>IFERROR(__xludf.DUMMYFUNCTION("GOOGLETRANSLATE(D3291)"),"從好的方面看，昨晚的天空正在燃燒 http://t.co/qqsmshaJ3N")</f>
        <v>從好的方面看，昨晚的天空正在燃燒 http://t.co/qqsmshaJ3N</v>
      </c>
      <c r="G3291" s="4" t="str">
        <f>IFERROR(__xludf.DUMMYFUNCTION("GOOGLETRANSLATE(B3291)"),"燃燒")</f>
        <v>燃燒</v>
      </c>
    </row>
    <row r="3292" ht="15.75" customHeight="1">
      <c r="A3292" s="4">
        <v>54.0</v>
      </c>
      <c r="B3292" s="4" t="s">
        <v>22</v>
      </c>
      <c r="C3292" s="4" t="s">
        <v>4966</v>
      </c>
      <c r="D3292" s="4" t="s">
        <v>4967</v>
      </c>
      <c r="E3292" s="4">
        <v>0.0</v>
      </c>
      <c r="F3292" s="4" t="str">
        <f>IFERROR(__xludf.DUMMYFUNCTION("GOOGLETRANSLATE(D3292)"),"@PhDSquares #mufc 他們圍繞新收購進行瞭如此多的炒作，但我懷疑他們能否在本賽季點燃英超聯賽。")</f>
        <v>@PhDSquares #mufc 他們圍繞新收購進行瞭如此多的炒作，但我懷疑他們能否在本賽季點燃英超聯賽。</v>
      </c>
      <c r="G3292" s="4" t="str">
        <f>IFERROR(__xludf.DUMMYFUNCTION("GOOGLETRANSLATE(B3292)"),"燃燒")</f>
        <v>燃燒</v>
      </c>
    </row>
    <row r="3293" ht="15.75" customHeight="1">
      <c r="A3293" s="4">
        <v>57.0</v>
      </c>
      <c r="B3293" s="4" t="s">
        <v>22</v>
      </c>
      <c r="C3293" s="4" t="s">
        <v>4968</v>
      </c>
      <c r="D3293" s="4" t="s">
        <v>4969</v>
      </c>
      <c r="E3293" s="4">
        <v>0.0</v>
      </c>
      <c r="F3293" s="4" t="str">
        <f>IFERROR(__xludf.DUMMYFUNCTION("GOOGLETRANSLATE(D3293)"),"主啊，為你而燃燒:D")</f>
        <v>主啊，為你而燃燒:D</v>
      </c>
      <c r="G3293" s="4" t="str">
        <f>IFERROR(__xludf.DUMMYFUNCTION("GOOGLETRANSLATE(B3293)"),"燃燒")</f>
        <v>燃燒</v>
      </c>
    </row>
    <row r="3294" ht="15.75" customHeight="1">
      <c r="A3294" s="4">
        <v>59.0</v>
      </c>
      <c r="B3294" s="4" t="s">
        <v>22</v>
      </c>
      <c r="C3294" s="4" t="s">
        <v>4970</v>
      </c>
      <c r="D3294" s="4" t="s">
        <v>4971</v>
      </c>
      <c r="E3294" s="4">
        <v>0.0</v>
      </c>
      <c r="F3294" s="4" t="str">
        <f>IFERROR(__xludf.DUMMYFUNCTION("GOOGLETRANSLATE(D3294)"),"看看這些：http://t.co/rOI2NSmEJJ http://t.co/3Tj8ZjiN21 http://t.co/YDUiXEfIpE http://t.co/LxTjc87KLS #nsfw")</f>
        <v>看看這些：http://t.co/rOI2NSmEJJ http://t.co/3Tj8ZjiN21 http://t.co/YDUiXEfIpE http://t.co/LxTjc87KLS #nsfw</v>
      </c>
      <c r="G3294" s="4" t="str">
        <f>IFERROR(__xludf.DUMMYFUNCTION("GOOGLETRANSLATE(B3294)"),"燃燒")</f>
        <v>燃燒</v>
      </c>
    </row>
    <row r="3295" ht="15.75" customHeight="1">
      <c r="A3295" s="4">
        <v>61.0</v>
      </c>
      <c r="B3295" s="4" t="s">
        <v>22</v>
      </c>
      <c r="D3295" s="4" t="s">
        <v>4972</v>
      </c>
      <c r="E3295" s="4">
        <v>0.0</v>
      </c>
      <c r="F3295" s="4" t="str">
        <f>IFERROR(__xludf.DUMMYFUNCTION("GOOGLETRANSLATE(D3295)"),"從外表上看，你充滿活力，充滿活力
但你已經死在裡面了")</f>
        <v>從外表上看，你充滿活力，充滿活力
但你已經死在裡面了</v>
      </c>
      <c r="G3295" s="4" t="str">
        <f>IFERROR(__xludf.DUMMYFUNCTION("GOOGLETRANSLATE(B3295)"),"燃燒")</f>
        <v>燃燒</v>
      </c>
    </row>
    <row r="3296" ht="15.75" customHeight="1">
      <c r="A3296" s="4">
        <v>62.0</v>
      </c>
      <c r="B3296" s="4" t="s">
        <v>22</v>
      </c>
      <c r="C3296" s="4" t="s">
        <v>4973</v>
      </c>
      <c r="D3296" s="4" t="s">
        <v>4974</v>
      </c>
      <c r="E3296" s="4">
        <v>0.0</v>
      </c>
      <c r="F3296" s="4" t="str">
        <f>IFERROR(__xludf.DUMMYFUNCTION("GOOGLETRANSLATE(D3296)"),"參觀 CFC 總部、ancop 現場並度過了一段愉快的時光。感謝蒂塔·維達對我們的照顧？")</f>
        <v>參觀 CFC 總部、ancop 現場並度過了一段愉快的時光。感謝蒂塔·維達對我們的照顧？</v>
      </c>
      <c r="G3296" s="4" t="str">
        <f>IFERROR(__xludf.DUMMYFUNCTION("GOOGLETRANSLATE(B3296)"),"燃燒")</f>
        <v>燃燒</v>
      </c>
    </row>
    <row r="3297" ht="15.75" customHeight="1">
      <c r="A3297" s="4">
        <v>63.0</v>
      </c>
      <c r="B3297" s="4" t="s">
        <v>22</v>
      </c>
      <c r="D3297" s="4" t="s">
        <v>4975</v>
      </c>
      <c r="E3297" s="4">
        <v>0.0</v>
      </c>
      <c r="F3297" s="4" t="str">
        <f>IFERROR(__xludf.DUMMYFUNCTION("GOOGLETRANSLATE(D3297)"),"太興奮了？？？ @南嶺生活")</f>
        <v>太興奮了？？？ @南嶺生活</v>
      </c>
      <c r="G3297" s="4" t="str">
        <f>IFERROR(__xludf.DUMMYFUNCTION("GOOGLETRANSLATE(B3297)"),"燃燒")</f>
        <v>燃燒</v>
      </c>
    </row>
    <row r="3298" ht="15.75" customHeight="1">
      <c r="A3298" s="4">
        <v>64.0</v>
      </c>
      <c r="B3298" s="4" t="s">
        <v>22</v>
      </c>
      <c r="D3298" s="4" t="s">
        <v>4976</v>
      </c>
      <c r="E3298" s="4">
        <v>0.0</v>
      </c>
      <c r="F3298" s="4" t="str">
        <f>IFERROR(__xludf.DUMMYFUNCTION("GOOGLETRANSLATE(D3298)"),"我想用我的講道點燃芝加哥…但不是我的飯店！ http://t.co/o9qknbfOFX")</f>
        <v>我想用我的講道點燃芝加哥…但不是我的飯店！ http://t.co/o9qknbfOFX</v>
      </c>
      <c r="G3298" s="4" t="str">
        <f>IFERROR(__xludf.DUMMYFUNCTION("GOOGLETRANSLATE(B3298)"),"燃燒")</f>
        <v>燃燒</v>
      </c>
    </row>
    <row r="3299" ht="15.75" customHeight="1">
      <c r="A3299" s="4">
        <v>65.0</v>
      </c>
      <c r="B3299" s="4" t="s">
        <v>22</v>
      </c>
      <c r="D3299" s="4" t="s">
        <v>4977</v>
      </c>
      <c r="E3299" s="4">
        <v>0.0</v>
      </c>
      <c r="F3299" s="4" t="str">
        <f>IFERROR(__xludf.DUMMYFUNCTION("GOOGLETRANSLATE(D3299)"),"上週我增加了 3 位追蹤者。你？了解您的統計數據並與 http://t.co/TIyUliF5c6 一起成長")</f>
        <v>上週我增加了 3 位追蹤者。你？了解您的統計數據並與 http://t.co/TIyUliF5c6 一起成長</v>
      </c>
      <c r="G3299" s="4" t="str">
        <f>IFERROR(__xludf.DUMMYFUNCTION("GOOGLETRANSLATE(B3299)"),"燃燒")</f>
        <v>燃燒</v>
      </c>
    </row>
    <row r="3300" ht="15.75" customHeight="1">
      <c r="A3300" s="4">
        <v>67.0</v>
      </c>
      <c r="B3300" s="4" t="s">
        <v>22</v>
      </c>
      <c r="D3300" s="4" t="s">
        <v>4978</v>
      </c>
      <c r="E3300" s="4">
        <v>0.0</v>
      </c>
      <c r="F3300" s="4" t="str">
        <f>IFERROR(__xludf.DUMMYFUNCTION("GOOGLETRANSLATE(D3300)"),"為生活建立完美的曲目列表，讓街道燃燒起來")</f>
        <v>為生活建立完美的曲目列表，讓街道燃燒起來</v>
      </c>
      <c r="G3300" s="4" t="str">
        <f>IFERROR(__xludf.DUMMYFUNCTION("GOOGLETRANSLATE(B3300)"),"燃燒")</f>
        <v>燃燒</v>
      </c>
    </row>
    <row r="3301" ht="15.75" customHeight="1">
      <c r="A3301" s="4">
        <v>68.0</v>
      </c>
      <c r="B3301" s="4" t="s">
        <v>22</v>
      </c>
      <c r="C3301" s="4" t="s">
        <v>4970</v>
      </c>
      <c r="D3301" s="4" t="s">
        <v>4971</v>
      </c>
      <c r="E3301" s="4">
        <v>0.0</v>
      </c>
      <c r="F3301" s="4" t="str">
        <f>IFERROR(__xludf.DUMMYFUNCTION("GOOGLETRANSLATE(D3301)"),"看看這些：http://t.co/rOI2NSmEJJ http://t.co/3Tj8ZjiN21 http://t.co/YDUiXEfIpE http://t.co/LxTjc87KLS #nsfw")</f>
        <v>看看這些：http://t.co/rOI2NSmEJJ http://t.co/3Tj8ZjiN21 http://t.co/YDUiXEfIpE http://t.co/LxTjc87KLS #nsfw</v>
      </c>
      <c r="G3301" s="4" t="str">
        <f>IFERROR(__xludf.DUMMYFUNCTION("GOOGLETRANSLATE(B3301)"),"燃燒")</f>
        <v>燃燒</v>
      </c>
    </row>
    <row r="3302" ht="15.75" customHeight="1">
      <c r="A3302" s="4">
        <v>71.0</v>
      </c>
      <c r="B3302" s="4" t="s">
        <v>22</v>
      </c>
      <c r="C3302" s="4" t="s">
        <v>4979</v>
      </c>
      <c r="D3302" s="4" t="s">
        <v>4980</v>
      </c>
      <c r="E3302" s="4">
        <v>0.0</v>
      </c>
      <c r="F3302" s="4" t="str">
        <f>IFERROR(__xludf.DUMMYFUNCTION("GOOGLETRANSLATE(D3302)"),"帶著固定器的第一個晚上。這很奇怪。最好習慣一下；至少在接下來的一年裡，我每天晚上都必須穿著它們。")</f>
        <v>帶著固定器的第一個晚上。這很奇怪。最好習慣一下；至少在接下來的一年裡，我每天晚上都必須穿著它們。</v>
      </c>
      <c r="G3302" s="4" t="str">
        <f>IFERROR(__xludf.DUMMYFUNCTION("GOOGLETRANSLATE(B3302)"),"燃燒")</f>
        <v>燃燒</v>
      </c>
    </row>
    <row r="3303" ht="15.75" customHeight="1">
      <c r="A3303" s="4">
        <v>76.0</v>
      </c>
      <c r="B3303" s="4" t="s">
        <v>22</v>
      </c>
      <c r="C3303" s="4" t="s">
        <v>4592</v>
      </c>
      <c r="D3303" s="4" t="s">
        <v>4981</v>
      </c>
      <c r="E3303" s="4">
        <v>0.0</v>
      </c>
      <c r="F3303" s="4" t="str">
        <f>IFERROR(__xludf.DUMMYFUNCTION("GOOGLETRANSLATE(D3303)"),"聖克魯斯 ÛÓ 聖伊麗莎白警察局長 Lanford Salmon 有 r ... - http://t.co/vplR5Hka2u http://t.co/SxHW2TNNLf")</f>
        <v>聖克魯斯 ÛÓ 聖伊麗莎白警察局長 Lanford Salmon 有 r ... - http://t.co/vplR5Hka2u http://t.co/SxHW2TNNLf</v>
      </c>
      <c r="G3303" s="4" t="str">
        <f>IFERROR(__xludf.DUMMYFUNCTION("GOOGLETRANSLATE(B3303)"),"燃燒")</f>
        <v>燃燒</v>
      </c>
    </row>
    <row r="3304" ht="15.75" customHeight="1">
      <c r="A3304" s="4">
        <v>78.0</v>
      </c>
      <c r="B3304" s="4" t="s">
        <v>22</v>
      </c>
      <c r="C3304" s="4" t="s">
        <v>4982</v>
      </c>
      <c r="D3304" s="4" t="s">
        <v>4983</v>
      </c>
      <c r="E3304" s="4">
        <v>0.0</v>
      </c>
      <c r="F3304" s="4" t="str">
        <f>IFERROR(__xludf.DUMMYFUNCTION("GOOGLETRANSLATE(D3304)"),"Noches El-Bestia '@Alexis_Sanchez：很高興看到我的隊友並努力訓練？槍手們晚安。？？？？？？ http://t.co/uc4j4jHvGR'")</f>
        <v>Noches El-Bestia '@Alexis_Sanchez：很高興看到我的隊友並努力訓練？槍手們晚安。？？？？？？ http://t.co/uc4j4jHvGR'</v>
      </c>
      <c r="G3304" s="4" t="str">
        <f>IFERROR(__xludf.DUMMYFUNCTION("GOOGLETRANSLATE(B3304)"),"燃燒")</f>
        <v>燃燒</v>
      </c>
    </row>
    <row r="3305" ht="15.75" customHeight="1">
      <c r="A3305" s="4">
        <v>81.0</v>
      </c>
      <c r="B3305" s="4" t="s">
        <v>22</v>
      </c>
      <c r="C3305" s="4" t="s">
        <v>4984</v>
      </c>
      <c r="D3305" s="4" t="s">
        <v>4985</v>
      </c>
      <c r="E3305" s="4">
        <v>0.0</v>
      </c>
      <c r="F3305" s="4" t="str">
        <f>IFERROR(__xludf.DUMMYFUNCTION("GOOGLETRANSLATE(D3305)"),"讓我們的心燃燒，每座城市都是一份禮物，每一個天際線都像嘴唇上的一個吻@Û_ https://t.co/cYoMPZ1A0Z")</f>
        <v>讓我們的心燃燒，每座城市都是一份禮物，每一個天際線都像嘴唇上的一個吻@Û_ https://t.co/cYoMPZ1A0Z</v>
      </c>
      <c r="G3305" s="4" t="str">
        <f>IFERROR(__xludf.DUMMYFUNCTION("GOOGLETRANSLATE(B3305)"),"燃燒")</f>
        <v>燃燒</v>
      </c>
    </row>
    <row r="3306" ht="15.75" customHeight="1">
      <c r="A3306" s="4">
        <v>82.0</v>
      </c>
      <c r="B3306" s="4" t="s">
        <v>22</v>
      </c>
      <c r="C3306" s="4" t="s">
        <v>4986</v>
      </c>
      <c r="D3306" s="4" t="s">
        <v>4987</v>
      </c>
      <c r="E3306" s="4">
        <v>0.0</v>
      </c>
      <c r="F3306" s="4" t="str">
        <f>IFERROR(__xludf.DUMMYFUNCTION("GOOGLETRANSLATE(D3306)"),"今晚洛杉磯的天空在燃燒。如果我知道的話，我預計 IG 和 FB 會充滿日落照片！")</f>
        <v>今晚洛杉磯的天空在燃燒。如果我知道的話，我預計 IG 和 FB 會充滿日落照片！</v>
      </c>
      <c r="G3306" s="4" t="str">
        <f>IFERROR(__xludf.DUMMYFUNCTION("GOOGLETRANSLATE(B3306)"),"燃燒")</f>
        <v>燃燒</v>
      </c>
    </row>
    <row r="3307" ht="15.75" customHeight="1">
      <c r="A3307" s="4">
        <v>85.0</v>
      </c>
      <c r="B3307" s="4" t="s">
        <v>22</v>
      </c>
      <c r="D3307" s="4" t="s">
        <v>4988</v>
      </c>
      <c r="E3307" s="4">
        <v>0.0</v>
      </c>
      <c r="F3307" s="4" t="str">
        <f>IFERROR(__xludf.DUMMYFUNCTION("GOOGLETRANSLATE(D3307)"),"透過 mac 告別 ablaze wmv 前往 DVD 欣賞您的 wmv 影片：GtxRWm")</f>
        <v>透過 mac 告別 ablaze wmv 前往 DVD 欣賞您的 wmv 影片：GtxRWm</v>
      </c>
      <c r="G3307" s="4" t="str">
        <f>IFERROR(__xludf.DUMMYFUNCTION("GOOGLETRANSLATE(B3307)"),"燃燒")</f>
        <v>燃燒</v>
      </c>
    </row>
    <row r="3308" ht="15.75" customHeight="1">
      <c r="A3308" s="4">
        <v>86.0</v>
      </c>
      <c r="B3308" s="4" t="s">
        <v>22</v>
      </c>
      <c r="C3308" s="4" t="s">
        <v>4989</v>
      </c>
      <c r="D3308" s="4" t="s">
        <v>4990</v>
      </c>
      <c r="E3308" s="4">
        <v>0.0</v>
      </c>
      <c r="F3308" s="4" t="str">
        <f>IFERROR(__xludf.DUMMYFUNCTION("GOOGLETRANSLATE(D3308)"),"進步的問候！
大約一個月後，學生們就會在火炬出版社的... http://t.co/9FxPiXQuJt")</f>
        <v>進步的問候！
大約一個月後，學生們就會在火炬出版社的... http://t.co/9FxPiXQuJt</v>
      </c>
      <c r="G3308" s="4" t="str">
        <f>IFERROR(__xludf.DUMMYFUNCTION("GOOGLETRANSLATE(B3308)"),"燃燒")</f>
        <v>燃燒</v>
      </c>
    </row>
    <row r="3309" ht="15.75" customHeight="1">
      <c r="A3309" s="4">
        <v>89.0</v>
      </c>
      <c r="B3309" s="4" t="s">
        <v>22</v>
      </c>
      <c r="C3309" s="4" t="s">
        <v>4991</v>
      </c>
      <c r="D3309" s="4" t="s">
        <v>4992</v>
      </c>
      <c r="E3309" s="4">
        <v>0.0</v>
      </c>
      <c r="F3309" s="4" t="str">
        <f>IFERROR(__xludf.DUMMYFUNCTION("GOOGLETRANSLATE(D3309)"),"雷內·阿布雷澤 &amp;amp; Jacinta - Secret 2k13（墮落天空編輯） - 2013 年 3 月 30 日 https://t.co/7MLMsUzV1Z")</f>
        <v>雷內·阿布雷澤 &amp;amp; Jacinta - Secret 2k13（墮落天空編輯） - 2013 年 3 月 30 日 https://t.co/7MLMsUzV1Z</v>
      </c>
      <c r="G3309" s="4" t="str">
        <f>IFERROR(__xludf.DUMMYFUNCTION("GOOGLETRANSLATE(B3309)"),"燃燒")</f>
        <v>燃燒</v>
      </c>
    </row>
    <row r="3310" ht="15.75" customHeight="1">
      <c r="A3310" s="4">
        <v>92.0</v>
      </c>
      <c r="B3310" s="4" t="s">
        <v>22</v>
      </c>
      <c r="C3310" s="4" t="s">
        <v>2023</v>
      </c>
      <c r="D3310" s="4" t="s">
        <v>4993</v>
      </c>
      <c r="E3310" s="4">
        <v>0.0</v>
      </c>
      <c r="F3310" s="4" t="str">
        <f>IFERROR(__xludf.DUMMYFUNCTION("GOOGLETRANSLATE(D3310)"),"#NowPlaying：Rene Ablaze &amp;amp;伊恩·巴夫 - 幅度 http://t.co/Av2JSjfFtc #EDM")</f>
        <v>#NowPlaying：Rene Ablaze &amp;amp;伊恩·巴夫 - 幅度 http://t.co/Av2JSjfFtc #EDM</v>
      </c>
      <c r="G3310" s="4" t="str">
        <f>IFERROR(__xludf.DUMMYFUNCTION("GOOGLETRANSLATE(B3310)"),"燃燒")</f>
        <v>燃燒</v>
      </c>
    </row>
    <row r="3311" ht="15.75" customHeight="1">
      <c r="A3311" s="4">
        <v>95.0</v>
      </c>
      <c r="B3311" s="4" t="s">
        <v>22</v>
      </c>
      <c r="C3311" s="4" t="s">
        <v>1749</v>
      </c>
      <c r="D3311" s="4" t="s">
        <v>4994</v>
      </c>
      <c r="E3311" s="4">
        <v>0.0</v>
      </c>
      <c r="F3311" s="4" t="str">
        <f>IFERROR(__xludf.DUMMYFUNCTION("GOOGLETRANSLATE(D3311)"),"@ablaze 你的演講要持續到幾點？由於工作原因，不知道能不能趕上。")</f>
        <v>@ablaze 你的演講要持續到幾點？由於工作原因，不知道能不能趕上。</v>
      </c>
      <c r="G3311" s="4" t="str">
        <f>IFERROR(__xludf.DUMMYFUNCTION("GOOGLETRANSLATE(B3311)"),"燃燒")</f>
        <v>燃燒</v>
      </c>
    </row>
    <row r="3312" ht="15.75" customHeight="1">
      <c r="A3312" s="4">
        <v>96.0</v>
      </c>
      <c r="B3312" s="4" t="s">
        <v>47</v>
      </c>
      <c r="C3312" s="4" t="s">
        <v>4995</v>
      </c>
      <c r="D3312" s="4" t="s">
        <v>4996</v>
      </c>
      <c r="E3312" s="4">
        <v>0.0</v>
      </c>
      <c r="F3312" s="4" t="str">
        <f>IFERROR(__xludf.DUMMYFUNCTION("GOOGLETRANSLATE(D3312)"),"「我不能生孩子，因為我遭遇了自行車事故&amp;amp;分裂我的睪丸。我不可能有孩子 邁克爾，你是父親")</f>
        <v>「我不能生孩子，因為我遭遇了自行車事故&amp;amp;分裂我的睪丸。我不可能有孩子 邁克爾，你是父親</v>
      </c>
      <c r="G3312" s="4" t="str">
        <f>IFERROR(__xludf.DUMMYFUNCTION("GOOGLETRANSLATE(B3312)"),"意外事故")</f>
        <v>意外事故</v>
      </c>
    </row>
    <row r="3313" ht="15.75" customHeight="1">
      <c r="A3313" s="4">
        <v>100.0</v>
      </c>
      <c r="B3313" s="4" t="s">
        <v>47</v>
      </c>
      <c r="C3313" s="4" t="s">
        <v>89</v>
      </c>
      <c r="D3313" s="4" t="s">
        <v>4997</v>
      </c>
      <c r="E3313" s="4">
        <v>0.0</v>
      </c>
      <c r="F3313" s="4" t="str">
        <f>IFERROR(__xludf.DUMMYFUNCTION("GOOGLETRANSLATE(D3313)"),"http://t.co/GKYe6gjTk5 今年夏天發生了#personalinjury 事故？閱讀我們的建議和訊息看看#solicitor 如何幫助#OtleyHour")</f>
        <v>http://t.co/GKYe6gjTk5 今年夏天發生了#personalinjury 事故？閱讀我們的建議和訊息看看#solicitor 如何幫助#OtleyHour</v>
      </c>
      <c r="G3313" s="4" t="str">
        <f>IFERROR(__xludf.DUMMYFUNCTION("GOOGLETRANSLATE(B3313)"),"意外事故")</f>
        <v>意外事故</v>
      </c>
    </row>
    <row r="3314" ht="15.75" customHeight="1">
      <c r="A3314" s="4">
        <v>102.0</v>
      </c>
      <c r="B3314" s="4" t="s">
        <v>47</v>
      </c>
      <c r="C3314" s="4" t="s">
        <v>3826</v>
      </c>
      <c r="D3314" s="4" t="s">
        <v>4998</v>
      </c>
      <c r="E3314" s="4">
        <v>0.0</v>
      </c>
      <c r="F3314" s="4" t="str">
        <f>IFERROR(__xludf.DUMMYFUNCTION("GOOGLETRANSLATE(D3314)"),"#stlouis #caraccidentlawyer 超速是青少年事故的主要原因之一 https://t.co/k4zoMOF319 https://t.co/S2kXVM0cBA 車禍 T 卹Û_")</f>
        <v>#stlouis #caraccidentlawyer 超速是青少年事故的主要原因之一 https://t.co/k4zoMOF319 https://t.co/S2kXVM0cBA 車禍 T 卹Û_</v>
      </c>
      <c r="G3314" s="4" t="str">
        <f>IFERROR(__xludf.DUMMYFUNCTION("GOOGLETRANSLATE(B3314)"),"意外事故")</f>
        <v>意外事故</v>
      </c>
    </row>
    <row r="3315" ht="15.75" customHeight="1">
      <c r="A3315" s="4">
        <v>109.0</v>
      </c>
      <c r="B3315" s="4" t="s">
        <v>47</v>
      </c>
      <c r="D3315" s="4" t="s">
        <v>4999</v>
      </c>
      <c r="E3315" s="4">
        <v>0.0</v>
      </c>
      <c r="F3315" s="4" t="str">
        <f>IFERROR(__xludf.DUMMYFUNCTION("GOOGLETRANSLATE(D3315)"),"RT @SleepJunkies：安眠藥會讓您發生車禍的風險加倍 http://t.co/7s9Nm1fiCT")</f>
        <v>RT @SleepJunkies：安眠藥會讓您發生車禍的風險加倍 http://t.co/7s9Nm1fiCT</v>
      </c>
      <c r="G3315" s="4" t="str">
        <f>IFERROR(__xludf.DUMMYFUNCTION("GOOGLETRANSLATE(B3315)"),"意外事故")</f>
        <v>意外事故</v>
      </c>
    </row>
    <row r="3316" ht="15.75" customHeight="1">
      <c r="A3316" s="4">
        <v>110.0</v>
      </c>
      <c r="B3316" s="4" t="s">
        <v>47</v>
      </c>
      <c r="C3316" s="4" t="s">
        <v>5000</v>
      </c>
      <c r="D3316" s="4" t="s">
        <v>5001</v>
      </c>
      <c r="E3316" s="4">
        <v>0.0</v>
      </c>
      <c r="F3316" s="4" t="str">
        <f>IFERROR(__xludf.DUMMYFUNCTION("GOOGLETRANSLATE(D3316)"),"「偶然」他們知道發生了什麼事 https://t.co/Ysxun5vCeh")</f>
        <v>「偶然」他們知道發生了什麼事 https://t.co/Ysxun5vCeh</v>
      </c>
      <c r="G3316" s="4" t="str">
        <f>IFERROR(__xludf.DUMMYFUNCTION("GOOGLETRANSLATE(B3316)"),"意外事故")</f>
        <v>意外事故</v>
      </c>
    </row>
    <row r="3317" ht="15.75" customHeight="1">
      <c r="A3317" s="4">
        <v>117.0</v>
      </c>
      <c r="B3317" s="4" t="s">
        <v>47</v>
      </c>
      <c r="D3317" s="4" t="s">
        <v>5002</v>
      </c>
      <c r="E3317" s="4">
        <v>0.0</v>
      </c>
      <c r="F3317" s="4" t="str">
        <f>IFERROR(__xludf.DUMMYFUNCTION("GOOGLETRANSLATE(D3317)"),"媽媽：“我們沒有像我們希望的那麼快回家”
我：“這是為什麼？”
媽媽：「發生了一場事故，有些卡車把蛋黃醬灑了一地??????")</f>
        <v>媽媽：“我們沒有像我們希望的那麼快回家”
我：“這是為什麼？”
媽媽：「發生了一場事故，有些卡車把蛋黃醬灑了一地??????</v>
      </c>
      <c r="G3317" s="4" t="str">
        <f>IFERROR(__xludf.DUMMYFUNCTION("GOOGLETRANSLATE(B3317)"),"意外事故")</f>
        <v>意外事故</v>
      </c>
    </row>
    <row r="3318" ht="15.75" customHeight="1">
      <c r="A3318" s="4">
        <v>119.0</v>
      </c>
      <c r="B3318" s="4" t="s">
        <v>47</v>
      </c>
      <c r="D3318" s="4" t="s">
        <v>5003</v>
      </c>
      <c r="E3318" s="4">
        <v>0.0</v>
      </c>
      <c r="F3318" s="4" t="str">
        <f>IFERROR(__xludf.DUMMYFUNCTION("GOOGLETRANSLATE(D3318)"),"當我告訴唐尼我又遭遇了另一起事故時，我迫不及待想看看他有多生氣？")</f>
        <v>當我告訴唐尼我又遭遇了另一起事故時，我迫不及待想看看他有多生氣？</v>
      </c>
      <c r="G3318" s="4" t="str">
        <f>IFERROR(__xludf.DUMMYFUNCTION("GOOGLETRANSLATE(B3318)"),"意外事故")</f>
        <v>意外事故</v>
      </c>
    </row>
    <row r="3319" ht="15.75" customHeight="1">
      <c r="A3319" s="4">
        <v>132.0</v>
      </c>
      <c r="B3319" s="4" t="s">
        <v>47</v>
      </c>
      <c r="D3319" s="4" t="s">
        <v>5004</v>
      </c>
      <c r="E3319" s="4">
        <v>0.0</v>
      </c>
      <c r="F3319" s="4" t="str">
        <f>IFERROR(__xludf.DUMMYFUNCTION("GOOGLETRANSLATE(D3319)"),"????這是一次意外http://t.co/Oia5fxi4gM")</f>
        <v>????這是一次意外http://t.co/Oia5fxi4gM</v>
      </c>
      <c r="G3319" s="4" t="str">
        <f>IFERROR(__xludf.DUMMYFUNCTION("GOOGLETRANSLATE(B3319)"),"意外事故")</f>
        <v>意外事故</v>
      </c>
    </row>
    <row r="3320" ht="15.75" customHeight="1">
      <c r="A3320" s="4">
        <v>138.0</v>
      </c>
      <c r="B3320" s="4" t="s">
        <v>47</v>
      </c>
      <c r="C3320" s="4" t="s">
        <v>5005</v>
      </c>
      <c r="D3320" s="4" t="s">
        <v>5006</v>
      </c>
      <c r="E3320" s="4">
        <v>0.0</v>
      </c>
      <c r="F3320" s="4" t="str">
        <f>IFERROR(__xludf.DUMMYFUNCTION("GOOGLETRANSLATE(D3320)"),"一場意外改變了你的生活嗎？我們將幫助您確定可以在經濟上支持生活護理計劃和持續治療的選擇。")</f>
        <v>一場意外改變了你的生活嗎？我們將幫助您確定可以在經濟上支持生活護理計劃和持續治療的選擇。</v>
      </c>
      <c r="G3320" s="4" t="str">
        <f>IFERROR(__xludf.DUMMYFUNCTION("GOOGLETRANSLATE(B3320)"),"意外事故")</f>
        <v>意外事故</v>
      </c>
    </row>
    <row r="3321" ht="15.75" customHeight="1">
      <c r="A3321" s="4">
        <v>141.0</v>
      </c>
      <c r="B3321" s="4" t="s">
        <v>47</v>
      </c>
      <c r="C3321" s="4" t="s">
        <v>5007</v>
      </c>
      <c r="D3321" s="4" t="s">
        <v>5008</v>
      </c>
      <c r="E3321" s="4">
        <v>0.0</v>
      </c>
      <c r="F3321" s="4" t="str">
        <f>IFERROR(__xludf.DUMMYFUNCTION("GOOGLETRANSLATE(D3321)"),"@flowri是你醃製的還是意外？")</f>
        <v>@flowri是你醃製的還是意外？</v>
      </c>
      <c r="G3321" s="4" t="str">
        <f>IFERROR(__xludf.DUMMYFUNCTION("GOOGLETRANSLATE(B3321)"),"意外事故")</f>
        <v>意外事故</v>
      </c>
    </row>
    <row r="3322" ht="15.75" customHeight="1">
      <c r="A3322" s="4">
        <v>145.0</v>
      </c>
      <c r="B3322" s="4" t="s">
        <v>47</v>
      </c>
      <c r="C3322" s="4" t="s">
        <v>1086</v>
      </c>
      <c r="D3322" s="4" t="s">
        <v>5009</v>
      </c>
      <c r="E3322" s="4">
        <v>0.0</v>
      </c>
      <c r="F3322" s="4" t="str">
        <f>IFERROR(__xludf.DUMMYFUNCTION("GOOGLETRANSLATE(D3322)"),"我還沒有聽到肯亞教會領袖對事故問題和紀律措施發表評論#ArrestPastorNganga")</f>
        <v>我還沒有聽到肯亞教會領袖對事故問題和紀律措施發表評論#ArrestPastorNganga</v>
      </c>
      <c r="G3322" s="4" t="str">
        <f>IFERROR(__xludf.DUMMYFUNCTION("GOOGLETRANSLATE(B3322)"),"意外事故")</f>
        <v>意外事故</v>
      </c>
    </row>
    <row r="3323" ht="15.75" customHeight="1">
      <c r="A3323" s="4">
        <v>146.0</v>
      </c>
      <c r="B3323" s="4" t="s">
        <v>5010</v>
      </c>
      <c r="C3323" s="4" t="s">
        <v>5011</v>
      </c>
      <c r="D3323" s="4" t="s">
        <v>5012</v>
      </c>
      <c r="E3323" s="4">
        <v>0.0</v>
      </c>
      <c r="F3323" s="4" t="str">
        <f>IFERROR(__xludf.DUMMYFUNCTION("GOOGLETRANSLATE(D3323)"),"@afterShock_DeLo scuf ps 直播和遊戲...cya")</f>
        <v>@afterShock_DeLo scuf ps 直播和遊戲...cya</v>
      </c>
      <c r="G3323" s="4" t="str">
        <f>IFERROR(__xludf.DUMMYFUNCTION("GOOGLETRANSLATE(B3323)"),"餘震")</f>
        <v>餘震</v>
      </c>
    </row>
    <row r="3324" ht="15.75" customHeight="1">
      <c r="A3324" s="4">
        <v>149.0</v>
      </c>
      <c r="B3324" s="4" t="s">
        <v>5010</v>
      </c>
      <c r="C3324" s="4" t="s">
        <v>5013</v>
      </c>
      <c r="D3324" s="4" t="s">
        <v>5014</v>
      </c>
      <c r="E3324" s="4">
        <v>0.0</v>
      </c>
      <c r="F3324" s="4" t="str">
        <f>IFERROR(__xludf.DUMMYFUNCTION("GOOGLETRANSLATE(D3324)"),"「當努力變得痛苦時，能夠驅使自己走得更遠的人就是勝利者。”
羅傑·班尼斯特")</f>
        <v>「當努力變得痛苦時，能夠驅使自己走得更遠的人就是勝利者。”
羅傑·班尼斯特</v>
      </c>
      <c r="G3324" s="4" t="str">
        <f>IFERROR(__xludf.DUMMYFUNCTION("GOOGLETRANSLATE(B3324)"),"餘震")</f>
        <v>餘震</v>
      </c>
    </row>
    <row r="3325" ht="15.75" customHeight="1">
      <c r="A3325" s="4">
        <v>151.0</v>
      </c>
      <c r="B3325" s="4" t="s">
        <v>5010</v>
      </c>
      <c r="C3325" s="4" t="s">
        <v>5015</v>
      </c>
      <c r="D3325" s="4" t="s">
        <v>5016</v>
      </c>
      <c r="E3325" s="4">
        <v>0.0</v>
      </c>
      <c r="F3325" s="4" t="str">
        <f>IFERROR(__xludf.DUMMYFUNCTION("GOOGLETRANSLATE(D3325)"),"320 [紅外線] 冰月 [餘震] | http://t.co/yNXnvVKCDA | @djicemoon | #Dubstep #TrapMusic #DnB #EDM #Dance #IcesÛ_ http://t.co/weQPesENku")</f>
        <v>320 [紅外線] 冰月 [餘震] | http://t.co/yNXnvVKCDA | @djicemoon | #Dubstep #TrapMusic #DnB #EDM #Dance #IcesÛ_ http://t.co/weQPesENku</v>
      </c>
      <c r="G3325" s="4" t="str">
        <f>IFERROR(__xludf.DUMMYFUNCTION("GOOGLETRANSLATE(B3325)"),"餘震")</f>
        <v>餘震</v>
      </c>
    </row>
    <row r="3326" ht="15.75" customHeight="1">
      <c r="A3326" s="4">
        <v>153.0</v>
      </c>
      <c r="B3326" s="4" t="s">
        <v>5010</v>
      </c>
      <c r="C3326" s="4" t="s">
        <v>5013</v>
      </c>
      <c r="D3326" s="4" t="s">
        <v>5017</v>
      </c>
      <c r="E3326" s="4">
        <v>0.0</v>
      </c>
      <c r="F3326" s="4" t="str">
        <f>IFERROR(__xludf.DUMMYFUNCTION("GOOGLETRANSLATE(D3326)"),"“廉價的地下室價格是沒有勝利的。”德懷特·戴維·艾森豪威爾")</f>
        <v>“廉價的地下室價格是沒有勝利的。”德懷特·戴維·艾森豪威爾</v>
      </c>
      <c r="G3326" s="4" t="str">
        <f>IFERROR(__xludf.DUMMYFUNCTION("GOOGLETRANSLATE(B3326)"),"餘震")</f>
        <v>餘震</v>
      </c>
    </row>
    <row r="3327" ht="15.75" customHeight="1">
      <c r="A3327" s="4">
        <v>156.0</v>
      </c>
      <c r="B3327" s="4" t="s">
        <v>5010</v>
      </c>
      <c r="C3327" s="4" t="s">
        <v>405</v>
      </c>
      <c r="D3327" s="4" t="s">
        <v>5018</v>
      </c>
      <c r="E3327" s="4">
        <v>0.0</v>
      </c>
      <c r="F3327" s="4" t="str">
        <f>IFERROR(__xludf.DUMMYFUNCTION("GOOGLETRANSLATE(D3327)"),"320 [紅外線] 冰月 [餘震] | http://t.co/vAM5POdGyw | @djicemoon | #Dubstep #TrapMusic #DnB #EDM #Dance #IcesÛ_ http://t.co/zEVakJaPcz")</f>
        <v>320 [紅外線] 冰月 [餘震] | http://t.co/vAM5POdGyw | @djicemoon | #Dubstep #TrapMusic #DnB #EDM #Dance #IcesÛ_ http://t.co/zEVakJaPcz</v>
      </c>
      <c r="G3327" s="4" t="str">
        <f>IFERROR(__xludf.DUMMYFUNCTION("GOOGLETRANSLATE(B3327)"),"餘震")</f>
        <v>餘震</v>
      </c>
    </row>
    <row r="3328" ht="15.75" customHeight="1">
      <c r="A3328" s="4">
        <v>157.0</v>
      </c>
      <c r="B3328" s="4" t="s">
        <v>5010</v>
      </c>
      <c r="C3328" s="4" t="s">
        <v>5013</v>
      </c>
      <c r="D3328" s="4" t="s">
        <v>5019</v>
      </c>
      <c r="E3328" s="4">
        <v>0.0</v>
      </c>
      <c r="F3328" s="4" t="str">
        <f>IFERROR(__xludf.DUMMYFUNCTION("GOOGLETRANSLATE(D3328)"),"“沒有人記得誰是第二名。”查爾斯·舒爾茨")</f>
        <v>“沒有人記得誰是第二名。”查爾斯·舒爾茨</v>
      </c>
      <c r="G3328" s="4" t="str">
        <f>IFERROR(__xludf.DUMMYFUNCTION("GOOGLETRANSLATE(B3328)"),"餘震")</f>
        <v>餘震</v>
      </c>
    </row>
    <row r="3329" ht="15.75" customHeight="1">
      <c r="A3329" s="4">
        <v>158.0</v>
      </c>
      <c r="B3329" s="4" t="s">
        <v>5010</v>
      </c>
      <c r="C3329" s="4" t="s">
        <v>5011</v>
      </c>
      <c r="D3329" s="4" t="s">
        <v>5020</v>
      </c>
      <c r="E3329" s="4">
        <v>0.0</v>
      </c>
      <c r="F3329" s="4" t="str">
        <f>IFERROR(__xludf.DUMMYFUNCTION("GOOGLETRANSLATE(D3329)"),"@afterShock_DeLo 我是從在 xb1 上使用 scuf 的人那裡說的，他們中的大多數人最終也會繼續使用 ps。")</f>
        <v>@afterShock_DeLo 我是從在 xb1 上使用 scuf 的人那裡說的，他們中的大多數人最終也會繼續使用 ps。</v>
      </c>
      <c r="G3329" s="4" t="str">
        <f>IFERROR(__xludf.DUMMYFUNCTION("GOOGLETRANSLATE(B3329)"),"餘震")</f>
        <v>餘震</v>
      </c>
    </row>
    <row r="3330" ht="15.75" customHeight="1">
      <c r="A3330" s="4">
        <v>159.0</v>
      </c>
      <c r="B3330" s="4" t="s">
        <v>5010</v>
      </c>
      <c r="C3330" s="4" t="s">
        <v>5013</v>
      </c>
      <c r="D3330" s="4" t="s">
        <v>5021</v>
      </c>
      <c r="E3330" s="4">
        <v>0.0</v>
      </c>
      <c r="F3330" s="4" t="str">
        <f>IFERROR(__xludf.DUMMYFUNCTION("GOOGLETRANSLATE(D3330)"),"「衝突越激烈，勝利就越光榮。」托馬斯·潘恩")</f>
        <v>「衝突越激烈，勝利就越光榮。」托馬斯·潘恩</v>
      </c>
      <c r="G3330" s="4" t="str">
        <f>IFERROR(__xludf.DUMMYFUNCTION("GOOGLETRANSLATE(B3330)"),"餘震")</f>
        <v>餘震</v>
      </c>
    </row>
    <row r="3331" ht="15.75" customHeight="1">
      <c r="A3331" s="4">
        <v>160.0</v>
      </c>
      <c r="B3331" s="4" t="s">
        <v>5010</v>
      </c>
      <c r="D3331" s="4" t="s">
        <v>5022</v>
      </c>
      <c r="E3331" s="4">
        <v>0.0</v>
      </c>
      <c r="F3331" s="4" t="str">
        <f>IFERROR(__xludf.DUMMYFUNCTION("GOOGLETRANSLATE(D3331)"),"#GrowingUpSpoiled 因“餘震”而進行飛碟射擊並哭泣")</f>
        <v>#GrowingUpSpoiled 因“餘震”而進行飛碟射擊並哭泣</v>
      </c>
      <c r="G3331" s="4" t="str">
        <f>IFERROR(__xludf.DUMMYFUNCTION("GOOGLETRANSLATE(B3331)"),"餘震")</f>
        <v>餘震</v>
      </c>
    </row>
    <row r="3332" ht="15.75" customHeight="1">
      <c r="A3332" s="4">
        <v>161.0</v>
      </c>
      <c r="B3332" s="4" t="s">
        <v>5010</v>
      </c>
      <c r="C3332" s="4" t="s">
        <v>5023</v>
      </c>
      <c r="D3332" s="4" t="s">
        <v>5024</v>
      </c>
      <c r="E3332" s="4">
        <v>0.0</v>
      </c>
      <c r="F3332" s="4" t="str">
        <f>IFERROR(__xludf.DUMMYFUNCTION("GOOGLETRANSLATE(D3332)"),"所以我猜沒有人真正想要任何免費的餘震 TC......")</f>
        <v>所以我猜沒有人真正想要任何免費的餘震 TC......</v>
      </c>
      <c r="G3332" s="4" t="str">
        <f>IFERROR(__xludf.DUMMYFUNCTION("GOOGLETRANSLATE(B3332)"),"餘震")</f>
        <v>餘震</v>
      </c>
    </row>
    <row r="3333" ht="15.75" customHeight="1">
      <c r="A3333" s="4">
        <v>162.0</v>
      </c>
      <c r="B3333" s="4" t="s">
        <v>5010</v>
      </c>
      <c r="D3333" s="4" t="s">
        <v>5025</v>
      </c>
      <c r="E3333" s="4">
        <v>0.0</v>
      </c>
      <c r="F3333" s="4" t="str">
        <f>IFERROR(__xludf.DUMMYFUNCTION("GOOGLETRANSLATE(D3333)"),"餘震是我坐過的最恐怖最好的雲霄飛車。 *免責聲明*我去過的人很少。")</f>
        <v>餘震是我坐過的最恐怖最好的雲霄飛車。 *免責聲明*我去過的人很少。</v>
      </c>
      <c r="G3333" s="4" t="str">
        <f>IFERROR(__xludf.DUMMYFUNCTION("GOOGLETRANSLATE(B3333)"),"餘震")</f>
        <v>餘震</v>
      </c>
    </row>
    <row r="3334" ht="15.75" customHeight="1">
      <c r="A3334" s="4">
        <v>163.0</v>
      </c>
      <c r="B3334" s="4" t="s">
        <v>5010</v>
      </c>
      <c r="C3334" s="4" t="s">
        <v>4176</v>
      </c>
      <c r="D3334" s="4" t="s">
        <v>5026</v>
      </c>
      <c r="E3334" s="4">
        <v>0.0</v>
      </c>
      <c r="F3334" s="4" t="str">
        <f>IFERROR(__xludf.DUMMYFUNCTION("GOOGLETRANSLATE(D3334)"),"餘震 https://t.co/xMWODFMtUI")</f>
        <v>餘震 https://t.co/xMWODFMtUI</v>
      </c>
      <c r="G3334" s="4" t="str">
        <f>IFERROR(__xludf.DUMMYFUNCTION("GOOGLETRANSLATE(B3334)"),"餘震")</f>
        <v>餘震</v>
      </c>
    </row>
    <row r="3335" ht="15.75" customHeight="1">
      <c r="A3335" s="4">
        <v>164.0</v>
      </c>
      <c r="B3335" s="4" t="s">
        <v>5010</v>
      </c>
      <c r="C3335" s="4" t="s">
        <v>5015</v>
      </c>
      <c r="D3335" s="4" t="s">
        <v>5027</v>
      </c>
      <c r="E3335" s="4">
        <v>0.0</v>
      </c>
      <c r="F3335" s="4" t="str">
        <f>IFERROR(__xludf.DUMMYFUNCTION("GOOGLETRANSLATE(D3335)"),"320 [紅外線] 冰月 [餘震] | http://t.co/M4JDZMGJoW | @djicemoon | #Dubstep #TrapMusic #DnB #EDM #Dance #IcesÛ_ http://t.co/n0uhAsfkBv")</f>
        <v>320 [紅外線] 冰月 [餘震] | http://t.co/M4JDZMGJoW | @djicemoon | #Dubstep #TrapMusic #DnB #EDM #Dance #IcesÛ_ http://t.co/n0uhAsfkBv</v>
      </c>
      <c r="G3335" s="4" t="str">
        <f>IFERROR(__xludf.DUMMYFUNCTION("GOOGLETRANSLATE(B3335)"),"餘震")</f>
        <v>餘震</v>
      </c>
    </row>
    <row r="3336" ht="15.75" customHeight="1">
      <c r="A3336" s="4">
        <v>165.0</v>
      </c>
      <c r="B3336" s="4" t="s">
        <v>5010</v>
      </c>
      <c r="C3336" s="4" t="s">
        <v>405</v>
      </c>
      <c r="D3336" s="4" t="s">
        <v>5018</v>
      </c>
      <c r="E3336" s="4">
        <v>0.0</v>
      </c>
      <c r="F3336" s="4" t="str">
        <f>IFERROR(__xludf.DUMMYFUNCTION("GOOGLETRANSLATE(D3336)"),"320 [紅外線] 冰月 [餘震] | http://t.co/vAM5POdGyw | @djicemoon | #Dubstep #TrapMusic #DnB #EDM #Dance #IcesÛ_ http://t.co/zEVakJaPcz")</f>
        <v>320 [紅外線] 冰月 [餘震] | http://t.co/vAM5POdGyw | @djicemoon | #Dubstep #TrapMusic #DnB #EDM #Dance #IcesÛ_ http://t.co/zEVakJaPcz</v>
      </c>
      <c r="G3336" s="4" t="str">
        <f>IFERROR(__xludf.DUMMYFUNCTION("GOOGLETRANSLATE(B3336)"),"餘震")</f>
        <v>餘震</v>
      </c>
    </row>
    <row r="3337" ht="15.75" customHeight="1">
      <c r="A3337" s="4">
        <v>168.0</v>
      </c>
      <c r="B3337" s="4" t="s">
        <v>5010</v>
      </c>
      <c r="D3337" s="4" t="s">
        <v>5028</v>
      </c>
      <c r="E3337" s="4">
        <v>0.0</v>
      </c>
      <c r="F3337" s="4" t="str">
        <f>IFERROR(__xludf.DUMMYFUNCTION("GOOGLETRANSLATE(D3337)"),"320 [紅外線] 冰月 [餘震] | http://t.co/e14EPzhotH | @djicemoon | #Dubstep #TrapMusic #DnB #EDM #Dance #IcesÛ_ http://t.co/22a9D5DO6q")</f>
        <v>320 [紅外線] 冰月 [餘震] | http://t.co/e14EPzhotH | @djicemoon | #Dubstep #TrapMusic #DnB #EDM #Dance #IcesÛ_ http://t.co/22a9D5DO6q</v>
      </c>
      <c r="G3337" s="4" t="str">
        <f>IFERROR(__xludf.DUMMYFUNCTION("GOOGLETRANSLATE(B3337)"),"餘震")</f>
        <v>餘震</v>
      </c>
    </row>
    <row r="3338" ht="15.75" customHeight="1">
      <c r="A3338" s="4">
        <v>170.0</v>
      </c>
      <c r="B3338" s="4" t="s">
        <v>5010</v>
      </c>
      <c r="C3338" s="4" t="s">
        <v>5029</v>
      </c>
      <c r="D3338" s="4" t="s">
        <v>5030</v>
      </c>
      <c r="E3338" s="4">
        <v>0.0</v>
      </c>
      <c r="F3338" s="4" t="str">
        <f>IFERROR(__xludf.DUMMYFUNCTION("GOOGLETRANSLATE(D3338)"),"@KJForDays 我看到了他們以及餘震時的問題？")</f>
        <v>@KJForDays 我看到了他們以及餘震時的問題？</v>
      </c>
      <c r="G3338" s="4" t="str">
        <f>IFERROR(__xludf.DUMMYFUNCTION("GOOGLETRANSLATE(B3338)"),"餘震")</f>
        <v>餘震</v>
      </c>
    </row>
    <row r="3339" ht="15.75" customHeight="1">
      <c r="A3339" s="4">
        <v>171.0</v>
      </c>
      <c r="B3339" s="4" t="s">
        <v>5010</v>
      </c>
      <c r="C3339" s="4" t="s">
        <v>5015</v>
      </c>
      <c r="D3339" s="4" t="s">
        <v>5031</v>
      </c>
      <c r="E3339" s="4">
        <v>0.0</v>
      </c>
      <c r="F3339" s="4" t="str">
        <f>IFERROR(__xludf.DUMMYFUNCTION("GOOGLETRANSLATE(D3339)"),"320 [紅外線] 冰月 [餘震] | http://t.co/THyzOMVWU0 | @djicemoon | #Dubstep #TrapMusic #DnB #EDM #Dance #IcesÛ_ http://t.co/83jOO0xk29")</f>
        <v>320 [紅外線] 冰月 [餘震] | http://t.co/THyzOMVWU0 | @djicemoon | #Dubstep #TrapMusic #DnB #EDM #Dance #IcesÛ_ http://t.co/83jOO0xk29</v>
      </c>
      <c r="G3339" s="4" t="str">
        <f>IFERROR(__xludf.DUMMYFUNCTION("GOOGLETRANSLATE(B3339)"),"餘震")</f>
        <v>餘震</v>
      </c>
    </row>
    <row r="3340" ht="15.75" customHeight="1">
      <c r="A3340" s="4">
        <v>172.0</v>
      </c>
      <c r="B3340" s="4" t="s">
        <v>5010</v>
      </c>
      <c r="C3340" s="4" t="s">
        <v>5015</v>
      </c>
      <c r="D3340" s="4" t="s">
        <v>5031</v>
      </c>
      <c r="E3340" s="4">
        <v>0.0</v>
      </c>
      <c r="F3340" s="4" t="str">
        <f>IFERROR(__xludf.DUMMYFUNCTION("GOOGLETRANSLATE(D3340)"),"320 [紅外線] 冰月 [餘震] | http://t.co/THyzOMVWU0 | @djicemoon | #Dubstep #TrapMusic #DnB #EDM #Dance #IcesÛ_ http://t.co/83jOO0xk29")</f>
        <v>320 [紅外線] 冰月 [餘震] | http://t.co/THyzOMVWU0 | @djicemoon | #Dubstep #TrapMusic #DnB #EDM #Dance #IcesÛ_ http://t.co/83jOO0xk29</v>
      </c>
      <c r="G3340" s="4" t="str">
        <f>IFERROR(__xludf.DUMMYFUNCTION("GOOGLETRANSLATE(B3340)"),"餘震")</f>
        <v>餘震</v>
      </c>
    </row>
    <row r="3341" ht="15.75" customHeight="1">
      <c r="A3341" s="4">
        <v>173.0</v>
      </c>
      <c r="B3341" s="4" t="s">
        <v>5010</v>
      </c>
      <c r="C3341" s="4" t="s">
        <v>5032</v>
      </c>
      <c r="D3341" s="4" t="s">
        <v>5033</v>
      </c>
      <c r="E3341" s="4">
        <v>0.0</v>
      </c>
      <c r="F3341" s="4" t="str">
        <f>IFERROR(__xludf.DUMMYFUNCTION("GOOGLETRANSLATE(D3341)"),"#WisdomWed 獎勵 - 5 分鐘日常習慣，可以真正改善您的生活。你已經做了多少？ #lifehacks http://t.co/TBm9FQb8cW")</f>
        <v>#WisdomWed 獎勵 - 5 分鐘日常習慣，可以真正改善您的生活。你已經做了多少？ #lifehacks http://t.co/TBm9FQb8cW</v>
      </c>
      <c r="G3341" s="4" t="str">
        <f>IFERROR(__xludf.DUMMYFUNCTION("GOOGLETRANSLATE(B3341)"),"餘震")</f>
        <v>餘震</v>
      </c>
    </row>
    <row r="3342" ht="15.75" customHeight="1">
      <c r="A3342" s="4">
        <v>174.0</v>
      </c>
      <c r="B3342" s="4" t="s">
        <v>5010</v>
      </c>
      <c r="C3342" s="4" t="s">
        <v>5034</v>
      </c>
      <c r="D3342" s="4" t="s">
        <v>5035</v>
      </c>
      <c r="E3342" s="4">
        <v>0.0</v>
      </c>
      <c r="F3342" s="4" t="str">
        <f>IFERROR(__xludf.DUMMYFUNCTION("GOOGLETRANSLATE(D3342)"),"《餘震：在下一次全球金融危機中保護自己和利潤》作者：David Wiedemer http://t.co/WZTz4hgMVq")</f>
        <v>《餘震：在下一次全球金融危機中保護自己和利潤》作者：David Wiedemer http://t.co/WZTz4hgMVq</v>
      </c>
      <c r="G3342" s="4" t="str">
        <f>IFERROR(__xludf.DUMMYFUNCTION("GOOGLETRANSLATE(B3342)"),"餘震")</f>
        <v>餘震</v>
      </c>
    </row>
    <row r="3343" ht="15.75" customHeight="1">
      <c r="A3343" s="4">
        <v>175.0</v>
      </c>
      <c r="B3343" s="4" t="s">
        <v>5010</v>
      </c>
      <c r="D3343" s="4" t="s">
        <v>5036</v>
      </c>
      <c r="E3343" s="4">
        <v>0.0</v>
      </c>
      <c r="F3343" s="4" t="str">
        <f>IFERROR(__xludf.DUMMYFUNCTION("GOOGLETRANSLATE(D3343)"),"當你坐上可怕的過山車的那一刻，你身後的人只是尖叫著該死的謀殺？？？？？？ #銀木#餘震")</f>
        <v>當你坐上可怕的過山車的那一刻，你身後的人只是尖叫著該死的謀殺？？？？？？ #銀木#餘震</v>
      </c>
      <c r="G3343" s="4" t="str">
        <f>IFERROR(__xludf.DUMMYFUNCTION("GOOGLETRANSLATE(B3343)"),"餘震")</f>
        <v>餘震</v>
      </c>
    </row>
    <row r="3344" ht="15.75" customHeight="1">
      <c r="A3344" s="4">
        <v>176.0</v>
      </c>
      <c r="B3344" s="4" t="s">
        <v>5010</v>
      </c>
      <c r="D3344" s="4" t="s">
        <v>5037</v>
      </c>
      <c r="E3344" s="4">
        <v>0.0</v>
      </c>
      <c r="F3344" s="4" t="str">
        <f>IFERROR(__xludf.DUMMYFUNCTION("GOOGLETRANSLATE(D3344)"),"《餘震》 (2010) 完整版串流 - YouTube http://t.co/vVE3UsesGf")</f>
        <v>《餘震》 (2010) 完整版串流 - YouTube http://t.co/vVE3UsesGf</v>
      </c>
      <c r="G3344" s="4" t="str">
        <f>IFERROR(__xludf.DUMMYFUNCTION("GOOGLETRANSLATE(B3344)"),"餘震")</f>
        <v>餘震</v>
      </c>
    </row>
    <row r="3345" ht="15.75" customHeight="1">
      <c r="A3345" s="4">
        <v>178.0</v>
      </c>
      <c r="B3345" s="4" t="s">
        <v>5010</v>
      </c>
      <c r="C3345" s="4" t="s">
        <v>627</v>
      </c>
      <c r="D3345" s="4" t="s">
        <v>5038</v>
      </c>
      <c r="E3345" s="4">
        <v>0.0</v>
      </c>
      <c r="F3345" s="4" t="str">
        <f>IFERROR(__xludf.DUMMYFUNCTION("GOOGLETRANSLATE(D3345)"),"&gt;&gt;&gt; $15 餘震：在下一次全球金融中保護自己和利潤...##book http://t.co/f6ntUc734Z
@esquireattire")</f>
        <v>&gt;&gt;&gt; $15 餘震：在下一次全球金融中保護自己和利潤...##book http://t.co/f6ntUc734Z
@esquireattire</v>
      </c>
      <c r="G3345" s="4" t="str">
        <f>IFERROR(__xludf.DUMMYFUNCTION("GOOGLETRANSLATE(B3345)"),"餘震")</f>
        <v>餘震</v>
      </c>
    </row>
    <row r="3346" ht="15.75" customHeight="1">
      <c r="A3346" s="4">
        <v>180.0</v>
      </c>
      <c r="B3346" s="4" t="s">
        <v>5010</v>
      </c>
      <c r="C3346" s="4" t="s">
        <v>5013</v>
      </c>
      <c r="D3346" s="4" t="s">
        <v>5039</v>
      </c>
      <c r="E3346" s="4">
        <v>0.0</v>
      </c>
      <c r="F3346" s="4" t="str">
        <f>IFERROR(__xludf.DUMMYFUNCTION("GOOGLETRANSLATE(D3346)"),"有時你遇到困難不是因為你做錯了什麼，而是因為你做對了。 ——喬爾‧歐斯汀")</f>
        <v>有時你遇到困難不是因為你做錯了什麼，而是因為你做對了。 ——喬爾‧歐斯汀</v>
      </c>
      <c r="G3346" s="4" t="str">
        <f>IFERROR(__xludf.DUMMYFUNCTION("GOOGLETRANSLATE(B3346)"),"餘震")</f>
        <v>餘震</v>
      </c>
    </row>
    <row r="3347" ht="15.75" customHeight="1">
      <c r="A3347" s="4">
        <v>182.0</v>
      </c>
      <c r="B3347" s="4" t="s">
        <v>5010</v>
      </c>
      <c r="C3347" s="4" t="s">
        <v>5013</v>
      </c>
      <c r="D3347" s="4" t="s">
        <v>5040</v>
      </c>
      <c r="E3347" s="4">
        <v>0.0</v>
      </c>
      <c r="F3347" s="4" t="str">
        <f>IFERROR(__xludf.DUMMYFUNCTION("GOOGLETRANSLATE(D3347)"),"“唯一阻礙你實現夢想的就是嘗試的意願和相信它實際上是可能的。” ——喬爾布朗")</f>
        <v>“唯一阻礙你實現夢想的就是嘗試的意願和相信它實際上是可能的。” ——喬爾布朗</v>
      </c>
      <c r="G3347" s="4" t="str">
        <f>IFERROR(__xludf.DUMMYFUNCTION("GOOGLETRANSLATE(B3347)"),"餘震")</f>
        <v>餘震</v>
      </c>
    </row>
    <row r="3348" ht="15.75" customHeight="1">
      <c r="A3348" s="4">
        <v>183.0</v>
      </c>
      <c r="B3348" s="4" t="s">
        <v>5010</v>
      </c>
      <c r="C3348" s="4" t="s">
        <v>5041</v>
      </c>
      <c r="D3348" s="4" t="s">
        <v>5042</v>
      </c>
      <c r="E3348" s="4">
        <v>0.0</v>
      </c>
      <c r="F3348" s="4" t="str">
        <f>IFERROR(__xludf.DUMMYFUNCTION("GOOGLETRANSLATE(D3348)"),"讚美神，我們的事工如實講述！ #now #wdyouth #biblestudy https://t.co/UjK0e5GBcC")</f>
        <v>讚美神，我們的事工如實講述！ #now #wdyouth #biblestudy https://t.co/UjK0e5GBcC</v>
      </c>
      <c r="G3348" s="4" t="str">
        <f>IFERROR(__xludf.DUMMYFUNCTION("GOOGLETRANSLATE(B3348)"),"餘震")</f>
        <v>餘震</v>
      </c>
    </row>
    <row r="3349" ht="15.75" customHeight="1">
      <c r="A3349" s="4">
        <v>184.0</v>
      </c>
      <c r="B3349" s="4" t="s">
        <v>5010</v>
      </c>
      <c r="C3349" s="4" t="s">
        <v>5013</v>
      </c>
      <c r="D3349" s="4" t="s">
        <v>5043</v>
      </c>
      <c r="E3349" s="4">
        <v>0.0</v>
      </c>
      <c r="F3349" s="4" t="str">
        <f>IFERROR(__xludf.DUMMYFUNCTION("GOOGLETRANSLATE(D3349)"),"“據我所知，記住你會死是避免陷入失去某些東西的陷阱的最好方法。”史蒂夫‧賈伯斯")</f>
        <v>“據我所知，記住你會死是避免陷入失去某些東西的陷阱的最好方法。”史蒂夫‧賈伯斯</v>
      </c>
      <c r="G3349" s="4" t="str">
        <f>IFERROR(__xludf.DUMMYFUNCTION("GOOGLETRANSLATE(B3349)"),"餘震")</f>
        <v>餘震</v>
      </c>
    </row>
    <row r="3350" ht="15.75" customHeight="1">
      <c r="A3350" s="4">
        <v>185.0</v>
      </c>
      <c r="B3350" s="4" t="s">
        <v>5010</v>
      </c>
      <c r="C3350" s="4" t="s">
        <v>5044</v>
      </c>
      <c r="D3350" s="4" t="s">
        <v>5045</v>
      </c>
      <c r="E3350" s="4">
        <v>0.0</v>
      </c>
      <c r="F3350" s="4" t="str">
        <f>IFERROR(__xludf.DUMMYFUNCTION("GOOGLETRANSLATE(D3350)"),"今天嘗試了橘色餘震。我的生活將永遠不一樣")</f>
        <v>今天嘗試了橘色餘震。我的生活將永遠不一樣</v>
      </c>
      <c r="G3350" s="4" t="str">
        <f>IFERROR(__xludf.DUMMYFUNCTION("GOOGLETRANSLATE(B3350)"),"餘震")</f>
        <v>餘震</v>
      </c>
    </row>
    <row r="3351" ht="15.75" customHeight="1">
      <c r="A3351" s="4">
        <v>187.0</v>
      </c>
      <c r="B3351" s="4" t="s">
        <v>5010</v>
      </c>
      <c r="D3351" s="4" t="s">
        <v>5046</v>
      </c>
      <c r="E3351" s="4">
        <v>0.0</v>
      </c>
      <c r="F3351" s="4" t="str">
        <f>IFERROR(__xludf.DUMMYFUNCTION("GOOGLETRANSLATE(D3351)"),"@OnFireAnders 我愛你 bb")</f>
        <v>@OnFireAnders 我愛你 bb</v>
      </c>
      <c r="G3351" s="4" t="str">
        <f>IFERROR(__xludf.DUMMYFUNCTION("GOOGLETRANSLATE(B3351)"),"餘震")</f>
        <v>餘震</v>
      </c>
    </row>
    <row r="3352" ht="15.75" customHeight="1">
      <c r="A3352" s="4">
        <v>190.0</v>
      </c>
      <c r="B3352" s="4" t="s">
        <v>5010</v>
      </c>
      <c r="D3352" s="4" t="s">
        <v>5047</v>
      </c>
      <c r="E3352" s="4">
        <v>0.0</v>
      </c>
      <c r="F3352" s="4" t="str">
        <f>IFERROR(__xludf.DUMMYFUNCTION("GOOGLETRANSLATE(D3352)"),"餘震 https://t.co/jV8ppKhJY7")</f>
        <v>餘震 https://t.co/jV8ppKhJY7</v>
      </c>
      <c r="G3352" s="4" t="str">
        <f>IFERROR(__xludf.DUMMYFUNCTION("GOOGLETRANSLATE(B3352)"),"餘震")</f>
        <v>餘震</v>
      </c>
    </row>
    <row r="3353" ht="15.75" customHeight="1">
      <c r="A3353" s="4">
        <v>191.0</v>
      </c>
      <c r="B3353" s="4" t="s">
        <v>5010</v>
      </c>
      <c r="D3353" s="4" t="s">
        <v>5048</v>
      </c>
      <c r="E3353" s="4">
        <v>0.0</v>
      </c>
      <c r="F3353" s="4" t="str">
        <f>IFERROR(__xludf.DUMMYFUNCTION("GOOGLETRANSLATE(D3353)"),"餘震返校開學很棒。我要感謝大家讓這一切成為可能。多麼美好的夜晚。")</f>
        <v>餘震返校開學很棒。我要感謝大家讓這一切成為可能。多麼美好的夜晚。</v>
      </c>
      <c r="G3353" s="4" t="str">
        <f>IFERROR(__xludf.DUMMYFUNCTION("GOOGLETRANSLATE(B3353)"),"餘震")</f>
        <v>餘震</v>
      </c>
    </row>
    <row r="3354" ht="15.75" customHeight="1">
      <c r="A3354" s="4">
        <v>193.0</v>
      </c>
      <c r="B3354" s="4" t="s">
        <v>5010</v>
      </c>
      <c r="C3354" s="4" t="s">
        <v>5013</v>
      </c>
      <c r="D3354" s="4" t="s">
        <v>5049</v>
      </c>
      <c r="E3354" s="4">
        <v>0.0</v>
      </c>
      <c r="F3354" s="4" t="str">
        <f>IFERROR(__xludf.DUMMYFUNCTION("GOOGLETRANSLATE(D3354)"),"那些說做不到的人不該打斷正在做的人。蕭伯納")</f>
        <v>那些說做不到的人不該打斷正在做的人。蕭伯納</v>
      </c>
      <c r="G3354" s="4" t="str">
        <f>IFERROR(__xludf.DUMMYFUNCTION("GOOGLETRANSLATE(B3354)"),"餘震")</f>
        <v>餘震</v>
      </c>
    </row>
    <row r="3355" ht="15.75" customHeight="1">
      <c r="A3355" s="4">
        <v>194.0</v>
      </c>
      <c r="B3355" s="4" t="s">
        <v>5010</v>
      </c>
      <c r="C3355" s="4" t="s">
        <v>5013</v>
      </c>
      <c r="D3355" s="4" t="s">
        <v>5050</v>
      </c>
      <c r="E3355" s="4">
        <v>0.0</v>
      </c>
      <c r="F3355" s="4" t="str">
        <f>IFERROR(__xludf.DUMMYFUNCTION("GOOGLETRANSLATE(D3355)"),"“第一個人得到牡蠣，第二個人得到貝殼。”安德魯卡內基")</f>
        <v>“第一個人得到牡蠣，第二個人得到貝殼。”安德魯卡內基</v>
      </c>
      <c r="G3355" s="4" t="str">
        <f>IFERROR(__xludf.DUMMYFUNCTION("GOOGLETRANSLATE(B3355)"),"餘震")</f>
        <v>餘震</v>
      </c>
    </row>
    <row r="3356" ht="15.75" customHeight="1">
      <c r="A3356" s="4">
        <v>195.0</v>
      </c>
      <c r="B3356" s="4" t="s">
        <v>5010</v>
      </c>
      <c r="D3356" s="4" t="s">
        <v>5051</v>
      </c>
      <c r="E3356" s="4">
        <v>0.0</v>
      </c>
      <c r="F3356" s="4" t="str">
        <f>IFERROR(__xludf.DUMMYFUNCTION("GOOGLETRANSLATE(D3356)"),"今晚有人需要 P/U 嗎？我玩 Hybrid Slayer ps4 EU。 HMU @Cod8sandscrims @EmpirikGaming @CoDAWScrims @4TP_KOTC @4TPFA @afterShock_Org")</f>
        <v>今晚有人需要 P/U 嗎？我玩 Hybrid Slayer ps4 EU。 HMU @Cod8sandscrims @EmpirikGaming @CoDAWScrims @4TP_KOTC @4TPFA @afterShock_Org</v>
      </c>
      <c r="G3356" s="4" t="str">
        <f>IFERROR(__xludf.DUMMYFUNCTION("GOOGLETRANSLATE(B3356)"),"餘震")</f>
        <v>餘震</v>
      </c>
    </row>
    <row r="3357" ht="15.75" customHeight="1">
      <c r="A3357" s="4">
        <v>198.0</v>
      </c>
      <c r="B3357" s="4" t="s">
        <v>91</v>
      </c>
      <c r="C3357" s="4" t="s">
        <v>5052</v>
      </c>
      <c r="D3357" s="4" t="s">
        <v>5053</v>
      </c>
      <c r="E3357" s="4">
        <v>0.0</v>
      </c>
      <c r="F3357" s="4" t="str">
        <f>IFERROR(__xludf.DUMMYFUNCTION("GOOGLETRANSLATE(D3357)"),"@crobscarla 你一生死於飛機事故的幾率是 8015 分之一。")</f>
        <v>@crobscarla 你一生死於飛機事故的幾率是 8015 分之一。</v>
      </c>
      <c r="G3357" s="4" t="str">
        <f>IFERROR(__xludf.DUMMYFUNCTION("GOOGLETRANSLATE(B3357)"),"飛機%20事故")</f>
        <v>飛機%20事故</v>
      </c>
    </row>
    <row r="3358" ht="15.75" customHeight="1">
      <c r="A3358" s="4">
        <v>213.0</v>
      </c>
      <c r="B3358" s="4" t="s">
        <v>91</v>
      </c>
      <c r="C3358" s="4" t="s">
        <v>5054</v>
      </c>
      <c r="D3358" s="4" t="s">
        <v>5055</v>
      </c>
      <c r="E3358" s="4">
        <v>0.0</v>
      </c>
      <c r="F3358" s="4" t="str">
        <f>IFERROR(__xludf.DUMMYFUNCTION("GOOGLETRANSLATE(D3358)"),"感謝上帝的飛航模式，我差點給同事發裸照")</f>
        <v>感謝上帝的飛航模式，我差點給同事發裸照</v>
      </c>
      <c r="G3358" s="4" t="str">
        <f>IFERROR(__xludf.DUMMYFUNCTION("GOOGLETRANSLATE(B3358)"),"飛機%20事故")</f>
        <v>飛機%20事故</v>
      </c>
    </row>
    <row r="3359" ht="15.75" customHeight="1">
      <c r="A3359" s="4">
        <v>215.0</v>
      </c>
      <c r="B3359" s="4" t="s">
        <v>91</v>
      </c>
      <c r="C3359" s="4" t="s">
        <v>5056</v>
      </c>
      <c r="D3359" s="4" t="s">
        <v>5057</v>
      </c>
      <c r="E3359" s="4">
        <v>0.0</v>
      </c>
      <c r="F3359" s="4" t="str">
        <f>IFERROR(__xludf.DUMMYFUNCTION("GOOGLETRANSLATE(D3359)"),"@mickinyman @TheAtlantic 否則他們可能會在車禍當晚的飛機事故中喪生！政治是最好的。")</f>
        <v>@mickinyman @TheAtlantic 否則他們可能會在車禍當晚的飛機事故中喪生！政治是最好的。</v>
      </c>
      <c r="G3359" s="4" t="str">
        <f>IFERROR(__xludf.DUMMYFUNCTION("GOOGLETRANSLATE(B3359)"),"飛機%20事故")</f>
        <v>飛機%20事故</v>
      </c>
    </row>
    <row r="3360" ht="15.75" customHeight="1">
      <c r="A3360" s="4">
        <v>241.0</v>
      </c>
      <c r="B3360" s="4" t="s">
        <v>91</v>
      </c>
      <c r="C3360" s="4" t="s">
        <v>5058</v>
      </c>
      <c r="D3360" s="4" t="s">
        <v>5059</v>
      </c>
      <c r="E3360" s="4">
        <v>0.0</v>
      </c>
      <c r="F3360" s="4" t="str">
        <f>IFERROR(__xludf.DUMMYFUNCTION("GOOGLETRANSLATE(D3360)"),"我的手機看起來像是在汽車、船隻、飛機事故中。糟糕的")</f>
        <v>我的手機看起來像是在汽車、船隻、飛機事故中。糟糕的</v>
      </c>
      <c r="G3360" s="4" t="str">
        <f>IFERROR(__xludf.DUMMYFUNCTION("GOOGLETRANSLATE(B3360)"),"飛機%20事故")</f>
        <v>飛機%20事故</v>
      </c>
    </row>
    <row r="3361" ht="15.75" customHeight="1">
      <c r="A3361" s="4">
        <v>242.0</v>
      </c>
      <c r="B3361" s="4" t="s">
        <v>91</v>
      </c>
      <c r="C3361" s="4" t="s">
        <v>351</v>
      </c>
      <c r="D3361" s="4" t="s">
        <v>5060</v>
      </c>
      <c r="E3361" s="4">
        <v>0.0</v>
      </c>
      <c r="F3361" s="4" t="str">
        <f>IFERROR(__xludf.DUMMYFUNCTION("GOOGLETRANSLATE(D3361)"),"根據統計，我被警察殺死的風險比死於飛機事故的風險更大。")</f>
        <v>根據統計，我被警察殺死的風險比死於飛機事故的風險更大。</v>
      </c>
      <c r="G3361" s="4" t="str">
        <f>IFERROR(__xludf.DUMMYFUNCTION("GOOGLETRANSLATE(B3361)"),"飛機%20事故")</f>
        <v>飛機%20事故</v>
      </c>
    </row>
    <row r="3362" ht="15.75" customHeight="1">
      <c r="A3362" s="4">
        <v>251.0</v>
      </c>
      <c r="B3362" s="4" t="s">
        <v>144</v>
      </c>
      <c r="C3362" s="4" t="s">
        <v>5061</v>
      </c>
      <c r="D3362" s="4" t="s">
        <v>5062</v>
      </c>
      <c r="E3362" s="4">
        <v>0.0</v>
      </c>
      <c r="F3362" s="4" t="str">
        <f>IFERROR(__xludf.DUMMYFUNCTION("GOOGLETRANSLATE(D3362)"),"領先的緊急服務老闆歡迎新的救護車慈善機構 http://t.co/Mj2jQ2pSv6")</f>
        <v>領先的緊急服務老闆歡迎新的救護車慈善機構 http://t.co/Mj2jQ2pSv6</v>
      </c>
      <c r="G3362" s="4" t="str">
        <f>IFERROR(__xludf.DUMMYFUNCTION("GOOGLETRANSLATE(B3362)"),"救護車")</f>
        <v>救護車</v>
      </c>
    </row>
    <row r="3363" ht="15.75" customHeight="1">
      <c r="A3363" s="4">
        <v>254.0</v>
      </c>
      <c r="B3363" s="4" t="s">
        <v>144</v>
      </c>
      <c r="C3363" s="4" t="s">
        <v>5063</v>
      </c>
      <c r="D3363" s="4" t="s">
        <v>5064</v>
      </c>
      <c r="E3363" s="4">
        <v>0.0</v>
      </c>
      <c r="F3363" s="4" t="str">
        <f>IFERROR(__xludf.DUMMYFUNCTION("GOOGLETRANSLATE(D3363)"),"救護車 SPRINTER 自動選擇 14 輛符合 LEZ 的前線車輛 | eBay http://t.co/4evTTqPEia")</f>
        <v>救護車 SPRINTER 自動選擇 14 輛符合 LEZ 的前線車輛 | eBay http://t.co/4evTTqPEia</v>
      </c>
      <c r="G3363" s="4" t="str">
        <f>IFERROR(__xludf.DUMMYFUNCTION("GOOGLETRANSLATE(B3363)"),"救護車")</f>
        <v>救護車</v>
      </c>
    </row>
    <row r="3364" ht="15.75" customHeight="1">
      <c r="A3364" s="4">
        <v>256.0</v>
      </c>
      <c r="B3364" s="4" t="s">
        <v>144</v>
      </c>
      <c r="C3364" s="4" t="s">
        <v>5065</v>
      </c>
      <c r="D3364" s="4" t="s">
        <v>5066</v>
      </c>
      <c r="E3364" s="4">
        <v>0.0</v>
      </c>
      <c r="F3364" s="4" t="str">
        <f>IFERROR(__xludf.DUMMYFUNCTION("GOOGLETRANSLATE(D3364)"),"新的奈米技術設備將能夠瞄準並摧毀血栓 http://t.co/HFy5V3sLBB")</f>
        <v>新的奈米技術設備將能夠瞄準並摧毀血栓 http://t.co/HFy5V3sLBB</v>
      </c>
      <c r="G3364" s="4" t="str">
        <f>IFERROR(__xludf.DUMMYFUNCTION("GOOGLETRANSLATE(B3364)"),"救護車")</f>
        <v>救護車</v>
      </c>
    </row>
    <row r="3365" ht="15.75" customHeight="1">
      <c r="A3365" s="4">
        <v>260.0</v>
      </c>
      <c r="B3365" s="4" t="s">
        <v>144</v>
      </c>
      <c r="C3365" s="4" t="s">
        <v>323</v>
      </c>
      <c r="D3365" s="4" t="s">
        <v>5067</v>
      </c>
      <c r="E3365" s="4">
        <v>0.0</v>
      </c>
      <c r="F3365" s="4" t="str">
        <f>IFERROR(__xludf.DUMMYFUNCTION("GOOGLETRANSLATE(D3365)"),"如果我被救護車碾死，我算幸運嗎？ #只是說#隨機思考")</f>
        <v>如果我被救護車碾死，我算幸運嗎？ #只是說#隨機思考</v>
      </c>
      <c r="G3365" s="4" t="str">
        <f>IFERROR(__xludf.DUMMYFUNCTION("GOOGLETRANSLATE(B3365)"),"救護車")</f>
        <v>救護車</v>
      </c>
    </row>
    <row r="3366" ht="15.75" customHeight="1">
      <c r="A3366" s="4">
        <v>263.0</v>
      </c>
      <c r="B3366" s="4" t="s">
        <v>144</v>
      </c>
      <c r="C3366" s="4" t="s">
        <v>5068</v>
      </c>
      <c r="D3366" s="4" t="s">
        <v>5069</v>
      </c>
      <c r="E3366" s="4">
        <v>0.0</v>
      </c>
      <c r="F3366" s="4" t="str">
        <f>IFERROR(__xludf.DUMMYFUNCTION("GOOGLETRANSLATE(D3366)"),"@TanSlash 等待救護車")</f>
        <v>@TanSlash 等待救護車</v>
      </c>
      <c r="G3366" s="4" t="str">
        <f>IFERROR(__xludf.DUMMYFUNCTION("GOOGLETRANSLATE(B3366)"),"救護車")</f>
        <v>救護車</v>
      </c>
    </row>
    <row r="3367" ht="15.75" customHeight="1">
      <c r="A3367" s="4">
        <v>264.0</v>
      </c>
      <c r="B3367" s="4" t="s">
        <v>144</v>
      </c>
      <c r="D3367" s="4" t="s">
        <v>5070</v>
      </c>
      <c r="E3367" s="4">
        <v>0.0</v>
      </c>
      <c r="F3367" s="4" t="str">
        <f>IFERROR(__xludf.DUMMYFUNCTION("GOOGLETRANSLATE(D3367)"),"@fouseyTUBE 你還好嗎？需要救護車。哈哈哈，那太好了！ http://t.co/ZSbErqNN9n")</f>
        <v>@fouseyTUBE 你還好嗎？需要救護車。哈哈哈，那太好了！ http://t.co/ZSbErqNN9n</v>
      </c>
      <c r="G3367" s="4" t="str">
        <f>IFERROR(__xludf.DUMMYFUNCTION("GOOGLETRANSLATE(B3367)"),"救護車")</f>
        <v>救護車</v>
      </c>
    </row>
    <row r="3368" ht="15.75" customHeight="1">
      <c r="A3368" s="4">
        <v>265.0</v>
      </c>
      <c r="B3368" s="4" t="s">
        <v>144</v>
      </c>
      <c r="C3368" s="4" t="s">
        <v>5063</v>
      </c>
      <c r="D3368" s="4" t="s">
        <v>5071</v>
      </c>
      <c r="E3368" s="4">
        <v>0.0</v>
      </c>
      <c r="F3368" s="4" t="str">
        <f>IFERROR(__xludf.DUMMYFUNCTION("GOOGLETRANSLATE(D3368)"),"救護車 SPRINTER 自動選擇 14 輛符合 LEZ 的前線車輛 | eBay http://t.co/q8IVrzOJZv")</f>
        <v>救護車 SPRINTER 自動選擇 14 輛符合 LEZ 的前線車輛 | eBay http://t.co/q8IVrzOJZv</v>
      </c>
      <c r="G3368" s="4" t="str">
        <f>IFERROR(__xludf.DUMMYFUNCTION("GOOGLETRANSLATE(B3368)"),"救護車")</f>
        <v>救護車</v>
      </c>
    </row>
    <row r="3369" ht="15.75" customHeight="1">
      <c r="A3369" s="4">
        <v>267.0</v>
      </c>
      <c r="B3369" s="4" t="s">
        <v>144</v>
      </c>
      <c r="C3369" s="4" t="s">
        <v>5072</v>
      </c>
      <c r="D3369" s="4" t="s">
        <v>5073</v>
      </c>
      <c r="E3369" s="4">
        <v>0.0</v>
      </c>
      <c r="F3369" s="4" t="str">
        <f>IFERROR(__xludf.DUMMYFUNCTION("GOOGLETRANSLATE(D3369)"),"@TheNissonian @RejectdCartoons nissan 你還好嗎 你需要醫療援助嗎 如果你需要我可以叫救護車")</f>
        <v>@TheNissonian @RejectdCartoons nissan 你還好嗎 你需要醫療援助嗎 如果你需要我可以叫救護車</v>
      </c>
      <c r="G3369" s="4" t="str">
        <f>IFERROR(__xludf.DUMMYFUNCTION("GOOGLETRANSLATE(B3369)"),"救護車")</f>
        <v>救護車</v>
      </c>
    </row>
    <row r="3370" ht="15.75" customHeight="1">
      <c r="A3370" s="4">
        <v>268.0</v>
      </c>
      <c r="B3370" s="4" t="s">
        <v>144</v>
      </c>
      <c r="C3370" s="4" t="s">
        <v>3873</v>
      </c>
      <c r="D3370" s="4" t="s">
        <v>5074</v>
      </c>
      <c r="E3370" s="4">
        <v>0.0</v>
      </c>
      <c r="F3370" s="4" t="str">
        <f>IFERROR(__xludf.DUMMYFUNCTION("GOOGLETRANSLATE(D3370)"),"EMS1：紐約急救人員請願要求每小時 17 美元的最低工資 http://t.co/4oa6SWlxmR #ems #paramedics #ambulance")</f>
        <v>EMS1：紐約急救人員請願要求每小時 17 美元的最低工資 http://t.co/4oa6SWlxmR #ems #paramedics #ambulance</v>
      </c>
      <c r="G3370" s="4" t="str">
        <f>IFERROR(__xludf.DUMMYFUNCTION("GOOGLETRANSLATE(B3370)"),"救護車")</f>
        <v>救護車</v>
      </c>
    </row>
    <row r="3371" ht="15.75" customHeight="1">
      <c r="A3371" s="4">
        <v>271.0</v>
      </c>
      <c r="B3371" s="4" t="s">
        <v>144</v>
      </c>
      <c r="C3371" s="4" t="s">
        <v>5063</v>
      </c>
      <c r="D3371" s="4" t="s">
        <v>5075</v>
      </c>
      <c r="E3371" s="4">
        <v>0.0</v>
      </c>
      <c r="F3371" s="4" t="str">
        <f>IFERROR(__xludf.DUMMYFUNCTION("GOOGLETRANSLATE(D3371)"),"救護車 SPRINTER 自動選擇 14 輛符合 LEZ 的前線車輛 | eBay http://t.co/UJrX9kgawp")</f>
        <v>救護車 SPRINTER 自動選擇 14 輛符合 LEZ 的前線車輛 | eBay http://t.co/UJrX9kgawp</v>
      </c>
      <c r="G3371" s="4" t="str">
        <f>IFERROR(__xludf.DUMMYFUNCTION("GOOGLETRANSLATE(B3371)"),"救護車")</f>
        <v>救護車</v>
      </c>
    </row>
    <row r="3372" ht="15.75" customHeight="1">
      <c r="A3372" s="4">
        <v>272.0</v>
      </c>
      <c r="B3372" s="4" t="s">
        <v>144</v>
      </c>
      <c r="C3372" s="4" t="s">
        <v>5063</v>
      </c>
      <c r="D3372" s="4" t="s">
        <v>5076</v>
      </c>
      <c r="E3372" s="4">
        <v>0.0</v>
      </c>
      <c r="F3372" s="4" t="str">
        <f>IFERROR(__xludf.DUMMYFUNCTION("GOOGLETRANSLATE(D3372)"),"救護車 SPRINTER 自動選擇 14 輛符合 LEZ 的前線車輛 | eBay http://t.co/Kp2Lf4AuTe")</f>
        <v>救護車 SPRINTER 自動選擇 14 輛符合 LEZ 的前線車輛 | eBay http://t.co/Kp2Lf4AuTe</v>
      </c>
      <c r="G3372" s="4" t="str">
        <f>IFERROR(__xludf.DUMMYFUNCTION("GOOGLETRANSLATE(B3372)"),"救護車")</f>
        <v>救護車</v>
      </c>
    </row>
    <row r="3373" ht="15.75" customHeight="1">
      <c r="A3373" s="4">
        <v>273.0</v>
      </c>
      <c r="B3373" s="4" t="s">
        <v>144</v>
      </c>
      <c r="C3373" s="4" t="s">
        <v>5077</v>
      </c>
      <c r="D3373" s="4" t="s">
        <v>5078</v>
      </c>
      <c r="E3373" s="4">
        <v>0.0</v>
      </c>
      <c r="F3373" s="4" t="str">
        <f>IFERROR(__xludf.DUMMYFUNCTION("GOOGLETRANSLATE(D3373)"),"@Kiwi_Karyn 看看我的停車場裡有什麼！他說，直到去年，這還是聖約翰斯的救護車。 http://t.co/hPvOdUD7iP")</f>
        <v>@Kiwi_Karyn 看看我的停車場裡有什麼！他說，直到去年，這還是聖約翰斯的救護車。 http://t.co/hPvOdUD7iP</v>
      </c>
      <c r="G3373" s="4" t="str">
        <f>IFERROR(__xludf.DUMMYFUNCTION("GOOGLETRANSLATE(B3373)"),"救護車")</f>
        <v>救護車</v>
      </c>
    </row>
    <row r="3374" ht="15.75" customHeight="1">
      <c r="A3374" s="4">
        <v>279.0</v>
      </c>
      <c r="B3374" s="4" t="s">
        <v>144</v>
      </c>
      <c r="D3374" s="4" t="s">
        <v>5079</v>
      </c>
      <c r="E3374" s="4">
        <v>0.0</v>
      </c>
      <c r="F3374" s="4" t="str">
        <f>IFERROR(__xludf.DUMMYFUNCTION("GOOGLETRANSLATE(D3374)"),"為什麼我工作單位外面就有一輛救護車")</f>
        <v>為什麼我工作單位外面就有一輛救護車</v>
      </c>
      <c r="G3374" s="4" t="str">
        <f>IFERROR(__xludf.DUMMYFUNCTION("GOOGLETRANSLATE(B3374)"),"救護車")</f>
        <v>救護車</v>
      </c>
    </row>
    <row r="3375" ht="15.75" customHeight="1">
      <c r="A3375" s="4">
        <v>280.0</v>
      </c>
      <c r="B3375" s="4" t="s">
        <v>144</v>
      </c>
      <c r="C3375" s="4" t="s">
        <v>126</v>
      </c>
      <c r="D3375" s="4" t="s">
        <v>5080</v>
      </c>
      <c r="E3375" s="4">
        <v>0.0</v>
      </c>
      <c r="F3375" s="4" t="str">
        <f>IFERROR(__xludf.DUMMYFUNCTION("GOOGLETRANSLATE(D3375)"),"ÛÏ@LeoBlakeCarter：這隻狗認為他是救護車?????? http://t.co/MG1lpGr0RMÛ@natasha_rideout")</f>
        <v>ÛÏ@LeoBlakeCarter：這隻狗認為他是救護車?????? http://t.co/MG1lpGr0RMÛ@natasha_rideout</v>
      </c>
      <c r="G3375" s="4" t="str">
        <f>IFERROR(__xludf.DUMMYFUNCTION("GOOGLETRANSLATE(B3375)"),"救護車")</f>
        <v>救護車</v>
      </c>
    </row>
    <row r="3376" ht="15.75" customHeight="1">
      <c r="A3376" s="4">
        <v>281.0</v>
      </c>
      <c r="B3376" s="4" t="s">
        <v>144</v>
      </c>
      <c r="C3376" s="4" t="s">
        <v>5081</v>
      </c>
      <c r="D3376" s="4" t="s">
        <v>5082</v>
      </c>
      <c r="E3376" s="4">
        <v>0.0</v>
      </c>
      <c r="F3376" s="4" t="str">
        <f>IFERROR(__xludf.DUMMYFUNCTION("GOOGLETRANSLATE(D3376)"),"現在正在發生 - HATZOLAH EMS 救護車發出雙警報器和Û_ https://t.co/SeK6MQ6NJF 的回應")</f>
        <v>現在正在發生 - HATZOLAH EMS 救護車發出雙警報器和Û_ https://t.co/SeK6MQ6NJF 的回應</v>
      </c>
      <c r="G3376" s="4" t="str">
        <f>IFERROR(__xludf.DUMMYFUNCTION("GOOGLETRANSLATE(B3376)"),"救護車")</f>
        <v>救護車</v>
      </c>
    </row>
    <row r="3377" ht="15.75" customHeight="1">
      <c r="A3377" s="4">
        <v>290.0</v>
      </c>
      <c r="B3377" s="4" t="s">
        <v>144</v>
      </c>
      <c r="D3377" s="4" t="s">
        <v>5083</v>
      </c>
      <c r="E3377" s="4">
        <v>0.0</v>
      </c>
      <c r="F3377" s="4" t="str">
        <f>IFERROR(__xludf.DUMMYFUNCTION("GOOGLETRANSLATE(D3377)"),"萊索託的警察或救護車號碼是多少？有人知道嗎？")</f>
        <v>萊索託的警察或救護車號碼是多少？有人知道嗎？</v>
      </c>
      <c r="G3377" s="4" t="str">
        <f>IFERROR(__xludf.DUMMYFUNCTION("GOOGLETRANSLATE(B3377)"),"救護車")</f>
        <v>救護車</v>
      </c>
    </row>
    <row r="3378" ht="15.75" customHeight="1">
      <c r="A3378" s="4">
        <v>291.0</v>
      </c>
      <c r="B3378" s="4" t="s">
        <v>144</v>
      </c>
      <c r="D3378" s="4" t="s">
        <v>5084</v>
      </c>
      <c r="E3378" s="4">
        <v>0.0</v>
      </c>
      <c r="F3378" s="4" t="str">
        <f>IFERROR(__xludf.DUMMYFUNCTION("GOOGLETRANSLATE(D3378)"),"@medic914 @AACE_org 我很驚訝我們仍然無法在 11 個 NHS 救護車信託基金中標準化臨床實踐。")</f>
        <v>@medic914 @AACE_org 我很驚訝我們仍然無法在 11 個 NHS 救護車信託基金中標準化臨床實踐。</v>
      </c>
      <c r="G3378" s="4" t="str">
        <f>IFERROR(__xludf.DUMMYFUNCTION("GOOGLETRANSLATE(B3378)"),"救護車")</f>
        <v>救護車</v>
      </c>
    </row>
    <row r="3379" ht="15.75" customHeight="1">
      <c r="A3379" s="4">
        <v>294.0</v>
      </c>
      <c r="B3379" s="4" t="s">
        <v>144</v>
      </c>
      <c r="C3379" s="4" t="s">
        <v>5085</v>
      </c>
      <c r="D3379" s="4" t="s">
        <v>5086</v>
      </c>
      <c r="E3379" s="4">
        <v>0.0</v>
      </c>
      <c r="F3379" s="4" t="str">
        <f>IFERROR(__xludf.DUMMYFUNCTION("GOOGLETRANSLATE(D3379)"),"當救護車經過時試圖走的人…我恨你。")</f>
        <v>當救護車經過時試圖走的人…我恨你。</v>
      </c>
      <c r="G3379" s="4" t="str">
        <f>IFERROR(__xludf.DUMMYFUNCTION("GOOGLETRANSLATE(B3379)"),"救護車")</f>
        <v>救護車</v>
      </c>
    </row>
    <row r="3380" ht="15.75" customHeight="1">
      <c r="A3380" s="4">
        <v>296.0</v>
      </c>
      <c r="B3380" s="4" t="s">
        <v>176</v>
      </c>
      <c r="C3380" s="4" t="s">
        <v>5087</v>
      </c>
      <c r="D3380" s="4" t="s">
        <v>5088</v>
      </c>
      <c r="E3380" s="4">
        <v>0.0</v>
      </c>
      <c r="F3380" s="4" t="str">
        <f>IFERROR(__xludf.DUMMYFUNCTION("GOOGLETRANSLATE(D3380)"),"特蘭克斯消滅弗雷扎的那一集是有史以來最乾淨的狗屎。他對那個黑鬼毫不留情。")</f>
        <v>特蘭克斯消滅弗雷扎的那一集是有史以來最乾淨的狗屎。他對那個黑鬼毫不留情。</v>
      </c>
      <c r="G3380" s="4" t="str">
        <f>IFERROR(__xludf.DUMMYFUNCTION("GOOGLETRANSLATE(B3380)"),"被殲滅")</f>
        <v>被殲滅</v>
      </c>
    </row>
    <row r="3381" ht="15.75" customHeight="1">
      <c r="A3381" s="4">
        <v>297.0</v>
      </c>
      <c r="B3381" s="4" t="s">
        <v>176</v>
      </c>
      <c r="C3381" s="4" t="s">
        <v>5089</v>
      </c>
      <c r="D3381" s="4" t="s">
        <v>5090</v>
      </c>
      <c r="E3381" s="4">
        <v>0.0</v>
      </c>
      <c r="F3381" s="4" t="str">
        <f>IFERROR(__xludf.DUMMYFUNCTION("GOOGLETRANSLATE(D3381)"),"他們將被消滅，他們所有的寵物都將被乾燥並赤裸裸地暴露。那你就跪在我面前。")</f>
        <v>他們將被消滅，他們所有的寵物都將被乾燥並赤裸裸地暴露。那你就跪在我面前。</v>
      </c>
      <c r="G3381" s="4" t="str">
        <f>IFERROR(__xludf.DUMMYFUNCTION("GOOGLETRANSLATE(B3381)"),"被殲滅")</f>
        <v>被殲滅</v>
      </c>
    </row>
    <row r="3382" ht="15.75" customHeight="1">
      <c r="A3382" s="4">
        <v>298.0</v>
      </c>
      <c r="B3382" s="4" t="s">
        <v>176</v>
      </c>
      <c r="C3382" s="4" t="s">
        <v>942</v>
      </c>
      <c r="D3382" s="4" t="s">
        <v>5091</v>
      </c>
      <c r="E3382" s="4">
        <v>0.0</v>
      </c>
      <c r="F3382" s="4" t="str">
        <f>IFERROR(__xludf.DUMMYFUNCTION("GOOGLETRANSLATE(D3382)"),"烏裡韋剛剛消滅了那個棒球。 #大都會隊")</f>
        <v>烏裡韋剛剛消滅了那個棒球。 #大都會隊</v>
      </c>
      <c r="G3382" s="4" t="str">
        <f>IFERROR(__xludf.DUMMYFUNCTION("GOOGLETRANSLATE(B3382)"),"被殲滅")</f>
        <v>被殲滅</v>
      </c>
    </row>
    <row r="3383" ht="15.75" customHeight="1">
      <c r="A3383" s="4">
        <v>299.0</v>
      </c>
      <c r="B3383" s="4" t="s">
        <v>176</v>
      </c>
      <c r="C3383" s="4" t="s">
        <v>5092</v>
      </c>
      <c r="D3383" s="4" t="s">
        <v>5093</v>
      </c>
      <c r="E3383" s="4">
        <v>0.0</v>
      </c>
      <c r="F3383" s="4" t="str">
        <f>IFERROR(__xludf.DUMMYFUNCTION("GOOGLETRANSLATE(D3383)"),"@marksmaponyane 嘿！日落隊在上次與凱爾特人隊的比賽中被消滅了。確實這是一個進步。")</f>
        <v>@marksmaponyane 嘿！日落隊在上次與凱爾特人隊的比賽中被消滅了。確實這是一個進步。</v>
      </c>
      <c r="G3383" s="4" t="str">
        <f>IFERROR(__xludf.DUMMYFUNCTION("GOOGLETRANSLATE(B3383)"),"被殲滅")</f>
        <v>被殲滅</v>
      </c>
    </row>
    <row r="3384" ht="15.75" customHeight="1">
      <c r="A3384" s="4">
        <v>301.0</v>
      </c>
      <c r="B3384" s="4" t="s">
        <v>176</v>
      </c>
      <c r="D3384" s="4" t="s">
        <v>5094</v>
      </c>
      <c r="E3384" s="4">
        <v>0.0</v>
      </c>
      <c r="F3384" s="4" t="str">
        <f>IFERROR(__xludf.DUMMYFUNCTION("GOOGLETRANSLATE(D3384)"),"@Volfan326 @TNeazzy Mizzou 在過去的兩個賽季中消滅了佛羅裡達，甚至結束了 muschamp 的職業生涯，只是無法與巴馬競爭")</f>
        <v>@Volfan326 @TNeazzy Mizzou 在過去的兩個賽季中消滅了佛羅裡達，甚至結束了 muschamp 的職業生涯，只是無法與巴馬競爭</v>
      </c>
      <c r="G3384" s="4" t="str">
        <f>IFERROR(__xludf.DUMMYFUNCTION("GOOGLETRANSLATE(B3384)"),"被殲滅")</f>
        <v>被殲滅</v>
      </c>
    </row>
    <row r="3385" ht="15.75" customHeight="1">
      <c r="A3385" s="4">
        <v>303.0</v>
      </c>
      <c r="B3385" s="4" t="s">
        <v>176</v>
      </c>
      <c r="D3385" s="4" t="s">
        <v>5095</v>
      </c>
      <c r="E3385" s="4">
        <v>0.0</v>
      </c>
      <c r="F3385" s="4" t="str">
        <f>IFERROR(__xludf.DUMMYFUNCTION("GOOGLETRANSLATE(D3385)"),"代表輕鬆街頭事業被滅為身分教育mba：eOvm http://t.co/e0pI0c54FF")</f>
        <v>代表輕鬆街頭事業被滅為身分教育mba：eOvm http://t.co/e0pI0c54FF</v>
      </c>
      <c r="G3385" s="4" t="str">
        <f>IFERROR(__xludf.DUMMYFUNCTION("GOOGLETRANSLATE(B3385)"),"被殲滅")</f>
        <v>被殲滅</v>
      </c>
    </row>
    <row r="3386" ht="15.75" customHeight="1">
      <c r="A3386" s="4">
        <v>307.0</v>
      </c>
      <c r="B3386" s="4" t="s">
        <v>176</v>
      </c>
      <c r="C3386" s="4" t="s">
        <v>5096</v>
      </c>
      <c r="D3386" s="4" t="s">
        <v>5097</v>
      </c>
      <c r="E3386" s="4">
        <v>0.0</v>
      </c>
      <c r="F3386" s="4" t="str">
        <f>IFERROR(__xludf.DUMMYFUNCTION("GOOGLETRANSLATE(D3386)"),"*致盧卡*他們都應該死！他們全部！一切都湮滅了！ ——阿洛伊斯‧托蘭西")</f>
        <v>*致盧卡*他們都應該死！他們全部！一切都湮滅了！ ——阿洛伊斯‧托蘭西</v>
      </c>
      <c r="G3386" s="4" t="str">
        <f>IFERROR(__xludf.DUMMYFUNCTION("GOOGLETRANSLATE(B3386)"),"被殲滅")</f>
        <v>被殲滅</v>
      </c>
    </row>
    <row r="3387" ht="15.75" customHeight="1">
      <c r="A3387" s="4">
        <v>309.0</v>
      </c>
      <c r="B3387" s="4" t="s">
        <v>176</v>
      </c>
      <c r="C3387" s="4" t="s">
        <v>5098</v>
      </c>
      <c r="D3387" s="4" t="s">
        <v>5099</v>
      </c>
      <c r="E3387" s="4">
        <v>0.0</v>
      </c>
      <c r="F3387" s="4" t="str">
        <f>IFERROR(__xludf.DUMMYFUNCTION("GOOGLETRANSLATE(D3387)"),"@ACarewornHeart 祝你好運，抱歉我不會在那裡和你一起被消滅:(")</f>
        <v>@ACarewornHeart 祝你好運，抱歉我不會在那裡和你一起被消滅:(</v>
      </c>
      <c r="G3387" s="4" t="str">
        <f>IFERROR(__xludf.DUMMYFUNCTION("GOOGLETRANSLATE(B3387)"),"被殲滅")</f>
        <v>被殲滅</v>
      </c>
    </row>
    <row r="3388" ht="15.75" customHeight="1">
      <c r="A3388" s="4">
        <v>312.0</v>
      </c>
      <c r="B3388" s="4" t="s">
        <v>176</v>
      </c>
      <c r="D3388" s="4" t="s">
        <v>5100</v>
      </c>
      <c r="E3388" s="4">
        <v>0.0</v>
      </c>
      <c r="F3388" s="4" t="str">
        <f>IFERROR(__xludf.DUMMYFUNCTION("GOOGLETRANSLATE(D3388)"),"你必須被消滅！")</f>
        <v>你必須被消滅！</v>
      </c>
      <c r="G3388" s="4" t="str">
        <f>IFERROR(__xludf.DUMMYFUNCTION("GOOGLETRANSLATE(B3388)"),"被殲滅")</f>
        <v>被殲滅</v>
      </c>
    </row>
    <row r="3389" ht="15.75" customHeight="1">
      <c r="A3389" s="4">
        <v>314.0</v>
      </c>
      <c r="B3389" s="4" t="s">
        <v>176</v>
      </c>
      <c r="C3389" s="4" t="s">
        <v>5101</v>
      </c>
      <c r="D3389" s="4" t="s">
        <v>5102</v>
      </c>
      <c r="E3389" s="4">
        <v>0.0</v>
      </c>
      <c r="F3389" s="4" t="str">
        <f>IFERROR(__xludf.DUMMYFUNCTION("GOOGLETRANSLATE(D3389)"),"繁榮！你們的國家剛剛被一個 hÛ_ ÛÓ 英國徹底消滅了 https://t.co/IrFCn71sZv")</f>
        <v>繁榮！你們的國家剛剛被一個 hÛ_ ÛÓ 英國徹底消滅了 https://t.co/IrFCn71sZv</v>
      </c>
      <c r="G3389" s="4" t="str">
        <f>IFERROR(__xludf.DUMMYFUNCTION("GOOGLETRANSLATE(B3389)"),"被殲滅")</f>
        <v>被殲滅</v>
      </c>
    </row>
    <row r="3390" ht="15.75" customHeight="1">
      <c r="A3390" s="4">
        <v>315.0</v>
      </c>
      <c r="B3390" s="4" t="s">
        <v>176</v>
      </c>
      <c r="D3390" s="4" t="s">
        <v>5103</v>
      </c>
      <c r="E3390" s="4">
        <v>0.0</v>
      </c>
      <c r="F3390" s="4" t="str">
        <f>IFERROR(__xludf.DUMMYFUNCTION("GOOGLETRANSLATE(D3390)"),"@AmirKingKhan 你會被消滅所以你不妨感謝@FloydMayweather")</f>
        <v>@AmirKingKhan 你會被消滅所以你不妨感謝@FloydMayweather</v>
      </c>
      <c r="G3390" s="4" t="str">
        <f>IFERROR(__xludf.DUMMYFUNCTION("GOOGLETRANSLATE(B3390)"),"被殲滅")</f>
        <v>被殲滅</v>
      </c>
    </row>
    <row r="3391" ht="15.75" customHeight="1">
      <c r="A3391" s="4">
        <v>316.0</v>
      </c>
      <c r="B3391" s="4" t="s">
        <v>176</v>
      </c>
      <c r="C3391" s="4" t="s">
        <v>38</v>
      </c>
      <c r="D3391" s="4" t="s">
        <v>5104</v>
      </c>
      <c r="E3391" s="4">
        <v>0.0</v>
      </c>
      <c r="F3391" s="4" t="str">
        <f>IFERROR(__xludf.DUMMYFUNCTION("GOOGLETRANSLATE(D3391)"),"有一件事是肯定的──上帝應許以色列不會被消滅。但是……伊朗核武的恐怖。 https://t.co/xn09Mx6sxy")</f>
        <v>有一件事是肯定的──上帝應許以色列不會被消滅。但是……伊朗核武的恐怖。 https://t.co/xn09Mx6sxy</v>
      </c>
      <c r="G3391" s="4" t="str">
        <f>IFERROR(__xludf.DUMMYFUNCTION("GOOGLETRANSLATE(B3391)"),"被殲滅")</f>
        <v>被殲滅</v>
      </c>
    </row>
    <row r="3392" ht="15.75" customHeight="1">
      <c r="A3392" s="4">
        <v>321.0</v>
      </c>
      <c r="B3392" s="4" t="s">
        <v>176</v>
      </c>
      <c r="C3392" s="4" t="s">
        <v>5105</v>
      </c>
      <c r="D3392" s="4" t="s">
        <v>5106</v>
      </c>
      <c r="E3392" s="4">
        <v>0.0</v>
      </c>
      <c r="F3392" s="4" t="str">
        <f>IFERROR(__xludf.DUMMYFUNCTION("GOOGLETRANSLATE(D3392)"),"第一天的選拔賽進展順利，但我很快就停下來接了一個短球，並且進一步消除了我的腳趾甲損傷")</f>
        <v>第一天的選拔賽進展順利，但我很快就停下來接了一個短球，並且進一步消除了我的腳趾甲損傷</v>
      </c>
      <c r="G3392" s="4" t="str">
        <f>IFERROR(__xludf.DUMMYFUNCTION("GOOGLETRANSLATE(B3392)"),"被殲滅")</f>
        <v>被殲滅</v>
      </c>
    </row>
    <row r="3393" ht="15.75" customHeight="1">
      <c r="A3393" s="4">
        <v>327.0</v>
      </c>
      <c r="B3393" s="4" t="s">
        <v>176</v>
      </c>
      <c r="C3393" s="4" t="s">
        <v>5107</v>
      </c>
      <c r="D3393" s="4" t="s">
        <v>5108</v>
      </c>
      <c r="E3393" s="4">
        <v>0.0</v>
      </c>
      <c r="F3393" s="4" t="str">
        <f>IFERROR(__xludf.DUMMYFUNCTION("GOOGLETRANSLATE(D3393)"),"（對盧卡）“他們都應該死！”他們全部！一切都被消滅了！ - 阿洛伊斯·托蘭西 -")</f>
        <v>（對盧卡）“他們都應該死！”他們全部！一切都被消滅了！ - 阿洛伊斯·托蘭西 -</v>
      </c>
      <c r="G3393" s="4" t="str">
        <f>IFERROR(__xludf.DUMMYFUNCTION("GOOGLETRANSLATE(B3393)"),"被殲滅")</f>
        <v>被殲滅</v>
      </c>
    </row>
    <row r="3394" ht="15.75" customHeight="1">
      <c r="A3394" s="4">
        <v>330.0</v>
      </c>
      <c r="B3394" s="4" t="s">
        <v>176</v>
      </c>
      <c r="D3394" s="4" t="s">
        <v>5109</v>
      </c>
      <c r="E3394" s="4">
        <v>0.0</v>
      </c>
      <c r="F3394" s="4" t="str">
        <f>IFERROR(__xludf.DUMMYFUNCTION("GOOGLETRANSLATE(D3394)"),"領域其他複雜性被近乎消滅的最新壯舉：ZrNf")</f>
        <v>領域其他複雜性被近乎消滅的最新壯舉：ZrNf</v>
      </c>
      <c r="G3394" s="4" t="str">
        <f>IFERROR(__xludf.DUMMYFUNCTION("GOOGLETRANSLATE(B3394)"),"被殲滅")</f>
        <v>被殲滅</v>
      </c>
    </row>
    <row r="3395" ht="15.75" customHeight="1">
      <c r="A3395" s="4">
        <v>331.0</v>
      </c>
      <c r="B3395" s="4" t="s">
        <v>176</v>
      </c>
      <c r="C3395" s="4" t="s">
        <v>5110</v>
      </c>
      <c r="D3395" s="4" t="s">
        <v>5111</v>
      </c>
      <c r="E3395" s="4">
        <v>0.0</v>
      </c>
      <c r="F3395" s="4" t="str">
        <f>IFERROR(__xludf.DUMMYFUNCTION("GOOGLETRANSLATE(D3395)"),"@stormbeard @steel_lord 我在 2005 年 Rob 回來時看過《猶大牧師》；蝎子作為支撐。他媽的毀了這個地方。令人驚嘆的演出")</f>
        <v>@stormbeard @steel_lord 我在 2005 年 Rob 回來時看過《猶大牧師》；蝎子作為支撐。他媽的毀了這個地方。令人驚嘆的演出</v>
      </c>
      <c r="G3395" s="4" t="str">
        <f>IFERROR(__xludf.DUMMYFUNCTION("GOOGLETRANSLATE(B3395)"),"被殲滅")</f>
        <v>被殲滅</v>
      </c>
    </row>
    <row r="3396" ht="15.75" customHeight="1">
      <c r="A3396" s="4">
        <v>332.0</v>
      </c>
      <c r="B3396" s="4" t="s">
        <v>176</v>
      </c>
      <c r="C3396" s="4" t="s">
        <v>5112</v>
      </c>
      <c r="D3396" s="4" t="s">
        <v>5113</v>
      </c>
      <c r="E3396" s="4">
        <v>0.0</v>
      </c>
      <c r="F3396" s="4" t="str">
        <f>IFERROR(__xludf.DUMMYFUNCTION("GOOGLETRANSLATE(D3396)"),"正式跳過#FantasticFour/#Fant4stic/無論主題標籤是什麼。它在評論中被消滅了。真糟糕。")</f>
        <v>正式跳過#FantasticFour/#Fant4stic/無論主題標籤是什麼。它在評論中被消滅了。真糟糕。</v>
      </c>
      <c r="G3396" s="4" t="str">
        <f>IFERROR(__xludf.DUMMYFUNCTION("GOOGLETRANSLATE(B3396)"),"被殲滅")</f>
        <v>被殲滅</v>
      </c>
    </row>
    <row r="3397" ht="15.75" customHeight="1">
      <c r="A3397" s="4">
        <v>335.0</v>
      </c>
      <c r="B3397" s="4" t="s">
        <v>176</v>
      </c>
      <c r="C3397" s="4" t="s">
        <v>5114</v>
      </c>
      <c r="D3397" s="4" t="s">
        <v>5115</v>
      </c>
      <c r="E3397" s="4">
        <v>0.0</v>
      </c>
      <c r="F3397" s="4" t="str">
        <f>IFERROR(__xludf.DUMMYFUNCTION("GOOGLETRANSLATE(D3397)"),"剛剛和保羅·基岡一起徹底消滅了切赫，這是多麼美好的時光啊")</f>
        <v>剛剛和保羅·基岡一起徹底消滅了切赫，這是多麼美好的時光啊</v>
      </c>
      <c r="G3397" s="4" t="str">
        <f>IFERROR(__xludf.DUMMYFUNCTION("GOOGLETRANSLATE(B3397)"),"被殲滅")</f>
        <v>被殲滅</v>
      </c>
    </row>
    <row r="3398" ht="15.75" customHeight="1">
      <c r="A3398" s="4">
        <v>336.0</v>
      </c>
      <c r="B3398" s="4" t="s">
        <v>176</v>
      </c>
      <c r="D3398" s="4" t="s">
        <v>5116</v>
      </c>
      <c r="E3398" s="4">
        <v>0.0</v>
      </c>
      <c r="F3398" s="4" t="str">
        <f>IFERROR(__xludf.DUMMYFUNCTION("GOOGLETRANSLATE(D3398)"),"@TomcatArts'然後被軍團本身消滅了。不完美的混合計劃的倖存者很快就組成了一個新的秘密小組")</f>
        <v>@TomcatArts'然後被軍團本身消滅了。不完美的混合計劃的倖存者很快就組成了一個新的秘密小組</v>
      </c>
      <c r="G3398" s="4" t="str">
        <f>IFERROR(__xludf.DUMMYFUNCTION("GOOGLETRANSLATE(B3398)"),"被殲滅")</f>
        <v>被殲滅</v>
      </c>
    </row>
    <row r="3399" ht="15.75" customHeight="1">
      <c r="A3399" s="4">
        <v>337.0</v>
      </c>
      <c r="B3399" s="4" t="s">
        <v>176</v>
      </c>
      <c r="C3399" s="4" t="s">
        <v>5117</v>
      </c>
      <c r="D3399" s="4" t="s">
        <v>5118</v>
      </c>
      <c r="E3399" s="4">
        <v>0.0</v>
      </c>
      <c r="F3399" s="4" t="str">
        <f>IFERROR(__xludf.DUMMYFUNCTION("GOOGLETRANSLATE(D3399)"),"@SirBrandonKnt 完全正確。這就是為什麼去年夏日狂潮中萊斯納/塞納的比賽如此精彩，因為布洛克消滅了一個")</f>
        <v>@SirBrandonKnt 完全正確。這就是為什麼去年夏日狂潮中萊斯納/塞納的比賽如此精彩，因為布洛克消滅了一個</v>
      </c>
      <c r="G3399" s="4" t="str">
        <f>IFERROR(__xludf.DUMMYFUNCTION("GOOGLETRANSLATE(B3399)"),"被殲滅")</f>
        <v>被殲滅</v>
      </c>
    </row>
    <row r="3400" ht="15.75" customHeight="1">
      <c r="A3400" s="4">
        <v>341.0</v>
      </c>
      <c r="B3400" s="4" t="s">
        <v>176</v>
      </c>
      <c r="D3400" s="4" t="s">
        <v>5119</v>
      </c>
      <c r="E3400" s="4">
        <v>0.0</v>
      </c>
      <c r="F3400" s="4" t="str">
        <f>IFERROR(__xludf.DUMMYFUNCTION("GOOGLETRANSLATE(D3400)"),"@thatdes 好吧，我並不完全直率，我可能也曾因烤肉串/芝麻醬/泡菜而陷入食物昏迷狀態，我也用薯條消滅了它")</f>
        <v>@thatdes 好吧，我並不完全直率，我可能也曾因烤肉串/芝麻醬/泡菜而陷入食物昏迷狀態，我也用薯條消滅了它</v>
      </c>
      <c r="G3400" s="4" t="str">
        <f>IFERROR(__xludf.DUMMYFUNCTION("GOOGLETRANSLATE(B3400)"),"被殲滅")</f>
        <v>被殲滅</v>
      </c>
    </row>
    <row r="3401" ht="15.75" customHeight="1">
      <c r="A3401" s="4">
        <v>344.0</v>
      </c>
      <c r="B3401" s="4" t="s">
        <v>176</v>
      </c>
      <c r="C3401" s="4" t="s">
        <v>183</v>
      </c>
      <c r="D3401" s="4" t="s">
        <v>5120</v>
      </c>
      <c r="E3401" s="4">
        <v>0.0</v>
      </c>
      <c r="F3401" s="4" t="str">
        <f>IFERROR(__xludf.DUMMYFUNCTION("GOOGLETRANSLATE(D3401)"),"在卡姆登的西蒙斯酒吧與這位英俊的人度過了充滿樂趣的歡樂時光？ （除了這款遊戲我就被殲滅了）http://t.co/4JNo677Zkv")</f>
        <v>在卡姆登的西蒙斯酒吧與這位英俊的人度過了充滿樂趣的歡樂時光？ （除了這款遊戲我就被殲滅了）http://t.co/4JNo677Zkv</v>
      </c>
      <c r="G3401" s="4" t="str">
        <f>IFERROR(__xludf.DUMMYFUNCTION("GOOGLETRANSLATE(B3401)"),"被殲滅")</f>
        <v>被殲滅</v>
      </c>
    </row>
    <row r="3402" ht="15.75" customHeight="1">
      <c r="A3402" s="4">
        <v>345.0</v>
      </c>
      <c r="B3402" s="4" t="s">
        <v>176</v>
      </c>
      <c r="C3402" s="4" t="s">
        <v>5121</v>
      </c>
      <c r="D3402" s="4" t="s">
        <v>5122</v>
      </c>
      <c r="E3402" s="4">
        <v>0.0</v>
      </c>
      <c r="F3402" s="4" t="str">
        <f>IFERROR(__xludf.DUMMYFUNCTION("GOOGLETRANSLATE(D3402)"),"老胡安尼·貝斯波爾 (Juanny Beisbol Sr.) 消滅了那個球。 #LGM")</f>
        <v>老胡安尼·貝斯波爾 (Juanny Beisbol Sr.) 消滅了那個球。 #LGM</v>
      </c>
      <c r="G3402" s="4" t="str">
        <f>IFERROR(__xludf.DUMMYFUNCTION("GOOGLETRANSLATE(B3402)"),"被殲滅")</f>
        <v>被殲滅</v>
      </c>
    </row>
    <row r="3403" ht="15.75" customHeight="1">
      <c r="A3403" s="4">
        <v>347.0</v>
      </c>
      <c r="B3403" s="4" t="s">
        <v>192</v>
      </c>
      <c r="D3403" s="4" t="s">
        <v>5123</v>
      </c>
      <c r="E3403" s="4">
        <v>0.0</v>
      </c>
      <c r="F3403" s="4" t="str">
        <f>IFERROR(__xludf.DUMMYFUNCTION("GOOGLETRANSLATE(D3403)"),"@美國總統也許我們應該打電話給以色列，告訴他們我們很抱歉，總統已經把他們賣到了河下游，讓他們被消滅。")</f>
        <v>@美國總統也許我們應該打電話給以色列，告訴他們我們很抱歉，總統已經把他們賣到了河下游，讓他們被消滅。</v>
      </c>
      <c r="G3403" s="4" t="str">
        <f>IFERROR(__xludf.DUMMYFUNCTION("GOOGLETRANSLATE(B3403)"),"殲滅")</f>
        <v>殲滅</v>
      </c>
    </row>
    <row r="3404" ht="15.75" customHeight="1">
      <c r="A3404" s="4">
        <v>348.0</v>
      </c>
      <c r="B3404" s="4" t="s">
        <v>192</v>
      </c>
      <c r="D3404" s="4" t="s">
        <v>5124</v>
      </c>
      <c r="E3404" s="4">
        <v>0.0</v>
      </c>
      <c r="F3404" s="4" t="str">
        <f>IFERROR(__xludf.DUMMYFUNCTION("GOOGLETRANSLATE(D3404)"),"Evildead - 文明的毀滅 http://t.co/sPfkE5Kqu4")</f>
        <v>Evildead - 文明的毀滅 http://t.co/sPfkE5Kqu4</v>
      </c>
      <c r="G3404" s="4" t="str">
        <f>IFERROR(__xludf.DUMMYFUNCTION("GOOGLETRANSLATE(B3404)"),"殲滅")</f>
        <v>殲滅</v>
      </c>
    </row>
    <row r="3405" ht="15.75" customHeight="1">
      <c r="A3405" s="4">
        <v>349.0</v>
      </c>
      <c r="B3405" s="4" t="s">
        <v>192</v>
      </c>
      <c r="D3405" s="4" t="s">
        <v>5125</v>
      </c>
      <c r="E3405" s="4">
        <v>0.0</v>
      </c>
      <c r="F3405" s="4" t="str">
        <f>IFERROR(__xludf.DUMMYFUNCTION("GOOGLETRANSLATE(D3405)"),"美國國家公園管理局 Tonto 國家森林：阻止鹽河野馬的滅絕... http://t.co/6LoJOoROuk 來自 @Change")</f>
        <v>美國國家公園管理局 Tonto 國家森林：阻止鹽河野馬的滅絕... http://t.co/6LoJOoROuk 來自 @Change</v>
      </c>
      <c r="G3405" s="4" t="str">
        <f>IFERROR(__xludf.DUMMYFUNCTION("GOOGLETRANSLATE(B3405)"),"殲滅")</f>
        <v>殲滅</v>
      </c>
    </row>
    <row r="3406" ht="15.75" customHeight="1">
      <c r="A3406" s="4">
        <v>353.0</v>
      </c>
      <c r="B3406" s="4" t="s">
        <v>192</v>
      </c>
      <c r="C3406" s="4" t="s">
        <v>206</v>
      </c>
      <c r="D3406" s="4" t="s">
        <v>5126</v>
      </c>
      <c r="E3406" s="4">
        <v>0.0</v>
      </c>
      <c r="F3406" s="4" t="str">
        <f>IFERROR(__xludf.DUMMYFUNCTION("GOOGLETRANSLATE(D3406)"),"世界毀滅 vs 自我改造 http://t.co/pyehwodWun 外星人攻擊消滅人類 http://t.co/pB2N77nSKz")</f>
        <v>世界毀滅 vs 自我改造 http://t.co/pyehwodWun 外星人攻擊消滅人類 http://t.co/pB2N77nSKz</v>
      </c>
      <c r="G3406" s="4" t="str">
        <f>IFERROR(__xludf.DUMMYFUNCTION("GOOGLETRANSLATE(B3406)"),"殲滅")</f>
        <v>殲滅</v>
      </c>
    </row>
    <row r="3407" ht="15.75" customHeight="1">
      <c r="A3407" s="4">
        <v>355.0</v>
      </c>
      <c r="B3407" s="4" t="s">
        <v>192</v>
      </c>
      <c r="D3407" s="4" t="s">
        <v>5127</v>
      </c>
      <c r="E3407" s="4">
        <v>0.0</v>
      </c>
      <c r="F3407" s="4" t="str">
        <f>IFERROR(__xludf.DUMMYFUNCTION("GOOGLETRANSLATE(D3407)"),"美國國家公園服務通托國家森林：阻止鹽河野馬的滅絕...... https://t.co/m8MvDSPJp7 來自 @Change")</f>
        <v>美國國家公園服務通托國家森林：阻止鹽河野馬的滅絕...... https://t.co/m8MvDSPJp7 來自 @Change</v>
      </c>
      <c r="G3407" s="4" t="str">
        <f>IFERROR(__xludf.DUMMYFUNCTION("GOOGLETRANSLATE(B3407)"),"殲滅")</f>
        <v>殲滅</v>
      </c>
    </row>
    <row r="3408" ht="15.75" customHeight="1">
      <c r="A3408" s="4">
        <v>358.0</v>
      </c>
      <c r="B3408" s="4" t="s">
        <v>192</v>
      </c>
      <c r="C3408" s="4" t="s">
        <v>5128</v>
      </c>
      <c r="D3408" s="4" t="s">
        <v>5129</v>
      </c>
      <c r="E3408" s="4">
        <v>0.0</v>
      </c>
      <c r="F3408" s="4" t="str">
        <f>IFERROR(__xludf.DUMMYFUNCTION("GOOGLETRANSLATE(D3408)"),"@KimKardashian，您可以簽署並分享這份拯救亞利桑那州野馬的請願書嗎？ http://t.co/3tsSXPHuFE ????")</f>
        <v>@KimKardashian，您可以簽署並分享這份拯救亞利桑那州野馬的請願書嗎？ http://t.co/3tsSXPHuFE ????</v>
      </c>
      <c r="G3408" s="4" t="str">
        <f>IFERROR(__xludf.DUMMYFUNCTION("GOOGLETRANSLATE(B3408)"),"殲滅")</f>
        <v>殲滅</v>
      </c>
    </row>
    <row r="3409" ht="15.75" customHeight="1">
      <c r="A3409" s="4">
        <v>361.0</v>
      </c>
      <c r="B3409" s="4" t="s">
        <v>192</v>
      </c>
      <c r="C3409" s="4" t="s">
        <v>199</v>
      </c>
      <c r="D3409" s="4" t="s">
        <v>5130</v>
      </c>
      <c r="E3409" s="4">
        <v>0.0</v>
      </c>
      <c r="F3409" s="4" t="str">
        <f>IFERROR(__xludf.DUMMYFUNCTION("GOOGLETRANSLATE(D3409)"),"@TheEllenShow 請查看鹽河馬，如果沒有 54000 個簽名，請幫助阻止即將發生的毀滅。change .org 謝謝")</f>
        <v>@TheEllenShow 請查看鹽河馬，如果沒有 54000 個簽名，請幫助阻止即將發生的毀滅。change .org 謝謝</v>
      </c>
      <c r="G3409" s="4" t="str">
        <f>IFERROR(__xludf.DUMMYFUNCTION("GOOGLETRANSLATE(B3409)"),"殲滅")</f>
        <v>殲滅</v>
      </c>
    </row>
    <row r="3410" ht="15.75" customHeight="1">
      <c r="A3410" s="4">
        <v>363.0</v>
      </c>
      <c r="B3410" s="4" t="s">
        <v>192</v>
      </c>
      <c r="C3410" s="4" t="s">
        <v>627</v>
      </c>
      <c r="D3410" s="4" t="s">
        <v>5131</v>
      </c>
      <c r="E3410" s="4">
        <v>0.0</v>
      </c>
      <c r="F3410" s="4" t="str">
        <f>IFERROR(__xludf.DUMMYFUNCTION("GOOGLETRANSLATE(D3410)"),"靈魂會受到毀滅的懲罰嗎？ http://t.co/c1QXJWeQQU http://t.co/Zhp0SOwXRy")</f>
        <v>靈魂會受到毀滅的懲罰嗎？ http://t.co/c1QXJWeQQU http://t.co/Zhp0SOwXRy</v>
      </c>
      <c r="G3410" s="4" t="str">
        <f>IFERROR(__xludf.DUMMYFUNCTION("GOOGLETRANSLATE(B3410)"),"殲滅")</f>
        <v>殲滅</v>
      </c>
    </row>
    <row r="3411" ht="15.75" customHeight="1">
      <c r="A3411" s="4">
        <v>368.0</v>
      </c>
      <c r="B3411" s="4" t="s">
        <v>192</v>
      </c>
      <c r="C3411" s="4" t="s">
        <v>5132</v>
      </c>
      <c r="D3411" s="4" t="s">
        <v>5133</v>
      </c>
      <c r="E3411" s="4">
        <v>0.0</v>
      </c>
      <c r="F3411" s="4" t="str">
        <f>IFERROR(__xludf.DUMMYFUNCTION("GOOGLETRANSLATE(D3411)"),"我拒絕被誤導的假先知監禁國家助長自我毀滅的法律")</f>
        <v>我拒絕被誤導的假先知監禁國家助長自我毀滅的法律</v>
      </c>
      <c r="G3411" s="4" t="str">
        <f>IFERROR(__xludf.DUMMYFUNCTION("GOOGLETRANSLATE(B3411)"),"殲滅")</f>
        <v>殲滅</v>
      </c>
    </row>
    <row r="3412" ht="15.75" customHeight="1">
      <c r="A3412" s="4">
        <v>370.0</v>
      </c>
      <c r="B3412" s="4" t="s">
        <v>192</v>
      </c>
      <c r="C3412" s="4" t="s">
        <v>5134</v>
      </c>
      <c r="D3412" s="4" t="s">
        <v>5135</v>
      </c>
      <c r="E3412" s="4">
        <v>0.0</v>
      </c>
      <c r="F3412" s="4" t="str">
        <f>IFERROR(__xludf.DUMMYFUNCTION("GOOGLETRANSLATE(D3412)"),"美國國家公園服務通托國家森林：阻止鹽河野馬的滅絕...... https://t.co/MatIJwkzbh 來自 @Change")</f>
        <v>美國國家公園服務通托國家森林：阻止鹽河野馬的滅絕...... https://t.co/MatIJwkzbh 來自 @Change</v>
      </c>
      <c r="G3412" s="4" t="str">
        <f>IFERROR(__xludf.DUMMYFUNCTION("GOOGLETRANSLATE(B3412)"),"殲滅")</f>
        <v>殲滅</v>
      </c>
    </row>
    <row r="3413" ht="15.75" customHeight="1">
      <c r="A3413" s="4">
        <v>371.0</v>
      </c>
      <c r="B3413" s="4" t="s">
        <v>192</v>
      </c>
      <c r="C3413" s="4" t="s">
        <v>255</v>
      </c>
      <c r="D3413" s="4" t="s">
        <v>5136</v>
      </c>
      <c r="E3413" s="4">
        <v>0.0</v>
      </c>
      <c r="F3413" s="4" t="str">
        <f>IFERROR(__xludf.DUMMYFUNCTION("GOOGLETRANSLATE(D3413)"),"傑布·克里斯蒂和傑布·克里斯蒂的滅亡距離卡西奇不到 24 小時路程。
求上帝再給我多一天的時間…")</f>
        <v>傑布·克里斯蒂和傑布·克里斯蒂的滅亡距離卡西奇不到 24 小時路程。
求上帝再給我多一天的時間…</v>
      </c>
      <c r="G3413" s="4" t="str">
        <f>IFERROR(__xludf.DUMMYFUNCTION("GOOGLETRANSLATE(B3413)"),"殲滅")</f>
        <v>殲滅</v>
      </c>
    </row>
    <row r="3414" ht="15.75" customHeight="1">
      <c r="A3414" s="4">
        <v>372.0</v>
      </c>
      <c r="B3414" s="4" t="s">
        <v>192</v>
      </c>
      <c r="D3414" s="4" t="s">
        <v>5137</v>
      </c>
      <c r="E3414" s="4">
        <v>0.0</v>
      </c>
      <c r="F3414" s="4" t="str">
        <f>IFERROR(__xludf.DUMMYFUNCTION("GOOGLETRANSLATE(D3414)"),"@Barbi_Twins 我們需要幫助－馬會死！請轉發並簽署請願書！表明立場並採取行動為他們發聲！ #gilbert23 https://t.co/e8dl1lNCVu")</f>
        <v>@Barbi_Twins 我們需要幫助－馬會死！請轉發並簽署請願書！表明立場並採取行動為他們發聲！ #gilbert23 https://t.co/e8dl1lNCVu</v>
      </c>
      <c r="G3414" s="4" t="str">
        <f>IFERROR(__xludf.DUMMYFUNCTION("GOOGLETRANSLATE(B3414)"),"殲滅")</f>
        <v>殲滅</v>
      </c>
    </row>
    <row r="3415" ht="15.75" customHeight="1">
      <c r="A3415" s="4">
        <v>375.0</v>
      </c>
      <c r="B3415" s="4" t="s">
        <v>192</v>
      </c>
      <c r="D3415" s="4" t="s">
        <v>5138</v>
      </c>
      <c r="E3415" s="4">
        <v>0.0</v>
      </c>
      <c r="F3415" s="4" t="str">
        <f>IFERROR(__xludf.DUMMYFUNCTION("GOOGLETRANSLATE(D3415)"),"@Whippenz 我們需要幫忙！馬會死！請RT &amp;amp;簽署請願書！表明立場並為他們發聲！ #gilbert23 https://t.co/e8dl1lNCVu")</f>
        <v>@Whippenz 我們需要幫忙！馬會死！請RT &amp;amp;簽署請願書！表明立場並為他們發聲！ #gilbert23 https://t.co/e8dl1lNCVu</v>
      </c>
      <c r="G3415" s="4" t="str">
        <f>IFERROR(__xludf.DUMMYFUNCTION("GOOGLETRANSLATE(B3415)"),"殲滅")</f>
        <v>殲滅</v>
      </c>
    </row>
    <row r="3416" ht="15.75" customHeight="1">
      <c r="A3416" s="4">
        <v>380.0</v>
      </c>
      <c r="B3416" s="4" t="s">
        <v>192</v>
      </c>
      <c r="C3416" s="4" t="s">
        <v>395</v>
      </c>
      <c r="D3416" s="4" t="s">
        <v>5139</v>
      </c>
      <c r="E3416" s="4">
        <v>0.0</v>
      </c>
      <c r="F3416" s="4" t="str">
        <f>IFERROR(__xludf.DUMMYFUNCTION("GOOGLETRANSLATE(D3416)"),"嘿#AZ：簽署這份請願書以拯救#WildHorses @ #TantoNationalForest！ @RollingStones 長唱是為了：http://t.co/WM5l8PJ2iY")</f>
        <v>嘿#AZ：簽署這份請願書以拯救#WildHorses @ #TantoNationalForest！ @RollingStones 長唱是為了：http://t.co/WM5l8PJ2iY</v>
      </c>
      <c r="G3416" s="4" t="str">
        <f>IFERROR(__xludf.DUMMYFUNCTION("GOOGLETRANSLATE(B3416)"),"殲滅")</f>
        <v>殲滅</v>
      </c>
    </row>
    <row r="3417" ht="15.75" customHeight="1">
      <c r="A3417" s="4">
        <v>383.0</v>
      </c>
      <c r="B3417" s="4" t="s">
        <v>192</v>
      </c>
      <c r="C3417" s="4" t="s">
        <v>4559</v>
      </c>
      <c r="D3417" s="4" t="s">
        <v>5140</v>
      </c>
      <c r="E3417" s="4">
        <v>0.0</v>
      </c>
      <c r="F3417" s="4" t="str">
        <f>IFERROR(__xludf.DUMMYFUNCTION("GOOGLETRANSLATE(D3417)"),"@SonofBaldwin，他是我查到的最後一本書中的現任 Nova。2011 年，Rider 在殲滅期間死亡後，他就被綁在了書中。")</f>
        <v>@SonofBaldwin，他是我查到的最後一本書中的現任 Nova。2011 年，Rider 在殲滅期間死亡後，他就被綁在了書中。</v>
      </c>
      <c r="G3417" s="4" t="str">
        <f>IFERROR(__xludf.DUMMYFUNCTION("GOOGLETRANSLATE(B3417)"),"殲滅")</f>
        <v>殲滅</v>
      </c>
    </row>
    <row r="3418" ht="15.75" customHeight="1">
      <c r="A3418" s="4">
        <v>384.0</v>
      </c>
      <c r="B3418" s="4" t="s">
        <v>192</v>
      </c>
      <c r="C3418" s="4" t="s">
        <v>5141</v>
      </c>
      <c r="D3418" s="4" t="s">
        <v>5142</v>
      </c>
      <c r="E3418" s="4">
        <v>0.0</v>
      </c>
      <c r="F3418" s="4" t="str">
        <f>IFERROR(__xludf.DUMMYFUNCTION("GOOGLETRANSLATE(D3418)"),"美國國家公園服務通托國家森林：阻止鹽河野馬的滅絕...... https://t.co/x2Wn7O2a3w 來自 @Change")</f>
        <v>美國國家公園服務通托國家森林：阻止鹽河野馬的滅絕...... https://t.co/x2Wn7O2a3w 來自 @Change</v>
      </c>
      <c r="G3418" s="4" t="str">
        <f>IFERROR(__xludf.DUMMYFUNCTION("GOOGLETRANSLATE(B3418)"),"殲滅")</f>
        <v>殲滅</v>
      </c>
    </row>
    <row r="3419" ht="15.75" customHeight="1">
      <c r="A3419" s="4">
        <v>386.0</v>
      </c>
      <c r="B3419" s="4" t="s">
        <v>192</v>
      </c>
      <c r="D3419" s="4" t="s">
        <v>5143</v>
      </c>
      <c r="E3419" s="4">
        <v>0.0</v>
      </c>
      <c r="F3419" s="4" t="str">
        <f>IFERROR(__xludf.DUMMYFUNCTION("GOOGLETRANSLATE(D3419)"),"請簽名&amp;amp; RT 保存#SaltRiverWildHorses http://t.co/IKUAYUSEqt http://t.co/BQBHUyfmE9")</f>
        <v>請簽名&amp;amp; RT 保存#SaltRiverWildHorses http://t.co/IKUAYUSEqt http://t.co/BQBHUyfmE9</v>
      </c>
      <c r="G3419" s="4" t="str">
        <f>IFERROR(__xludf.DUMMYFUNCTION("GOOGLETRANSLATE(B3419)"),"殲滅")</f>
        <v>殲滅</v>
      </c>
    </row>
    <row r="3420" ht="15.75" customHeight="1">
      <c r="A3420" s="4">
        <v>389.0</v>
      </c>
      <c r="B3420" s="4" t="s">
        <v>192</v>
      </c>
      <c r="D3420" s="4" t="s">
        <v>5144</v>
      </c>
      <c r="E3420" s="4">
        <v>0.0</v>
      </c>
      <c r="F3420" s="4" t="str">
        <f>IFERROR(__xludf.DUMMYFUNCTION("GOOGLETRANSLATE(D3420)"),"謝謝！！！！！ @但丁伯爵。 :) 請跟隨@ANNIHILATION ZONE 加入我們。強尼。")</f>
        <v>謝謝！！！！！ @但丁伯爵。 :) 請跟隨@ANNIHILATION ZONE 加入我們。強尼。</v>
      </c>
      <c r="G3420" s="4" t="str">
        <f>IFERROR(__xludf.DUMMYFUNCTION("GOOGLETRANSLATE(B3420)"),"殲滅")</f>
        <v>殲滅</v>
      </c>
    </row>
    <row r="3421" ht="15.75" customHeight="1">
      <c r="A3421" s="4">
        <v>393.0</v>
      </c>
      <c r="B3421" s="4" t="s">
        <v>192</v>
      </c>
      <c r="C3421" s="4" t="s">
        <v>5145</v>
      </c>
      <c r="D3421" s="4" t="s">
        <v>5146</v>
      </c>
      <c r="E3421" s="4">
        <v>0.0</v>
      </c>
      <c r="F3421" s="4" t="str">
        <f>IFERROR(__xludf.DUMMYFUNCTION("GOOGLETRANSLATE(D3421)"),"美國國家公園服務通托國家森林：阻止鹽河野馬的滅絕...... https://t.co/0fekgyBY5F 來自 @Change")</f>
        <v>美國國家公園服務通托國家森林：阻止鹽河野馬的滅絕...... https://t.co/0fekgyBY5F 來自 @Change</v>
      </c>
      <c r="G3421" s="4" t="str">
        <f>IFERROR(__xludf.DUMMYFUNCTION("GOOGLETRANSLATE(B3421)"),"殲滅")</f>
        <v>殲滅</v>
      </c>
    </row>
    <row r="3422" ht="15.75" customHeight="1">
      <c r="A3422" s="4">
        <v>396.0</v>
      </c>
      <c r="B3422" s="4" t="s">
        <v>210</v>
      </c>
      <c r="C3422" s="4" t="s">
        <v>5147</v>
      </c>
      <c r="D3422" s="4" t="s">
        <v>5148</v>
      </c>
      <c r="E3422" s="4">
        <v>0.0</v>
      </c>
      <c r="F3422" s="4" t="str">
        <f>IFERROR(__xludf.DUMMYFUNCTION("GOOGLETRANSLATE(D3422)"),"我一到那裡就要和泰勒戰鬥。")</f>
        <v>我一到那裡就要和泰勒戰鬥。</v>
      </c>
      <c r="G3422" s="4" t="str">
        <f>IFERROR(__xludf.DUMMYFUNCTION("GOOGLETRANSLATE(B3422)"),"啟示錄")</f>
        <v>啟示錄</v>
      </c>
    </row>
    <row r="3423" ht="15.75" customHeight="1">
      <c r="A3423" s="4">
        <v>398.0</v>
      </c>
      <c r="B3423" s="4" t="s">
        <v>210</v>
      </c>
      <c r="D3423" s="4" t="s">
        <v>5149</v>
      </c>
      <c r="E3423" s="4">
        <v>0.0</v>
      </c>
      <c r="F3423" s="4" t="str">
        <f>IFERROR(__xludf.DUMMYFUNCTION("GOOGLETRANSLATE(D3423)"),"還會有另一個喬斯林生日啟示錄嗎")</f>
        <v>還會有另一個喬斯林生日啟示錄嗎</v>
      </c>
      <c r="G3423" s="4" t="str">
        <f>IFERROR(__xludf.DUMMYFUNCTION("GOOGLETRANSLATE(B3423)"),"啟示錄")</f>
        <v>啟示錄</v>
      </c>
    </row>
    <row r="3424" ht="15.75" customHeight="1">
      <c r="A3424" s="4">
        <v>401.0</v>
      </c>
      <c r="B3424" s="4" t="s">
        <v>210</v>
      </c>
      <c r="D3424" s="4" t="s">
        <v>5150</v>
      </c>
      <c r="E3424" s="4">
        <v>0.0</v>
      </c>
      <c r="F3424" s="4" t="str">
        <f>IFERROR(__xludf.DUMMYFUNCTION("GOOGLETRANSLATE(D3424)"),"RT：janenelson097：RT StephenSCIFI：改編觀看：查理人類的《啟示錄》現在被選為電影#sciencefiction Û_")</f>
        <v>RT：janenelson097：RT StephenSCIFI：改編觀看：查理人類的《啟示錄》現在被選為電影#sciencefiction Û_</v>
      </c>
      <c r="G3424" s="4" t="str">
        <f>IFERROR(__xludf.DUMMYFUNCTION("GOOGLETRANSLATE(B3424)"),"啟示錄")</f>
        <v>啟示錄</v>
      </c>
    </row>
    <row r="3425" ht="15.75" customHeight="1">
      <c r="A3425" s="4">
        <v>402.0</v>
      </c>
      <c r="B3425" s="4" t="s">
        <v>210</v>
      </c>
      <c r="C3425" s="4" t="s">
        <v>1248</v>
      </c>
      <c r="D3425" s="4" t="s">
        <v>5151</v>
      </c>
      <c r="E3425" s="4">
        <v>0.0</v>
      </c>
      <c r="F3425" s="4" t="str">
        <f>IFERROR(__xludf.DUMMYFUNCTION("GOOGLETRANSLATE(D3425)"),"請啟示錄")</f>
        <v>請啟示錄</v>
      </c>
      <c r="G3425" s="4" t="str">
        <f>IFERROR(__xludf.DUMMYFUNCTION("GOOGLETRANSLATE(B3425)"),"啟示錄")</f>
        <v>啟示錄</v>
      </c>
    </row>
    <row r="3426" ht="15.75" customHeight="1">
      <c r="A3426" s="4">
        <v>406.0</v>
      </c>
      <c r="B3426" s="4" t="s">
        <v>210</v>
      </c>
      <c r="C3426" s="4" t="s">
        <v>1248</v>
      </c>
      <c r="D3426" s="4" t="s">
        <v>5152</v>
      </c>
      <c r="E3426" s="4">
        <v>0.0</v>
      </c>
      <c r="F3426" s="4" t="str">
        <f>IFERROR(__xludf.DUMMYFUNCTION("GOOGLETRANSLATE(D3426)"),"@HoneyBunzGem @primalkitchen 我覺得我做引體向上是天啟的階段之一。")</f>
        <v>@HoneyBunzGem @primalkitchen 我覺得我做引體向上是天啟的階段之一。</v>
      </c>
      <c r="G3426" s="4" t="str">
        <f>IFERROR(__xludf.DUMMYFUNCTION("GOOGLETRANSLATE(B3426)"),"啟示錄")</f>
        <v>啟示錄</v>
      </c>
    </row>
    <row r="3427" ht="15.75" customHeight="1">
      <c r="A3427" s="4">
        <v>407.0</v>
      </c>
      <c r="B3427" s="4" t="s">
        <v>210</v>
      </c>
      <c r="D3427" s="4" t="s">
        <v>5153</v>
      </c>
      <c r="E3427" s="4">
        <v>0.0</v>
      </c>
      <c r="F3427" s="4" t="str">
        <f>IFERROR(__xludf.DUMMYFUNCTION("GOOGLETRANSLATE(D3427)"),"她今天在廣播中的表現相當火爆。下一步是什麼？人人都有病？世界末日已經開始了每個人。當心。")</f>
        <v>她今天在廣播中的表現相當火爆。下一步是什麼？人人都有病？世界末日已經開始了每個人。當心。</v>
      </c>
      <c r="G3427" s="4" t="str">
        <f>IFERROR(__xludf.DUMMYFUNCTION("GOOGLETRANSLATE(B3427)"),"啟示錄")</f>
        <v>啟示錄</v>
      </c>
    </row>
    <row r="3428" ht="15.75" customHeight="1">
      <c r="A3428" s="4">
        <v>409.0</v>
      </c>
      <c r="B3428" s="4" t="s">
        <v>210</v>
      </c>
      <c r="C3428" s="4" t="s">
        <v>5154</v>
      </c>
      <c r="D3428" s="4" t="s">
        <v>5155</v>
      </c>
      <c r="E3428" s="4">
        <v>0.0</v>
      </c>
      <c r="F3428" s="4" t="str">
        <f>IFERROR(__xludf.DUMMYFUNCTION("GOOGLETRANSLATE(D3428)"),"但如果這是啟示錄哈哈 gf m8")</f>
        <v>但如果這是啟示錄哈哈 gf m8</v>
      </c>
      <c r="G3428" s="4" t="str">
        <f>IFERROR(__xludf.DUMMYFUNCTION("GOOGLETRANSLATE(B3428)"),"啟示錄")</f>
        <v>啟示錄</v>
      </c>
    </row>
    <row r="3429" ht="15.75" customHeight="1">
      <c r="A3429" s="4">
        <v>412.0</v>
      </c>
      <c r="B3429" s="4" t="s">
        <v>210</v>
      </c>
      <c r="C3429" s="4" t="s">
        <v>5156</v>
      </c>
      <c r="D3429" s="4" t="s">
        <v>5157</v>
      </c>
      <c r="E3429" s="4">
        <v>0.0</v>
      </c>
      <c r="F3429" s="4" t="str">
        <f>IFERROR(__xludf.DUMMYFUNCTION("GOOGLETRANSLATE(D3429)"),"朱莉+R是羅密歐+茱麗葉的天啟版本#warmbodies")</f>
        <v>朱莉+R是羅密歐+茱麗葉的天啟版本#warmbodies</v>
      </c>
      <c r="G3429" s="4" t="str">
        <f>IFERROR(__xludf.DUMMYFUNCTION("GOOGLETRANSLATE(B3429)"),"啟示錄")</f>
        <v>啟示錄</v>
      </c>
    </row>
    <row r="3430" ht="15.75" customHeight="1">
      <c r="A3430" s="4">
        <v>413.0</v>
      </c>
      <c r="B3430" s="4" t="s">
        <v>210</v>
      </c>
      <c r="D3430" s="4" t="s">
        <v>5158</v>
      </c>
      <c r="E3430" s="4">
        <v>0.0</v>
      </c>
      <c r="F3430" s="4" t="str">
        <f>IFERROR(__xludf.DUMMYFUNCTION("GOOGLETRANSLATE(D3430)"),"世界末日即將來臨")</f>
        <v>世界末日即將來臨</v>
      </c>
      <c r="G3430" s="4" t="str">
        <f>IFERROR(__xludf.DUMMYFUNCTION("GOOGLETRANSLATE(B3430)"),"啟示錄")</f>
        <v>啟示錄</v>
      </c>
    </row>
    <row r="3431" ht="15.75" customHeight="1">
      <c r="A3431" s="4">
        <v>415.0</v>
      </c>
      <c r="B3431" s="4" t="s">
        <v>210</v>
      </c>
      <c r="D3431" s="4" t="s">
        <v>5159</v>
      </c>
      <c r="E3431" s="4">
        <v>0.0</v>
      </c>
      <c r="F3431" s="4" t="str">
        <f>IFERROR(__xludf.DUMMYFUNCTION("GOOGLETRANSLATE(D3431)"),"RT: fittscott: Minecraft- NIGHT LUCKY BLOCK MOD (BOB APOCALYPSEWITHER 2.0 &amp;amp; MORE!) Mod Showcase Popupmmos: http://t.co/MuL1J9AEUx viÛ_")</f>
        <v>RT: fittscott: Minecraft- NIGHT LUCKY BLOCK MOD (BOB APOCALYPSEWITHER 2.0 &amp;amp; MORE!) Mod Showcase Popupmmos: http://t.co/MuL1J9AEUx viÛ_</v>
      </c>
      <c r="G3431" s="4" t="str">
        <f>IFERROR(__xludf.DUMMYFUNCTION("GOOGLETRANSLATE(B3431)"),"啟示錄")</f>
        <v>啟示錄</v>
      </c>
    </row>
    <row r="3432" ht="15.75" customHeight="1">
      <c r="A3432" s="4">
        <v>419.0</v>
      </c>
      <c r="B3432" s="4" t="s">
        <v>210</v>
      </c>
      <c r="D3432" s="4" t="s">
        <v>5160</v>
      </c>
      <c r="E3432" s="4">
        <v>0.0</v>
      </c>
      <c r="F3432" s="4" t="str">
        <f>IFERROR(__xludf.DUMMYFUNCTION("GOOGLETRANSLATE(D3432)"),"RT：我們的母親瑪麗：短讀
啟示錄 21:1023
在精神上，天使帶我到了一座巨大的高山之巔，然後…Û_")</f>
        <v>RT：我們的母親瑪麗：短讀
啟示錄 21:1023
在精神上，天使帶我到了一座巨大的高山之巔，然後…Û_</v>
      </c>
      <c r="G3432" s="4" t="str">
        <f>IFERROR(__xludf.DUMMYFUNCTION("GOOGLETRANSLATE(B3432)"),"啟示錄")</f>
        <v>啟示錄</v>
      </c>
    </row>
    <row r="3433" ht="15.75" customHeight="1">
      <c r="A3433" s="4">
        <v>420.0</v>
      </c>
      <c r="B3433" s="4" t="s">
        <v>210</v>
      </c>
      <c r="C3433" s="4" t="s">
        <v>1309</v>
      </c>
      <c r="D3433" s="4" t="s">
        <v>5161</v>
      </c>
      <c r="E3433" s="4">
        <v>0.0</v>
      </c>
      <c r="F3433" s="4" t="str">
        <f>IFERROR(__xludf.DUMMYFUNCTION("GOOGLETRANSLATE(D3433)"),"candylit：想像一下殭屍末日中的薩魯米在...... http://t.co/xIZkjffF29 背靠背戰鬥心對心的對話")</f>
        <v>candylit：想像一下殭屍末日中的薩魯米在...... http://t.co/xIZkjffF29 背靠背戰鬥心對心的對話</v>
      </c>
      <c r="G3433" s="4" t="str">
        <f>IFERROR(__xludf.DUMMYFUNCTION("GOOGLETRANSLATE(B3433)"),"啟示錄")</f>
        <v>啟示錄</v>
      </c>
    </row>
    <row r="3434" ht="15.75" customHeight="1">
      <c r="A3434" s="4">
        <v>421.0</v>
      </c>
      <c r="B3434" s="4" t="s">
        <v>210</v>
      </c>
      <c r="D3434" s="4" t="s">
        <v>5162</v>
      </c>
      <c r="E3434" s="4">
        <v>0.0</v>
      </c>
      <c r="F3434" s="4" t="str">
        <f>IFERROR(__xludf.DUMMYFUNCTION("GOOGLETRANSLATE(D3434)"),"RT：ZONEWolf123：我喜歡 YouTube 影片 http://t.co/u66kYg11ZD Minecraft：NIGHT LUCKY BLOCK MOD（BOB APOCALYPSEWITHER 2.0 及更多！）MoÛ_")</f>
        <v>RT：ZONEWolf123：我喜歡 YouTube 影片 http://t.co/u66kYg11ZD Minecraft：NIGHT LUCKY BLOCK MOD（BOB APOCALYPSEWITHER 2.0 及更多！）MoÛ_</v>
      </c>
      <c r="G3434" s="4" t="str">
        <f>IFERROR(__xludf.DUMMYFUNCTION("GOOGLETRANSLATE(B3434)"),"啟示錄")</f>
        <v>啟示錄</v>
      </c>
    </row>
    <row r="3435" ht="15.75" customHeight="1">
      <c r="A3435" s="4">
        <v>423.0</v>
      </c>
      <c r="B3435" s="4" t="s">
        <v>210</v>
      </c>
      <c r="D3435" s="4" t="s">
        <v>5163</v>
      </c>
      <c r="E3435" s="4">
        <v>0.0</v>
      </c>
      <c r="F3435" s="4" t="str">
        <f>IFERROR(__xludf.DUMMYFUNCTION("GOOGLETRANSLATE(D3435)"),"那是因為在我的星球上，這是世界末日的唯一觀眾！")</f>
        <v>那是因為在我的星球上，這是世界末日的唯一觀眾！</v>
      </c>
      <c r="G3435" s="4" t="str">
        <f>IFERROR(__xludf.DUMMYFUNCTION("GOOGLETRANSLATE(B3435)"),"啟示錄")</f>
        <v>啟示錄</v>
      </c>
    </row>
    <row r="3436" ht="15.75" customHeight="1">
      <c r="A3436" s="4">
        <v>426.0</v>
      </c>
      <c r="B3436" s="4" t="s">
        <v>210</v>
      </c>
      <c r="C3436" s="4" t="s">
        <v>1749</v>
      </c>
      <c r="D3436" s="4" t="s">
        <v>5164</v>
      </c>
      <c r="E3436" s="4">
        <v>0.0</v>
      </c>
      <c r="F3436" s="4" t="str">
        <f>IFERROR(__xludf.DUMMYFUNCTION("GOOGLETRANSLATE(D3436)"),"@alexandrapullin 確實如此。如果這週世界末日到來，我知道我會在哪裡:)")</f>
        <v>@alexandrapullin 確實如此。如果這週世界末日到來，我知道我會在哪裡:)</v>
      </c>
      <c r="G3436" s="4" t="str">
        <f>IFERROR(__xludf.DUMMYFUNCTION("GOOGLETRANSLATE(B3436)"),"啟示錄")</f>
        <v>啟示錄</v>
      </c>
    </row>
    <row r="3437" ht="15.75" customHeight="1">
      <c r="A3437" s="4">
        <v>427.0</v>
      </c>
      <c r="B3437" s="4" t="s">
        <v>210</v>
      </c>
      <c r="C3437" s="4" t="s">
        <v>5165</v>
      </c>
      <c r="D3437" s="4" t="s">
        <v>5166</v>
      </c>
      <c r="E3437" s="4">
        <v>0.0</v>
      </c>
      <c r="F3437" s="4" t="str">
        <f>IFERROR(__xludf.DUMMYFUNCTION("GOOGLETRANSLATE(D3437)"),"現在就去看看灰熊峰吧…它看起來就像一部反烏托邦末日電影的開始")</f>
        <v>現在就去看看灰熊峰吧…它看起來就像一部反烏托邦末日電影的開始</v>
      </c>
      <c r="G3437" s="4" t="str">
        <f>IFERROR(__xludf.DUMMYFUNCTION("GOOGLETRANSLATE(B3437)"),"啟示錄")</f>
        <v>啟示錄</v>
      </c>
    </row>
    <row r="3438" ht="15.75" customHeight="1">
      <c r="A3438" s="4">
        <v>429.0</v>
      </c>
      <c r="B3438" s="4" t="s">
        <v>210</v>
      </c>
      <c r="C3438" s="4" t="s">
        <v>5167</v>
      </c>
      <c r="D3438" s="4" t="s">
        <v>5168</v>
      </c>
      <c r="E3438" s="4">
        <v>0.0</v>
      </c>
      <c r="F3438" s="4" t="str">
        <f>IFERROR(__xludf.DUMMYFUNCTION("GOOGLETRANSLATE(D3438)"),"我的侄女剛剛問我“如果這裡發生世界末日你會害怕嗎？” ????")</f>
        <v>我的侄女剛剛問我“如果這裡發生世界末日你會害怕嗎？” ????</v>
      </c>
      <c r="G3438" s="4" t="str">
        <f>IFERROR(__xludf.DUMMYFUNCTION("GOOGLETRANSLATE(B3438)"),"啟示錄")</f>
        <v>啟示錄</v>
      </c>
    </row>
    <row r="3439" ht="15.75" customHeight="1">
      <c r="A3439" s="4">
        <v>435.0</v>
      </c>
      <c r="B3439" s="4" t="s">
        <v>210</v>
      </c>
      <c r="D3439" s="4" t="s">
        <v>5169</v>
      </c>
      <c r="E3439" s="4">
        <v>0.0</v>
      </c>
      <c r="F3439" s="4" t="str">
        <f>IFERROR(__xludf.DUMMYFUNCTION("GOOGLETRANSLATE(D3439)"),"Minecraft-NIGHT LUCKY BLOCK MOD（BOB APOCALYPSEWITHER 2.0 及更多！）Mod 展示流行mmos：http://t.co/TNgYE2FKlv 來自 @YouTube")</f>
        <v>Minecraft-NIGHT LUCKY BLOCK MOD（BOB APOCALYPSEWITHER 2.0 及更多！）Mod 展示流行mmos：http://t.co/TNgYE2FKlv 來自 @YouTube</v>
      </c>
      <c r="G3439" s="4" t="str">
        <f>IFERROR(__xludf.DUMMYFUNCTION("GOOGLETRANSLATE(B3439)"),"啟示錄")</f>
        <v>啟示錄</v>
      </c>
    </row>
    <row r="3440" ht="15.75" customHeight="1">
      <c r="A3440" s="4">
        <v>436.0</v>
      </c>
      <c r="B3440" s="4" t="s">
        <v>210</v>
      </c>
      <c r="D3440" s="4" t="s">
        <v>5170</v>
      </c>
      <c r="E3440" s="4">
        <v>0.0</v>
      </c>
      <c r="F3440" s="4" t="str">
        <f>IFERROR(__xludf.DUMMYFUNCTION("GOOGLETRANSLATE(D3440)"),"射穿心臟 XV：你會因為這個心臟穿刺而徹底給愛情帶來壞名聲 http://t.co/xpFmR368uF http://t.co/ejdHvLKXAf")</f>
        <v>射穿心臟 XV：你會因為這個心臟穿刺而徹底給愛情帶來壞名聲 http://t.co/xpFmR368uF http://t.co/ejdHvLKXAf</v>
      </c>
      <c r="G3440" s="4" t="str">
        <f>IFERROR(__xludf.DUMMYFUNCTION("GOOGLETRANSLATE(B3440)"),"啟示錄")</f>
        <v>啟示錄</v>
      </c>
    </row>
    <row r="3441" ht="15.75" customHeight="1">
      <c r="A3441" s="4">
        <v>437.0</v>
      </c>
      <c r="B3441" s="4" t="s">
        <v>210</v>
      </c>
      <c r="D3441" s="4" t="s">
        <v>5171</v>
      </c>
      <c r="E3441" s="4">
        <v>0.0</v>
      </c>
      <c r="F3441" s="4" t="str">
        <f>IFERROR(__xludf.DUMMYFUNCTION("GOOGLETRANSLATE(D3441)"),"RT：Geek_Apocalypse：下午 4 點 GMT：Hesse 玩黑暗靈魂 2 天 9：http://t.co/TnGPsHNL87 http://t.co/imzLNZLtF5 #etcPB")</f>
        <v>RT：Geek_Apocalypse：下午 4 點 GMT：Hesse 玩黑暗靈魂 2 天 9：http://t.co/TnGPsHNL87 http://t.co/imzLNZLtF5 #etcPB</v>
      </c>
      <c r="G3441" s="4" t="str">
        <f>IFERROR(__xludf.DUMMYFUNCTION("GOOGLETRANSLATE(B3441)"),"啟示錄")</f>
        <v>啟示錄</v>
      </c>
    </row>
    <row r="3442" ht="15.75" customHeight="1">
      <c r="A3442" s="4">
        <v>438.0</v>
      </c>
      <c r="B3442" s="4" t="s">
        <v>210</v>
      </c>
      <c r="C3442" s="4" t="s">
        <v>5172</v>
      </c>
      <c r="D3442" s="4" t="s">
        <v>5173</v>
      </c>
      <c r="E3442" s="4">
        <v>0.0</v>
      </c>
      <c r="F3442" s="4" t="str">
        <f>IFERROR(__xludf.DUMMYFUNCTION("GOOGLETRANSLATE(D3442)"),"當殭屍佔領時我知道該去哪裡！ http://t.co/hUTHXlkyxy")</f>
        <v>當殭屍佔領時我知道該去哪裡！ http://t.co/hUTHXlkyxy</v>
      </c>
      <c r="G3442" s="4" t="str">
        <f>IFERROR(__xludf.DUMMYFUNCTION("GOOGLETRANSLATE(B3442)"),"啟示錄")</f>
        <v>啟示錄</v>
      </c>
    </row>
    <row r="3443" ht="15.75" customHeight="1">
      <c r="A3443" s="4">
        <v>444.0</v>
      </c>
      <c r="B3443" s="4" t="s">
        <v>210</v>
      </c>
      <c r="C3443" s="4" t="s">
        <v>563</v>
      </c>
      <c r="D3443" s="4" t="s">
        <v>5174</v>
      </c>
      <c r="E3443" s="4">
        <v>0.0</v>
      </c>
      <c r="F3443" s="4" t="str">
        <f>IFERROR(__xludf.DUMMYFUNCTION("GOOGLETRANSLATE(D3443)"),"很喜歡真人版的《進擊的巨人》，但每次看到海報，我都會想起末世裡每個人都是多麼乾淨、髮型多麼清新。")</f>
        <v>很喜歡真人版的《進擊的巨人》，但每次看到海報，我都會想起末世裡每個人都是多麼乾淨、髮型多麼清新。</v>
      </c>
      <c r="G3443" s="4" t="str">
        <f>IFERROR(__xludf.DUMMYFUNCTION("GOOGLETRANSLATE(B3443)"),"啟示錄")</f>
        <v>啟示錄</v>
      </c>
    </row>
    <row r="3444" ht="15.75" customHeight="1">
      <c r="A3444" s="4">
        <v>445.0</v>
      </c>
      <c r="B3444" s="4" t="s">
        <v>210</v>
      </c>
      <c r="D3444" s="4" t="s">
        <v>5175</v>
      </c>
      <c r="E3444" s="4">
        <v>0.0</v>
      </c>
      <c r="F3444" s="4" t="str">
        <f>IFERROR(__xludf.DUMMYFUNCTION("GOOGLETRANSLATE(D3444)"),"我喜歡 @YouTube 影片 http://t.co/ki1yKrs9fi Minecraft: NIGHT LUCKY BLOCK MOD (BOB APOCALYPSEWITHER 2.0 &amp;amp; MORE!) Mod Showcase")</f>
        <v>我喜歡 @YouTube 影片 http://t.co/ki1yKrs9fi Minecraft: NIGHT LUCKY BLOCK MOD (BOB APOCALYPSEWITHER 2.0 &amp;amp; MORE!) Mod Showcase</v>
      </c>
      <c r="G3444" s="4" t="str">
        <f>IFERROR(__xludf.DUMMYFUNCTION("GOOGLETRANSLATE(B3444)"),"啟示錄")</f>
        <v>啟示錄</v>
      </c>
    </row>
    <row r="3445" ht="15.75" customHeight="1">
      <c r="A3445" s="4">
        <v>446.0</v>
      </c>
      <c r="B3445" s="4" t="s">
        <v>226</v>
      </c>
      <c r="C3445" s="4" t="s">
        <v>227</v>
      </c>
      <c r="D3445" s="4" t="s">
        <v>5176</v>
      </c>
      <c r="E3445" s="4">
        <v>0.0</v>
      </c>
      <c r="F3445" s="4" t="str">
        <f>IFERROR(__xludf.DUMMYFUNCTION("GOOGLETRANSLATE(D3445)"),"#PBBan（臨時：300）avYsss @'aRmageddon |不要殺人|僅標誌 |快速 XP 是有原因的")</f>
        <v>#PBBan（臨時：300）avYsss @'aRmageddon |不要殺人|僅標誌 |快速 XP 是有原因的</v>
      </c>
      <c r="G3445" s="4" t="str">
        <f>IFERROR(__xludf.DUMMYFUNCTION("GOOGLETRANSLATE(B3445)"),"世界末日")</f>
        <v>世界末日</v>
      </c>
    </row>
    <row r="3446" ht="15.75" customHeight="1">
      <c r="A3446" s="4">
        <v>447.0</v>
      </c>
      <c r="B3446" s="4" t="s">
        <v>226</v>
      </c>
      <c r="C3446" s="4" t="s">
        <v>227</v>
      </c>
      <c r="D3446" s="4" t="s">
        <v>5177</v>
      </c>
      <c r="E3446" s="4">
        <v>0.0</v>
      </c>
      <c r="F3446" s="4" t="str">
        <f>IFERROR(__xludf.DUMMYFUNCTION("GOOGLETRANSLATE(D3446)"),"#PBBan（臨時：300）Russaky89 @'aRmageddon |不要殺人|僅標誌 |快速 XP 是有原因的")</f>
        <v>#PBBan（臨時：300）Russaky89 @'aRmageddon |不要殺人|僅標誌 |快速 XP 是有原因的</v>
      </c>
      <c r="G3446" s="4" t="str">
        <f>IFERROR(__xludf.DUMMYFUNCTION("GOOGLETRANSLATE(B3446)"),"世界末日")</f>
        <v>世界末日</v>
      </c>
    </row>
    <row r="3447" ht="15.75" customHeight="1">
      <c r="A3447" s="4">
        <v>448.0</v>
      </c>
      <c r="B3447" s="4" t="s">
        <v>226</v>
      </c>
      <c r="C3447" s="4" t="s">
        <v>5178</v>
      </c>
      <c r="D3447" s="4" t="s">
        <v>5179</v>
      </c>
      <c r="E3447" s="4">
        <v>0.0</v>
      </c>
      <c r="F3447" s="4" t="str">
        <f>IFERROR(__xludf.DUMMYFUNCTION("GOOGLETRANSLATE(D3447)"),"（（官方影片））#DoubleCups&gt;&gt; https://t.co/lfKMTZaEkk&gt;&gt; @TrubGME Prod @THISIZBWRIGHT&gt;&gt; #世界末日")</f>
        <v>（（官方影片））#DoubleCups&gt;&gt; https://t.co/lfKMTZaEkk&gt;&gt; @TrubGME Prod @THISIZBWRIGHT&gt;&gt; #世界末日</v>
      </c>
      <c r="G3447" s="4" t="str">
        <f>IFERROR(__xludf.DUMMYFUNCTION("GOOGLETRANSLATE(B3447)"),"世界末日")</f>
        <v>世界末日</v>
      </c>
    </row>
    <row r="3448" ht="15.75" customHeight="1">
      <c r="A3448" s="4">
        <v>450.0</v>
      </c>
      <c r="B3448" s="4" t="s">
        <v>226</v>
      </c>
      <c r="D3448" s="4" t="s">
        <v>5180</v>
      </c>
      <c r="E3448" s="4">
        <v>0.0</v>
      </c>
      <c r="F3448" s="4" t="str">
        <f>IFERROR(__xludf.DUMMYFUNCTION("GOOGLETRANSLATE(D3448)"),"ouvindo 和平愛與和平世界末日")</f>
        <v>ouvindo 和平愛與和平世界末日</v>
      </c>
      <c r="G3448" s="4" t="str">
        <f>IFERROR(__xludf.DUMMYFUNCTION("GOOGLETRANSLATE(B3448)"),"世界末日")</f>
        <v>世界末日</v>
      </c>
    </row>
    <row r="3449" ht="15.75" customHeight="1">
      <c r="A3449" s="4">
        <v>451.0</v>
      </c>
      <c r="B3449" s="4" t="s">
        <v>226</v>
      </c>
      <c r="D3449" s="4" t="s">
        <v>5181</v>
      </c>
      <c r="E3449" s="4">
        <v>0.0</v>
      </c>
      <c r="F3449" s="4" t="str">
        <f>IFERROR(__xludf.DUMMYFUNCTION("GOOGLETRANSLATE(D3449)"),"你看過最好的電影？ - 世界末日 http://t.co/qoUXIgdtbZ")</f>
        <v>你看過最好的電影？ - 世界末日 http://t.co/qoUXIgdtbZ</v>
      </c>
      <c r="G3449" s="4" t="str">
        <f>IFERROR(__xludf.DUMMYFUNCTION("GOOGLETRANSLATE(B3449)"),"世界末日")</f>
        <v>世界末日</v>
      </c>
    </row>
    <row r="3450" ht="15.75" customHeight="1">
      <c r="A3450" s="4">
        <v>452.0</v>
      </c>
      <c r="B3450" s="4" t="s">
        <v>226</v>
      </c>
      <c r="C3450" s="4" t="s">
        <v>5182</v>
      </c>
      <c r="D3450" s="4" t="s">
        <v>5183</v>
      </c>
      <c r="E3450" s="4">
        <v>0.0</v>
      </c>
      <c r="F3450" s="4" t="str">
        <f>IFERROR(__xludf.DUMMYFUNCTION("GOOGLETRANSLATE(D3450)"),"就寢時間。除非革命或世界末日開始，否則不要叫醒我。")</f>
        <v>就寢時間。除非革命或世界末日開始，否則不要叫醒我。</v>
      </c>
      <c r="G3450" s="4" t="str">
        <f>IFERROR(__xludf.DUMMYFUNCTION("GOOGLETRANSLATE(B3450)"),"世界末日")</f>
        <v>世界末日</v>
      </c>
    </row>
    <row r="3451" ht="15.75" customHeight="1">
      <c r="A3451" s="4">
        <v>453.0</v>
      </c>
      <c r="B3451" s="4" t="s">
        <v>226</v>
      </c>
      <c r="D3451" s="4" t="s">
        <v>5184</v>
      </c>
      <c r="E3451" s="4">
        <v>0.0</v>
      </c>
      <c r="F3451" s="4" t="str">
        <f>IFERROR(__xludf.DUMMYFUNCTION("GOOGLETRANSLATE(D3451)"),"紅色派系：世界末日 (Microsoft Xbox 360 2011) - eBay 完整閱讀 http://t.co/ypbVS1IJya http://t.co/9dFLv6ynqr")</f>
        <v>紅色派系：世界末日 (Microsoft Xbox 360 2011) - eBay 完整閱讀 http://t.co/ypbVS1IJya http://t.co/9dFLv6ynqr</v>
      </c>
      <c r="G3451" s="4" t="str">
        <f>IFERROR(__xludf.DUMMYFUNCTION("GOOGLETRANSLATE(B3451)"),"世界末日")</f>
        <v>世界末日</v>
      </c>
    </row>
    <row r="3452" ht="15.75" customHeight="1">
      <c r="A3452" s="4">
        <v>454.0</v>
      </c>
      <c r="B3452" s="4" t="s">
        <v>226</v>
      </c>
      <c r="C3452" s="4" t="s">
        <v>5185</v>
      </c>
      <c r="D3452" s="4" t="s">
        <v>5186</v>
      </c>
      <c r="E3452" s="4">
        <v>0.0</v>
      </c>
      <c r="F3452" s="4" t="str">
        <f>IFERROR(__xludf.DUMMYFUNCTION("GOOGLETRANSLATE(D3452)"),"@KatieKatCubs 你已經知道這是怎麼回事了。世界大賽或世界末日。")</f>
        <v>@KatieKatCubs 你已經知道這是怎麼回事了。世界大賽或世界末日。</v>
      </c>
      <c r="G3452" s="4" t="str">
        <f>IFERROR(__xludf.DUMMYFUNCTION("GOOGLETRANSLATE(B3452)"),"世界末日")</f>
        <v>世界末日</v>
      </c>
    </row>
    <row r="3453" ht="15.75" customHeight="1">
      <c r="A3453" s="4">
        <v>455.0</v>
      </c>
      <c r="B3453" s="4" t="s">
        <v>226</v>
      </c>
      <c r="D3453" s="4" t="s">
        <v>5187</v>
      </c>
      <c r="E3453" s="4">
        <v>0.0</v>
      </c>
      <c r="F3453" s="4" t="str">
        <f>IFERROR(__xludf.DUMMYFUNCTION("GOOGLETRANSLATE(D3453)"),"RT @Ophiuchus2613：#Love #TrueLove #romance lith #Voodoo #seduction #Astrology #RTRRT #LOTZ 9-11 #apocalypse #Armageddon #1008plaÛ_")</f>
        <v>RT @Ophiuchus2613：#Love #TrueLove #romance lith #Voodoo #seduction #Astrology #RTRRT #LOTZ 9-11 #apocalypse #Armageddon #1008plaÛ_</v>
      </c>
      <c r="G3453" s="4" t="str">
        <f>IFERROR(__xludf.DUMMYFUNCTION("GOOGLETRANSLATE(B3453)"),"世界末日")</f>
        <v>世界末日</v>
      </c>
    </row>
    <row r="3454" ht="15.75" customHeight="1">
      <c r="A3454" s="4">
        <v>456.0</v>
      </c>
      <c r="B3454" s="4" t="s">
        <v>226</v>
      </c>
      <c r="C3454" s="4" t="s">
        <v>5188</v>
      </c>
      <c r="D3454" s="4" t="s">
        <v>5189</v>
      </c>
      <c r="E3454" s="4">
        <v>0.0</v>
      </c>
      <c r="F3454" s="4" t="str">
        <f>IFERROR(__xludf.DUMMYFUNCTION("GOOGLETRANSLATE(D3454)"),"//我要以徐浩的身份打敗世界末日？？？
我第一次嘗試就完美無缺")</f>
        <v>//我要以徐浩的身份打敗世界末日？？？
我第一次嘗試就完美無缺</v>
      </c>
      <c r="G3454" s="4" t="str">
        <f>IFERROR(__xludf.DUMMYFUNCTION("GOOGLETRANSLATE(B3454)"),"世界末日")</f>
        <v>世界末日</v>
      </c>
    </row>
    <row r="3455" ht="15.75" customHeight="1">
      <c r="A3455" s="4">
        <v>457.0</v>
      </c>
      <c r="B3455" s="4" t="s">
        <v>226</v>
      </c>
      <c r="C3455" s="4" t="s">
        <v>126</v>
      </c>
      <c r="D3455" s="4" t="s">
        <v>5190</v>
      </c>
      <c r="E3455" s="4">
        <v>0.0</v>
      </c>
      <c r="F3455" s="4" t="str">
        <f>IFERROR(__xludf.DUMMYFUNCTION("GOOGLETRANSLATE(D3455)"),"@ENews Ben Affleck......我知道有妻子/孩子和其他女孩，但我無能為力。自從世界末日以來我就一直愛他#eonlinechat")</f>
        <v>@ENews Ben Affleck......我知道有妻子/孩子和其他女孩，但我無能為力。自從世界末日以來我就一直愛他#eonlinechat</v>
      </c>
      <c r="G3455" s="4" t="str">
        <f>IFERROR(__xludf.DUMMYFUNCTION("GOOGLETRANSLATE(B3455)"),"世界末日")</f>
        <v>世界末日</v>
      </c>
    </row>
    <row r="3456" ht="15.75" customHeight="1">
      <c r="A3456" s="4">
        <v>459.0</v>
      </c>
      <c r="B3456" s="4" t="s">
        <v>226</v>
      </c>
      <c r="C3456" s="4" t="s">
        <v>4152</v>
      </c>
      <c r="D3456" s="4" t="s">
        <v>5191</v>
      </c>
      <c r="E3456" s="4">
        <v>0.0</v>
      </c>
      <c r="F3456" s="4" t="str">
        <f>IFERROR(__xludf.DUMMYFUNCTION("GOOGLETRANSLATE(D3456)"),"「如果我手邊有一件長外套，我就會穿它。世界末日的確定性帶有一種場合感。")</f>
        <v>「如果我手邊有一件長外套，我就會穿它。世界末日的確定性帶有一種場合感。</v>
      </c>
      <c r="G3456" s="4" t="str">
        <f>IFERROR(__xludf.DUMMYFUNCTION("GOOGLETRANSLATE(B3456)"),"世界末日")</f>
        <v>世界末日</v>
      </c>
    </row>
    <row r="3457" ht="15.75" customHeight="1">
      <c r="A3457" s="4">
        <v>461.0</v>
      </c>
      <c r="B3457" s="4" t="s">
        <v>226</v>
      </c>
      <c r="C3457" s="4" t="s">
        <v>38</v>
      </c>
      <c r="D3457" s="4" t="s">
        <v>5192</v>
      </c>
      <c r="E3457" s="4">
        <v>0.0</v>
      </c>
      <c r="F3457" s="4" t="str">
        <f>IFERROR(__xludf.DUMMYFUNCTION("GOOGLETRANSLATE(D3457)"),"您的手機正在監視您！隱藏後門 NSA 資料探勘軟體 |金融末日部落格 http://t.co/qyCw5JJaj1")</f>
        <v>您的手機正在監視您！隱藏後門 NSA 資料探勘軟體 |金融末日部落格 http://t.co/qyCw5JJaj1</v>
      </c>
      <c r="G3457" s="4" t="str">
        <f>IFERROR(__xludf.DUMMYFUNCTION("GOOGLETRANSLATE(B3457)"),"世界末日")</f>
        <v>世界末日</v>
      </c>
    </row>
    <row r="3458" ht="15.75" customHeight="1">
      <c r="A3458" s="4">
        <v>463.0</v>
      </c>
      <c r="B3458" s="4" t="s">
        <v>226</v>
      </c>
      <c r="D3458" s="4" t="s">
        <v>5193</v>
      </c>
      <c r="E3458" s="4">
        <v>0.0</v>
      </c>
      <c r="F3458" s="4" t="str">
        <f>IFERROR(__xludf.DUMMYFUNCTION("GOOGLETRANSLATE(D3458)"),"RT @RTRRTcoach：#Love #TrueLove #romance lith #Voodoo #seduction #Astrology #RTRRT #LOTZ 9-11 #apocalypse #Armageddon #1008planetÛ_")</f>
        <v>RT @RTRRTcoach：#Love #TrueLove #romance lith #Voodoo #seduction #Astrology #RTRRT #LOTZ 9-11 #apocalypse #Armageddon #1008planetÛ_</v>
      </c>
      <c r="G3458" s="4" t="str">
        <f>IFERROR(__xludf.DUMMYFUNCTION("GOOGLETRANSLATE(B3458)"),"世界末日")</f>
        <v>世界末日</v>
      </c>
    </row>
    <row r="3459" ht="15.75" customHeight="1">
      <c r="A3459" s="4">
        <v>465.0</v>
      </c>
      <c r="B3459" s="4" t="s">
        <v>226</v>
      </c>
      <c r="C3459" s="4" t="s">
        <v>227</v>
      </c>
      <c r="D3459" s="4" t="s">
        <v>5194</v>
      </c>
      <c r="E3459" s="4">
        <v>0.0</v>
      </c>
      <c r="F3459" s="4" t="str">
        <f>IFERROR(__xludf.DUMMYFUNCTION("GOOGLETRANSLATE(D3459)"),"#PBBan（臨時：300）fighterdena @'aRmageddon |不要殺人|僅標誌 |快速 XP 是有原因的")</f>
        <v>#PBBan（臨時：300）fighterdena @'aRmageddon |不要殺人|僅標誌 |快速 XP 是有原因的</v>
      </c>
      <c r="G3459" s="4" t="str">
        <f>IFERROR(__xludf.DUMMYFUNCTION("GOOGLETRANSLATE(B3459)"),"世界末日")</f>
        <v>世界末日</v>
      </c>
    </row>
    <row r="3460" ht="15.75" customHeight="1">
      <c r="A3460" s="4">
        <v>466.0</v>
      </c>
      <c r="B3460" s="4" t="s">
        <v>226</v>
      </c>
      <c r="C3460" s="4" t="s">
        <v>434</v>
      </c>
      <c r="D3460" s="4" t="s">
        <v>5195</v>
      </c>
      <c r="E3460" s="4">
        <v>0.0</v>
      </c>
      <c r="F3460" s="4" t="str">
        <f>IFERROR(__xludf.DUMMYFUNCTION("GOOGLETRANSLATE(D3460)"),"照片：我根據 #startrek #tos 的《末日之味》一集繪製的草圖 http://t.co/a2e6dcsk88")</f>
        <v>照片：我根據 #startrek #tos 的《末日之味》一集繪製的草圖 http://t.co/a2e6dcsk88</v>
      </c>
      <c r="G3460" s="4" t="str">
        <f>IFERROR(__xludf.DUMMYFUNCTION("GOOGLETRANSLATE(B3460)"),"世界末日")</f>
        <v>世界末日</v>
      </c>
    </row>
    <row r="3461" ht="15.75" customHeight="1">
      <c r="A3461" s="4">
        <v>468.0</v>
      </c>
      <c r="B3461" s="4" t="s">
        <v>226</v>
      </c>
      <c r="C3461" s="4" t="s">
        <v>5196</v>
      </c>
      <c r="D3461" s="4" t="s">
        <v>5197</v>
      </c>
      <c r="E3461" s="4">
        <v>0.0</v>
      </c>
      <c r="F3461" s="4" t="str">
        <f>IFERROR(__xludf.DUMMYFUNCTION("GOOGLETRANSLATE(D3461)"),"@AberdeenFC @AberdeenFanPage
祝你好運？？？？明天晚上
請取得一些係數點
@世界末日？？？")</f>
        <v>@AberdeenFC @AberdeenFanPage
祝你好運？？？？明天晚上
請取得一些係數點
@世界末日？？？</v>
      </c>
      <c r="G3461" s="4" t="str">
        <f>IFERROR(__xludf.DUMMYFUNCTION("GOOGLETRANSLATE(B3461)"),"世界末日")</f>
        <v>世界末日</v>
      </c>
    </row>
    <row r="3462" ht="15.75" customHeight="1">
      <c r="A3462" s="4">
        <v>469.0</v>
      </c>
      <c r="B3462" s="4" t="s">
        <v>226</v>
      </c>
      <c r="C3462" s="4" t="s">
        <v>5198</v>
      </c>
      <c r="D3462" s="4" t="s">
        <v>5199</v>
      </c>
      <c r="E3462" s="4">
        <v>0.0</v>
      </c>
      <c r="F3462" s="4" t="str">
        <f>IFERROR(__xludf.DUMMYFUNCTION("GOOGLETRANSLATE(D3462)"),"@paddytomlinson1 末日決戰")</f>
        <v>@paddytomlinson1 末日決戰</v>
      </c>
      <c r="G3462" s="4" t="str">
        <f>IFERROR(__xludf.DUMMYFUNCTION("GOOGLETRANSLATE(B3462)"),"世界末日")</f>
        <v>世界末日</v>
      </c>
    </row>
    <row r="3463" ht="15.75" customHeight="1">
      <c r="A3463" s="4">
        <v>470.0</v>
      </c>
      <c r="B3463" s="4" t="s">
        <v>226</v>
      </c>
      <c r="C3463" s="4" t="s">
        <v>5200</v>
      </c>
      <c r="D3463" s="4" t="s">
        <v>5201</v>
      </c>
      <c r="E3463" s="4">
        <v>0.0</v>
      </c>
      <c r="F3463" s="4" t="str">
        <f>IFERROR(__xludf.DUMMYFUNCTION("GOOGLETRANSLATE(D3463)"),"@RohnertParkDPS 你又是載入史冊的一位！ （感謝司法部！）順便說一句，我已經 20 年沒有繳所得稅了。")</f>
        <v>@RohnertParkDPS 你又是載入史冊的一位！ （感謝司法部！）順便說一句，我已經 20 年沒有繳所得稅了。</v>
      </c>
      <c r="G3463" s="4" t="str">
        <f>IFERROR(__xludf.DUMMYFUNCTION("GOOGLETRANSLATE(B3463)"),"世界末日")</f>
        <v>世界末日</v>
      </c>
    </row>
    <row r="3464" ht="15.75" customHeight="1">
      <c r="A3464" s="4">
        <v>472.0</v>
      </c>
      <c r="B3464" s="4" t="s">
        <v>226</v>
      </c>
      <c r="C3464" s="4" t="s">
        <v>283</v>
      </c>
      <c r="D3464" s="4" t="s">
        <v>5202</v>
      </c>
      <c r="E3464" s="4">
        <v>0.0</v>
      </c>
      <c r="F3464" s="4" t="str">
        <f>IFERROR(__xludf.DUMMYFUNCTION("GOOGLETRANSLATE(D3464)"),"在哈米吉多頓之後，上帝的國（天國政府）將統治地球上的所有人。 http://t.co/8HGcBXUkz0 http://t.co/4kopkCyvTt")</f>
        <v>在哈米吉多頓之後，上帝的國（天國政府）將統治地球上的所有人。 http://t.co/8HGcBXUkz0 http://t.co/4kopkCyvTt</v>
      </c>
      <c r="G3464" s="4" t="str">
        <f>IFERROR(__xludf.DUMMYFUNCTION("GOOGLETRANSLATE(B3464)"),"世界末日")</f>
        <v>世界末日</v>
      </c>
    </row>
    <row r="3465" ht="15.75" customHeight="1">
      <c r="A3465" s="4">
        <v>474.0</v>
      </c>
      <c r="B3465" s="4" t="s">
        <v>226</v>
      </c>
      <c r="D3465" s="4" t="s">
        <v>5203</v>
      </c>
      <c r="E3465" s="4">
        <v>0.0</v>
      </c>
      <c r="F3465" s="4" t="str">
        <f>IFERROR(__xludf.DUMMYFUNCTION("GOOGLETRANSLATE(D3465)"),"L B #娛樂 8 件 #BruceWillis MOVIES #DVD DIE HARD 1 2 12 MONKEYS ARMAGEDDON SIXTH #eBay #Auction http://t.co/CxDJApzXMP")</f>
        <v>L B #娛樂 8 件 #BruceWillis MOVIES #DVD DIE HARD 1 2 12 MONKEYS ARMAGEDDON SIXTH #eBay #Auction http://t.co/CxDJApzXMP</v>
      </c>
      <c r="G3465" s="4" t="str">
        <f>IFERROR(__xludf.DUMMYFUNCTION("GOOGLETRANSLATE(B3465)"),"世界末日")</f>
        <v>世界末日</v>
      </c>
    </row>
    <row r="3466" ht="15.75" customHeight="1">
      <c r="A3466" s="4">
        <v>475.0</v>
      </c>
      <c r="B3466" s="4" t="s">
        <v>226</v>
      </c>
      <c r="C3466" s="4" t="s">
        <v>5200</v>
      </c>
      <c r="D3466" s="4" t="s">
        <v>5204</v>
      </c>
      <c r="E3466" s="4">
        <v>0.0</v>
      </c>
      <c r="F3466" s="4" t="str">
        <f>IFERROR(__xludf.DUMMYFUNCTION("GOOGLETRANSLATE(D3466)"),"讓我們再多談談你們的傻瓜公會桑德斯。到舞台上來吧。 https://t.co/hkBxxvd9Iw")</f>
        <v>讓我們再多談談你們的傻瓜公會桑德斯。到舞台上來吧。 https://t.co/hkBxxvd9Iw</v>
      </c>
      <c r="G3466" s="4" t="str">
        <f>IFERROR(__xludf.DUMMYFUNCTION("GOOGLETRANSLATE(B3466)"),"世界末日")</f>
        <v>世界末日</v>
      </c>
    </row>
    <row r="3467" ht="15.75" customHeight="1">
      <c r="A3467" s="4">
        <v>476.0</v>
      </c>
      <c r="B3467" s="4" t="s">
        <v>226</v>
      </c>
      <c r="C3467" s="4" t="s">
        <v>4358</v>
      </c>
      <c r="D3467" s="4" t="s">
        <v>5205</v>
      </c>
      <c r="E3467" s="4">
        <v>0.0</v>
      </c>
      <c r="F3467" s="4" t="str">
        <f>IFERROR(__xludf.DUMMYFUNCTION("GOOGLETRANSLATE(D3467)"),"@Karnythia 我的侄女正在獲得站立的能力。我正在為幼兒世界末日做好準備")</f>
        <v>@Karnythia 我的侄女正在獲得站立的能力。我正在為幼兒世界末日做好準備</v>
      </c>
      <c r="G3467" s="4" t="str">
        <f>IFERROR(__xludf.DUMMYFUNCTION("GOOGLETRANSLATE(B3467)"),"世界末日")</f>
        <v>世界末日</v>
      </c>
    </row>
    <row r="3468" ht="15.75" customHeight="1">
      <c r="A3468" s="4">
        <v>477.0</v>
      </c>
      <c r="B3468" s="4" t="s">
        <v>226</v>
      </c>
      <c r="C3468" s="4" t="s">
        <v>289</v>
      </c>
      <c r="D3468" s="4" t="s">
        <v>5206</v>
      </c>
      <c r="E3468" s="4">
        <v>0.0</v>
      </c>
      <c r="F3468" s="4" t="str">
        <f>IFERROR(__xludf.DUMMYFUNCTION("GOOGLETRANSLATE(D3468)"),"透過 @eBay 查看 #PREPPERS #DOOMSDAY 必須有圖書館收藏 CD #shtf #preppertalk #survival #2A #prepper http://t.co/VPQTGeQLmA")</f>
        <v>透過 @eBay 查看 #PREPPERS #DOOMSDAY 必須有圖書館收藏 CD #shtf #preppertalk #survival #2A #prepper http://t.co/VPQTGeQLmA</v>
      </c>
      <c r="G3468" s="4" t="str">
        <f>IFERROR(__xludf.DUMMYFUNCTION("GOOGLETRANSLATE(B3468)"),"世界末日")</f>
        <v>世界末日</v>
      </c>
    </row>
    <row r="3469" ht="15.75" customHeight="1">
      <c r="A3469" s="4">
        <v>479.0</v>
      </c>
      <c r="B3469" s="4" t="s">
        <v>226</v>
      </c>
      <c r="D3469" s="4" t="s">
        <v>5207</v>
      </c>
      <c r="E3469" s="4">
        <v>0.0</v>
      </c>
      <c r="F3469" s="4" t="str">
        <f>IFERROR(__xludf.DUMMYFUNCTION("GOOGLETRANSLATE(D3469)"),"那麼艾哈邁德人認為彌賽亞在 125 年前就已經來臨了？哈米吉多頓在哪裡？達賈爾在哪裡？高革和高格在哪裡？瑪戈格？！")</f>
        <v>那麼艾哈邁德人認為彌賽亞在 125 年前就已經來臨了？哈米吉多頓在哪裡？達賈爾在哪裡？高革和高格在哪裡？瑪戈格？！</v>
      </c>
      <c r="G3469" s="4" t="str">
        <f>IFERROR(__xludf.DUMMYFUNCTION("GOOGLETRANSLATE(B3469)"),"世界末日")</f>
        <v>世界末日</v>
      </c>
    </row>
    <row r="3470" ht="15.75" customHeight="1">
      <c r="A3470" s="4">
        <v>480.0</v>
      </c>
      <c r="B3470" s="4" t="s">
        <v>226</v>
      </c>
      <c r="C3470" s="4" t="s">
        <v>5208</v>
      </c>
      <c r="D3470" s="4" t="s">
        <v>5209</v>
      </c>
      <c r="E3470" s="4">
        <v>0.0</v>
      </c>
      <c r="F3470" s="4" t="str">
        <f>IFERROR(__xludf.DUMMYFUNCTION("GOOGLETRANSLATE(D3470)"),"可悲的是 Windows 10 如何揭示微軟的道德末日 http://t.co/sTfTjCrjEa")</f>
        <v>可悲的是 Windows 10 如何揭示微軟的道德末日 http://t.co/sTfTjCrjEa</v>
      </c>
      <c r="G3470" s="4" t="str">
        <f>IFERROR(__xludf.DUMMYFUNCTION("GOOGLETRANSLATE(B3470)"),"世界末日")</f>
        <v>世界末日</v>
      </c>
    </row>
    <row r="3471" ht="15.75" customHeight="1">
      <c r="A3471" s="4">
        <v>481.0</v>
      </c>
      <c r="B3471" s="4" t="s">
        <v>226</v>
      </c>
      <c r="C3471" s="4" t="s">
        <v>5210</v>
      </c>
      <c r="D3471" s="4" t="s">
        <v>5211</v>
      </c>
      <c r="E3471" s="4">
        <v>0.0</v>
      </c>
      <c r="F3471" s="4" t="str">
        <f>IFERROR(__xludf.DUMMYFUNCTION("GOOGLETRANSLATE(D3471)"),"艾爾守護神避免了世界末日
#UltimaLucha")</f>
        <v>艾爾守護神避免了世界末日
#UltimaLucha</v>
      </c>
      <c r="G3471" s="4" t="str">
        <f>IFERROR(__xludf.DUMMYFUNCTION("GOOGLETRANSLATE(B3471)"),"世界末日")</f>
        <v>世界末日</v>
      </c>
    </row>
    <row r="3472" ht="15.75" customHeight="1">
      <c r="A3472" s="4">
        <v>482.0</v>
      </c>
      <c r="B3472" s="4" t="s">
        <v>226</v>
      </c>
      <c r="C3472" s="4" t="s">
        <v>5212</v>
      </c>
      <c r="D3472" s="4" t="s">
        <v>5213</v>
      </c>
      <c r="E3472" s="4">
        <v>0.0</v>
      </c>
      <c r="F3472" s="4" t="str">
        <f>IFERROR(__xludf.DUMMYFUNCTION("GOOGLETRANSLATE(D3472)"),"@samihonkonen 如果你有時間（23 小時？），關於第一次世界大戰藍圖的最新系列絕對令人印象深刻。")</f>
        <v>@samihonkonen 如果你有時間（23 小時？），關於第一次世界大戰藍圖的最新系列絕對令人印象深刻。</v>
      </c>
      <c r="G3472" s="4" t="str">
        <f>IFERROR(__xludf.DUMMYFUNCTION("GOOGLETRANSLATE(B3472)"),"世界末日")</f>
        <v>世界末日</v>
      </c>
    </row>
    <row r="3473" ht="15.75" customHeight="1">
      <c r="A3473" s="4">
        <v>483.0</v>
      </c>
      <c r="B3473" s="4" t="s">
        <v>226</v>
      </c>
      <c r="C3473" s="4" t="s">
        <v>5214</v>
      </c>
      <c r="D3473" s="4" t="s">
        <v>5215</v>
      </c>
      <c r="E3473" s="4">
        <v>0.0</v>
      </c>
      <c r="F3473" s="4" t="str">
        <f>IFERROR(__xludf.DUMMYFUNCTION("GOOGLETRANSLATE(D3473)"),"歐洲 Fitba 直到聖誕節末日決戰")</f>
        <v>歐洲 Fitba 直到聖誕節末日決戰</v>
      </c>
      <c r="G3473" s="4" t="str">
        <f>IFERROR(__xludf.DUMMYFUNCTION("GOOGLETRANSLATE(B3473)"),"世界末日")</f>
        <v>世界末日</v>
      </c>
    </row>
    <row r="3474" ht="15.75" customHeight="1">
      <c r="A3474" s="4">
        <v>484.0</v>
      </c>
      <c r="B3474" s="4" t="s">
        <v>226</v>
      </c>
      <c r="D3474" s="4" t="s">
        <v>5216</v>
      </c>
      <c r="E3474" s="4">
        <v>0.0</v>
      </c>
      <c r="F3474" s="4" t="str">
        <f>IFERROR(__xludf.DUMMYFUNCTION("GOOGLETRANSLATE(D3474)"),"#Christians United for #Israel (#CUFI)：猶太人應該盡快皈依，否則就會死於世界末日 https://t.co/4aRWwRZPsr #US http://t.co/mkJQ9yfMP8")</f>
        <v>#Christians United for #Israel (#CUFI)：猶太人應該盡快皈依，否則就會死於世界末日 https://t.co/4aRWwRZPsr #US http://t.co/mkJQ9yfMP8</v>
      </c>
      <c r="G3474" s="4" t="str">
        <f>IFERROR(__xludf.DUMMYFUNCTION("GOOGLETRANSLATE(B3474)"),"世界末日")</f>
        <v>世界末日</v>
      </c>
    </row>
    <row r="3475" ht="15.75" customHeight="1">
      <c r="A3475" s="4">
        <v>485.0</v>
      </c>
      <c r="B3475" s="4" t="s">
        <v>226</v>
      </c>
      <c r="C3475" s="4" t="s">
        <v>5178</v>
      </c>
      <c r="D3475" s="4" t="s">
        <v>5217</v>
      </c>
      <c r="E3475" s="4">
        <v>0.0</v>
      </c>
      <c r="F3475" s="4" t="str">
        <f>IFERROR(__xludf.DUMMYFUNCTION("GOOGLETRANSLATE(D3475)"),"（官方影片）&gt; #DoubleCups&gt;&gt; https://t.co/lfKMTZaEkk&gt;&gt; @TrubGME Prod @THISIZBWRIGHT&gt;&gt; #末日審判。")</f>
        <v>（官方影片）&gt; #DoubleCups&gt;&gt; https://t.co/lfKMTZaEkk&gt;&gt; @TrubGME Prod @THISIZBWRIGHT&gt;&gt; #末日審判。</v>
      </c>
      <c r="G3475" s="4" t="str">
        <f>IFERROR(__xludf.DUMMYFUNCTION("GOOGLETRANSLATE(B3475)"),"世界末日")</f>
        <v>世界末日</v>
      </c>
    </row>
    <row r="3476" ht="15.75" customHeight="1">
      <c r="A3476" s="4">
        <v>486.0</v>
      </c>
      <c r="B3476" s="4" t="s">
        <v>226</v>
      </c>
      <c r="C3476" s="4" t="s">
        <v>5218</v>
      </c>
      <c r="D3476" s="4" t="s">
        <v>5219</v>
      </c>
      <c r="E3476" s="4">
        <v>0.0</v>
      </c>
      <c r="F3476" s="4" t="str">
        <f>IFERROR(__xludf.DUMMYFUNCTION("GOOGLETRANSLATE(D3476)"),"明天是我們開始世界末日#preseasonworkouts ????")</f>
        <v>明天是我們開始世界末日#preseasonworkouts ????</v>
      </c>
      <c r="G3476" s="4" t="str">
        <f>IFERROR(__xludf.DUMMYFUNCTION("GOOGLETRANSLATE(B3476)"),"世界末日")</f>
        <v>世界末日</v>
      </c>
    </row>
    <row r="3477" ht="15.75" customHeight="1">
      <c r="A3477" s="4">
        <v>487.0</v>
      </c>
      <c r="B3477" s="4" t="s">
        <v>226</v>
      </c>
      <c r="C3477" s="4" t="s">
        <v>5220</v>
      </c>
      <c r="D3477" s="4" t="s">
        <v>5221</v>
      </c>
      <c r="E3477" s="4">
        <v>0.0</v>
      </c>
      <c r="F3477" s="4" t="str">
        <f>IFERROR(__xludf.DUMMYFUNCTION("GOOGLETRANSLATE(D3477)"),"李做喜劇：ÛÏ@LeeJasper：工人階級保守黨為你們的世界末日做好了準備。 #InterestRateRise¤Û")</f>
        <v>李做喜劇：ÛÏ@LeeJasper：工人階級保守黨為你們的世界末日做好了準備。 #InterestRateRise¤Û</v>
      </c>
      <c r="G3477" s="4" t="str">
        <f>IFERROR(__xludf.DUMMYFUNCTION("GOOGLETRANSLATE(B3477)"),"世界末日")</f>
        <v>世界末日</v>
      </c>
    </row>
    <row r="3478" ht="15.75" customHeight="1">
      <c r="A3478" s="4">
        <v>489.0</v>
      </c>
      <c r="B3478" s="4" t="s">
        <v>226</v>
      </c>
      <c r="D3478" s="4" t="s">
        <v>5222</v>
      </c>
      <c r="E3478" s="4">
        <v>0.0</v>
      </c>
      <c r="F3478" s="4" t="str">
        <f>IFERROR(__xludf.DUMMYFUNCTION("GOOGLETRANSLATE(D3478)"),"9 張圖表證明金融危機第二部分已經開始！：金融末日經濟崩潰部落格追蹤趨勢...http://t.co/vHCXTvCINr")</f>
        <v>9 張圖表證明金融危機第二部分已經開始！：金融末日經濟崩潰部落格追蹤趨勢...http://t.co/vHCXTvCINr</v>
      </c>
      <c r="G3478" s="4" t="str">
        <f>IFERROR(__xludf.DUMMYFUNCTION("GOOGLETRANSLATE(B3478)"),"世界末日")</f>
        <v>世界末日</v>
      </c>
    </row>
    <row r="3479" ht="15.75" customHeight="1">
      <c r="A3479" s="4">
        <v>492.0</v>
      </c>
      <c r="B3479" s="4" t="s">
        <v>226</v>
      </c>
      <c r="C3479" s="4" t="s">
        <v>5200</v>
      </c>
      <c r="D3479" s="4" t="s">
        <v>5223</v>
      </c>
      <c r="E3479" s="4">
        <v>0.0</v>
      </c>
      <c r="F3479" s="4" t="str">
        <f>IFERROR(__xludf.DUMMYFUNCTION("GOOGLETRANSLATE(D3479)"),"@RohnertParkDPS 你現在在舞台上！就在燈光下！是不是很搞笑呢？！你從哪裡得到為你的警察配備的傻瓜？")</f>
        <v>@RohnertParkDPS 你現在在舞台上！就在燈光下！是不是很搞笑呢？！你從哪裡得到為你的警察配備的傻瓜？</v>
      </c>
      <c r="G3479" s="4" t="str">
        <f>IFERROR(__xludf.DUMMYFUNCTION("GOOGLETRANSLATE(B3479)"),"世界末日")</f>
        <v>世界末日</v>
      </c>
    </row>
    <row r="3480" ht="15.75" customHeight="1">
      <c r="A3480" s="4">
        <v>493.0</v>
      </c>
      <c r="B3480" s="4" t="s">
        <v>226</v>
      </c>
      <c r="C3480" s="4" t="s">
        <v>5178</v>
      </c>
      <c r="D3480" s="4" t="s">
        <v>5224</v>
      </c>
      <c r="E3480" s="4">
        <v>0.0</v>
      </c>
      <c r="F3480" s="4" t="str">
        <f>IFERROR(__xludf.DUMMYFUNCTION("GOOGLETRANSLATE(D3480)"),"**官方影片** #TheReal &gt;&gt; https://t.co/4i0Rjc9RQU&gt;&gt; @TrubGME &gt;&gt;&gt;&gt;&gt; #ARMAGEDDON 即將推出！")</f>
        <v>**官方影片** #TheReal &gt;&gt; https://t.co/4i0Rjc9RQU&gt;&gt; @TrubGME &gt;&gt;&gt;&gt;&gt; #ARMAGEDDON 即將推出！</v>
      </c>
      <c r="G3480" s="4" t="str">
        <f>IFERROR(__xludf.DUMMYFUNCTION("GOOGLETRANSLATE(B3480)"),"世界末日")</f>
        <v>世界末日</v>
      </c>
    </row>
    <row r="3481" ht="15.75" customHeight="1">
      <c r="A3481" s="4">
        <v>495.0</v>
      </c>
      <c r="B3481" s="4" t="s">
        <v>226</v>
      </c>
      <c r="C3481" s="4" t="s">
        <v>5225</v>
      </c>
      <c r="D3481" s="4" t="s">
        <v>5226</v>
      </c>
      <c r="E3481" s="4">
        <v>0.0</v>
      </c>
      <c r="F3481" s="4" t="str">
        <f>IFERROR(__xludf.DUMMYFUNCTION("GOOGLETRANSLATE(D3481)"),"幹得好凱爾特人明天晚上為阿伯丁交叉手指！
世界末日嗯....??")</f>
        <v>幹得好凱爾特人明天晚上為阿伯丁交叉手指！
世界末日嗯....??</v>
      </c>
      <c r="G3481" s="4" t="str">
        <f>IFERROR(__xludf.DUMMYFUNCTION("GOOGLETRANSLATE(B3481)"),"世界末日")</f>
        <v>世界末日</v>
      </c>
    </row>
    <row r="3482" ht="15.75" customHeight="1">
      <c r="A3482" s="4">
        <v>496.0</v>
      </c>
      <c r="B3482" s="4" t="s">
        <v>236</v>
      </c>
      <c r="D3482" s="4" t="s">
        <v>5227</v>
      </c>
      <c r="E3482" s="4">
        <v>0.0</v>
      </c>
      <c r="F3482" s="4" t="str">
        <f>IFERROR(__xludf.DUMMYFUNCTION("GOOGLETRANSLATE(D3482)"),"碧昂絲是我的選擇 http://t.co/nnMQlz91o9 粉絲大軍 #Beyhive http://t.co/o91f3cYy0R 77")</f>
        <v>碧昂絲是我的選擇 http://t.co/nnMQlz91o9 粉絲大軍 #Beyhive http://t.co/o91f3cYy0R 77</v>
      </c>
      <c r="G3482" s="4" t="str">
        <f>IFERROR(__xludf.DUMMYFUNCTION("GOOGLETRANSLATE(B3482)"),"軍隊")</f>
        <v>軍隊</v>
      </c>
    </row>
    <row r="3483" ht="15.75" customHeight="1">
      <c r="A3483" s="4">
        <v>498.0</v>
      </c>
      <c r="B3483" s="4" t="s">
        <v>236</v>
      </c>
      <c r="D3483" s="4" t="s">
        <v>5228</v>
      </c>
      <c r="E3483" s="4">
        <v>0.0</v>
      </c>
      <c r="F3483" s="4" t="str">
        <f>IFERROR(__xludf.DUMMYFUNCTION("GOOGLETRANSLATE(D3483)"),"一個方向是我對 http://t.co/q2eBlOKeVE 粉絲軍團的選擇 #Directioners http://t.co/eNCmhz6y34 x1402")</f>
        <v>一個方向是我對 http://t.co/q2eBlOKeVE 粉絲軍團的選擇 #Directioners http://t.co/eNCmhz6y34 x1402</v>
      </c>
      <c r="G3483" s="4" t="str">
        <f>IFERROR(__xludf.DUMMYFUNCTION("GOOGLETRANSLATE(B3483)"),"軍隊")</f>
        <v>軍隊</v>
      </c>
    </row>
    <row r="3484" ht="15.75" customHeight="1">
      <c r="A3484" s="4">
        <v>499.0</v>
      </c>
      <c r="B3484" s="4" t="s">
        <v>236</v>
      </c>
      <c r="D3484" s="4" t="s">
        <v>5229</v>
      </c>
      <c r="E3484" s="4">
        <v>0.0</v>
      </c>
      <c r="F3484" s="4" t="str">
        <f>IFERROR(__xludf.DUMMYFUNCTION("GOOGLETRANSLATE(D3484)"),"夏天的 5 秒是我選的 http://t.co/J6WsePTXgA 粉絲大軍 #5SOSFAM http://t.co/qWgIwC9w7Z")</f>
        <v>夏天的 5 秒是我選的 http://t.co/J6WsePTXgA 粉絲大軍 #5SOSFAM http://t.co/qWgIwC9w7Z</v>
      </c>
      <c r="G3484" s="4" t="str">
        <f>IFERROR(__xludf.DUMMYFUNCTION("GOOGLETRANSLATE(B3484)"),"軍隊")</f>
        <v>軍隊</v>
      </c>
    </row>
    <row r="3485" ht="15.75" customHeight="1">
      <c r="A3485" s="4">
        <v>501.0</v>
      </c>
      <c r="B3485" s="4" t="s">
        <v>236</v>
      </c>
      <c r="D3485" s="4" t="s">
        <v>5230</v>
      </c>
      <c r="E3485" s="4">
        <v>0.0</v>
      </c>
      <c r="F3485" s="4" t="str">
        <f>IFERROR(__xludf.DUMMYFUNCTION("GOOGLETRANSLATE(D3485)"),"22.Beyonce 是我選擇的 http://t.co/thoYhrHkfJ 粉絲軍團 #Beyhive http://t.co/WvJ39a3BGM")</f>
        <v>22.Beyonce 是我選擇的 http://t.co/thoYhrHkfJ 粉絲軍團 #Beyhive http://t.co/WvJ39a3BGM</v>
      </c>
      <c r="G3485" s="4" t="str">
        <f>IFERROR(__xludf.DUMMYFUNCTION("GOOGLETRANSLATE(B3485)"),"軍隊")</f>
        <v>軍隊</v>
      </c>
    </row>
    <row r="3486" ht="15.75" customHeight="1">
      <c r="A3486" s="4">
        <v>502.0</v>
      </c>
      <c r="B3486" s="4" t="s">
        <v>236</v>
      </c>
      <c r="D3486" s="4" t="s">
        <v>5231</v>
      </c>
      <c r="E3486" s="4">
        <v>0.0</v>
      </c>
      <c r="F3486" s="4" t="str">
        <f>IFERROR(__xludf.DUMMYFUNCTION("GOOGLETRANSLATE(D3486)"),"17.Beyonce 是我選擇的 http://t.co/thoYhrHkfJ 粉絲軍團 #Beyhive http://t.co/WvJ39a3BGM")</f>
        <v>17.Beyonce 是我選擇的 http://t.co/thoYhrHkfJ 粉絲軍團 #Beyhive http://t.co/WvJ39a3BGM</v>
      </c>
      <c r="G3486" s="4" t="str">
        <f>IFERROR(__xludf.DUMMYFUNCTION("GOOGLETRANSLATE(B3486)"),"軍隊")</f>
        <v>軍隊</v>
      </c>
    </row>
    <row r="3487" ht="15.75" customHeight="1">
      <c r="A3487" s="4">
        <v>503.0</v>
      </c>
      <c r="B3487" s="4" t="s">
        <v>236</v>
      </c>
      <c r="D3487" s="4" t="s">
        <v>5232</v>
      </c>
      <c r="E3487" s="4">
        <v>0.0</v>
      </c>
      <c r="F3487" s="4" t="str">
        <f>IFERROR(__xludf.DUMMYFUNCTION("GOOGLETRANSLATE(D3487)"),"一個方向是我對 http://t.co/q2eBlOKeVE 粉絲軍團的選擇 #Directioners http://t.co/eNCmhz6y34 x1411")</f>
        <v>一個方向是我對 http://t.co/q2eBlOKeVE 粉絲軍團的選擇 #Directioners http://t.co/eNCmhz6y34 x1411</v>
      </c>
      <c r="G3487" s="4" t="str">
        <f>IFERROR(__xludf.DUMMYFUNCTION("GOOGLETRANSLATE(B3487)"),"軍隊")</f>
        <v>軍隊</v>
      </c>
    </row>
    <row r="3488" ht="15.75" customHeight="1">
      <c r="A3488" s="4">
        <v>504.0</v>
      </c>
      <c r="B3488" s="4" t="s">
        <v>236</v>
      </c>
      <c r="C3488" s="4" t="s">
        <v>5233</v>
      </c>
      <c r="D3488" s="4" t="s">
        <v>5234</v>
      </c>
      <c r="E3488" s="4">
        <v>0.0</v>
      </c>
      <c r="F3488" s="4" t="str">
        <f>IFERROR(__xludf.DUMMYFUNCTION("GOOGLETRANSLATE(D3488)"),"到目前為止，在 GoT 上看到那支異鬼大軍是讓我稍微感興趣的第一件事")</f>
        <v>到目前為止，在 GoT 上看到那支異鬼大軍是讓我稍微感興趣的第一件事</v>
      </c>
      <c r="G3488" s="4" t="str">
        <f>IFERROR(__xludf.DUMMYFUNCTION("GOOGLETRANSLATE(B3488)"),"軍隊")</f>
        <v>軍隊</v>
      </c>
    </row>
    <row r="3489" ht="15.75" customHeight="1">
      <c r="A3489" s="4">
        <v>506.0</v>
      </c>
      <c r="B3489" s="4" t="s">
        <v>236</v>
      </c>
      <c r="C3489" s="4" t="s">
        <v>5235</v>
      </c>
      <c r="D3489" s="4" t="s">
        <v>5236</v>
      </c>
      <c r="E3489" s="4">
        <v>0.0</v>
      </c>
      <c r="F3489" s="4" t="str">
        <f>IFERROR(__xludf.DUMMYFUNCTION("GOOGLETRANSLATE(D3489)"),"建立你自己的王國並帶領你的軍隊走向勝利！ https://youtu.be
啟動g這個好友代碼：LZKTJNOX http://t.co/zZ0cEwEw64")</f>
        <v>建立你自己的王國並帶領你的軍隊走向勝利！ https://youtu.be
啟動g這個好友代碼：LZKTJNOX http://t.co/zZ0cEwEw64</v>
      </c>
      <c r="G3489" s="4" t="str">
        <f>IFERROR(__xludf.DUMMYFUNCTION("GOOGLETRANSLATE(B3489)"),"軍隊")</f>
        <v>軍隊</v>
      </c>
    </row>
    <row r="3490" ht="15.75" customHeight="1">
      <c r="A3490" s="4">
        <v>512.0</v>
      </c>
      <c r="B3490" s="4" t="s">
        <v>236</v>
      </c>
      <c r="D3490" s="4" t="s">
        <v>5237</v>
      </c>
      <c r="E3490" s="4">
        <v>0.0</v>
      </c>
      <c r="F3490" s="4" t="str">
        <f>IFERROR(__xludf.DUMMYFUNCTION("GOOGLETRANSLATE(D3490)"),"在@Billboard #FanArmyFaceOff 第五輪投票給#Directioners vs #Queens http://t.co/Kgtxnnbj7y")</f>
        <v>在@Billboard #FanArmyFaceOff 第五輪投票給#Directioners vs #Queens http://t.co/Kgtxnnbj7y</v>
      </c>
      <c r="G3490" s="4" t="str">
        <f>IFERROR(__xludf.DUMMYFUNCTION("GOOGLETRANSLATE(B3490)"),"軍隊")</f>
        <v>軍隊</v>
      </c>
    </row>
    <row r="3491" ht="15.75" customHeight="1">
      <c r="A3491" s="4">
        <v>514.0</v>
      </c>
      <c r="B3491" s="4" t="s">
        <v>236</v>
      </c>
      <c r="C3491" s="4" t="s">
        <v>5238</v>
      </c>
      <c r="D3491" s="4" t="s">
        <v>5239</v>
      </c>
      <c r="E3491" s="4">
        <v>0.0</v>
      </c>
      <c r="F3491" s="4" t="str">
        <f>IFERROR(__xludf.DUMMYFUNCTION("GOOGLETRANSLATE(D3491)"),"「向我展示英雄」：電視評論 http://t.co/KaCCPk85wf http://t.co/NniXodHIGc")</f>
        <v>「向我展示英雄」：電視評論 http://t.co/KaCCPk85wf http://t.co/NniXodHIGc</v>
      </c>
      <c r="G3491" s="4" t="str">
        <f>IFERROR(__xludf.DUMMYFUNCTION("GOOGLETRANSLATE(B3491)"),"軍隊")</f>
        <v>軍隊</v>
      </c>
    </row>
    <row r="3492" ht="15.75" customHeight="1">
      <c r="A3492" s="4">
        <v>517.0</v>
      </c>
      <c r="B3492" s="4" t="s">
        <v>236</v>
      </c>
      <c r="C3492" s="4" t="s">
        <v>291</v>
      </c>
      <c r="D3492" s="4" t="s">
        <v>5240</v>
      </c>
      <c r="E3492" s="4">
        <v>0.0</v>
      </c>
      <c r="F3492" s="4" t="str">
        <f>IFERROR(__xludf.DUMMYFUNCTION("GOOGLETRANSLATE(D3492)"),"步兵男式 Lume 錶盤陸軍模擬石英腕錶運動藍色尼龍布料 - 全尺寸 http://t.co/hEP9k0XgHb http://t.co/80EBvglmrA")</f>
        <v>步兵男式 Lume 錶盤陸軍模擬石英腕錶運動藍色尼龍布料 - 全尺寸 http://t.co/hEP9k0XgHb http://t.co/80EBvglmrA</v>
      </c>
      <c r="G3492" s="4" t="str">
        <f>IFERROR(__xludf.DUMMYFUNCTION("GOOGLETRANSLATE(B3492)"),"軍隊")</f>
        <v>軍隊</v>
      </c>
    </row>
    <row r="3493" ht="15.75" customHeight="1">
      <c r="A3493" s="4">
        <v>518.0</v>
      </c>
      <c r="B3493" s="4" t="s">
        <v>236</v>
      </c>
      <c r="D3493" s="4" t="s">
        <v>5241</v>
      </c>
      <c r="E3493" s="4">
        <v>0.0</v>
      </c>
      <c r="F3493" s="4" t="str">
        <f>IFERROR(__xludf.DUMMYFUNCTION("GOOGLETRANSLATE(D3493)"),"一個方向是我對 http://t.co/q2eBlOKeVE 粉絲軍團的選擇 #Directioners http://t.co/eNCmhz6y34 x1441")</f>
        <v>一個方向是我對 http://t.co/q2eBlOKeVE 粉絲軍團的選擇 #Directioners http://t.co/eNCmhz6y34 x1441</v>
      </c>
      <c r="G3493" s="4" t="str">
        <f>IFERROR(__xludf.DUMMYFUNCTION("GOOGLETRANSLATE(B3493)"),"軍隊")</f>
        <v>軍隊</v>
      </c>
    </row>
    <row r="3494" ht="15.75" customHeight="1">
      <c r="A3494" s="4">
        <v>520.0</v>
      </c>
      <c r="B3494" s="4" t="s">
        <v>236</v>
      </c>
      <c r="C3494" s="4" t="s">
        <v>1073</v>
      </c>
      <c r="D3494" s="4" t="s">
        <v>5242</v>
      </c>
      <c r="E3494" s="4">
        <v>0.0</v>
      </c>
      <c r="F3494" s="4" t="str">
        <f>IFERROR(__xludf.DUMMYFUNCTION("GOOGLETRANSLATE(D3494)"),".: .: .: .: .: .: .: .: .: .: .: .: .: .: .: .: .: .: .: .: .: RT DrAyesha4: #IndiaKoMunTorJawabDo
印度陸軍 kiจÛ_ http://t.co/WJLJq3yA4g")</f>
        <v>.: .: .: .: .: .: .: .: .: .: .: .: .: .: .: .: .: .: .: .: .: RT DrAyesha4: #IndiaKoMunTorJawabDo
印度陸軍 kiจÛ_ http://t.co/WJLJq3yA4g</v>
      </c>
      <c r="G3494" s="4" t="str">
        <f>IFERROR(__xludf.DUMMYFUNCTION("GOOGLETRANSLATE(B3494)"),"軍隊")</f>
        <v>軍隊</v>
      </c>
    </row>
    <row r="3495" ht="15.75" customHeight="1">
      <c r="A3495" s="4">
        <v>521.0</v>
      </c>
      <c r="B3495" s="4" t="s">
        <v>236</v>
      </c>
      <c r="C3495" s="4" t="s">
        <v>5243</v>
      </c>
      <c r="D3495" s="4" t="s">
        <v>5244</v>
      </c>
      <c r="E3495" s="4">
        <v>0.0</v>
      </c>
      <c r="F3495" s="4" t="str">
        <f>IFERROR(__xludf.DUMMYFUNCTION("GOOGLETRANSLATE(D3495)"),"5 Seconds of Summer 是我選的 http://t.co/qcHV3JqOVK Fan Army #5SOSFAM http://t.co/gc0uDfnFgg ÌÑ1")</f>
        <v>5 Seconds of Summer 是我選的 http://t.co/qcHV3JqOVK Fan Army #5SOSFAM http://t.co/gc0uDfnFgg ÌÑ1</v>
      </c>
      <c r="G3495" s="4" t="str">
        <f>IFERROR(__xludf.DUMMYFUNCTION("GOOGLETRANSLATE(B3495)"),"軍隊")</f>
        <v>軍隊</v>
      </c>
    </row>
    <row r="3496" ht="15.75" customHeight="1">
      <c r="A3496" s="4">
        <v>522.0</v>
      </c>
      <c r="B3496" s="4" t="s">
        <v>236</v>
      </c>
      <c r="D3496" s="4" t="s">
        <v>5245</v>
      </c>
      <c r="E3496" s="4">
        <v>0.0</v>
      </c>
      <c r="F3496" s="4" t="str">
        <f>IFERROR(__xludf.DUMMYFUNCTION("GOOGLETRANSLATE(D3496)"),"碧昂絲是我的選擇 http://t.co/nnMQlz91o9 粉絲軍團 #Beyhive http://t.co/o91f3cYy0R 78")</f>
        <v>碧昂絲是我的選擇 http://t.co/nnMQlz91o9 粉絲軍團 #Beyhive http://t.co/o91f3cYy0R 78</v>
      </c>
      <c r="G3496" s="4" t="str">
        <f>IFERROR(__xludf.DUMMYFUNCTION("GOOGLETRANSLATE(B3496)"),"軍隊")</f>
        <v>軍隊</v>
      </c>
    </row>
    <row r="3497" ht="15.75" customHeight="1">
      <c r="A3497" s="4">
        <v>523.0</v>
      </c>
      <c r="B3497" s="4" t="s">
        <v>236</v>
      </c>
      <c r="D3497" s="4" t="s">
        <v>5246</v>
      </c>
      <c r="E3497" s="4">
        <v>0.0</v>
      </c>
      <c r="F3497" s="4" t="str">
        <f>IFERROR(__xludf.DUMMYFUNCTION("GOOGLETRANSLATE(D3497)"),"一個方向是我對 http://t.co/q2eBlOKeVE 粉絲軍團的選擇 #Directioners http://t.co/eNCmhz6y34 x1386")</f>
        <v>一個方向是我對 http://t.co/q2eBlOKeVE 粉絲軍團的選擇 #Directioners http://t.co/eNCmhz6y34 x1386</v>
      </c>
      <c r="G3497" s="4" t="str">
        <f>IFERROR(__xludf.DUMMYFUNCTION("GOOGLETRANSLATE(B3497)"),"軍隊")</f>
        <v>軍隊</v>
      </c>
    </row>
    <row r="3498" ht="15.75" customHeight="1">
      <c r="A3498" s="4">
        <v>524.0</v>
      </c>
      <c r="B3498" s="4" t="s">
        <v>236</v>
      </c>
      <c r="C3498" s="4" t="s">
        <v>5247</v>
      </c>
      <c r="D3498" s="4" t="s">
        <v>5248</v>
      </c>
      <c r="E3498" s="4">
        <v>0.0</v>
      </c>
      <c r="F3498" s="4" t="str">
        <f>IFERROR(__xludf.DUMMYFUNCTION("GOOGLETRANSLATE(D3498)"),"遊達一
#MTVSummerStar #VideoVeranoMTV #MTVHottest 布蘭妮·斯皮爾斯 拉娜·德雷")</f>
        <v>遊達一
#MTVSummerStar #VideoVeranoMTV #MTVHottest 布蘭妮·斯皮爾斯 拉娜·德雷</v>
      </c>
      <c r="G3498" s="4" t="str">
        <f>IFERROR(__xludf.DUMMYFUNCTION("GOOGLETRANSLATE(B3498)"),"軍隊")</f>
        <v>軍隊</v>
      </c>
    </row>
    <row r="3499" ht="15.75" customHeight="1">
      <c r="A3499" s="4">
        <v>526.0</v>
      </c>
      <c r="B3499" s="4" t="s">
        <v>236</v>
      </c>
      <c r="D3499" s="4" t="s">
        <v>5249</v>
      </c>
      <c r="E3499" s="4">
        <v>0.0</v>
      </c>
      <c r="F3499" s="4" t="str">
        <f>IFERROR(__xludf.DUMMYFUNCTION("GOOGLETRANSLATE(D3499)"),"一個方向是我對 http://t.co/y9WvqKGbBI 粉絲軍團的選擇 #Directioners http://t.co/S5F9FcOmp8")</f>
        <v>一個方向是我對 http://t.co/y9WvqKGbBI 粉絲軍團的選擇 #Directioners http://t.co/S5F9FcOmp8</v>
      </c>
      <c r="G3499" s="4" t="str">
        <f>IFERROR(__xludf.DUMMYFUNCTION("GOOGLETRANSLATE(B3499)"),"軍隊")</f>
        <v>軍隊</v>
      </c>
    </row>
    <row r="3500" ht="15.75" customHeight="1">
      <c r="A3500" s="4">
        <v>527.0</v>
      </c>
      <c r="B3500" s="4" t="s">
        <v>236</v>
      </c>
      <c r="C3500" s="4" t="s">
        <v>5250</v>
      </c>
      <c r="D3500" s="4" t="s">
        <v>5251</v>
      </c>
      <c r="E3500" s="4">
        <v>0.0</v>
      </c>
      <c r="F3500" s="4" t="str">
        <f>IFERROR(__xludf.DUMMYFUNCTION("GOOGLETRANSLATE(D3500)"),"史東尼傑克森是美國最後的希望，因為他領導著一支重罪犯軍隊，軍隊拒絕對抗撒旦軍隊 - http://t.co/0wbEcdMHQo")</f>
        <v>史東尼傑克森是美國最後的希望，因為他領導著一支重罪犯軍隊，軍隊拒絕對抗撒旦軍隊 - http://t.co/0wbEcdMHQo</v>
      </c>
      <c r="G3500" s="4" t="str">
        <f>IFERROR(__xludf.DUMMYFUNCTION("GOOGLETRANSLATE(B3500)"),"軍隊")</f>
        <v>軍隊</v>
      </c>
    </row>
    <row r="3501" ht="15.75" customHeight="1">
      <c r="A3501" s="4">
        <v>528.0</v>
      </c>
      <c r="B3501" s="4" t="s">
        <v>236</v>
      </c>
      <c r="C3501" s="4" t="s">
        <v>291</v>
      </c>
      <c r="D3501" s="4" t="s">
        <v>5252</v>
      </c>
      <c r="E3501" s="4">
        <v>0.0</v>
      </c>
      <c r="F3501" s="4" t="str">
        <f>IFERROR(__xludf.DUMMYFUNCTION("GOOGLETRANSLATE(D3501)"),"二戰日本陸軍海軍軍事日本皮革手錶戰爭美度 WW1 2 - eBay 完整閱讀 http://t.co/F9j3l2Yjl4 http://t.co/mwwWOWCayO")</f>
        <v>二戰日本陸軍海軍軍事日本皮革手錶戰爭美度 WW1 2 - eBay 完整閱讀 http://t.co/F9j3l2Yjl4 http://t.co/mwwWOWCayO</v>
      </c>
      <c r="G3501" s="4" t="str">
        <f>IFERROR(__xludf.DUMMYFUNCTION("GOOGLETRANSLATE(B3501)"),"軍隊")</f>
        <v>軍隊</v>
      </c>
    </row>
    <row r="3502" ht="15.75" customHeight="1">
      <c r="A3502" s="4">
        <v>530.0</v>
      </c>
      <c r="B3502" s="4" t="s">
        <v>236</v>
      </c>
      <c r="D3502" s="4" t="s">
        <v>5253</v>
      </c>
      <c r="E3502" s="4">
        <v>0.0</v>
      </c>
      <c r="F3502" s="4" t="str">
        <f>IFERROR(__xludf.DUMMYFUNCTION("GOOGLETRANSLATE(D3502)"),"碧昂絲是我的選擇 http://t.co/nnMQlz91o9 粉絲大軍 #Beyhive http://t.co/o91f3cYy0R 72")</f>
        <v>碧昂絲是我的選擇 http://t.co/nnMQlz91o9 粉絲大軍 #Beyhive http://t.co/o91f3cYy0R 72</v>
      </c>
      <c r="G3502" s="4" t="str">
        <f>IFERROR(__xludf.DUMMYFUNCTION("GOOGLETRANSLATE(B3502)"),"軍隊")</f>
        <v>軍隊</v>
      </c>
    </row>
    <row r="3503" ht="15.75" customHeight="1">
      <c r="A3503" s="4">
        <v>531.0</v>
      </c>
      <c r="B3503" s="4" t="s">
        <v>236</v>
      </c>
      <c r="D3503" s="4" t="s">
        <v>5254</v>
      </c>
      <c r="E3503" s="4">
        <v>0.0</v>
      </c>
      <c r="F3503" s="4" t="str">
        <f>IFERROR(__xludf.DUMMYFUNCTION("GOOGLETRANSLATE(D3503)"),"7.Beyonce 是我選擇的 http://t.co/thoYhrHkfJ 粉絲軍團 #Beyhive http://t.co/WvJ39a3BGM")</f>
        <v>7.Beyonce 是我選擇的 http://t.co/thoYhrHkfJ 粉絲軍團 #Beyhive http://t.co/WvJ39a3BGM</v>
      </c>
      <c r="G3503" s="4" t="str">
        <f>IFERROR(__xludf.DUMMYFUNCTION("GOOGLETRANSLATE(B3503)"),"軍隊")</f>
        <v>軍隊</v>
      </c>
    </row>
    <row r="3504" ht="15.75" customHeight="1">
      <c r="A3504" s="4">
        <v>533.0</v>
      </c>
      <c r="B3504" s="4" t="s">
        <v>236</v>
      </c>
      <c r="D3504" s="4" t="s">
        <v>5255</v>
      </c>
      <c r="E3504" s="4">
        <v>0.0</v>
      </c>
      <c r="F3504" s="4" t="str">
        <f>IFERROR(__xludf.DUMMYFUNCTION("GOOGLETRANSLATE(D3504)"),"碧昂絲是我的選擇 http://t.co/nnMQlz91o9 粉絲大軍 #Beyhive http://t.co/o91f3cYy0R 66")</f>
        <v>碧昂絲是我的選擇 http://t.co/nnMQlz91o9 粉絲大軍 #Beyhive http://t.co/o91f3cYy0R 66</v>
      </c>
      <c r="G3504" s="4" t="str">
        <f>IFERROR(__xludf.DUMMYFUNCTION("GOOGLETRANSLATE(B3504)"),"軍隊")</f>
        <v>軍隊</v>
      </c>
    </row>
    <row r="3505" ht="15.75" customHeight="1">
      <c r="A3505" s="4">
        <v>535.0</v>
      </c>
      <c r="B3505" s="4" t="s">
        <v>236</v>
      </c>
      <c r="D3505" s="4" t="s">
        <v>5256</v>
      </c>
      <c r="E3505" s="4">
        <v>0.0</v>
      </c>
      <c r="F3505" s="4" t="str">
        <f>IFERROR(__xludf.DUMMYFUNCTION("GOOGLETRANSLATE(D3505)"),"6.Beyonce 是我選擇的 http://t.co/thoYhrHkfJ 粉絲大軍 #Beyhive http://t.co/WvJ39a3BGM")</f>
        <v>6.Beyonce 是我選擇的 http://t.co/thoYhrHkfJ 粉絲大軍 #Beyhive http://t.co/WvJ39a3BGM</v>
      </c>
      <c r="G3505" s="4" t="str">
        <f>IFERROR(__xludf.DUMMYFUNCTION("GOOGLETRANSLATE(B3505)"),"軍隊")</f>
        <v>軍隊</v>
      </c>
    </row>
    <row r="3506" ht="15.75" customHeight="1">
      <c r="A3506" s="4">
        <v>536.0</v>
      </c>
      <c r="B3506" s="4" t="s">
        <v>236</v>
      </c>
      <c r="C3506" s="4" t="s">
        <v>620</v>
      </c>
      <c r="D3506" s="4" t="s">
        <v>5257</v>
      </c>
      <c r="E3506" s="4">
        <v>0.0</v>
      </c>
      <c r="F3506" s="4" t="str">
        <f>IFERROR(__xludf.DUMMYFUNCTION("GOOGLETRANSLATE(D3506)"),"美國總統任命準將。理查德·G·凱澤 (Richard G. Kaiser) 將軍擔任密西西比河委員會成員。了解有關 MRC 的更多資訊：http://t.co/vdUKcV7YJy")</f>
        <v>美國總統任命準將。理查德·G·凱澤 (Richard G. Kaiser) 將軍擔任密西西比河委員會成員。了解有關 MRC 的更多資訊：http://t.co/vdUKcV7YJy</v>
      </c>
      <c r="G3506" s="4" t="str">
        <f>IFERROR(__xludf.DUMMYFUNCTION("GOOGLETRANSLATE(B3506)"),"軍隊")</f>
        <v>軍隊</v>
      </c>
    </row>
    <row r="3507" ht="15.75" customHeight="1">
      <c r="A3507" s="4">
        <v>540.0</v>
      </c>
      <c r="B3507" s="4" t="s">
        <v>236</v>
      </c>
      <c r="C3507" s="4" t="s">
        <v>291</v>
      </c>
      <c r="D3507" s="4" t="s">
        <v>5258</v>
      </c>
      <c r="E3507" s="4">
        <v>0.0</v>
      </c>
      <c r="F3507" s="4" t="str">
        <f>IFERROR(__xludf.DUMMYFUNCTION("GOOGLETRANSLATE(D3507)"),"第一次世界大戰日本陸軍海軍軍事日本皮革手錶戰爭 MIDO WW1 2 - eBay 完整閱讀 http://t.co/QUmcE7W2tY http://t.co/KTKG2sDhHl")</f>
        <v>第一次世界大戰日本陸軍海軍軍事日本皮革手錶戰爭 MIDO WW1 2 - eBay 完整閱讀 http://t.co/QUmcE7W2tY http://t.co/KTKG2sDhHl</v>
      </c>
      <c r="G3507" s="4" t="str">
        <f>IFERROR(__xludf.DUMMYFUNCTION("GOOGLETRANSLATE(B3507)"),"軍隊")</f>
        <v>軍隊</v>
      </c>
    </row>
    <row r="3508" ht="15.75" customHeight="1">
      <c r="A3508" s="4">
        <v>542.0</v>
      </c>
      <c r="B3508" s="4" t="s">
        <v>236</v>
      </c>
      <c r="D3508" s="4" t="s">
        <v>5259</v>
      </c>
      <c r="E3508" s="4">
        <v>0.0</v>
      </c>
      <c r="F3508" s="4" t="str">
        <f>IFERROR(__xludf.DUMMYFUNCTION("GOOGLETRANSLATE(D3508)"),"二戰日本陸軍海軍軍事日本皮革手錶戰爭 MIDO WW1 2 - eBay 完整閱讀 http://t.co/obfD7e4QcP http://t.co/yAZjE5OwVk")</f>
        <v>二戰日本陸軍海軍軍事日本皮革手錶戰爭 MIDO WW1 2 - eBay 完整閱讀 http://t.co/obfD7e4QcP http://t.co/yAZjE5OwVk</v>
      </c>
      <c r="G3508" s="4" t="str">
        <f>IFERROR(__xludf.DUMMYFUNCTION("GOOGLETRANSLATE(B3508)"),"軍隊")</f>
        <v>軍隊</v>
      </c>
    </row>
    <row r="3509" ht="15.75" customHeight="1">
      <c r="A3509" s="4">
        <v>543.0</v>
      </c>
      <c r="B3509" s="4" t="s">
        <v>236</v>
      </c>
      <c r="D3509" s="4" t="s">
        <v>5260</v>
      </c>
      <c r="E3509" s="4">
        <v>0.0</v>
      </c>
      <c r="F3509" s="4" t="str">
        <f>IFERROR(__xludf.DUMMYFUNCTION("GOOGLETRANSLATE(D3509)"),"一個方向是我對 http://t.co/q2eBlOKeVE 粉絲軍團的選擇 #Directioners http://t.co/eNCmhz6y34 x1434")</f>
        <v>一個方向是我對 http://t.co/q2eBlOKeVE 粉絲軍團的選擇 #Directioners http://t.co/eNCmhz6y34 x1434</v>
      </c>
      <c r="G3509" s="4" t="str">
        <f>IFERROR(__xludf.DUMMYFUNCTION("GOOGLETRANSLATE(B3509)"),"軍隊")</f>
        <v>軍隊</v>
      </c>
    </row>
    <row r="3510" ht="15.75" customHeight="1">
      <c r="A3510" s="4">
        <v>544.0</v>
      </c>
      <c r="B3510" s="4" t="s">
        <v>236</v>
      </c>
      <c r="C3510" s="4" t="s">
        <v>5261</v>
      </c>
      <c r="D3510" s="4" t="s">
        <v>5262</v>
      </c>
      <c r="E3510" s="4">
        <v>0.0</v>
      </c>
      <c r="F3510" s="4" t="str">
        <f>IFERROR(__xludf.DUMMYFUNCTION("GOOGLETRANSLATE(D3510)"),"一個方向是我對 http://t.co/iMHFdaOWRd 粉絲軍團的選擇 #Directioners http://t.co/4fTZJk94Dt")</f>
        <v>一個方向是我對 http://t.co/iMHFdaOWRd 粉絲軍團的選擇 #Directioners http://t.co/4fTZJk94Dt</v>
      </c>
      <c r="G3510" s="4" t="str">
        <f>IFERROR(__xludf.DUMMYFUNCTION("GOOGLETRANSLATE(B3510)"),"軍隊")</f>
        <v>軍隊</v>
      </c>
    </row>
    <row r="3511" ht="15.75" customHeight="1">
      <c r="A3511" s="4">
        <v>546.0</v>
      </c>
      <c r="B3511" s="4" t="s">
        <v>245</v>
      </c>
      <c r="D3511" s="4" t="s">
        <v>5263</v>
      </c>
      <c r="E3511" s="4">
        <v>0.0</v>
      </c>
      <c r="F3511" s="4" t="str">
        <f>IFERROR(__xludf.DUMMYFUNCTION("GOOGLETRANSLATE(D3511)"),"兩名猶太恐怖分子被控縱火歷史教堂醜陋的真相 http://t.co/iEksNFSbY7 http://t.co/VWCf3slkrW")</f>
        <v>兩名猶太恐怖分子被控縱火歷史教堂醜陋的真相 http://t.co/iEksNFSbY7 http://t.co/VWCf3slkrW</v>
      </c>
      <c r="G3511" s="4" t="str">
        <f>IFERROR(__xludf.DUMMYFUNCTION("GOOGLETRANSLATE(B3511)"),"縱火")</f>
        <v>縱火</v>
      </c>
    </row>
    <row r="3512" ht="15.75" customHeight="1">
      <c r="A3512" s="4">
        <v>552.0</v>
      </c>
      <c r="B3512" s="4" t="s">
        <v>245</v>
      </c>
      <c r="C3512" s="4" t="s">
        <v>1821</v>
      </c>
      <c r="D3512" s="4" t="s">
        <v>5264</v>
      </c>
      <c r="E3512" s="4">
        <v>0.0</v>
      </c>
      <c r="F3512" s="4" t="str">
        <f>IFERROR(__xludf.DUMMYFUNCTION("GOOGLETRANSLATE(D3512)"),"將眷族加入縱火隊。")</f>
        <v>將眷族加入縱火隊。</v>
      </c>
      <c r="G3512" s="4" t="str">
        <f>IFERROR(__xludf.DUMMYFUNCTION("GOOGLETRANSLATE(B3512)"),"縱火")</f>
        <v>縱火</v>
      </c>
    </row>
    <row r="3513" ht="15.75" customHeight="1">
      <c r="A3513" s="4">
        <v>561.0</v>
      </c>
      <c r="B3513" s="4" t="s">
        <v>245</v>
      </c>
      <c r="C3513" s="4" t="s">
        <v>5265</v>
      </c>
      <c r="D3513" s="4" t="s">
        <v>5266</v>
      </c>
      <c r="E3513" s="4">
        <v>0.0</v>
      </c>
      <c r="F3513" s="4" t="str">
        <f>IFERROR(__xludf.DUMMYFUNCTION("GOOGLETRANSLATE(D3513)"),"縱火之聲")</f>
        <v>縱火之聲</v>
      </c>
      <c r="G3513" s="4" t="str">
        <f>IFERROR(__xludf.DUMMYFUNCTION("GOOGLETRANSLATE(B3513)"),"縱火")</f>
        <v>縱火</v>
      </c>
    </row>
    <row r="3514" ht="15.75" customHeight="1">
      <c r="A3514" s="4">
        <v>563.0</v>
      </c>
      <c r="B3514" s="4" t="s">
        <v>245</v>
      </c>
      <c r="C3514" s="4" t="s">
        <v>4556</v>
      </c>
      <c r="D3514" s="4" t="s">
        <v>5267</v>
      </c>
      <c r="E3514" s="4">
        <v>0.0</v>
      </c>
      <c r="F3514" s="4" t="str">
        <f>IFERROR(__xludf.DUMMYFUNCTION("GOOGLETRANSLATE(D3514)"),"芝加哥地區同志酒吧老闆承認縱火案 http://t.co/MYhOHvrHiL #LGBT | https://t.co/TM5HTHFDO0")</f>
        <v>芝加哥地區同志酒吧老闆承認縱火案 http://t.co/MYhOHvrHiL #LGBT | https://t.co/TM5HTHFDO0</v>
      </c>
      <c r="G3514" s="4" t="str">
        <f>IFERROR(__xludf.DUMMYFUNCTION("GOOGLETRANSLATE(B3514)"),"縱火")</f>
        <v>縱火</v>
      </c>
    </row>
    <row r="3515" ht="15.75" customHeight="1">
      <c r="A3515" s="4">
        <v>564.0</v>
      </c>
      <c r="B3515" s="4" t="s">
        <v>245</v>
      </c>
      <c r="C3515" s="4" t="s">
        <v>5268</v>
      </c>
      <c r="D3515" s="4" t="s">
        <v>5269</v>
      </c>
      <c r="E3515" s="4">
        <v>0.0</v>
      </c>
      <c r="F3515" s="4" t="str">
        <f>IFERROR(__xludf.DUMMYFUNCTION("GOOGLETRANSLATE(D3515)"),"等等什麼？？？ http://t.co/uAVFRtlfs4 http://t.co/85G1pCcCXG")</f>
        <v>等等什麼？？？ http://t.co/uAVFRtlfs4 http://t.co/85G1pCcCXG</v>
      </c>
      <c r="G3515" s="4" t="str">
        <f>IFERROR(__xludf.DUMMYFUNCTION("GOOGLETRANSLATE(B3515)"),"縱火")</f>
        <v>縱火</v>
      </c>
    </row>
    <row r="3516" ht="15.75" customHeight="1">
      <c r="A3516" s="4">
        <v>574.0</v>
      </c>
      <c r="B3516" s="4" t="s">
        <v>245</v>
      </c>
      <c r="C3516" s="4" t="s">
        <v>253</v>
      </c>
      <c r="D3516" s="4" t="s">
        <v>5270</v>
      </c>
      <c r="E3516" s="4">
        <v>0.0</v>
      </c>
      <c r="F3516" s="4" t="str">
        <f>IFERROR(__xludf.DUMMYFUNCTION("GOOGLETRANSLATE(D3516)"),"刺傷縱火受害者的哀悼通知在以色列激起悲傷的政治：Shira Banki 和 A... http://t.co/3GZ5zQQTHe")</f>
        <v>刺傷縱火受害者的哀悼通知在以色列激起悲傷的政治：Shira Banki 和 A... http://t.co/3GZ5zQQTHe</v>
      </c>
      <c r="G3516" s="4" t="str">
        <f>IFERROR(__xludf.DUMMYFUNCTION("GOOGLETRANSLATE(B3516)"),"縱火")</f>
        <v>縱火</v>
      </c>
    </row>
    <row r="3517" ht="15.75" customHeight="1">
      <c r="A3517" s="4">
        <v>577.0</v>
      </c>
      <c r="B3517" s="4" t="s">
        <v>245</v>
      </c>
      <c r="C3517" s="4" t="s">
        <v>1118</v>
      </c>
      <c r="D3517" s="4" t="s">
        <v>5271</v>
      </c>
      <c r="E3517" s="4">
        <v>0.0</v>
      </c>
      <c r="F3517" s="4" t="str">
        <f>IFERROR(__xludf.DUMMYFUNCTION("GOOGLETRANSLATE(D3517)"),"芝加哥地區同志酒吧老闆承認縱火案 http://t.co/0TSlQjOKvh via @theadvocatemag #LGBT")</f>
        <v>芝加哥地區同志酒吧老闆承認縱火案 http://t.co/0TSlQjOKvh via @theadvocatemag #LGBT</v>
      </c>
      <c r="G3517" s="4" t="str">
        <f>IFERROR(__xludf.DUMMYFUNCTION("GOOGLETRANSLATE(B3517)"),"縱火")</f>
        <v>縱火</v>
      </c>
    </row>
    <row r="3518" ht="15.75" customHeight="1">
      <c r="A3518" s="4">
        <v>578.0</v>
      </c>
      <c r="B3518" s="4" t="s">
        <v>245</v>
      </c>
      <c r="C3518" s="4" t="s">
        <v>5272</v>
      </c>
      <c r="D3518" s="4" t="s">
        <v>5273</v>
      </c>
      <c r="E3518" s="4">
        <v>0.0</v>
      </c>
      <c r="F3518" s="4" t="str">
        <f>IFERROR(__xludf.DUMMYFUNCTION("GOOGLETRANSLATE(D3518)"),"@sayn_ae 天使還是縱火")</f>
        <v>@sayn_ae 天使還是縱火</v>
      </c>
      <c r="G3518" s="4" t="str">
        <f>IFERROR(__xludf.DUMMYFUNCTION("GOOGLETRANSLATE(B3518)"),"縱火")</f>
        <v>縱火</v>
      </c>
    </row>
    <row r="3519" ht="15.75" customHeight="1">
      <c r="A3519" s="4">
        <v>581.0</v>
      </c>
      <c r="B3519" s="4" t="s">
        <v>245</v>
      </c>
      <c r="C3519" s="4" t="s">
        <v>1452</v>
      </c>
      <c r="D3519" s="4" t="s">
        <v>5274</v>
      </c>
      <c r="E3519" s="4">
        <v>0.0</v>
      </c>
      <c r="F3519" s="4" t="str">
        <f>IFERROR(__xludf.DUMMYFUNCTION("GOOGLETRANSLATE(D3519)"),"芝加哥地區同志酒吧老闆承認縱火案 http://t.co/2Y9dnP5vtg via @theadvocatemag #LGBT | https://t.co/6XuL6DCOsh")</f>
        <v>芝加哥地區同志酒吧老闆承認縱火案 http://t.co/2Y9dnP5vtg via @theadvocatemag #LGBT | https://t.co/6XuL6DCOsh</v>
      </c>
      <c r="G3519" s="4" t="str">
        <f>IFERROR(__xludf.DUMMYFUNCTION("GOOGLETRANSLATE(B3519)"),"縱火")</f>
        <v>縱火</v>
      </c>
    </row>
    <row r="3520" ht="15.75" customHeight="1">
      <c r="A3520" s="4">
        <v>583.0</v>
      </c>
      <c r="B3520" s="4" t="s">
        <v>245</v>
      </c>
      <c r="C3520" s="4" t="s">
        <v>5275</v>
      </c>
      <c r="D3520" s="4" t="s">
        <v>5276</v>
      </c>
      <c r="E3520" s="4">
        <v>0.0</v>
      </c>
      <c r="F3520" s="4" t="str">
        <f>IFERROR(__xludf.DUMMYFUNCTION("GOOGLETRANSLATE(D3520)"),"芝加哥地區同性戀酒吧老闆承認縱火案 http://t.co/UBFr1URAFc #LGBT | https://t.co/AlnV51d95x")</f>
        <v>芝加哥地區同性戀酒吧老闆承認縱火案 http://t.co/UBFr1URAFc #LGBT | https://t.co/AlnV51d95x</v>
      </c>
      <c r="G3520" s="4" t="str">
        <f>IFERROR(__xludf.DUMMYFUNCTION("GOOGLETRANSLATE(B3520)"),"縱火")</f>
        <v>縱火</v>
      </c>
    </row>
    <row r="3521" ht="15.75" customHeight="1">
      <c r="A3521" s="4">
        <v>599.0</v>
      </c>
      <c r="B3521" s="4" t="s">
        <v>278</v>
      </c>
      <c r="C3521" s="4" t="s">
        <v>1764</v>
      </c>
      <c r="D3521" s="4" t="s">
        <v>5277</v>
      </c>
      <c r="E3521" s="4">
        <v>0.0</v>
      </c>
      <c r="F3521" s="4" t="str">
        <f>IFERROR(__xludf.DUMMYFUNCTION("GOOGLETRANSLATE(D3521)"),"#NOWPLAYING 縱火犯 MC - 印象深刻 - @ARSONISTMUSIC http://t.co/1ElreH1jLJ")</f>
        <v>#NOWPLAYING 縱火犯 MC - 印象深刻 - @ARSONISTMUSIC http://t.co/1ElreH1jLJ</v>
      </c>
      <c r="G3521" s="4" t="str">
        <f>IFERROR(__xludf.DUMMYFUNCTION("GOOGLETRANSLATE(B3521)"),"縱火犯")</f>
        <v>縱火犯</v>
      </c>
    </row>
    <row r="3522" ht="15.75" customHeight="1">
      <c r="A3522" s="4">
        <v>603.0</v>
      </c>
      <c r="B3522" s="4" t="s">
        <v>278</v>
      </c>
      <c r="C3522" s="4" t="s">
        <v>279</v>
      </c>
      <c r="D3522" s="4" t="s">
        <v>5278</v>
      </c>
      <c r="E3522" s="4">
        <v>0.0</v>
      </c>
      <c r="F3522" s="4" t="str">
        <f>IFERROR(__xludf.DUMMYFUNCTION("GOOGLETRANSLATE(D3522)"),"@Safyuan 只是對我任何時候都不會面臨的擁有非刑事化物質的輕微引用")</f>
        <v>@Safyuan 只是對我任何時候都不會面臨的擁有非刑事化物質的輕微引用</v>
      </c>
      <c r="G3522" s="4" t="str">
        <f>IFERROR(__xludf.DUMMYFUNCTION("GOOGLETRANSLATE(B3522)"),"縱火犯")</f>
        <v>縱火犯</v>
      </c>
    </row>
    <row r="3523" ht="15.75" customHeight="1">
      <c r="A3523" s="4">
        <v>607.0</v>
      </c>
      <c r="B3523" s="4" t="s">
        <v>278</v>
      </c>
      <c r="C3523" s="4" t="s">
        <v>5279</v>
      </c>
      <c r="D3523" s="4" t="s">
        <v>5280</v>
      </c>
      <c r="E3523" s="4">
        <v>0.0</v>
      </c>
      <c r="F3523" s="4" t="str">
        <f>IFERROR(__xludf.DUMMYFUNCTION("GOOGLETRANSLATE(D3523)"),"@local_arsonist @diamorfiend 法律制度永遠不會忘記")</f>
        <v>@local_arsonist @diamorfiend 法律制度永遠不會忘記</v>
      </c>
      <c r="G3523" s="4" t="str">
        <f>IFERROR(__xludf.DUMMYFUNCTION("GOOGLETRANSLATE(B3523)"),"縱火犯")</f>
        <v>縱火犯</v>
      </c>
    </row>
    <row r="3524" ht="15.75" customHeight="1">
      <c r="A3524" s="4">
        <v>608.0</v>
      </c>
      <c r="B3524" s="4" t="s">
        <v>278</v>
      </c>
      <c r="C3524" s="4" t="s">
        <v>279</v>
      </c>
      <c r="D3524" s="4" t="s">
        <v>5281</v>
      </c>
      <c r="E3524" s="4">
        <v>0.0</v>
      </c>
      <c r="F3524" s="4" t="str">
        <f>IFERROR(__xludf.DUMMYFUNCTION("GOOGLETRANSLATE(D3524)"),"@Casper_rmg 你在迪克上")</f>
        <v>@Casper_rmg 你在迪克上</v>
      </c>
      <c r="G3524" s="4" t="str">
        <f>IFERROR(__xludf.DUMMYFUNCTION("GOOGLETRANSLATE(B3524)"),"縱火犯")</f>
        <v>縱火犯</v>
      </c>
    </row>
    <row r="3525" ht="15.75" customHeight="1">
      <c r="A3525" s="4">
        <v>609.0</v>
      </c>
      <c r="B3525" s="4" t="s">
        <v>278</v>
      </c>
      <c r="C3525" s="4" t="s">
        <v>5282</v>
      </c>
      <c r="D3525" s="4" t="s">
        <v>5283</v>
      </c>
      <c r="E3525" s="4">
        <v>0.0</v>
      </c>
      <c r="F3525" s="4" t="str">
        <f>IFERROR(__xludf.DUMMYFUNCTION("GOOGLETRANSLATE(D3525)"),"布洛爾/奧辛頓縱火犯還在諾森伯蘭街燒毀了一張床墊#cbcto http://t.co/wpDvT31sne")</f>
        <v>布洛爾/奧辛頓縱火犯還在諾森伯蘭街燒毀了一張床墊#cbcto http://t.co/wpDvT31sne</v>
      </c>
      <c r="G3525" s="4" t="str">
        <f>IFERROR(__xludf.DUMMYFUNCTION("GOOGLETRANSLATE(B3525)"),"縱火犯")</f>
        <v>縱火犯</v>
      </c>
    </row>
    <row r="3526" ht="15.75" customHeight="1">
      <c r="A3526" s="4">
        <v>611.0</v>
      </c>
      <c r="B3526" s="4" t="s">
        <v>278</v>
      </c>
      <c r="C3526" s="4" t="s">
        <v>5284</v>
      </c>
      <c r="D3526" s="4" t="s">
        <v>5285</v>
      </c>
      <c r="E3526" s="4">
        <v>0.0</v>
      </c>
      <c r="F3526" s="4" t="str">
        <f>IFERROR(__xludf.DUMMYFUNCTION("GOOGLETRANSLATE(D3526)"),"“我的縱火犯在哪裡？？？”")</f>
        <v>“我的縱火犯在哪裡？？？”</v>
      </c>
      <c r="G3526" s="4" t="str">
        <f>IFERROR(__xludf.DUMMYFUNCTION("GOOGLETRANSLATE(B3526)"),"縱火犯")</f>
        <v>縱火犯</v>
      </c>
    </row>
    <row r="3527" ht="15.75" customHeight="1">
      <c r="A3527" s="4">
        <v>612.0</v>
      </c>
      <c r="B3527" s="4" t="s">
        <v>278</v>
      </c>
      <c r="C3527" s="4" t="s">
        <v>359</v>
      </c>
      <c r="D3527" s="4" t="s">
        <v>5286</v>
      </c>
      <c r="E3527" s="4">
        <v>0.0</v>
      </c>
      <c r="F3527" s="4" t="str">
        <f>IFERROR(__xludf.DUMMYFUNCTION("GOOGLETRANSLATE(D3527)"),"如果你沒有什麼好話要說的話，你可以過來和我一起坐。")</f>
        <v>如果你沒有什麼好話要說的話，你可以過來和我一起坐。</v>
      </c>
      <c r="G3527" s="4" t="str">
        <f>IFERROR(__xludf.DUMMYFUNCTION("GOOGLETRANSLATE(B3527)"),"縱火犯")</f>
        <v>縱火犯</v>
      </c>
    </row>
    <row r="3528" ht="15.75" customHeight="1">
      <c r="A3528" s="4">
        <v>613.0</v>
      </c>
      <c r="B3528" s="4" t="s">
        <v>278</v>
      </c>
      <c r="C3528" s="4" t="s">
        <v>3427</v>
      </c>
      <c r="D3528" s="4" t="s">
        <v>5287</v>
      </c>
      <c r="E3528" s="4">
        <v>0.0</v>
      </c>
      <c r="F3528" s="4" t="str">
        <f>IFERROR(__xludf.DUMMYFUNCTION("GOOGLETRANSLATE(D3528)"),"#Vegetarian #Vegan 影片顯示縱火犯焚燒受歡迎的 BK 餐廳 Strictly Vegetarian... http://t.co/kxpLYoM9RR #GoVegan #UniteBlue")</f>
        <v>#Vegetarian #Vegan 影片顯示縱火犯焚燒受歡迎的 BK 餐廳 Strictly Vegetarian... http://t.co/kxpLYoM9RR #GoVegan #UniteBlue</v>
      </c>
      <c r="G3528" s="4" t="str">
        <f>IFERROR(__xludf.DUMMYFUNCTION("GOOGLETRANSLATE(B3528)"),"縱火犯")</f>
        <v>縱火犯</v>
      </c>
    </row>
    <row r="3529" ht="15.75" customHeight="1">
      <c r="A3529" s="4">
        <v>615.0</v>
      </c>
      <c r="B3529" s="4" t="s">
        <v>278</v>
      </c>
      <c r="C3529" s="4" t="s">
        <v>1113</v>
      </c>
      <c r="D3529" s="4" t="s">
        <v>5288</v>
      </c>
      <c r="E3529" s="4">
        <v>0.0</v>
      </c>
      <c r="F3529" s="4" t="str">
        <f>IFERROR(__xludf.DUMMYFUNCTION("GOOGLETRANSLATE(D3529)"),"影片拍攝到一名男子從加州長灘家中取下美國國旗並將其焚燒；縱火犯通緝 http://t.co/JP2QlrunjJ http://t.co/jbpgkGOwSi")</f>
        <v>影片拍攝到一名男子從加州長灘家中取下美國國旗並將其焚燒；縱火犯通緝 http://t.co/JP2QlrunjJ http://t.co/jbpgkGOwSi</v>
      </c>
      <c r="G3529" s="4" t="str">
        <f>IFERROR(__xludf.DUMMYFUNCTION("GOOGLETRANSLATE(B3529)"),"縱火犯")</f>
        <v>縱火犯</v>
      </c>
    </row>
    <row r="3530" ht="15.75" customHeight="1">
      <c r="A3530" s="4">
        <v>617.0</v>
      </c>
      <c r="B3530" s="4" t="s">
        <v>278</v>
      </c>
      <c r="C3530" s="4" t="s">
        <v>279</v>
      </c>
      <c r="D3530" s="4" t="s">
        <v>5289</v>
      </c>
      <c r="E3530" s="4">
        <v>0.0</v>
      </c>
      <c r="F3530" s="4" t="str">
        <f>IFERROR(__xludf.DUMMYFUNCTION("GOOGLETRANSLATE(D3530)"),"@58hif 我的伎倆就是想一些討厭的事情")</f>
        <v>@58hif 我的伎倆就是想一些討厭的事情</v>
      </c>
      <c r="G3530" s="4" t="str">
        <f>IFERROR(__xludf.DUMMYFUNCTION("GOOGLETRANSLATE(B3530)"),"縱火犯")</f>
        <v>縱火犯</v>
      </c>
    </row>
    <row r="3531" ht="15.75" customHeight="1">
      <c r="A3531" s="4">
        <v>619.0</v>
      </c>
      <c r="B3531" s="4" t="s">
        <v>278</v>
      </c>
      <c r="C3531" s="4" t="s">
        <v>5290</v>
      </c>
      <c r="D3531" s="4" t="s">
        <v>5291</v>
      </c>
      <c r="E3531" s="4">
        <v>0.0</v>
      </c>
      <c r="F3531" s="4" t="str">
        <f>IFERROR(__xludf.DUMMYFUNCTION("GOOGLETRANSLATE(D3531)"),"#Spotlight 帶我去天堂縱火犯 MC #WNIAGospel http://t.co/1he4UfaWZm @arsonistmusic http://t.co/BNhtxAEZMM")</f>
        <v>#Spotlight 帶我去天堂縱火犯 MC #WNIAGospel http://t.co/1he4UfaWZm @arsonistmusic http://t.co/BNhtxAEZMM</v>
      </c>
      <c r="G3531" s="4" t="str">
        <f>IFERROR(__xludf.DUMMYFUNCTION("GOOGLETRANSLATE(B3531)"),"縱火犯")</f>
        <v>縱火犯</v>
      </c>
    </row>
    <row r="3532" ht="15.75" customHeight="1">
      <c r="A3532" s="4">
        <v>621.0</v>
      </c>
      <c r="B3532" s="4" t="s">
        <v>278</v>
      </c>
      <c r="C3532" s="4" t="s">
        <v>279</v>
      </c>
      <c r="D3532" s="4" t="s">
        <v>5292</v>
      </c>
      <c r="E3532" s="4">
        <v>0.0</v>
      </c>
      <c r="F3532" s="4" t="str">
        <f>IFERROR(__xludf.DUMMYFUNCTION("GOOGLETRANSLATE(D3532)"),"誰製造這些？ http://t.co/28t3NWHdKy")</f>
        <v>誰製造這些？ http://t.co/28t3NWHdKy</v>
      </c>
      <c r="G3532" s="4" t="str">
        <f>IFERROR(__xludf.DUMMYFUNCTION("GOOGLETRANSLATE(B3532)"),"縱火犯")</f>
        <v>縱火犯</v>
      </c>
    </row>
    <row r="3533" ht="15.75" customHeight="1">
      <c r="A3533" s="4">
        <v>622.0</v>
      </c>
      <c r="B3533" s="4" t="s">
        <v>278</v>
      </c>
      <c r="D3533" s="4" t="s">
        <v>5293</v>
      </c>
      <c r="E3533" s="4">
        <v>0.0</v>
      </c>
      <c r="F3533" s="4" t="str">
        <f>IFERROR(__xludf.DUMMYFUNCTION("GOOGLETRANSLATE(D3533)"),"在塞勒姆鎮，我剛剛融化了冰塊，因為我是縱火犯：D")</f>
        <v>在塞勒姆鎮，我剛剛融化了冰塊，因為我是縱火犯：D</v>
      </c>
      <c r="G3533" s="4" t="str">
        <f>IFERROR(__xludf.DUMMYFUNCTION("GOOGLETRANSLATE(B3533)"),"縱火犯")</f>
        <v>縱火犯</v>
      </c>
    </row>
    <row r="3534" ht="15.75" customHeight="1">
      <c r="A3534" s="4">
        <v>623.0</v>
      </c>
      <c r="B3534" s="4" t="s">
        <v>278</v>
      </c>
      <c r="C3534" s="4" t="s">
        <v>5294</v>
      </c>
      <c r="D3534" s="4" t="s">
        <v>5295</v>
      </c>
      <c r="E3534" s="4">
        <v>0.0</v>
      </c>
      <c r="F3534" s="4" t="str">
        <f>IFERROR(__xludf.DUMMYFUNCTION("GOOGLETRANSLATE(D3534)"),"阿德萊德一家塑膠回收企業發生火災，縱火犯被指責@pcaldicott7 報告。 #7NewsAdl http://t.co/r1Xwdnvb0g")</f>
        <v>阿德萊德一家塑膠回收企業發生火災，縱火犯被指責@pcaldicott7 報告。 #7NewsAdl http://t.co/r1Xwdnvb0g</v>
      </c>
      <c r="G3534" s="4" t="str">
        <f>IFERROR(__xludf.DUMMYFUNCTION("GOOGLETRANSLATE(B3534)"),"縱火犯")</f>
        <v>縱火犯</v>
      </c>
    </row>
    <row r="3535" ht="15.75" customHeight="1">
      <c r="A3535" s="4">
        <v>624.0</v>
      </c>
      <c r="B3535" s="4" t="s">
        <v>278</v>
      </c>
      <c r="C3535" s="4" t="s">
        <v>279</v>
      </c>
      <c r="D3535" s="4" t="s">
        <v>5296</v>
      </c>
      <c r="E3535" s="4">
        <v>0.0</v>
      </c>
      <c r="F3535" s="4" t="str">
        <f>IFERROR(__xludf.DUMMYFUNCTION("GOOGLETRANSLATE(D3535)"),"我是那個辣子狗屎")</f>
        <v>我是那個辣子狗屎</v>
      </c>
      <c r="G3535" s="4" t="str">
        <f>IFERROR(__xludf.DUMMYFUNCTION("GOOGLETRANSLATE(B3535)"),"縱火犯")</f>
        <v>縱火犯</v>
      </c>
    </row>
    <row r="3536" ht="15.75" customHeight="1">
      <c r="A3536" s="4">
        <v>625.0</v>
      </c>
      <c r="B3536" s="4" t="s">
        <v>278</v>
      </c>
      <c r="C3536" s="4" t="s">
        <v>5297</v>
      </c>
      <c r="D3536" s="4" t="s">
        <v>5298</v>
      </c>
      <c r="E3536" s="4">
        <v>0.0</v>
      </c>
      <c r="F3536" s="4" t="str">
        <f>IFERROR(__xludf.DUMMYFUNCTION("GOOGLETRANSLATE(D3536)"),"Zodiac Girl 壯舉 Trey Dupree（由 Sparkz Beatz 製作） |查克·達縱火犯 http://t.co/HDKd9J2lw0")</f>
        <v>Zodiac Girl 壯舉 Trey Dupree（由 Sparkz Beatz 製作） |查克·達縱火犯 http://t.co/HDKd9J2lw0</v>
      </c>
      <c r="G3536" s="4" t="str">
        <f>IFERROR(__xludf.DUMMYFUNCTION("GOOGLETRANSLATE(B3536)"),"縱火犯")</f>
        <v>縱火犯</v>
      </c>
    </row>
    <row r="3537" ht="15.75" customHeight="1">
      <c r="A3537" s="4">
        <v>628.0</v>
      </c>
      <c r="B3537" s="4" t="s">
        <v>278</v>
      </c>
      <c r="D3537" s="4" t="s">
        <v>5299</v>
      </c>
      <c r="E3537" s="4">
        <v>0.0</v>
      </c>
      <c r="F3537" s="4" t="str">
        <f>IFERROR(__xludf.DUMMYFUNCTION("GOOGLETRANSLATE(D3537)"),"@local_arsonist LMFAO")</f>
        <v>@local_arsonist LMFAO</v>
      </c>
      <c r="G3537" s="4" t="str">
        <f>IFERROR(__xludf.DUMMYFUNCTION("GOOGLETRANSLATE(B3537)"),"縱火犯")</f>
        <v>縱火犯</v>
      </c>
    </row>
    <row r="3538" ht="15.75" customHeight="1">
      <c r="A3538" s="4">
        <v>631.0</v>
      </c>
      <c r="B3538" s="4" t="s">
        <v>278</v>
      </c>
      <c r="C3538" s="4" t="s">
        <v>279</v>
      </c>
      <c r="D3538" s="4" t="s">
        <v>5300</v>
      </c>
      <c r="E3538" s="4">
        <v>0.0</v>
      </c>
      <c r="F3538" s="4" t="str">
        <f>IFERROR(__xludf.DUMMYFUNCTION("GOOGLETRANSLATE(D3538)"),"@_Doofus_ @diamorfiend 我開玩笑還是不能移動：/")</f>
        <v>@_Doofus_ @diamorfiend 我開玩笑還是不能移動：/</v>
      </c>
      <c r="G3538" s="4" t="str">
        <f>IFERROR(__xludf.DUMMYFUNCTION("GOOGLETRANSLATE(B3538)"),"縱火犯")</f>
        <v>縱火犯</v>
      </c>
    </row>
    <row r="3539" ht="15.75" customHeight="1">
      <c r="A3539" s="4">
        <v>633.0</v>
      </c>
      <c r="B3539" s="4" t="s">
        <v>278</v>
      </c>
      <c r="C3539" s="4" t="s">
        <v>5301</v>
      </c>
      <c r="D3539" s="4" t="s">
        <v>5302</v>
      </c>
      <c r="E3539" s="4">
        <v>0.0</v>
      </c>
      <c r="F3539" s="4" t="str">
        <f>IFERROR(__xludf.DUMMYFUNCTION("GOOGLETRANSLATE(D3539)"),"@local_arsonist 我想你可以說這只是我在想的一些狗屎")</f>
        <v>@local_arsonist 我想你可以說這只是我在想的一些狗屎</v>
      </c>
      <c r="G3539" s="4" t="str">
        <f>IFERROR(__xludf.DUMMYFUNCTION("GOOGLETRANSLATE(B3539)"),"縱火犯")</f>
        <v>縱火犯</v>
      </c>
    </row>
    <row r="3540" ht="15.75" customHeight="1">
      <c r="A3540" s="4">
        <v>636.0</v>
      </c>
      <c r="B3540" s="4" t="s">
        <v>278</v>
      </c>
      <c r="D3540" s="4" t="s">
        <v>5303</v>
      </c>
      <c r="E3540" s="4">
        <v>0.0</v>
      </c>
      <c r="F3540" s="4" t="str">
        <f>IFERROR(__xludf.DUMMYFUNCTION("GOOGLETRANSLATE(D3540)"),"我喜歡來自 @slimebeast 的 @YouTube 影片 http://t.co/ulr6MyklnH 塞勒姆鎮 |如何以縱火犯獲勝")</f>
        <v>我喜歡來自 @slimebeast 的 @YouTube 影片 http://t.co/ulr6MyklnH 塞勒姆鎮 |如何以縱火犯獲勝</v>
      </c>
      <c r="G3540" s="4" t="str">
        <f>IFERROR(__xludf.DUMMYFUNCTION("GOOGLETRANSLATE(B3540)"),"縱火犯")</f>
        <v>縱火犯</v>
      </c>
    </row>
    <row r="3541" ht="15.75" customHeight="1">
      <c r="A3541" s="4">
        <v>637.0</v>
      </c>
      <c r="B3541" s="4" t="s">
        <v>278</v>
      </c>
      <c r="C3541" s="4" t="s">
        <v>279</v>
      </c>
      <c r="D3541" s="4" t="s">
        <v>5304</v>
      </c>
      <c r="E3541" s="4">
        <v>0.0</v>
      </c>
      <c r="F3541" s="4" t="str">
        <f>IFERROR(__xludf.DUMMYFUNCTION("GOOGLETRANSLATE(D3541)"),"@Casper_rmg @BestComedyVine 什麼破解因為")</f>
        <v>@Casper_rmg @BestComedyVine 什麼破解因為</v>
      </c>
      <c r="G3541" s="4" t="str">
        <f>IFERROR(__xludf.DUMMYFUNCTION("GOOGLETRANSLATE(B3541)"),"縱火犯")</f>
        <v>縱火犯</v>
      </c>
    </row>
    <row r="3542" ht="15.75" customHeight="1">
      <c r="A3542" s="4">
        <v>638.0</v>
      </c>
      <c r="B3542" s="4" t="s">
        <v>278</v>
      </c>
      <c r="C3542" s="4" t="s">
        <v>279</v>
      </c>
      <c r="D3542" s="4" t="s">
        <v>5305</v>
      </c>
      <c r="E3542" s="4">
        <v>0.0</v>
      </c>
      <c r="F3542" s="4" t="str">
        <f>IFERROR(__xludf.DUMMYFUNCTION("GOOGLETRANSLATE(D3542)"),"抽煙好操吃喝開車好車穿全綠貂皮")</f>
        <v>抽煙好操吃喝開車好車穿全綠貂皮</v>
      </c>
      <c r="G3542" s="4" t="str">
        <f>IFERROR(__xludf.DUMMYFUNCTION("GOOGLETRANSLATE(B3542)"),"縱火犯")</f>
        <v>縱火犯</v>
      </c>
    </row>
    <row r="3543" ht="15.75" customHeight="1">
      <c r="A3543" s="4">
        <v>640.0</v>
      </c>
      <c r="B3543" s="4" t="s">
        <v>278</v>
      </c>
      <c r="C3543" s="4" t="s">
        <v>279</v>
      </c>
      <c r="D3543" s="4" t="s">
        <v>5306</v>
      </c>
      <c r="E3543" s="4">
        <v>0.0</v>
      </c>
      <c r="F3543" s="4" t="str">
        <f>IFERROR(__xludf.DUMMYFUNCTION("GOOGLETRANSLATE(D3543)"),"殺死伯爵後的第二天我就上了法庭")</f>
        <v>殺死伯爵後的第二天我就上了法庭</v>
      </c>
      <c r="G3543" s="4" t="str">
        <f>IFERROR(__xludf.DUMMYFUNCTION("GOOGLETRANSLATE(B3543)"),"縱火犯")</f>
        <v>縱火犯</v>
      </c>
    </row>
    <row r="3544" ht="15.75" customHeight="1">
      <c r="A3544" s="4">
        <v>641.0</v>
      </c>
      <c r="B3544" s="4" t="s">
        <v>278</v>
      </c>
      <c r="D3544" s="4" t="s">
        <v>5307</v>
      </c>
      <c r="E3544" s="4">
        <v>0.0</v>
      </c>
      <c r="F3544" s="4" t="str">
        <f>IFERROR(__xludf.DUMMYFUNCTION("GOOGLETRANSLATE(D3544)"),"@local_arsonist lmao 但現實生活中你應該去")</f>
        <v>@local_arsonist lmao 但現實生活中你應該去</v>
      </c>
      <c r="G3544" s="4" t="str">
        <f>IFERROR(__xludf.DUMMYFUNCTION("GOOGLETRANSLATE(B3544)"),"縱火犯")</f>
        <v>縱火犯</v>
      </c>
    </row>
    <row r="3545" ht="15.75" customHeight="1">
      <c r="A3545" s="4">
        <v>642.0</v>
      </c>
      <c r="B3545" s="4" t="s">
        <v>278</v>
      </c>
      <c r="C3545" s="4" t="s">
        <v>627</v>
      </c>
      <c r="D3545" s="4" t="s">
        <v>5308</v>
      </c>
      <c r="E3545" s="4">
        <v>0.0</v>
      </c>
      <c r="F3545" s="4" t="str">
        <f>IFERROR(__xludf.DUMMYFUNCTION("GOOGLETRANSLATE(D3545)"),"芝加哥地區同性戀酒吧老闆承認縱火計劃：弗蘭克·埃利奧特承認僱用縱火犯... http://t.co/jCFEhrHLq8")</f>
        <v>芝加哥地區同性戀酒吧老闆承認縱火計劃：弗蘭克·埃利奧特承認僱用縱火犯... http://t.co/jCFEhrHLq8</v>
      </c>
      <c r="G3545" s="4" t="str">
        <f>IFERROR(__xludf.DUMMYFUNCTION("GOOGLETRANSLATE(B3545)"),"縱火犯")</f>
        <v>縱火犯</v>
      </c>
    </row>
    <row r="3546" ht="15.75" customHeight="1">
      <c r="A3546" s="4">
        <v>643.0</v>
      </c>
      <c r="B3546" s="4" t="s">
        <v>278</v>
      </c>
      <c r="D3546" s="4" t="s">
        <v>5309</v>
      </c>
      <c r="E3546" s="4">
        <v>0.0</v>
      </c>
      <c r="F3546" s="4" t="str">
        <f>IFERROR(__xludf.DUMMYFUNCTION("GOOGLETRANSLATE(D3546)"),"相信伊朗能夠阻止恐怖主義就像邀請縱火犯加入消防隊 - Telegraph http://t.co/2Z2HTDjQZD")</f>
        <v>相信伊朗能夠阻止恐怖主義就像邀請縱火犯加入消防隊 - Telegraph http://t.co/2Z2HTDjQZD</v>
      </c>
      <c r="G3546" s="4" t="str">
        <f>IFERROR(__xludf.DUMMYFUNCTION("GOOGLETRANSLATE(B3546)"),"縱火犯")</f>
        <v>縱火犯</v>
      </c>
    </row>
    <row r="3547" ht="15.75" customHeight="1">
      <c r="A3547" s="4">
        <v>649.0</v>
      </c>
      <c r="B3547" s="4" t="s">
        <v>294</v>
      </c>
      <c r="C3547" s="4" t="s">
        <v>1529</v>
      </c>
      <c r="D3547" s="4" t="s">
        <v>5310</v>
      </c>
      <c r="E3547" s="4">
        <v>0.0</v>
      </c>
      <c r="F3547" s="4" t="str">
        <f>IFERROR(__xludf.DUMMYFUNCTION("GOOGLETRANSLATE(D3547)"),"感謝@pfannebeckers 激勵我重新發現這個奇妙的#tbt http://t.co/wMHy47xkiL")</f>
        <v>感謝@pfannebeckers 激勵我重新發現這個奇妙的#tbt http://t.co/wMHy47xkiL</v>
      </c>
      <c r="G3547" s="4" t="str">
        <f>IFERROR(__xludf.DUMMYFUNCTION("GOOGLETRANSLATE(B3547)"),"攻擊")</f>
        <v>攻擊</v>
      </c>
    </row>
    <row r="3548" ht="15.75" customHeight="1">
      <c r="A3548" s="4">
        <v>653.0</v>
      </c>
      <c r="B3548" s="4" t="s">
        <v>294</v>
      </c>
      <c r="C3548" s="4" t="s">
        <v>5311</v>
      </c>
      <c r="D3548" s="4" t="s">
        <v>5312</v>
      </c>
      <c r="E3548" s="4">
        <v>0.0</v>
      </c>
      <c r="F3548" s="4" t="str">
        <f>IFERROR(__xludf.DUMMYFUNCTION("GOOGLETRANSLATE(D3548)"),"Demi stans 真的認為 Heart Attack 賣了 5/6 百萬張？")</f>
        <v>Demi stans 真的認為 Heart Attack 賣了 5/6 百萬張？</v>
      </c>
      <c r="G3548" s="4" t="str">
        <f>IFERROR(__xludf.DUMMYFUNCTION("GOOGLETRANSLATE(B3548)"),"攻擊")</f>
        <v>攻擊</v>
      </c>
    </row>
    <row r="3549" ht="15.75" customHeight="1">
      <c r="A3549" s="4">
        <v>656.0</v>
      </c>
      <c r="B3549" s="4" t="s">
        <v>294</v>
      </c>
      <c r="C3549" s="4" t="s">
        <v>542</v>
      </c>
      <c r="D3549" s="4" t="s">
        <v>5313</v>
      </c>
      <c r="E3549" s="4">
        <v>0.0</v>
      </c>
      <c r="F3549" s="4" t="str">
        <f>IFERROR(__xludf.DUMMYFUNCTION("GOOGLETRANSLATE(D3549)"),"@DatTomm 該推特最有趣的部分是試圖攻擊它的女權主義者 4Head")</f>
        <v>@DatTomm 該推特最有趣的部分是試圖攻擊它的女權主義者 4Head</v>
      </c>
      <c r="G3549" s="4" t="str">
        <f>IFERROR(__xludf.DUMMYFUNCTION("GOOGLETRANSLATE(B3549)"),"攻擊")</f>
        <v>攻擊</v>
      </c>
    </row>
    <row r="3550" ht="15.75" customHeight="1">
      <c r="A3550" s="4">
        <v>669.0</v>
      </c>
      <c r="B3550" s="4" t="s">
        <v>294</v>
      </c>
      <c r="C3550" s="4" t="s">
        <v>5314</v>
      </c>
      <c r="D3550" s="4" t="s">
        <v>5315</v>
      </c>
      <c r="E3550" s="4">
        <v>0.0</v>
      </c>
      <c r="F3550" s="4" t="str">
        <f>IFERROR(__xludf.DUMMYFUNCTION("GOOGLETRANSLATE(D3550)"),"剛剛心臟病發作，因為我以為我的山羊死了。 ????別擔心，火箭沒問題。 ??")</f>
        <v>剛剛心臟病發作，因為我以為我的山羊死了。 ????別擔心，火箭沒問題。 ??</v>
      </c>
      <c r="G3550" s="4" t="str">
        <f>IFERROR(__xludf.DUMMYFUNCTION("GOOGLETRANSLATE(B3550)"),"攻擊")</f>
        <v>攻擊</v>
      </c>
    </row>
    <row r="3551" ht="15.75" customHeight="1">
      <c r="A3551" s="4">
        <v>671.0</v>
      </c>
      <c r="B3551" s="4" t="s">
        <v>294</v>
      </c>
      <c r="D3551" s="4" t="s">
        <v>5316</v>
      </c>
      <c r="E3551" s="4">
        <v>0.0</v>
      </c>
      <c r="F3551" s="4" t="str">
        <f>IFERROR(__xludf.DUMMYFUNCTION("GOOGLETRANSLATE(D3551)"),"我不會撒謊，我已經準備好攻擊我的高年級了？？？？？？？？？")</f>
        <v>我不會撒謊，我已經準備好攻擊我的高年級了？？？？？？？？？</v>
      </c>
      <c r="G3551" s="4" t="str">
        <f>IFERROR(__xludf.DUMMYFUNCTION("GOOGLETRANSLATE(B3551)"),"攻擊")</f>
        <v>攻擊</v>
      </c>
    </row>
    <row r="3552" ht="15.75" customHeight="1">
      <c r="A3552" s="4">
        <v>672.0</v>
      </c>
      <c r="B3552" s="4" t="s">
        <v>294</v>
      </c>
      <c r="C3552" s="4" t="s">
        <v>3801</v>
      </c>
      <c r="D3552" s="4" t="s">
        <v>5317</v>
      </c>
      <c r="E3552" s="4">
        <v>0.0</v>
      </c>
      <c r="F3552" s="4" t="str">
        <f>IFERROR(__xludf.DUMMYFUNCTION("GOOGLETRANSLATE(D3552)"),"“菱形的左手邊是墓地，必須進攻和防守”
右手也沒必要這麼做，你他媽的白痴？")</f>
        <v>“菱形的左手邊是墓地，必須進攻和防守”
右手也沒必要這麼做，你他媽的白痴？</v>
      </c>
      <c r="G3552" s="4" t="str">
        <f>IFERROR(__xludf.DUMMYFUNCTION("GOOGLETRANSLATE(B3552)"),"攻擊")</f>
        <v>攻擊</v>
      </c>
    </row>
    <row r="3553" ht="15.75" customHeight="1">
      <c r="A3553" s="4">
        <v>679.0</v>
      </c>
      <c r="B3553" s="4" t="s">
        <v>294</v>
      </c>
      <c r="C3553" s="4" t="s">
        <v>5318</v>
      </c>
      <c r="D3553" s="4" t="s">
        <v>5319</v>
      </c>
      <c r="E3553" s="4">
        <v>0.0</v>
      </c>
      <c r="F3553" s="4" t="str">
        <f>IFERROR(__xludf.DUMMYFUNCTION("GOOGLETRANSLATE(D3553)"),"@CaIxxum5SOS 感謝該死的心臟病發作")</f>
        <v>@CaIxxum5SOS 感謝該死的心臟病發作</v>
      </c>
      <c r="G3553" s="4" t="str">
        <f>IFERROR(__xludf.DUMMYFUNCTION("GOOGLETRANSLATE(B3553)"),"攻擊")</f>
        <v>攻擊</v>
      </c>
    </row>
    <row r="3554" ht="15.75" customHeight="1">
      <c r="A3554" s="4">
        <v>686.0</v>
      </c>
      <c r="B3554" s="4" t="s">
        <v>294</v>
      </c>
      <c r="C3554" s="4" t="s">
        <v>5320</v>
      </c>
      <c r="D3554" s="4" t="s">
        <v>5321</v>
      </c>
      <c r="E3554" s="4">
        <v>0.0</v>
      </c>
      <c r="F3554" s="4" t="str">
        <f>IFERROR(__xludf.DUMMYFUNCTION("GOOGLETRANSLATE(D3554)"),"@blazerfan 不是每個人都能看到無知，她是拉丁裔，這就是她所能做的一切，除了一隻攻擊狗 4 一個仇恨團體共和黨")</f>
        <v>@blazerfan 不是每個人都能看到無知，她是拉丁裔，這就是她所能做的一切，除了一隻攻擊狗 4 一個仇恨團體共和黨</v>
      </c>
      <c r="G3554" s="4" t="str">
        <f>IFERROR(__xludf.DUMMYFUNCTION("GOOGLETRANSLATE(B3554)"),"攻擊")</f>
        <v>攻擊</v>
      </c>
    </row>
    <row r="3555" ht="15.75" customHeight="1">
      <c r="A3555" s="4">
        <v>687.0</v>
      </c>
      <c r="B3555" s="4" t="s">
        <v>294</v>
      </c>
      <c r="D3555" s="4" t="s">
        <v>5322</v>
      </c>
      <c r="E3555" s="4">
        <v>0.0</v>
      </c>
      <c r="F3555" s="4" t="str">
        <f>IFERROR(__xludf.DUMMYFUNCTION("GOOGLETRANSLATE(D3555)"),"心臟病預防：二手菸怎麼辦？ http://t.co/YdgMGBrYL2")</f>
        <v>心臟病預防：二手菸怎麼辦？ http://t.co/YdgMGBrYL2</v>
      </c>
      <c r="G3555" s="4" t="str">
        <f>IFERROR(__xludf.DUMMYFUNCTION("GOOGLETRANSLATE(B3555)"),"攻擊")</f>
        <v>攻擊</v>
      </c>
    </row>
    <row r="3556" ht="15.75" customHeight="1">
      <c r="A3556" s="4">
        <v>689.0</v>
      </c>
      <c r="B3556" s="4" t="s">
        <v>294</v>
      </c>
      <c r="D3556" s="4" t="s">
        <v>5323</v>
      </c>
      <c r="E3556" s="4">
        <v>0.0</v>
      </c>
      <c r="F3556" s="4" t="str">
        <f>IFERROR(__xludf.DUMMYFUNCTION("GOOGLETRANSLATE(D3556)"),"PS Vita 上的《進擊的泰坦》遊戲耶！等不及 2016 年了")</f>
        <v>PS Vita 上的《進擊的泰坦》遊戲耶！等不及 2016 年了</v>
      </c>
      <c r="G3556" s="4" t="str">
        <f>IFERROR(__xludf.DUMMYFUNCTION("GOOGLETRANSLATE(B3556)"),"攻擊")</f>
        <v>攻擊</v>
      </c>
    </row>
    <row r="3557" ht="15.75" customHeight="1">
      <c r="A3557" s="4">
        <v>691.0</v>
      </c>
      <c r="B3557" s="4" t="s">
        <v>294</v>
      </c>
      <c r="C3557" s="4" t="s">
        <v>1198</v>
      </c>
      <c r="D3557" s="4" t="s">
        <v>5324</v>
      </c>
      <c r="E3557" s="4">
        <v>0.0</v>
      </c>
      <c r="F3557" s="4" t="str">
        <f>IFERROR(__xludf.DUMMYFUNCTION("GOOGLETRANSLATE(D3557)"),"焦慮症發作？？")</f>
        <v>焦慮症發作？？</v>
      </c>
      <c r="G3557" s="4" t="str">
        <f>IFERROR(__xludf.DUMMYFUNCTION("GOOGLETRANSLATE(B3557)"),"攻擊")</f>
        <v>攻擊</v>
      </c>
    </row>
    <row r="3558" ht="15.75" customHeight="1">
      <c r="A3558" s="4">
        <v>697.0</v>
      </c>
      <c r="B3558" s="4" t="s">
        <v>336</v>
      </c>
      <c r="C3558" s="4" t="s">
        <v>5325</v>
      </c>
      <c r="D3558" s="4" t="s">
        <v>5326</v>
      </c>
      <c r="E3558" s="4">
        <v>0.0</v>
      </c>
      <c r="F3558" s="4" t="str">
        <f>IFERROR(__xludf.DUMMYFUNCTION("GOOGLETRANSLATE(D3558)"),"我的狗為了食物而攻擊我#pugprobs")</f>
        <v>我的狗為了食物而攻擊我#pugprobs</v>
      </c>
      <c r="G3558" s="4" t="str">
        <f>IFERROR(__xludf.DUMMYFUNCTION("GOOGLETRANSLATE(B3558)"),"受到攻擊")</f>
        <v>受到攻擊</v>
      </c>
    </row>
    <row r="3559" ht="15.75" customHeight="1">
      <c r="A3559" s="4">
        <v>700.0</v>
      </c>
      <c r="B3559" s="4" t="s">
        <v>336</v>
      </c>
      <c r="C3559" s="4" t="s">
        <v>1118</v>
      </c>
      <c r="D3559" s="4" t="s">
        <v>5327</v>
      </c>
      <c r="E3559" s="4">
        <v>0.0</v>
      </c>
      <c r="F3559" s="4" t="str">
        <f>IFERROR(__xludf.DUMMYFUNCTION("GOOGLETRANSLATE(D3559)"),"@envw98 @NickCoCoFree @JulieDiCaro @jdabe80 我問他感覺受到朱莉的攻擊有什麼感覺。我問他是否身體虛弱。就這些。")</f>
        <v>@envw98 @NickCoCoFree @JulieDiCaro @jdabe80 我問他感覺受到朱莉的攻擊有什麼感覺。我問他是否身體虛弱。就這些。</v>
      </c>
      <c r="G3559" s="4" t="str">
        <f>IFERROR(__xludf.DUMMYFUNCTION("GOOGLETRANSLATE(B3559)"),"受到攻擊")</f>
        <v>受到攻擊</v>
      </c>
    </row>
    <row r="3560" ht="15.75" customHeight="1">
      <c r="A3560" s="4">
        <v>702.0</v>
      </c>
      <c r="B3560" s="4" t="s">
        <v>336</v>
      </c>
      <c r="C3560" s="4" t="s">
        <v>5328</v>
      </c>
      <c r="D3560" s="4" t="s">
        <v>5329</v>
      </c>
      <c r="E3560" s="4">
        <v>0.0</v>
      </c>
      <c r="F3560" s="4" t="str">
        <f>IFERROR(__xludf.DUMMYFUNCTION("GOOGLETRANSLATE(D3560)"),"@messeymetoo 我感覺受到了攻擊")</f>
        <v>@messeymetoo 我感覺受到了攻擊</v>
      </c>
      <c r="G3560" s="4" t="str">
        <f>IFERROR(__xludf.DUMMYFUNCTION("GOOGLETRANSLATE(B3560)"),"受到攻擊")</f>
        <v>受到攻擊</v>
      </c>
    </row>
    <row r="3561" ht="15.75" customHeight="1">
      <c r="A3561" s="4">
        <v>704.0</v>
      </c>
      <c r="B3561" s="4" t="s">
        <v>336</v>
      </c>
      <c r="C3561" s="4" t="s">
        <v>5330</v>
      </c>
      <c r="D3561" s="4" t="s">
        <v>5331</v>
      </c>
      <c r="E3561" s="4">
        <v>0.0</v>
      </c>
      <c r="F3561" s="4" t="str">
        <f>IFERROR(__xludf.DUMMYFUNCTION("GOOGLETRANSLATE(D3561)"),"我感覺受到攻擊 https://t.co/CvkQiGr1AZ")</f>
        <v>我感覺受到攻擊 https://t.co/CvkQiGr1AZ</v>
      </c>
      <c r="G3561" s="4" t="str">
        <f>IFERROR(__xludf.DUMMYFUNCTION("GOOGLETRANSLATE(B3561)"),"受到攻擊")</f>
        <v>受到攻擊</v>
      </c>
    </row>
    <row r="3562" ht="15.75" customHeight="1">
      <c r="A3562" s="4">
        <v>705.0</v>
      </c>
      <c r="B3562" s="4" t="s">
        <v>336</v>
      </c>
      <c r="C3562" s="4" t="s">
        <v>5332</v>
      </c>
      <c r="D3562" s="4" t="s">
        <v>5333</v>
      </c>
      <c r="E3562" s="4">
        <v>0.0</v>
      </c>
      <c r="F3562" s="4" t="str">
        <f>IFERROR(__xludf.DUMMYFUNCTION("GOOGLETRANSLATE(D3562)"),"黑人再一次沒有做到這一點。白人這樣做了，為什麼黑人會受到攻擊 https://t.co/chkP0GfyNJ")</f>
        <v>黑人再一次沒有做到這一點。白人這樣做了，為什麼黑人會受到攻擊 https://t.co/chkP0GfyNJ</v>
      </c>
      <c r="G3562" s="4" t="str">
        <f>IFERROR(__xludf.DUMMYFUNCTION("GOOGLETRANSLATE(B3562)"),"受到攻擊")</f>
        <v>受到攻擊</v>
      </c>
    </row>
    <row r="3563" ht="15.75" customHeight="1">
      <c r="A3563" s="4">
        <v>706.0</v>
      </c>
      <c r="B3563" s="4" t="s">
        <v>336</v>
      </c>
      <c r="C3563" s="4" t="s">
        <v>5334</v>
      </c>
      <c r="D3563" s="4" t="s">
        <v>5335</v>
      </c>
      <c r="E3563" s="4">
        <v>0.0</v>
      </c>
      <c r="F3563" s="4" t="str">
        <f>IFERROR(__xludf.DUMMYFUNCTION("GOOGLETRANSLATE(D3563)"),"我不敢相信一個他媽的順性別女性會以某種方式聲稱對一個受到媒體攻擊的變性女性感到冒犯")</f>
        <v>我不敢相信一個他媽的順性別女性會以某種方式聲稱對一個受到媒體攻擊的變性女性感到冒犯</v>
      </c>
      <c r="G3563" s="4" t="str">
        <f>IFERROR(__xludf.DUMMYFUNCTION("GOOGLETRANSLATE(B3563)"),"受到攻擊")</f>
        <v>受到攻擊</v>
      </c>
    </row>
    <row r="3564" ht="15.75" customHeight="1">
      <c r="A3564" s="4">
        <v>719.0</v>
      </c>
      <c r="B3564" s="4" t="s">
        <v>336</v>
      </c>
      <c r="C3564" s="4" t="s">
        <v>5336</v>
      </c>
      <c r="D3564" s="4" t="s">
        <v>5337</v>
      </c>
      <c r="E3564" s="4">
        <v>0.0</v>
      </c>
      <c r="F3564" s="4" t="str">
        <f>IFERROR(__xludf.DUMMYFUNCTION("GOOGLETRANSLATE(D3564)"),"#TBT 請記住，帕特里克凱恩 (Patrick Kane) 襲擊出租車司機的時間超過 0.20")</f>
        <v>#TBT 請記住，帕特里克凱恩 (Patrick Kane) 襲擊出租車司機的時間超過 0.20</v>
      </c>
      <c r="G3564" s="4" t="str">
        <f>IFERROR(__xludf.DUMMYFUNCTION("GOOGLETRANSLATE(B3564)"),"受到攻擊")</f>
        <v>受到攻擊</v>
      </c>
    </row>
    <row r="3565" ht="15.75" customHeight="1">
      <c r="A3565" s="4">
        <v>720.0</v>
      </c>
      <c r="B3565" s="4" t="s">
        <v>336</v>
      </c>
      <c r="D3565" s="4" t="s">
        <v>5338</v>
      </c>
      <c r="E3565" s="4">
        <v>0.0</v>
      </c>
      <c r="F3565" s="4" t="str">
        <f>IFERROR(__xludf.DUMMYFUNCTION("GOOGLETRANSLATE(D3565)"),"我感覺受到攻擊http://t.co/91jvYCxXVi")</f>
        <v>我感覺受到攻擊http://t.co/91jvYCxXVi</v>
      </c>
      <c r="G3565" s="4" t="str">
        <f>IFERROR(__xludf.DUMMYFUNCTION("GOOGLETRANSLATE(B3565)"),"受到攻擊")</f>
        <v>受到攻擊</v>
      </c>
    </row>
    <row r="3566" ht="15.75" customHeight="1">
      <c r="A3566" s="4">
        <v>721.0</v>
      </c>
      <c r="B3566" s="4" t="s">
        <v>336</v>
      </c>
      <c r="C3566" s="4" t="s">
        <v>5339</v>
      </c>
      <c r="D3566" s="4" t="s">
        <v>5340</v>
      </c>
      <c r="E3566" s="4">
        <v>0.0</v>
      </c>
      <c r="F3566" s="4" t="str">
        <f>IFERROR(__xludf.DUMMYFUNCTION("GOOGLETRANSLATE(D3566)"),"IK Only Troll 他的政治對手從未真正虐待過他們或攻擊過他們的家人。雖然他們都在字面上濫用 IK。失敗者")</f>
        <v>IK Only Troll 他的政治對手從未真正虐待過他們或攻擊過他們的家人。雖然他們都在字面上濫用 IK。失敗者</v>
      </c>
      <c r="G3566" s="4" t="str">
        <f>IFERROR(__xludf.DUMMYFUNCTION("GOOGLETRANSLATE(B3566)"),"受到攻擊")</f>
        <v>受到攻擊</v>
      </c>
    </row>
    <row r="3567" ht="15.75" customHeight="1">
      <c r="A3567" s="4">
        <v>726.0</v>
      </c>
      <c r="B3567" s="4" t="s">
        <v>336</v>
      </c>
      <c r="C3567" s="4" t="s">
        <v>1118</v>
      </c>
      <c r="D3567" s="4" t="s">
        <v>5341</v>
      </c>
      <c r="E3567" s="4">
        <v>0.0</v>
      </c>
      <c r="F3567" s="4" t="str">
        <f>IFERROR(__xludf.DUMMYFUNCTION("GOOGLETRANSLATE(D3567)"),"@envw98 @NickCoCoFree @JulieDiCaro @jdabe80 為什麼我是最糟糕的人？質疑朱莉如何攻擊他？你們就沒有同理心嗎？")</f>
        <v>@envw98 @NickCoCoFree @JulieDiCaro @jdabe80 為什麼我是最糟糕的人？質疑朱莉如何攻擊他？你們就沒有同理心嗎？</v>
      </c>
      <c r="G3567" s="4" t="str">
        <f>IFERROR(__xludf.DUMMYFUNCTION("GOOGLETRANSLATE(B3567)"),"受到攻擊")</f>
        <v>受到攻擊</v>
      </c>
    </row>
    <row r="3568" ht="15.75" customHeight="1">
      <c r="A3568" s="4">
        <v>728.0</v>
      </c>
      <c r="B3568" s="4" t="s">
        <v>336</v>
      </c>
      <c r="C3568" s="4" t="s">
        <v>5342</v>
      </c>
      <c r="D3568" s="4" t="s">
        <v>5343</v>
      </c>
      <c r="E3568" s="4">
        <v>0.0</v>
      </c>
      <c r="F3568" s="4" t="str">
        <f>IFERROR(__xludf.DUMMYFUNCTION("GOOGLETRANSLATE(D3568)"),"@eunice_njoki aiii 她需要冷靜下來並冷靜地回答，這不像她受到了攻擊")</f>
        <v>@eunice_njoki aiii 她需要冷靜下來並冷靜地回答，這不像她受到了攻擊</v>
      </c>
      <c r="G3568" s="4" t="str">
        <f>IFERROR(__xludf.DUMMYFUNCTION("GOOGLETRANSLATE(B3568)"),"受到攻擊")</f>
        <v>受到攻擊</v>
      </c>
    </row>
    <row r="3569" ht="15.75" customHeight="1">
      <c r="A3569" s="4">
        <v>732.0</v>
      </c>
      <c r="B3569" s="4" t="s">
        <v>336</v>
      </c>
      <c r="D3569" s="4" t="s">
        <v>5344</v>
      </c>
      <c r="E3569" s="4">
        <v>0.0</v>
      </c>
      <c r="F3569" s="4" t="str">
        <f>IFERROR(__xludf.DUMMYFUNCTION("GOOGLETRANSLATE(D3569)"),"我攻擊了機器人-19級，我總共獲得了 6615434 個免費聰！ http://t.co/DMLJ1aGoTw #robotcoingame #Bitcoin #FreeBitcoin")</f>
        <v>我攻擊了機器人-19級，我總共獲得了 6615434 個免費聰！ http://t.co/DMLJ1aGoTw #robotcoingame #Bitcoin #FreeBitcoin</v>
      </c>
      <c r="G3569" s="4" t="str">
        <f>IFERROR(__xludf.DUMMYFUNCTION("GOOGLETRANSLATE(B3569)"),"受到攻擊")</f>
        <v>受到攻擊</v>
      </c>
    </row>
    <row r="3570" ht="15.75" customHeight="1">
      <c r="A3570" s="4">
        <v>735.0</v>
      </c>
      <c r="B3570" s="4" t="s">
        <v>336</v>
      </c>
      <c r="C3570" s="4" t="s">
        <v>5345</v>
      </c>
      <c r="D3570" s="4" t="s">
        <v>5346</v>
      </c>
      <c r="E3570" s="4">
        <v>0.0</v>
      </c>
      <c r="F3570" s="4" t="str">
        <f>IFERROR(__xludf.DUMMYFUNCTION("GOOGLETRANSLATE(D3570)"),"@christinalavv @lindsay_wynn3 我剛剛看到這些推文，我感覺自己真的受到了攻擊")</f>
        <v>@christinalavv @lindsay_wynn3 我剛剛看到這些推文，我感覺自己真的受到了攻擊</v>
      </c>
      <c r="G3570" s="4" t="str">
        <f>IFERROR(__xludf.DUMMYFUNCTION("GOOGLETRANSLATE(B3570)"),"受到攻擊")</f>
        <v>受到攻擊</v>
      </c>
    </row>
    <row r="3571" ht="15.75" customHeight="1">
      <c r="A3571" s="4">
        <v>744.0</v>
      </c>
      <c r="B3571" s="4" t="s">
        <v>336</v>
      </c>
      <c r="C3571" s="4" t="s">
        <v>5347</v>
      </c>
      <c r="D3571" s="4" t="s">
        <v>5348</v>
      </c>
      <c r="E3571" s="4">
        <v>0.0</v>
      </c>
      <c r="F3571" s="4" t="str">
        <f>IFERROR(__xludf.DUMMYFUNCTION("GOOGLETRANSLATE(D3571)"),"@MageAvexis &lt;事物。如果我們受到攻擊怎麼辦？")</f>
        <v>@MageAvexis &lt;事物。如果我們受到攻擊怎麼辦？</v>
      </c>
      <c r="G3571" s="4" t="str">
        <f>IFERROR(__xludf.DUMMYFUNCTION("GOOGLETRANSLATE(B3571)"),"受到攻擊")</f>
        <v>受到攻擊</v>
      </c>
    </row>
    <row r="3572" ht="15.75" customHeight="1">
      <c r="A3572" s="4">
        <v>746.0</v>
      </c>
      <c r="B3572" s="4" t="s">
        <v>372</v>
      </c>
      <c r="C3572" s="4" t="s">
        <v>512</v>
      </c>
      <c r="D3572" s="4" t="s">
        <v>5349</v>
      </c>
      <c r="E3572" s="4">
        <v>0.0</v>
      </c>
      <c r="F3572" s="4" t="str">
        <f>IFERROR(__xludf.DUMMYFUNCTION("GOOGLETRANSLATE(D3572)"),"#WeLoveLA #NHLDucks 雪崩防禦：他們如何與聖路易斯藍調比賽 http://t.co/9v1RVCOMH2 #SportsRoadhouse")</f>
        <v>#WeLoveLA #NHLDucks 雪崩防禦：他們如何與聖路易斯藍調比賽 http://t.co/9v1RVCOMH2 #SportsRoadhouse</v>
      </c>
      <c r="G3572" s="4" t="str">
        <f>IFERROR(__xludf.DUMMYFUNCTION("GOOGLETRANSLATE(B3572)"),"雪崩")</f>
        <v>雪崩</v>
      </c>
    </row>
    <row r="3573" ht="15.75" customHeight="1">
      <c r="A3573" s="4">
        <v>748.0</v>
      </c>
      <c r="B3573" s="4" t="s">
        <v>372</v>
      </c>
      <c r="C3573" s="4" t="s">
        <v>5350</v>
      </c>
      <c r="D3573" s="4" t="s">
        <v>5351</v>
      </c>
      <c r="E3573" s="4">
        <v>0.0</v>
      </c>
      <c r="F3573" s="4" t="str">
        <f>IFERROR(__xludf.DUMMYFUNCTION("GOOGLETRANSLATE(D3573)"),"我喜歡 @YouTube 影片 http://t.co/TNXQuOr1wb Kalle Mattson - 'Avalanche'（官方影片）")</f>
        <v>我喜歡 @YouTube 影片 http://t.co/TNXQuOr1wb Kalle Mattson - 'Avalanche'（官方影片）</v>
      </c>
      <c r="G3573" s="4" t="str">
        <f>IFERROR(__xludf.DUMMYFUNCTION("GOOGLETRANSLATE(B3573)"),"雪崩")</f>
        <v>雪崩</v>
      </c>
    </row>
    <row r="3574" ht="15.75" customHeight="1">
      <c r="A3574" s="4">
        <v>751.0</v>
      </c>
      <c r="B3574" s="4" t="s">
        <v>372</v>
      </c>
      <c r="C3574" s="4" t="s">
        <v>5352</v>
      </c>
      <c r="D3574" s="4" t="s">
        <v>5353</v>
      </c>
      <c r="E3574" s="4">
        <v>0.0</v>
      </c>
      <c r="F3574" s="4" t="str">
        <f>IFERROR(__xludf.DUMMYFUNCTION("GOOGLETRANSLATE(D3574)"),"我們會像雪崩一樣崩潰")</f>
        <v>我們會像雪崩一樣崩潰</v>
      </c>
      <c r="G3574" s="4" t="str">
        <f>IFERROR(__xludf.DUMMYFUNCTION("GOOGLETRANSLATE(B3574)"),"雪崩")</f>
        <v>雪崩</v>
      </c>
    </row>
    <row r="3575" ht="15.75" customHeight="1">
      <c r="A3575" s="4">
        <v>752.0</v>
      </c>
      <c r="B3575" s="4" t="s">
        <v>372</v>
      </c>
      <c r="D3575" s="4" t="s">
        <v>5354</v>
      </c>
      <c r="E3575" s="4">
        <v>0.0</v>
      </c>
      <c r="F3575" s="4" t="str">
        <f>IFERROR(__xludf.DUMMYFUNCTION("GOOGLETRANSLATE(D3575)"),"#Colorado #Avalanche 男士官方科羅拉多 Avalanche 銳步 T 卹 XL 藍色 100% 棉 http://t.co/ZNSvsTGwx3 #NHL #Hockey")</f>
        <v>#Colorado #Avalanche 男士官方科羅拉多 Avalanche 銳步 T 卹 XL 藍色 100% 棉 http://t.co/ZNSvsTGwx3 #NHL #Hockey</v>
      </c>
      <c r="G3575" s="4" t="str">
        <f>IFERROR(__xludf.DUMMYFUNCTION("GOOGLETRANSLATE(B3575)"),"雪崩")</f>
        <v>雪崩</v>
      </c>
    </row>
    <row r="3576" ht="15.75" customHeight="1">
      <c r="A3576" s="4">
        <v>753.0</v>
      </c>
      <c r="B3576" s="4" t="s">
        <v>372</v>
      </c>
      <c r="C3576" s="4" t="s">
        <v>5355</v>
      </c>
      <c r="D3576" s="4" t="s">
        <v>5356</v>
      </c>
      <c r="E3576" s="4">
        <v>0.0</v>
      </c>
      <c r="F3576" s="4" t="str">
        <f>IFERROR(__xludf.DUMMYFUNCTION("GOOGLETRANSLATE(D3576)"),"2 TIX 10/3 《冰雪奇緣 XVII》：洛杉磯國王 v 雪崩隊 103 排：AA 米高梅大酒店 http://t.co/kBtZZZG2Tp")</f>
        <v>2 TIX 10/3 《冰雪奇緣 XVII》：洛杉磯國王 v 雪崩隊 103 排：AA 米高梅大酒店 http://t.co/kBtZZZG2Tp</v>
      </c>
      <c r="G3576" s="4" t="str">
        <f>IFERROR(__xludf.DUMMYFUNCTION("GOOGLETRANSLATE(B3576)"),"雪崩")</f>
        <v>雪崩</v>
      </c>
    </row>
    <row r="3577" ht="15.75" customHeight="1">
      <c r="A3577" s="4">
        <v>754.0</v>
      </c>
      <c r="B3577" s="4" t="s">
        <v>372</v>
      </c>
      <c r="C3577" s="4" t="s">
        <v>5357</v>
      </c>
      <c r="D3577" s="4" t="s">
        <v>5358</v>
      </c>
      <c r="E3577" s="4">
        <v>0.0</v>
      </c>
      <c r="F3577" s="4" t="str">
        <f>IFERROR(__xludf.DUMMYFUNCTION("GOOGLETRANSLATE(D3577)"),"我敢打賭你也不知道我也有踢球！ https://t.co/rBrw8pWiPJ")</f>
        <v>我敢打賭你也不知道我也有踢球！ https://t.co/rBrw8pWiPJ</v>
      </c>
      <c r="G3577" s="4" t="str">
        <f>IFERROR(__xludf.DUMMYFUNCTION("GOOGLETRANSLATE(B3577)"),"雪崩")</f>
        <v>雪崩</v>
      </c>
    </row>
    <row r="3578" ht="15.75" customHeight="1">
      <c r="A3578" s="4">
        <v>755.0</v>
      </c>
      <c r="B3578" s="4" t="s">
        <v>372</v>
      </c>
      <c r="C3578" s="4" t="s">
        <v>542</v>
      </c>
      <c r="D3578" s="4" t="s">
        <v>5359</v>
      </c>
      <c r="E3578" s="4">
        <v>0.0</v>
      </c>
      <c r="F3578" s="4" t="str">
        <f>IFERROR(__xludf.DUMMYFUNCTION("GOOGLETRANSLATE(D3578)"),"我為 Avalanche Designs 部落格寫的一篇小文章！如果您檢查一下，我將不勝感激:-) https://t.co/rfvjh58eF2")</f>
        <v>我為 Avalanche Designs 部落格寫的一篇小文章！如果您檢查一下，我將不勝感激:-) https://t.co/rfvjh58eF2</v>
      </c>
      <c r="G3578" s="4" t="str">
        <f>IFERROR(__xludf.DUMMYFUNCTION("GOOGLETRANSLATE(B3578)"),"雪崩")</f>
        <v>雪崩</v>
      </c>
    </row>
    <row r="3579" ht="15.75" customHeight="1">
      <c r="A3579" s="4">
        <v>758.0</v>
      </c>
      <c r="B3579" s="4" t="s">
        <v>372</v>
      </c>
      <c r="D3579" s="4" t="s">
        <v>5360</v>
      </c>
      <c r="E3579" s="4">
        <v>0.0</v>
      </c>
      <c r="F3579" s="4" t="str">
        <f>IFERROR(__xludf.DUMMYFUNCTION("GOOGLETRANSLATE(D3579)"),"帕特里克·羅伊 1998-99 UPPER DECK SPX #171 FINITE 1620 科羅拉多州雪崩完好完好 http://t.co/uHfM1r3Tq5 http://t.co/QulgaKebHB")</f>
        <v>帕特里克·羅伊 1998-99 UPPER DECK SPX #171 FINITE 1620 科羅拉多州雪崩完好完好 http://t.co/uHfM1r3Tq5 http://t.co/QulgaKebHB</v>
      </c>
      <c r="G3579" s="4" t="str">
        <f>IFERROR(__xludf.DUMMYFUNCTION("GOOGLETRANSLATE(B3579)"),"雪崩")</f>
        <v>雪崩</v>
      </c>
    </row>
    <row r="3580" ht="15.75" customHeight="1">
      <c r="A3580" s="4">
        <v>759.0</v>
      </c>
      <c r="B3580" s="4" t="s">
        <v>372</v>
      </c>
      <c r="C3580" s="4" t="s">
        <v>89</v>
      </c>
      <c r="D3580" s="4" t="s">
        <v>5361</v>
      </c>
      <c r="E3580" s="4">
        <v>0.0</v>
      </c>
      <c r="F3580" s="4" t="str">
        <f>IFERROR(__xludf.DUMMYFUNCTION("GOOGLETRANSLATE(D3580)"),"音樂家 Kalle Mattson 在 Clever 音樂錄影帶中為“Avalanche”重新創作了 34 張經典專輯封面 http://t.co/yDJpOpH1DW")</f>
        <v>音樂家 Kalle Mattson 在 Clever 音樂錄影帶中為“Avalanche”重新創作了 34 張經典專輯封面 http://t.co/yDJpOpH1DW</v>
      </c>
      <c r="G3580" s="4" t="str">
        <f>IFERROR(__xludf.DUMMYFUNCTION("GOOGLETRANSLATE(B3580)"),"雪崩")</f>
        <v>雪崩</v>
      </c>
    </row>
    <row r="3581" ht="15.75" customHeight="1">
      <c r="A3581" s="4">
        <v>761.0</v>
      </c>
      <c r="B3581" s="4" t="s">
        <v>372</v>
      </c>
      <c r="C3581" s="4" t="s">
        <v>5362</v>
      </c>
      <c r="D3581" s="4" t="s">
        <v>5363</v>
      </c>
      <c r="E3581" s="4">
        <v>0.0</v>
      </c>
      <c r="F3581" s="4" t="str">
        <f>IFERROR(__xludf.DUMMYFUNCTION("GOOGLETRANSLATE(D3581)"),"美麗的甜美雪崩信仰和秋人玫瑰，帶有大量泡沫吉普酒。 http://t.co/RaqUpzFkJY #weddinghour http://t.co/quNxocXCgA")</f>
        <v>美麗的甜美雪崩信仰和秋人玫瑰，帶有大量泡沫吉普酒。 http://t.co/RaqUpzFkJY #weddinghour http://t.co/quNxocXCgA</v>
      </c>
      <c r="G3581" s="4" t="str">
        <f>IFERROR(__xludf.DUMMYFUNCTION("GOOGLETRANSLATE(B3581)"),"雪崩")</f>
        <v>雪崩</v>
      </c>
    </row>
    <row r="3582" ht="15.75" customHeight="1">
      <c r="A3582" s="4">
        <v>762.0</v>
      </c>
      <c r="B3582" s="4" t="s">
        <v>372</v>
      </c>
      <c r="C3582" s="4" t="s">
        <v>5364</v>
      </c>
      <c r="D3582" s="4" t="s">
        <v>5365</v>
      </c>
      <c r="E3582" s="4">
        <v>0.0</v>
      </c>
      <c r="F3582" s="4" t="str">
        <f>IFERROR(__xludf.DUMMYFUNCTION("GOOGLETRANSLATE(D3582)"),"1-6 TIX 卡加利火焰隊 vs COL Avalanche 季前賽 9/29 Scotiabank Saddledome http://t.co/5G8qA6mPxm")</f>
        <v>1-6 TIX 卡加利火焰隊 vs COL Avalanche 季前賽 9/29 Scotiabank Saddledome http://t.co/5G8qA6mPxm</v>
      </c>
      <c r="G3582" s="4" t="str">
        <f>IFERROR(__xludf.DUMMYFUNCTION("GOOGLETRANSLATE(B3582)"),"雪崩")</f>
        <v>雪崩</v>
      </c>
    </row>
    <row r="3583" ht="15.75" customHeight="1">
      <c r="A3583" s="4">
        <v>763.0</v>
      </c>
      <c r="B3583" s="4" t="s">
        <v>372</v>
      </c>
      <c r="D3583" s="4" t="s">
        <v>5366</v>
      </c>
      <c r="E3583" s="4">
        <v>0.0</v>
      </c>
      <c r="F3583" s="4" t="str">
        <f>IFERROR(__xludf.DUMMYFUNCTION("GOOGLETRANSLATE(D3583)"),"秘密雪崩：為秘密溝通追問內在的自我，尊重在鏡頭中創造價值...")</f>
        <v>秘密雪崩：為秘密溝通追問內在的自我，尊重在鏡頭中創造價值...</v>
      </c>
      <c r="G3583" s="4" t="str">
        <f>IFERROR(__xludf.DUMMYFUNCTION("GOOGLETRANSLATE(B3583)"),"雪崩")</f>
        <v>雪崩</v>
      </c>
    </row>
    <row r="3584" ht="15.75" customHeight="1">
      <c r="A3584" s="4">
        <v>767.0</v>
      </c>
      <c r="B3584" s="4" t="s">
        <v>372</v>
      </c>
      <c r="C3584" s="4" t="s">
        <v>942</v>
      </c>
      <c r="D3584" s="4" t="s">
        <v>5367</v>
      </c>
      <c r="E3584" s="4">
        <v>0.0</v>
      </c>
      <c r="F3584" s="4" t="str">
        <f>IFERROR(__xludf.DUMMYFUNCTION("GOOGLETRANSLATE(D3584)"),"白楊樹葉的落下就像雪崩的翻滾一樣是注定的——司布真")</f>
        <v>白楊樹葉的落下就像雪崩的翻滾一樣是注定的——司布真</v>
      </c>
      <c r="G3584" s="4" t="str">
        <f>IFERROR(__xludf.DUMMYFUNCTION("GOOGLETRANSLATE(B3584)"),"雪崩")</f>
        <v>雪崩</v>
      </c>
    </row>
    <row r="3585" ht="15.75" customHeight="1">
      <c r="A3585" s="4">
        <v>770.0</v>
      </c>
      <c r="B3585" s="4" t="s">
        <v>372</v>
      </c>
      <c r="C3585" s="4" t="s">
        <v>5368</v>
      </c>
      <c r="D3585" s="4" t="s">
        <v>5369</v>
      </c>
      <c r="E3585" s="4">
        <v>0.0</v>
      </c>
      <c r="F3585" s="4" t="str">
        <f>IFERROR(__xludf.DUMMYFUNCTION("GOOGLETRANSLATE(D3585)"),"上週我看到兩個偉大的龐克樂團製作原創音樂。在這裡查看！ @GHOSTOFTHEAV @MontroseBand https://t.co/WdvxjsQwic")</f>
        <v>上週我看到兩個偉大的龐克樂團製作原創音樂。在這裡查看！ @GHOSTOFTHEAV @MontroseBand https://t.co/WdvxjsQwic</v>
      </c>
      <c r="G3585" s="4" t="str">
        <f>IFERROR(__xludf.DUMMYFUNCTION("GOOGLETRANSLATE(B3585)"),"雪崩")</f>
        <v>雪崩</v>
      </c>
    </row>
    <row r="3586" ht="15.75" customHeight="1">
      <c r="A3586" s="4">
        <v>773.0</v>
      </c>
      <c r="B3586" s="4" t="s">
        <v>372</v>
      </c>
      <c r="D3586" s="4" t="s">
        <v>5370</v>
      </c>
      <c r="E3586" s="4">
        <v>0.0</v>
      </c>
      <c r="F3586" s="4" t="str">
        <f>IFERROR(__xludf.DUMMYFUNCTION("GOOGLETRANSLATE(D3586)"),"高性能晶片燃油/燃氣節省器雪佛蘭 TAHOE/BLAZER/AVALANCHE/S-10 http://t.co/iCrZi5TqC5 http://t.co/ONxhKfHn2a")</f>
        <v>高性能晶片燃油/燃氣節省器雪佛蘭 TAHOE/BLAZER/AVALANCHE/S-10 http://t.co/iCrZi5TqC5 http://t.co/ONxhKfHn2a</v>
      </c>
      <c r="G3586" s="4" t="str">
        <f>IFERROR(__xludf.DUMMYFUNCTION("GOOGLETRANSLATE(B3586)"),"雪崩")</f>
        <v>雪崩</v>
      </c>
    </row>
    <row r="3587" ht="15.75" customHeight="1">
      <c r="A3587" s="4">
        <v>774.0</v>
      </c>
      <c r="B3587" s="4" t="s">
        <v>372</v>
      </c>
      <c r="C3587" s="4" t="s">
        <v>5371</v>
      </c>
      <c r="D3587" s="4" t="s">
        <v>5372</v>
      </c>
      <c r="E3587" s="4">
        <v>0.0</v>
      </c>
      <c r="F3587" s="4" t="str">
        <f>IFERROR(__xludf.DUMMYFUNCTION("GOOGLETRANSLATE(D3587)"),"音樂家 Kalle Mattson 在《Avalanche》的巧妙音樂錄影帶中重新創作了 34 張經典專輯封面 http://t.co/VBSwhz4s2V")</f>
        <v>音樂家 Kalle Mattson 在《Avalanche》的巧妙音樂錄影帶中重新創作了 34 張經典專輯封面 http://t.co/VBSwhz4s2V</v>
      </c>
      <c r="G3587" s="4" t="str">
        <f>IFERROR(__xludf.DUMMYFUNCTION("GOOGLETRANSLATE(B3587)"),"雪崩")</f>
        <v>雪崩</v>
      </c>
    </row>
    <row r="3588" ht="15.75" customHeight="1">
      <c r="A3588" s="4">
        <v>777.0</v>
      </c>
      <c r="B3588" s="4" t="s">
        <v>372</v>
      </c>
      <c r="D3588" s="4" t="s">
        <v>5373</v>
      </c>
      <c r="E3588" s="4">
        <v>0.0</v>
      </c>
      <c r="F3588" s="4" t="str">
        <f>IFERROR(__xludf.DUMMYFUNCTION("GOOGLETRANSLATE(D3588)"),"免費 eBay 狙擊 RT？ http://t.co/RqIPGQslT6 雪佛蘭：Avalanche Ltz 舉升 4x4 卡車？請收藏下載分享")</f>
        <v>免費 eBay 狙擊 RT？ http://t.co/RqIPGQslT6 雪佛蘭：Avalanche Ltz 舉升 4x4 卡車？請收藏下載分享</v>
      </c>
      <c r="G3588" s="4" t="str">
        <f>IFERROR(__xludf.DUMMYFUNCTION("GOOGLETRANSLATE(B3588)"),"雪崩")</f>
        <v>雪崩</v>
      </c>
    </row>
    <row r="3589" ht="15.75" customHeight="1">
      <c r="A3589" s="4">
        <v>781.0</v>
      </c>
      <c r="B3589" s="4" t="s">
        <v>372</v>
      </c>
      <c r="C3589" s="4" t="s">
        <v>1727</v>
      </c>
      <c r="D3589" s="4" t="s">
        <v>5374</v>
      </c>
      <c r="E3589" s="4">
        <v>0.0</v>
      </c>
      <c r="F3589" s="4" t="str">
        <f>IFERROR(__xludf.DUMMYFUNCTION("GOOGLETRANSLATE(D3589)"),"保羅路德 埃米爾赫希 大衛戈登格林 《雪崩王子》問答 | Google 的電影製作人 http://t.co/e4QonKzndZ #entretenimento #Video")</f>
        <v>保羅路德 埃米爾赫希 大衛戈登格林 《雪崩王子》問答 | Google 的電影製作人 http://t.co/e4QonKzndZ #entretenimento #Video</v>
      </c>
      <c r="G3589" s="4" t="str">
        <f>IFERROR(__xludf.DUMMYFUNCTION("GOOGLETRANSLATE(B3589)"),"雪崩")</f>
        <v>雪崩</v>
      </c>
    </row>
    <row r="3590" ht="15.75" customHeight="1">
      <c r="A3590" s="4">
        <v>782.0</v>
      </c>
      <c r="B3590" s="4" t="s">
        <v>372</v>
      </c>
      <c r="C3590" s="4" t="s">
        <v>5375</v>
      </c>
      <c r="D3590" s="4" t="s">
        <v>5376</v>
      </c>
      <c r="E3590" s="4">
        <v>0.0</v>
      </c>
      <c r="F3590" s="4" t="str">
        <f>IFERROR(__xludf.DUMMYFUNCTION("GOOGLETRANSLATE(D3590)"),"所有 Avalanche 音樂的一次性優惠，購買即可獲得一件 Neal Rigga 襯衫 http://t.co/4VIRXkgMpC")</f>
        <v>所有 Avalanche 音樂的一次性優惠，購買即可獲得一件 Neal Rigga 襯衫 http://t.co/4VIRXkgMpC</v>
      </c>
      <c r="G3590" s="4" t="str">
        <f>IFERROR(__xludf.DUMMYFUNCTION("GOOGLETRANSLATE(B3590)"),"雪崩")</f>
        <v>雪崩</v>
      </c>
    </row>
    <row r="3591" ht="15.75" customHeight="1">
      <c r="A3591" s="4">
        <v>783.0</v>
      </c>
      <c r="B3591" s="4" t="s">
        <v>372</v>
      </c>
      <c r="C3591" s="4" t="s">
        <v>5377</v>
      </c>
      <c r="D3591" s="4" t="s">
        <v>5378</v>
      </c>
      <c r="E3591" s="4">
        <v>0.0</v>
      </c>
      <c r="F3591" s="4" t="str">
        <f>IFERROR(__xludf.DUMMYFUNCTION("GOOGLETRANSLATE(D3591)"),".@bigperm28 由 @Avalanche 於 2005 年起草（rd. 4 #124）。上賽季在@UtahGrizz 效力。 http://t.co/gPGTAfMKt0")</f>
        <v>.@bigperm28 由 @Avalanche 於 2005 年起草（rd. 4 #124）。上賽季在@UtahGrizz 效力。 http://t.co/gPGTAfMKt0</v>
      </c>
      <c r="G3591" s="4" t="str">
        <f>IFERROR(__xludf.DUMMYFUNCTION("GOOGLETRANSLATE(B3591)"),"雪崩")</f>
        <v>雪崩</v>
      </c>
    </row>
    <row r="3592" ht="15.75" customHeight="1">
      <c r="A3592" s="4">
        <v>784.0</v>
      </c>
      <c r="B3592" s="4" t="s">
        <v>372</v>
      </c>
      <c r="C3592" s="4" t="s">
        <v>5375</v>
      </c>
      <c r="D3592" s="4" t="s">
        <v>5379</v>
      </c>
      <c r="E3592" s="4">
        <v>0.0</v>
      </c>
      <c r="F3592" s="4" t="str">
        <f>IFERROR(__xludf.DUMMYFUNCTION("GOOGLETRANSLATE(D3592)"),"我的影片比你們饒舌歌手的歌曲還多！ http://t.co/pBLvPM6C27")</f>
        <v>我的影片比你們饒舌歌手的歌曲還多！ http://t.co/pBLvPM6C27</v>
      </c>
      <c r="G3592" s="4" t="str">
        <f>IFERROR(__xludf.DUMMYFUNCTION("GOOGLETRANSLATE(B3592)"),"雪崩")</f>
        <v>雪崩</v>
      </c>
    </row>
    <row r="3593" ht="15.75" customHeight="1">
      <c r="A3593" s="4">
        <v>786.0</v>
      </c>
      <c r="B3593" s="4" t="s">
        <v>372</v>
      </c>
      <c r="C3593" s="4" t="s">
        <v>5375</v>
      </c>
      <c r="D3593" s="4" t="s">
        <v>5380</v>
      </c>
      <c r="E3593" s="4">
        <v>0.0</v>
      </c>
      <c r="F3593" s="4" t="str">
        <f>IFERROR(__xludf.DUMMYFUNCTION("GOOGLETRANSLATE(D3593)"),"@funkflex yo flex 我在這裡 https://t.co/2AZxdLCXgA")</f>
        <v>@funkflex yo flex 我在這裡 https://t.co/2AZxdLCXgA</v>
      </c>
      <c r="G3593" s="4" t="str">
        <f>IFERROR(__xludf.DUMMYFUNCTION("GOOGLETRANSLATE(B3593)"),"雪崩")</f>
        <v>雪崩</v>
      </c>
    </row>
    <row r="3594" ht="15.75" customHeight="1">
      <c r="A3594" s="4">
        <v>787.0</v>
      </c>
      <c r="B3594" s="4" t="s">
        <v>372</v>
      </c>
      <c r="C3594" s="4" t="s">
        <v>852</v>
      </c>
      <c r="D3594" s="4" t="s">
        <v>5381</v>
      </c>
      <c r="E3594" s="4">
        <v>0.0</v>
      </c>
      <c r="F3594" s="4" t="str">
        <f>IFERROR(__xludf.DUMMYFUNCTION("GOOGLETRANSLATE(D3594)"),"你就是雪崩。一個世界之外。我的使人相信。當我完全清醒的時候。")</f>
        <v>你就是雪崩。一個世界之外。我的使人相信。當我完全清醒的時候。</v>
      </c>
      <c r="G3594" s="4" t="str">
        <f>IFERROR(__xludf.DUMMYFUNCTION("GOOGLETRANSLATE(B3594)"),"雪崩")</f>
        <v>雪崩</v>
      </c>
    </row>
    <row r="3595" ht="15.75" customHeight="1">
      <c r="A3595" s="4">
        <v>788.0</v>
      </c>
      <c r="B3595" s="4" t="s">
        <v>372</v>
      </c>
      <c r="C3595" s="4" t="s">
        <v>5382</v>
      </c>
      <c r="D3595" s="4" t="s">
        <v>5383</v>
      </c>
      <c r="E3595" s="4">
        <v>0.0</v>
      </c>
      <c r="F3595" s="4" t="str">
        <f>IFERROR(__xludf.DUMMYFUNCTION("GOOGLETRANSLATE(D3595)"),"明年雪崩隊可能會推出新球衣。 ???? http://t.co/nruzhR5XQu")</f>
        <v>明年雪崩隊可能會推出新球衣。 ???? http://t.co/nruzhR5XQu</v>
      </c>
      <c r="G3595" s="4" t="str">
        <f>IFERROR(__xludf.DUMMYFUNCTION("GOOGLETRANSLATE(B3595)"),"雪崩")</f>
        <v>雪崩</v>
      </c>
    </row>
    <row r="3596" ht="15.75" customHeight="1">
      <c r="A3596" s="4">
        <v>790.0</v>
      </c>
      <c r="B3596" s="4" t="s">
        <v>372</v>
      </c>
      <c r="C3596" s="4" t="s">
        <v>126</v>
      </c>
      <c r="D3596" s="4" t="s">
        <v>5384</v>
      </c>
      <c r="E3596" s="4">
        <v>0.0</v>
      </c>
      <c r="F3596" s="4" t="str">
        <f>IFERROR(__xludf.DUMMYFUNCTION("GOOGLETRANSLATE(D3596)"),"多麼壯舉啊！觀看@kallemattson 令人難以置信的#Avalanche 音樂視頻的#BTS：https://t.co/3W6seA9tuv ????")</f>
        <v>多麼壯舉啊！觀看@kallemattson 令人難以置信的#Avalanche 音樂視頻的#BTS：https://t.co/3W6seA9tuv ????</v>
      </c>
      <c r="G3596" s="4" t="str">
        <f>IFERROR(__xludf.DUMMYFUNCTION("GOOGLETRANSLATE(B3596)"),"雪崩")</f>
        <v>雪崩</v>
      </c>
    </row>
    <row r="3597" ht="15.75" customHeight="1">
      <c r="A3597" s="4">
        <v>795.0</v>
      </c>
      <c r="B3597" s="4" t="s">
        <v>372</v>
      </c>
      <c r="C3597" s="4" t="s">
        <v>5385</v>
      </c>
      <c r="D3597" s="4" t="s">
        <v>5386</v>
      </c>
      <c r="E3597" s="4">
        <v>0.0</v>
      </c>
      <c r="F3597" s="4" t="str">
        <f>IFERROR(__xludf.DUMMYFUNCTION("GOOGLETRANSLATE(D3597)"),"雪崩中沒有一片雪花感到有責任。")</f>
        <v>雪崩中沒有一片雪花感到有責任。</v>
      </c>
      <c r="G3597" s="4" t="str">
        <f>IFERROR(__xludf.DUMMYFUNCTION("GOOGLETRANSLATE(B3597)"),"雪崩")</f>
        <v>雪崩</v>
      </c>
    </row>
    <row r="3598" ht="15.75" customHeight="1">
      <c r="A3598" s="4">
        <v>798.0</v>
      </c>
      <c r="B3598" s="4" t="s">
        <v>379</v>
      </c>
      <c r="D3598" s="4" t="s">
        <v>5387</v>
      </c>
      <c r="E3598" s="4">
        <v>0.0</v>
      </c>
      <c r="F3598" s="4" t="str">
        <f>IFERROR(__xludf.DUMMYFUNCTION("GOOGLETRANSLATE(D3598)"),"七龍珠 Z：諸神之戰 (2014) - 爛番茄 http://t.co/jDDNhmrmMJ 來自 @RottenTomatoes")</f>
        <v>七龍珠 Z：諸神之戰 (2014) - 爛番茄 http://t.co/jDDNhmrmMJ 來自 @RottenTomatoes</v>
      </c>
      <c r="G3598" s="4" t="str">
        <f>IFERROR(__xludf.DUMMYFUNCTION("GOOGLETRANSLATE(B3598)"),"戰鬥")</f>
        <v>戰鬥</v>
      </c>
    </row>
    <row r="3599" ht="15.75" customHeight="1">
      <c r="A3599" s="4">
        <v>799.0</v>
      </c>
      <c r="B3599" s="4" t="s">
        <v>379</v>
      </c>
      <c r="C3599" s="4" t="s">
        <v>5388</v>
      </c>
      <c r="D3599" s="4" t="s">
        <v>5389</v>
      </c>
      <c r="E3599" s="4">
        <v>0.0</v>
      </c>
      <c r="F3599" s="4" t="str">
        <f>IFERROR(__xludf.DUMMYFUNCTION("GOOGLETRANSLATE(D3599)"),"我將影片加入 @YouTube 播放清單 http://t.co/wedWyn9kfS World Of Tanks - Battle Assistant Mod Bat Chat Arti kaboom")</f>
        <v>我將影片加入 @YouTube 播放清單 http://t.co/wedWyn9kfS World Of Tanks - Battle Assistant Mod Bat Chat Arti kaboom</v>
      </c>
      <c r="G3599" s="4" t="str">
        <f>IFERROR(__xludf.DUMMYFUNCTION("GOOGLETRANSLATE(B3599)"),"戰鬥")</f>
        <v>戰鬥</v>
      </c>
    </row>
    <row r="3600" ht="15.75" customHeight="1">
      <c r="A3600" s="4">
        <v>800.0</v>
      </c>
      <c r="B3600" s="4" t="s">
        <v>379</v>
      </c>
      <c r="C3600" s="4" t="s">
        <v>1529</v>
      </c>
      <c r="D3600" s="4" t="s">
        <v>5390</v>
      </c>
      <c r="E3600" s="4">
        <v>0.0</v>
      </c>
      <c r="F3600" s="4" t="str">
        <f>IFERROR(__xludf.DUMMYFUNCTION("GOOGLETRANSLATE(D3600)"),"YA BOY CLIP VS 4KUS 全面戰
@15MofeRadio @Heavybag201 @battle_dom @QOTRING @BattleRapChris @Hughes1128
https://t.co/7SPyDy1csc")</f>
        <v>YA BOY CLIP VS 4KUS 全面戰
@15MofeRadio @Heavybag201 @battle_dom @QOTRING @BattleRapChris @Hughes1128
https://t.co/7SPyDy1csc</v>
      </c>
      <c r="G3600" s="4" t="str">
        <f>IFERROR(__xludf.DUMMYFUNCTION("GOOGLETRANSLATE(B3600)"),"戰鬥")</f>
        <v>戰鬥</v>
      </c>
    </row>
    <row r="3601" ht="15.75" customHeight="1">
      <c r="A3601" s="4">
        <v>802.0</v>
      </c>
      <c r="B3601" s="4" t="s">
        <v>379</v>
      </c>
      <c r="D3601" s="4" t="s">
        <v>5391</v>
      </c>
      <c r="E3601" s="4">
        <v>0.0</v>
      </c>
      <c r="F3601" s="4" t="str">
        <f>IFERROR(__xludf.DUMMYFUNCTION("GOOGLETRANSLATE(D3601)"),"是啊啊啊！彼得森的弓箭狩獵之戰。確保您過來並投票給您的... http://t.co/FJ73gDvg2n")</f>
        <v>是啊啊啊！彼得森的弓箭狩獵之戰。確保您過來並投票給您的... http://t.co/FJ73gDvg2n</v>
      </c>
      <c r="G3601" s="4" t="str">
        <f>IFERROR(__xludf.DUMMYFUNCTION("GOOGLETRANSLATE(B3601)"),"戰鬥")</f>
        <v>戰鬥</v>
      </c>
    </row>
    <row r="3602" ht="15.75" customHeight="1">
      <c r="A3602" s="4">
        <v>803.0</v>
      </c>
      <c r="B3602" s="4" t="s">
        <v>379</v>
      </c>
      <c r="D3602" s="4" t="s">
        <v>5392</v>
      </c>
      <c r="E3602" s="4">
        <v>0.0</v>
      </c>
      <c r="F3602" s="4" t="str">
        <f>IFERROR(__xludf.DUMMYFUNCTION("GOOGLETRANSLATE(D3602)"),"#TB #回歸？
??~你想戰鬥嗎？這是一場戰爭！ 〜?? https://t.co/B0ZJWgmaIW")</f>
        <v>#TB #回歸？
??~你想戰鬥嗎？這是一場戰爭！ 〜?? https://t.co/B0ZJWgmaIW</v>
      </c>
      <c r="G3602" s="4" t="str">
        <f>IFERROR(__xludf.DUMMYFUNCTION("GOOGLETRANSLATE(B3602)"),"戰鬥")</f>
        <v>戰鬥</v>
      </c>
    </row>
    <row r="3603" ht="15.75" customHeight="1">
      <c r="A3603" s="4">
        <v>804.0</v>
      </c>
      <c r="B3603" s="4" t="s">
        <v>379</v>
      </c>
      <c r="C3603" s="4" t="s">
        <v>1290</v>
      </c>
      <c r="D3603" s="4" t="s">
        <v>5393</v>
      </c>
      <c r="E3603" s="4">
        <v>0.0</v>
      </c>
      <c r="F3603" s="4" t="str">
        <f>IFERROR(__xludf.DUMMYFUNCTION("GOOGLETRANSLATE(D3603)"),"凱爾比·湯姆林森 (Kelby Tomlinson) 為一支偉大的大都市球隊提供溫和的二壘手，為安打打點和#SFGiants 方式進行一場永無止境的戰鬥。")</f>
        <v>凱爾比·湯姆林森 (Kelby Tomlinson) 為一支偉大的大都市球隊提供溫和的二壘手，為安打打點和#SFGiants 方式進行一場永無止境的戰鬥。</v>
      </c>
      <c r="G3603" s="4" t="str">
        <f>IFERROR(__xludf.DUMMYFUNCTION("GOOGLETRANSLATE(B3603)"),"戰鬥")</f>
        <v>戰鬥</v>
      </c>
    </row>
    <row r="3604" ht="15.75" customHeight="1">
      <c r="A3604" s="4">
        <v>806.0</v>
      </c>
      <c r="B3604" s="4" t="s">
        <v>379</v>
      </c>
      <c r="C3604" s="4" t="s">
        <v>1749</v>
      </c>
      <c r="D3604" s="4" t="s">
        <v>5394</v>
      </c>
      <c r="E3604" s="4">
        <v>0.0</v>
      </c>
      <c r="F3604" s="4" t="str">
        <f>IFERROR(__xludf.DUMMYFUNCTION("GOOGLETRANSLATE(D3604)"),"《颶風救援之王》故事預告片中到底發生了什麼事？一場太空戰在土星上撕開了一個洞。 @EyTay @neur0sis http://t.co/ZYRZX6dfki")</f>
        <v>《颶風救援之王》故事預告片中到底發生了什麼事？一場太空戰在土星上撕開了一個洞。 @EyTay @neur0sis http://t.co/ZYRZX6dfki</v>
      </c>
      <c r="G3604" s="4" t="str">
        <f>IFERROR(__xludf.DUMMYFUNCTION("GOOGLETRANSLATE(B3604)"),"戰鬥")</f>
        <v>戰鬥</v>
      </c>
    </row>
    <row r="3605" ht="15.75" customHeight="1">
      <c r="A3605" s="4">
        <v>807.0</v>
      </c>
      <c r="B3605" s="4" t="s">
        <v>379</v>
      </c>
      <c r="D3605" s="4" t="s">
        <v>5395</v>
      </c>
      <c r="E3605" s="4">
        <v>0.0</v>
      </c>
      <c r="F3605" s="4" t="str">
        <f>IFERROR(__xludf.DUMMYFUNCTION("GOOGLETRANSLATE(D3605)"),"這些戰鬥後的動畫太他媽的了")</f>
        <v>這些戰鬥後的動畫太他媽的了</v>
      </c>
      <c r="G3605" s="4" t="str">
        <f>IFERROR(__xludf.DUMMYFUNCTION("GOOGLETRANSLATE(B3605)"),"戰鬥")</f>
        <v>戰鬥</v>
      </c>
    </row>
    <row r="3606" ht="15.75" customHeight="1">
      <c r="A3606" s="4">
        <v>808.0</v>
      </c>
      <c r="B3606" s="4" t="s">
        <v>379</v>
      </c>
      <c r="C3606" s="4" t="s">
        <v>295</v>
      </c>
      <c r="D3606" s="4" t="s">
        <v>5396</v>
      </c>
      <c r="E3606" s="4">
        <v>0.0</v>
      </c>
      <c r="F3606" s="4" t="str">
        <f>IFERROR(__xludf.DUMMYFUNCTION("GOOGLETRANSLATE(D3606)"),"看看沒有街區之戰@CBSBigBrother 會發生什麼！？！ ????最後")</f>
        <v>看看沒有街區之戰@CBSBigBrother 會發生什麼！？！ ????最後</v>
      </c>
      <c r="G3606" s="4" t="str">
        <f>IFERROR(__xludf.DUMMYFUNCTION("GOOGLETRANSLATE(B3606)"),"戰鬥")</f>
        <v>戰鬥</v>
      </c>
    </row>
    <row r="3607" ht="15.75" customHeight="1">
      <c r="A3607" s="4">
        <v>809.0</v>
      </c>
      <c r="B3607" s="4" t="s">
        <v>379</v>
      </c>
      <c r="C3607" s="4" t="s">
        <v>5005</v>
      </c>
      <c r="D3607" s="4" t="s">
        <v>5397</v>
      </c>
      <c r="E3607" s="4">
        <v>0.0</v>
      </c>
      <c r="F3607" s="4" t="str">
        <f>IFERROR(__xludf.DUMMYFUNCTION("GOOGLETRANSLATE(D3607)"),"#DU19 誰會和我一起參加這場饒舌大戰")</f>
        <v>#DU19 誰會和我一起參加這場饒舌大戰</v>
      </c>
      <c r="G3607" s="4" t="str">
        <f>IFERROR(__xludf.DUMMYFUNCTION("GOOGLETRANSLATE(B3607)"),"戰鬥")</f>
        <v>戰鬥</v>
      </c>
    </row>
    <row r="3608" ht="15.75" customHeight="1">
      <c r="A3608" s="4">
        <v>810.0</v>
      </c>
      <c r="B3608" s="4" t="s">
        <v>379</v>
      </c>
      <c r="C3608" s="4" t="s">
        <v>5398</v>
      </c>
      <c r="D3608" s="4" t="s">
        <v>5399</v>
      </c>
      <c r="E3608" s="4">
        <v>0.0</v>
      </c>
      <c r="F3608" s="4" t="str">
        <f>IFERROR(__xludf.DUMMYFUNCTION("GOOGLETRANSLATE(D3608)"),"做自己的事：內在動機與外在動機之戰：http://t.co/w9P3hAuHEi")</f>
        <v>做自己的事：內在動機與外在動機之戰：http://t.co/w9P3hAuHEi</v>
      </c>
      <c r="G3608" s="4" t="str">
        <f>IFERROR(__xludf.DUMMYFUNCTION("GOOGLETRANSLATE(B3608)"),"戰鬥")</f>
        <v>戰鬥</v>
      </c>
    </row>
    <row r="3609" ht="15.75" customHeight="1">
      <c r="A3609" s="4">
        <v>812.0</v>
      </c>
      <c r="B3609" s="4" t="s">
        <v>379</v>
      </c>
      <c r="C3609" s="4" t="s">
        <v>281</v>
      </c>
      <c r="D3609" s="4" t="s">
        <v>5400</v>
      </c>
      <c r="E3609" s="4">
        <v>0.0</v>
      </c>
      <c r="F3609" s="4" t="str">
        <f>IFERROR(__xludf.DUMMYFUNCTION("GOOGLETRANSLATE(D3609)"),"看看我剛收到的這個商品！ [幻影腰帶] http://t.co/qrHJEI7gRq #Warcraft")</f>
        <v>看看我剛收到的這個商品！ [幻影腰帶] http://t.co/qrHJEI7gRq #Warcraft</v>
      </c>
      <c r="G3609" s="4" t="str">
        <f>IFERROR(__xludf.DUMMYFUNCTION("GOOGLETRANSLATE(B3609)"),"戰鬥")</f>
        <v>戰鬥</v>
      </c>
    </row>
    <row r="3610" ht="15.75" customHeight="1">
      <c r="A3610" s="4">
        <v>815.0</v>
      </c>
      <c r="B3610" s="4" t="s">
        <v>379</v>
      </c>
      <c r="D3610" s="4" t="s">
        <v>5401</v>
      </c>
      <c r="E3610" s="4">
        <v>0.0</v>
      </c>
      <c r="F3610" s="4" t="str">
        <f>IFERROR(__xludf.DUMMYFUNCTION("GOOGLETRANSLATE(D3610)"),"我喜歡 @YouTube 影片 http://t.co/9Vw0uQQi1y Marvel VS DC（復仇者之戰！）")</f>
        <v>我喜歡 @YouTube 影片 http://t.co/9Vw0uQQi1y Marvel VS DC（復仇者之戰！）</v>
      </c>
      <c r="G3610" s="4" t="str">
        <f>IFERROR(__xludf.DUMMYFUNCTION("GOOGLETRANSLATE(B3610)"),"戰鬥")</f>
        <v>戰鬥</v>
      </c>
    </row>
    <row r="3611" ht="15.75" customHeight="1">
      <c r="A3611" s="4">
        <v>817.0</v>
      </c>
      <c r="B3611" s="4" t="s">
        <v>379</v>
      </c>
      <c r="C3611" s="4" t="s">
        <v>5402</v>
      </c>
      <c r="D3611" s="4" t="s">
        <v>5403</v>
      </c>
      <c r="E3611" s="4">
        <v>0.0</v>
      </c>
      <c r="F3611" s="4" t="str">
        <f>IFERROR(__xludf.DUMMYFUNCTION("GOOGLETRANSLATE(D3611)"),"@UtahCanary 嘆息每日的戰鬥。")</f>
        <v>@UtahCanary 嘆息每日的戰鬥。</v>
      </c>
      <c r="G3611" s="4" t="str">
        <f>IFERROR(__xludf.DUMMYFUNCTION("GOOGLETRANSLATE(B3611)"),"戰鬥")</f>
        <v>戰鬥</v>
      </c>
    </row>
    <row r="3612" ht="15.75" customHeight="1">
      <c r="A3612" s="4">
        <v>818.0</v>
      </c>
      <c r="B3612" s="4" t="s">
        <v>379</v>
      </c>
      <c r="C3612" s="4" t="s">
        <v>5404</v>
      </c>
      <c r="D3612" s="4" t="s">
        <v>5405</v>
      </c>
      <c r="E3612" s="4">
        <v>0.0</v>
      </c>
      <c r="F3612" s="4" t="str">
        <f>IFERROR(__xludf.DUMMYFUNCTION("GOOGLETRANSLATE(D3612)"),"@SexyDragonMagic 我開始意識到我沒有足夠的注意力去關注大型戰鬥遊戲。既畫畫又玩。")</f>
        <v>@SexyDragonMagic 我開始意識到我沒有足夠的注意力去關注大型戰鬥遊戲。既畫畫又玩。</v>
      </c>
      <c r="G3612" s="4" t="str">
        <f>IFERROR(__xludf.DUMMYFUNCTION("GOOGLETRANSLATE(B3612)"),"戰鬥")</f>
        <v>戰鬥</v>
      </c>
    </row>
    <row r="3613" ht="15.75" customHeight="1">
      <c r="A3613" s="4">
        <v>819.0</v>
      </c>
      <c r="B3613" s="4" t="s">
        <v>379</v>
      </c>
      <c r="C3613" s="4" t="s">
        <v>5406</v>
      </c>
      <c r="D3613" s="4" t="s">
        <v>5407</v>
      </c>
      <c r="E3613" s="4">
        <v>0.0</v>
      </c>
      <c r="F3613" s="4" t="str">
        <f>IFERROR(__xludf.DUMMYFUNCTION("GOOGLETRANSLATE(D3613)"),"@DetroitPls 有興趣看看誰會贏得這場戰鬥")</f>
        <v>@DetroitPls 有興趣看看誰會贏得這場戰鬥</v>
      </c>
      <c r="G3613" s="4" t="str">
        <f>IFERROR(__xludf.DUMMYFUNCTION("GOOGLETRANSLATE(B3613)"),"戰鬥")</f>
        <v>戰鬥</v>
      </c>
    </row>
    <row r="3614" ht="15.75" customHeight="1">
      <c r="A3614" s="4">
        <v>820.0</v>
      </c>
      <c r="B3614" s="4" t="s">
        <v>379</v>
      </c>
      <c r="C3614" s="4" t="s">
        <v>5408</v>
      </c>
      <c r="D3614" s="4" t="s">
        <v>5409</v>
      </c>
      <c r="E3614" s="4">
        <v>0.0</v>
      </c>
      <c r="F3614" s="4" t="str">
        <f>IFERROR(__xludf.DUMMYFUNCTION("GOOGLETRANSLATE(D3614)"),"山羊之戰 https://t.co/ofECs6tcvC")</f>
        <v>山羊之戰 https://t.co/ofECs6tcvC</v>
      </c>
      <c r="G3614" s="4" t="str">
        <f>IFERROR(__xludf.DUMMYFUNCTION("GOOGLETRANSLATE(B3614)"),"戰鬥")</f>
        <v>戰鬥</v>
      </c>
    </row>
    <row r="3615" ht="15.75" customHeight="1">
      <c r="A3615" s="4">
        <v>822.0</v>
      </c>
      <c r="B3615" s="4" t="s">
        <v>379</v>
      </c>
      <c r="C3615" s="4" t="s">
        <v>291</v>
      </c>
      <c r="D3615" s="4" t="s">
        <v>5410</v>
      </c>
      <c r="E3615" s="4">
        <v>0.0</v>
      </c>
      <c r="F3615" s="4" t="str">
        <f>IFERROR(__xludf.DUMMYFUNCTION("GOOGLETRANSLATE(D3615)"),"星際大戰絕地之力系列 1 戰鬥機器人孩之寶 - eBay 完整閱讀 http://t.co/yI30ZgiZsW http://t.co/2jGVhw7YZs")</f>
        <v>星際大戰絕地之力系列 1 戰鬥機器人孩之寶 - eBay 完整閱讀 http://t.co/yI30ZgiZsW http://t.co/2jGVhw7YZs</v>
      </c>
      <c r="G3615" s="4" t="str">
        <f>IFERROR(__xludf.DUMMYFUNCTION("GOOGLETRANSLATE(B3615)"),"戰鬥")</f>
        <v>戰鬥</v>
      </c>
    </row>
    <row r="3616" ht="15.75" customHeight="1">
      <c r="A3616" s="4">
        <v>823.0</v>
      </c>
      <c r="B3616" s="4" t="s">
        <v>379</v>
      </c>
      <c r="C3616" s="4" t="s">
        <v>38</v>
      </c>
      <c r="D3616" s="4" t="s">
        <v>5411</v>
      </c>
      <c r="E3616" s="4">
        <v>0.0</v>
      </c>
      <c r="F3616" s="4" t="str">
        <f>IFERROR(__xludf.DUMMYFUNCTION("GOOGLETRANSLATE(D3616)"),"黑眼9：O784星發生太空戰，涉及2個艦隊，總計4103艘艦船，其中50艘被摧毀")</f>
        <v>黑眼9：O784星發生太空戰，涉及2個艦隊，總計4103艘艦船，其中50艘被摧毀</v>
      </c>
      <c r="G3616" s="4" t="str">
        <f>IFERROR(__xludf.DUMMYFUNCTION("GOOGLETRANSLATE(B3616)"),"戰鬥")</f>
        <v>戰鬥</v>
      </c>
    </row>
    <row r="3617" ht="15.75" customHeight="1">
      <c r="A3617" s="4">
        <v>826.0</v>
      </c>
      <c r="B3617" s="4" t="s">
        <v>379</v>
      </c>
      <c r="C3617" s="4" t="s">
        <v>54</v>
      </c>
      <c r="D3617" s="4" t="s">
        <v>5412</v>
      </c>
      <c r="E3617" s="4">
        <v>0.0</v>
      </c>
      <c r="F3617" s="4" t="str">
        <f>IFERROR(__xludf.DUMMYFUNCTION("GOOGLETRANSLATE(D3617)"),"#LonePine 在澳洲各地被銘記為“後代”，透過@666canberra #Gallipoli #WW1 成長
http://t.co/T4fvVnRPc5 http://t.co/0zZnbVFUVO")</f>
        <v>#LonePine 在澳洲各地被銘記為“後代”，透過@666canberra #Gallipoli #WW1 成長
http://t.co/T4fvVnRPc5 http://t.co/0zZnbVFUVO</v>
      </c>
      <c r="G3617" s="4" t="str">
        <f>IFERROR(__xludf.DUMMYFUNCTION("GOOGLETRANSLATE(B3617)"),"戰鬥")</f>
        <v>戰鬥</v>
      </c>
    </row>
    <row r="3618" ht="15.75" customHeight="1">
      <c r="A3618" s="4">
        <v>828.0</v>
      </c>
      <c r="B3618" s="4" t="s">
        <v>379</v>
      </c>
      <c r="C3618" s="4" t="s">
        <v>289</v>
      </c>
      <c r="D3618" s="4" t="s">
        <v>5413</v>
      </c>
      <c r="E3618" s="4">
        <v>0.0</v>
      </c>
      <c r="F3618" s="4" t="str">
        <f>IFERROR(__xludf.DUMMYFUNCTION("GOOGLETRANSLATE(D3618)"),"我怎麼錯過了加里·布塞 (Gary Busey) 的兒子在戰後慶祝場面中用電子綠小提琴演奏迪克西 (DIXIE)")</f>
        <v>我怎麼錯過了加里·布塞 (Gary Busey) 的兒子在戰後慶祝場面中用電子綠小提琴演奏迪克西 (DIXIE)</v>
      </c>
      <c r="G3618" s="4" t="str">
        <f>IFERROR(__xludf.DUMMYFUNCTION("GOOGLETRANSLATE(B3618)"),"戰鬥")</f>
        <v>戰鬥</v>
      </c>
    </row>
    <row r="3619" ht="15.75" customHeight="1">
      <c r="A3619" s="4">
        <v>832.0</v>
      </c>
      <c r="B3619" s="4" t="s">
        <v>386</v>
      </c>
      <c r="C3619" s="4" t="s">
        <v>5414</v>
      </c>
      <c r="D3619" s="4" t="s">
        <v>5415</v>
      </c>
      <c r="E3619" s="4">
        <v>0.0</v>
      </c>
      <c r="F3619" s="4" t="str">
        <f>IFERROR(__xludf.DUMMYFUNCTION("GOOGLETRANSLATE(D3619)"),"聯邦快遞將不再透過 @USATODAY 運輸生物恐怖細菌 http://t.co/qfjjDxes7G")</f>
        <v>聯邦快遞將不再透過 @USATODAY 運輸生物恐怖細菌 http://t.co/qfjjDxes7G</v>
      </c>
      <c r="G3619" s="4" t="str">
        <f>IFERROR(__xludf.DUMMYFUNCTION("GOOGLETRANSLATE(B3619)"),"生物恐怖")</f>
        <v>生物恐怖</v>
      </c>
    </row>
    <row r="3620" ht="15.75" customHeight="1">
      <c r="A3620" s="4">
        <v>833.0</v>
      </c>
      <c r="B3620" s="4" t="s">
        <v>386</v>
      </c>
      <c r="D3620" s="4" t="s">
        <v>5416</v>
      </c>
      <c r="E3620" s="4">
        <v>0.0</v>
      </c>
      <c r="F3620" s="4" t="str">
        <f>IFERROR(__xludf.DUMMYFUNCTION("GOOGLETRANSLATE(D3620)"),"今日美國：.@FedEx 將不再運送生物恐怖病原體...... - http://t.co/iaDlSlqdpd #NewsInTweets http://t.co/o8y1suL4Ow")</f>
        <v>今日美國：.@FedEx 將不再運送生物恐怖病原體...... - http://t.co/iaDlSlqdpd #NewsInTweets http://t.co/o8y1suL4Ow</v>
      </c>
      <c r="G3620" s="4" t="str">
        <f>IFERROR(__xludf.DUMMYFUNCTION("GOOGLETRANSLATE(B3620)"),"生物恐怖")</f>
        <v>生物恐怖</v>
      </c>
    </row>
    <row r="3621" ht="15.75" customHeight="1">
      <c r="A3621" s="4">
        <v>836.0</v>
      </c>
      <c r="B3621" s="4" t="s">
        <v>386</v>
      </c>
      <c r="C3621" s="4" t="s">
        <v>5417</v>
      </c>
      <c r="D3621" s="4" t="s">
        <v>5418</v>
      </c>
      <c r="E3621" s="4">
        <v>0.0</v>
      </c>
      <c r="F3621" s="4" t="str">
        <f>IFERROR(__xludf.DUMMYFUNCTION("GOOGLETRANSLATE(D3621)"),"炭疽實驗室事故發生後，聯邦快遞將不再運送生物恐怖病原體 http://t.co/lHpgxc4b8J")</f>
        <v>炭疽實驗室事故發生後，聯邦快遞將不再運送生物恐怖病原體 http://t.co/lHpgxc4b8J</v>
      </c>
      <c r="G3621" s="4" t="str">
        <f>IFERROR(__xludf.DUMMYFUNCTION("GOOGLETRANSLATE(B3621)"),"生物恐怖")</f>
        <v>生物恐怖</v>
      </c>
    </row>
    <row r="3622" ht="15.75" customHeight="1">
      <c r="A3622" s="4">
        <v>841.0</v>
      </c>
      <c r="B3622" s="4" t="s">
        <v>386</v>
      </c>
      <c r="C3622" s="4" t="s">
        <v>407</v>
      </c>
      <c r="D3622" s="4" t="s">
        <v>5419</v>
      </c>
      <c r="E3622" s="4">
        <v>0.0</v>
      </c>
      <c r="F3622" s="4" t="str">
        <f>IFERROR(__xludf.DUMMYFUNCTION("GOOGLETRANSLATE(D3622)"),"聯邦快遞不再運送潛在的生物恐怖病原體 http://t.co/CHORr2XOVp 通過 @AtlBizChron")</f>
        <v>聯邦快遞不再運送潛在的生物恐怖病原體 http://t.co/CHORr2XOVp 通過 @AtlBizChron</v>
      </c>
      <c r="G3622" s="4" t="str">
        <f>IFERROR(__xludf.DUMMYFUNCTION("GOOGLETRANSLATE(B3622)"),"生物恐怖")</f>
        <v>生物恐怖</v>
      </c>
    </row>
    <row r="3623" ht="15.75" customHeight="1">
      <c r="A3623" s="4">
        <v>842.0</v>
      </c>
      <c r="B3623" s="4" t="s">
        <v>386</v>
      </c>
      <c r="C3623" s="4" t="s">
        <v>4922</v>
      </c>
      <c r="D3623" s="4" t="s">
        <v>5420</v>
      </c>
      <c r="E3623" s="4">
        <v>0.0</v>
      </c>
      <c r="F3623" s="4" t="str">
        <f>IFERROR(__xludf.DUMMYFUNCTION("GOOGLETRANSLATE(D3623)"),"#frontpage：#Bioterror 實驗室面臨秘密製裁。 #RickPerry 未入選@FoxNews #GOPDebate http://t.co/fZujg7sXJg @USATODAY")</f>
        <v>#frontpage：#Bioterror 實驗室面臨秘密製裁。 #RickPerry 未入選@FoxNews #GOPDebate http://t.co/fZujg7sXJg @USATODAY</v>
      </c>
      <c r="G3623" s="4" t="str">
        <f>IFERROR(__xludf.DUMMYFUNCTION("GOOGLETRANSLATE(B3623)"),"生物恐怖")</f>
        <v>生物恐怖</v>
      </c>
    </row>
    <row r="3624" ht="15.75" customHeight="1">
      <c r="A3624" s="4">
        <v>843.0</v>
      </c>
      <c r="B3624" s="4" t="s">
        <v>386</v>
      </c>
      <c r="C3624" s="4" t="s">
        <v>5421</v>
      </c>
      <c r="D3624" s="4" t="s">
        <v>5422</v>
      </c>
      <c r="E3624" s="4">
        <v>0.0</v>
      </c>
      <c r="F3624" s="4" t="str">
        <f>IFERROR(__xludf.DUMMYFUNCTION("GOOGLETRANSLATE(D3624)"),"炭疽實驗室事故發生後，聯邦快遞不再運送生物恐怖細菌 http://t.co/qZQc8WWwcN via @usatoday")</f>
        <v>炭疽實驗室事故發生後，聯邦快遞不再運送生物恐怖細菌 http://t.co/qZQc8WWwcN via @usatoday</v>
      </c>
      <c r="G3624" s="4" t="str">
        <f>IFERROR(__xludf.DUMMYFUNCTION("GOOGLETRANSLATE(B3624)"),"生物恐怖")</f>
        <v>生物恐怖</v>
      </c>
    </row>
    <row r="3625" ht="15.75" customHeight="1">
      <c r="A3625" s="4">
        <v>851.0</v>
      </c>
      <c r="B3625" s="4" t="s">
        <v>386</v>
      </c>
      <c r="C3625" s="4" t="s">
        <v>627</v>
      </c>
      <c r="D3625" s="4" t="s">
        <v>5423</v>
      </c>
      <c r="E3625" s="4">
        <v>0.0</v>
      </c>
      <c r="F3625" s="4" t="str">
        <f>IFERROR(__xludf.DUMMYFUNCTION("GOOGLETRANSLATE(D3625)"),"RT alisonannyoung：獨家：在炭疽實驗室事故發生後，聯邦快遞不再運輸生物恐怖病原體的研究樣本 Û_")</f>
        <v>RT alisonannyoung：獨家：在炭疽實驗室事故發生後，聯邦快遞不再運輸生物恐怖病原體的研究樣本 Û_</v>
      </c>
      <c r="G3625" s="4" t="str">
        <f>IFERROR(__xludf.DUMMYFUNCTION("GOOGLETRANSLATE(B3625)"),"生物恐怖")</f>
        <v>生物恐怖</v>
      </c>
    </row>
    <row r="3626" ht="15.75" customHeight="1">
      <c r="A3626" s="4">
        <v>853.0</v>
      </c>
      <c r="B3626" s="4" t="s">
        <v>386</v>
      </c>
      <c r="D3626" s="4" t="s">
        <v>5424</v>
      </c>
      <c r="E3626" s="4">
        <v>0.0</v>
      </c>
      <c r="F3626" s="4" t="str">
        <f>IFERROR(__xludf.DUMMYFUNCTION("GOOGLETRANSLATE(D3626)"),"#world FedEx 因炭疽實驗室事故而不再運送生物恐怖細菌 http://t.co/5zDbTktwW7")</f>
        <v>#world FedEx 因炭疽實驗室事故而不再運送生物恐怖細菌 http://t.co/5zDbTktwW7</v>
      </c>
      <c r="G3626" s="4" t="str">
        <f>IFERROR(__xludf.DUMMYFUNCTION("GOOGLETRANSLATE(B3626)"),"生物恐怖")</f>
        <v>生物恐怖</v>
      </c>
    </row>
    <row r="3627" ht="15.75" customHeight="1">
      <c r="A3627" s="4">
        <v>859.0</v>
      </c>
      <c r="B3627" s="4" t="s">
        <v>386</v>
      </c>
      <c r="D3627" s="4" t="s">
        <v>5425</v>
      </c>
      <c r="E3627" s="4">
        <v>0.0</v>
      </c>
      <c r="F3627" s="4" t="str">
        <f>IFERROR(__xludf.DUMMYFUNCTION("GOOGLETRANSLATE(D3627)"),"聯邦快遞將不再運送潛在的生物恐怖病原體 - 亞特蘭大商業紀事報 http://t.co/YLLQJljiIQ")</f>
        <v>聯邦快遞將不再運送潛在的生物恐怖病原體 - 亞特蘭大商業紀事報 http://t.co/YLLQJljiIQ</v>
      </c>
      <c r="G3627" s="4" t="str">
        <f>IFERROR(__xludf.DUMMYFUNCTION("GOOGLETRANSLATE(B3627)"),"生物恐怖")</f>
        <v>生物恐怖</v>
      </c>
    </row>
    <row r="3628" ht="15.75" customHeight="1">
      <c r="A3628" s="4">
        <v>860.0</v>
      </c>
      <c r="B3628" s="4" t="s">
        <v>386</v>
      </c>
      <c r="C3628" s="4" t="s">
        <v>5426</v>
      </c>
      <c r="D3628" s="4" t="s">
        <v>5427</v>
      </c>
      <c r="E3628" s="4">
        <v>0.0</v>
      </c>
      <c r="F3628" s="4" t="str">
        <f>IFERROR(__xludf.DUMMYFUNCTION("GOOGLETRANSLATE(D3628)"),"感謝 @FedEx 不再為國防部運送活微生物
http://t.co/zAHNEwJrI8")</f>
        <v>感謝 @FedEx 不再為國防部運送活微生物
http://t.co/zAHNEwJrI8</v>
      </c>
      <c r="G3628" s="4" t="str">
        <f>IFERROR(__xludf.DUMMYFUNCTION("GOOGLETRANSLATE(B3628)"),"生物恐怖")</f>
        <v>生物恐怖</v>
      </c>
    </row>
    <row r="3629" ht="15.75" customHeight="1">
      <c r="A3629" s="4">
        <v>864.0</v>
      </c>
      <c r="B3629" s="4" t="s">
        <v>386</v>
      </c>
      <c r="C3629" s="4" t="s">
        <v>407</v>
      </c>
      <c r="D3629" s="4" t="s">
        <v>5428</v>
      </c>
      <c r="E3629" s="4">
        <v>0.0</v>
      </c>
      <c r="F3629" s="4" t="str">
        <f>IFERROR(__xludf.DUMMYFUNCTION("GOOGLETRANSLATE(D3629)"),"聯邦快遞將不再運輸生物恐怖細菌 http://t.co/SHrhkfj1bC 通過 @usatoday")</f>
        <v>聯邦快遞將不再運輸生物恐怖細菌 http://t.co/SHrhkfj1bC 通過 @usatoday</v>
      </c>
      <c r="G3629" s="4" t="str">
        <f>IFERROR(__xludf.DUMMYFUNCTION("GOOGLETRANSLATE(B3629)"),"生物恐怖")</f>
        <v>生物恐怖</v>
      </c>
    </row>
    <row r="3630" ht="15.75" customHeight="1">
      <c r="A3630" s="4">
        <v>868.0</v>
      </c>
      <c r="B3630" s="4" t="s">
        <v>386</v>
      </c>
      <c r="C3630" s="4" t="s">
        <v>5429</v>
      </c>
      <c r="D3630" s="4" t="s">
        <v>5430</v>
      </c>
      <c r="E3630" s="4">
        <v>0.0</v>
      </c>
      <c r="F3630" s="4" t="str">
        <f>IFERROR(__xludf.DUMMYFUNCTION("GOOGLETRANSLATE(D3630)"),"#BreakingNews http://t.co/gAN14PW9TG 聯邦快遞不再願意運送潛在生物的研究標本Û_ http://t.co/5n4hUsewLy")</f>
        <v>#BreakingNews http://t.co/gAN14PW9TG 聯邦快遞不再願意運送潛在生物的研究標本Û_ http://t.co/5n4hUsewLy</v>
      </c>
      <c r="G3630" s="4" t="str">
        <f>IFERROR(__xludf.DUMMYFUNCTION("GOOGLETRANSLATE(B3630)"),"生物恐怖")</f>
        <v>生物恐怖</v>
      </c>
    </row>
    <row r="3631" ht="15.75" customHeight="1">
      <c r="A3631" s="4">
        <v>874.0</v>
      </c>
      <c r="B3631" s="4" t="s">
        <v>386</v>
      </c>
      <c r="C3631" s="4" t="s">
        <v>5431</v>
      </c>
      <c r="D3631" s="4" t="s">
        <v>5432</v>
      </c>
      <c r="E3631" s="4">
        <v>0.0</v>
      </c>
      <c r="F3631" s="4" t="str">
        <f>IFERROR(__xludf.DUMMYFUNCTION("GOOGLETRANSLATE(D3631)"),"聯邦快遞不再運送生物恐怖細菌 - WXIA-TV | @scoopit http://t.co/ZQqJrQsbJm")</f>
        <v>聯邦快遞不再運送生物恐怖細菌 - WXIA-TV | @scoopit http://t.co/ZQqJrQsbJm</v>
      </c>
      <c r="G3631" s="4" t="str">
        <f>IFERROR(__xludf.DUMMYFUNCTION("GOOGLETRANSLATE(B3631)"),"生物恐怖")</f>
        <v>生物恐怖</v>
      </c>
    </row>
    <row r="3632" ht="15.75" customHeight="1">
      <c r="A3632" s="4">
        <v>875.0</v>
      </c>
      <c r="B3632" s="4" t="s">
        <v>386</v>
      </c>
      <c r="D3632" s="4" t="s">
        <v>5433</v>
      </c>
      <c r="E3632" s="4">
        <v>0.0</v>
      </c>
      <c r="F3632" s="4" t="str">
        <f>IFERROR(__xludf.DUMMYFUNCTION("GOOGLETRANSLATE(D3632)"),"炭疽實驗室事故發生後，聯邦快遞不再運送生物恐怖細菌 http://t.co/hrqCJdovJZ")</f>
        <v>炭疽實驗室事故發生後，聯邦快遞不再運送生物恐怖細菌 http://t.co/hrqCJdovJZ</v>
      </c>
      <c r="G3632" s="4" t="str">
        <f>IFERROR(__xludf.DUMMYFUNCTION("GOOGLETRANSLATE(B3632)"),"生物恐怖")</f>
        <v>生物恐怖</v>
      </c>
    </row>
    <row r="3633" ht="15.75" customHeight="1">
      <c r="A3633" s="4">
        <v>878.0</v>
      </c>
      <c r="B3633" s="4" t="s">
        <v>386</v>
      </c>
      <c r="C3633" s="4" t="s">
        <v>5434</v>
      </c>
      <c r="D3633" s="4" t="s">
        <v>5435</v>
      </c>
      <c r="E3633" s="4">
        <v>0.0</v>
      </c>
      <c r="F3633" s="4" t="str">
        <f>IFERROR(__xludf.DUMMYFUNCTION("GOOGLETRANSLATE(D3633)"),"生物實驗室安全問題日益嚴重：聯邦快遞停止運送某些標本。研究機構因行動而「目瞪口呆」。 http://t.co/RUjV4VPnBV")</f>
        <v>生物實驗室安全問題日益嚴重：聯邦快遞停止運送某些標本。研究機構因行動而「目瞪口呆」。 http://t.co/RUjV4VPnBV</v>
      </c>
      <c r="G3633" s="4" t="str">
        <f>IFERROR(__xludf.DUMMYFUNCTION("GOOGLETRANSLATE(B3633)"),"生物恐怖")</f>
        <v>生物恐怖</v>
      </c>
    </row>
    <row r="3634" ht="15.75" customHeight="1">
      <c r="A3634" s="4">
        <v>884.0</v>
      </c>
      <c r="B3634" s="4" t="s">
        <v>423</v>
      </c>
      <c r="D3634" s="4" t="s">
        <v>5436</v>
      </c>
      <c r="E3634" s="4">
        <v>0.0</v>
      </c>
      <c r="F3634" s="4" t="str">
        <f>IFERROR(__xludf.DUMMYFUNCTION("GOOGLETRANSLATE(D3634)"),"實驗室火力[電子資源]：對抗傳染病和生物恐怖主義的自動化 /Û_ http://t.co/KvpbybglSR")</f>
        <v>實驗室火力[電子資源]：對抗傳染病和生物恐怖主義的自動化 /Û_ http://t.co/KvpbybglSR</v>
      </c>
      <c r="G3634" s="4" t="str">
        <f>IFERROR(__xludf.DUMMYFUNCTION("GOOGLETRANSLATE(B3634)"),"生物恐怖主義")</f>
        <v>生物恐怖主義</v>
      </c>
    </row>
    <row r="3635" ht="15.75" customHeight="1">
      <c r="A3635" s="4">
        <v>891.0</v>
      </c>
      <c r="B3635" s="4" t="s">
        <v>423</v>
      </c>
      <c r="D3635" s="4" t="s">
        <v>5437</v>
      </c>
      <c r="E3635" s="4">
        <v>0.0</v>
      </c>
      <c r="F3635" s="4" t="str">
        <f>IFERROR(__xludf.DUMMYFUNCTION("GOOGLETRANSLATE(D3635)"),"人工智慧的創造
氣候變遷
生物恐怖主義
勞動力大規模自動化
與其他生命的接觸
財富的不平等
是的，我們很容易")</f>
        <v>人工智慧的創造
氣候變遷
生物恐怖主義
勞動力大規模自動化
與其他生命的接觸
財富的不平等
是的，我們很容易</v>
      </c>
      <c r="G3635" s="4" t="str">
        <f>IFERROR(__xludf.DUMMYFUNCTION("GOOGLETRANSLATE(B3635)"),"生物恐怖主義")</f>
        <v>生物恐怖主義</v>
      </c>
    </row>
    <row r="3636" ht="15.75" customHeight="1">
      <c r="A3636" s="4">
        <v>892.0</v>
      </c>
      <c r="B3636" s="4" t="s">
        <v>423</v>
      </c>
      <c r="C3636" s="4" t="s">
        <v>5438</v>
      </c>
      <c r="D3636" s="4" t="s">
        <v>5439</v>
      </c>
      <c r="E3636" s="4">
        <v>0.0</v>
      </c>
      <c r="F3636" s="4" t="str">
        <f>IFERROR(__xludf.DUMMYFUNCTION("GOOGLETRANSLATE(D3636)"),"我們相信的謊言 #dvd 中央情報局好萊塢和生物恐怖主義 Len Horowitz 疫苗 Nwo http://t.co/6PAGJqfbzK http://t.co/qzizElxbyr")</f>
        <v>我們相信的謊言 #dvd 中央情報局好萊塢和生物恐怖主義 Len Horowitz 疫苗 Nwo http://t.co/6PAGJqfbzK http://t.co/qzizElxbyr</v>
      </c>
      <c r="G3636" s="4" t="str">
        <f>IFERROR(__xludf.DUMMYFUNCTION("GOOGLETRANSLATE(B3636)"),"生物恐怖主義")</f>
        <v>生物恐怖主義</v>
      </c>
    </row>
    <row r="3637" ht="15.75" customHeight="1">
      <c r="A3637" s="4">
        <v>898.0</v>
      </c>
      <c r="B3637" s="4" t="s">
        <v>423</v>
      </c>
      <c r="D3637" s="4" t="s">
        <v>424</v>
      </c>
      <c r="E3637" s="4">
        <v>0.0</v>
      </c>
      <c r="F3637" s="4" t="str">
        <f>IFERROR(__xludf.DUMMYFUNCTION("GOOGLETRANSLATE(D3637)"),"先生，為了打擊生物恐怖主義。")</f>
        <v>先生，為了打擊生物恐怖主義。</v>
      </c>
      <c r="G3637" s="4" t="str">
        <f>IFERROR(__xludf.DUMMYFUNCTION("GOOGLETRANSLATE(B3637)"),"生物恐怖主義")</f>
        <v>生物恐怖主義</v>
      </c>
    </row>
    <row r="3638" ht="15.75" customHeight="1">
      <c r="A3638" s="4">
        <v>903.0</v>
      </c>
      <c r="B3638" s="4" t="s">
        <v>423</v>
      </c>
      <c r="D3638" s="4" t="s">
        <v>5440</v>
      </c>
      <c r="E3638" s="4">
        <v>0.0</v>
      </c>
      <c r="F3638" s="4" t="str">
        <f>IFERROR(__xludf.DUMMYFUNCTION("GOOGLETRANSLATE(D3638)"),"這會讓我們做好準備嗎？ HHS 選擇 9 個區域特殊#病原體治療中心#Bioerrors #Infectious #Ebola http://t.co/Qmo1TxxDkj")</f>
        <v>這會讓我們做好準備嗎？ HHS 選擇 9 個區域特殊#病原體治療中心#Bioerrors #Infectious #Ebola http://t.co/Qmo1TxxDkj</v>
      </c>
      <c r="G3638" s="4" t="str">
        <f>IFERROR(__xludf.DUMMYFUNCTION("GOOGLETRANSLATE(B3638)"),"生物恐怖主義")</f>
        <v>生物恐怖主義</v>
      </c>
    </row>
    <row r="3639" ht="15.75" customHeight="1">
      <c r="A3639" s="4">
        <v>906.0</v>
      </c>
      <c r="B3639" s="4" t="s">
        <v>423</v>
      </c>
      <c r="D3639" s="4" t="s">
        <v>5441</v>
      </c>
      <c r="E3639" s="4">
        <v>0.0</v>
      </c>
      <c r="F3639" s="4" t="str">
        <f>IFERROR(__xludf.DUMMYFUNCTION("GOOGLETRANSLATE(D3639)"),"70 贏了 70...&amp;amp;有些人認為我完全轉變的可能性是不可能的。我不太喜歡醫學之謎。生物恐怖主義很糟糕。")</f>
        <v>70 贏了 70...&amp;amp;有些人認為我完全轉變的可能性是不可能的。我不太喜歡醫學之謎。生物恐怖主義很糟糕。</v>
      </c>
      <c r="G3639" s="4" t="str">
        <f>IFERROR(__xludf.DUMMYFUNCTION("GOOGLETRANSLATE(B3639)"),"生物恐怖主義")</f>
        <v>生物恐怖主義</v>
      </c>
    </row>
    <row r="3640" ht="15.75" customHeight="1">
      <c r="A3640" s="4">
        <v>911.0</v>
      </c>
      <c r="B3640" s="4" t="s">
        <v>423</v>
      </c>
      <c r="C3640" s="4" t="s">
        <v>5442</v>
      </c>
      <c r="D3640" s="4" t="s">
        <v>5443</v>
      </c>
      <c r="E3640" s="4">
        <v>0.0</v>
      </c>
      <c r="F3640" s="4" t="str">
        <f>IFERROR(__xludf.DUMMYFUNCTION("GOOGLETRANSLATE(D3640)"),"一本描述治療技術運動性生物恐怖主義和診斷的未來的書怎麼樣？ #數字健康#hcsm")</f>
        <v>一本描述治療技術運動性生物恐怖主義和診斷的未來的書怎麼樣？ #數字健康#hcsm</v>
      </c>
      <c r="G3640" s="4" t="str">
        <f>IFERROR(__xludf.DUMMYFUNCTION("GOOGLETRANSLATE(B3640)"),"生物恐怖主義")</f>
        <v>生物恐怖主義</v>
      </c>
    </row>
    <row r="3641" ht="15.75" customHeight="1">
      <c r="A3641" s="4">
        <v>916.0</v>
      </c>
      <c r="B3641" s="4" t="s">
        <v>423</v>
      </c>
      <c r="D3641" s="4" t="s">
        <v>424</v>
      </c>
      <c r="E3641" s="4">
        <v>0.0</v>
      </c>
      <c r="F3641" s="4" t="str">
        <f>IFERROR(__xludf.DUMMYFUNCTION("GOOGLETRANSLATE(D3641)"),"先生，為了打擊生物恐怖主義。")</f>
        <v>先生，為了打擊生物恐怖主義。</v>
      </c>
      <c r="G3641" s="4" t="str">
        <f>IFERROR(__xludf.DUMMYFUNCTION("GOOGLETRANSLATE(B3641)"),"生物恐怖主義")</f>
        <v>生物恐怖主義</v>
      </c>
    </row>
    <row r="3642" ht="15.75" customHeight="1">
      <c r="A3642" s="4">
        <v>921.0</v>
      </c>
      <c r="B3642" s="4" t="s">
        <v>423</v>
      </c>
      <c r="D3642" s="4" t="s">
        <v>5444</v>
      </c>
      <c r="E3642" s="4">
        <v>0.0</v>
      </c>
      <c r="F3642" s="4" t="str">
        <f>IFERROR(__xludf.DUMMYFUNCTION("GOOGLETRANSLATE(D3642)"),"@ONU_France 74/75 對「@Rockefeller_Chi/@RockefellerUniv」女繼承人的生物恐怖主義 2 逃避 lgl 的努力 2 起訴 BLKs 4 @HarvardU Kidnap'g.@AFP")</f>
        <v>@ONU_France 74/75 對「@Rockefeller_Chi/@RockefellerUniv」女繼承人的生物恐怖主義 2 逃避 lgl 的努力 2 起訴 BLKs 4 @HarvardU Kidnap'g.@AFP</v>
      </c>
      <c r="G3642" s="4" t="str">
        <f>IFERROR(__xludf.DUMMYFUNCTION("GOOGLETRANSLATE(B3642)"),"生物恐怖主義")</f>
        <v>生物恐怖主義</v>
      </c>
    </row>
    <row r="3643" ht="15.75" customHeight="1">
      <c r="A3643" s="4">
        <v>929.0</v>
      </c>
      <c r="B3643" s="4" t="s">
        <v>451</v>
      </c>
      <c r="C3643" s="4" t="s">
        <v>289</v>
      </c>
      <c r="D3643" s="4" t="s">
        <v>5445</v>
      </c>
      <c r="E3643" s="4">
        <v>0.0</v>
      </c>
      <c r="F3643" s="4" t="str">
        <f>IFERROR(__xludf.DUMMYFUNCTION("GOOGLETRANSLATE(D3643)"),"@Kaotix_Blaze 渴望你")</f>
        <v>@Kaotix_Blaze 渴望你</v>
      </c>
      <c r="G3643" s="4" t="str">
        <f>IFERROR(__xludf.DUMMYFUNCTION("GOOGLETRANSLATE(B3643)"),"火焰")</f>
        <v>火焰</v>
      </c>
    </row>
    <row r="3644" ht="15.75" customHeight="1">
      <c r="A3644" s="4">
        <v>930.0</v>
      </c>
      <c r="B3644" s="4" t="s">
        <v>451</v>
      </c>
      <c r="D3644" s="4" t="s">
        <v>5446</v>
      </c>
      <c r="E3644" s="4">
        <v>0.0</v>
      </c>
      <c r="F3644" s="4" t="str">
        <f>IFERROR(__xludf.DUMMYFUNCTION("GOOGLETRANSLATE(D3644)"),"我整天都在泳池邊#raisinfingers")</f>
        <v>我整天都在泳池邊#raisinfingers</v>
      </c>
      <c r="G3644" s="4" t="str">
        <f>IFERROR(__xludf.DUMMYFUNCTION("GOOGLETRANSLATE(B3644)"),"火焰")</f>
        <v>火焰</v>
      </c>
    </row>
    <row r="3645" ht="15.75" customHeight="1">
      <c r="A3645" s="4">
        <v>931.0</v>
      </c>
      <c r="B3645" s="4" t="s">
        <v>451</v>
      </c>
      <c r="D3645" s="4" t="s">
        <v>5447</v>
      </c>
      <c r="E3645" s="4">
        <v>0.0</v>
      </c>
      <c r="F3645" s="4" t="str">
        <f>IFERROR(__xludf.DUMMYFUNCTION("GOOGLETRANSLATE(D3645)"),"您認識任何想搬到哈蒙德或俄勒岡州的人嗎？分享此房源！ http://t.co/3xn1soh4Bb")</f>
        <v>您認識任何想搬到哈蒙德或俄勒岡州的人嗎？分享此房源！ http://t.co/3xn1soh4Bb</v>
      </c>
      <c r="G3645" s="4" t="str">
        <f>IFERROR(__xludf.DUMMYFUNCTION("GOOGLETRANSLATE(B3645)"),"火焰")</f>
        <v>火焰</v>
      </c>
    </row>
    <row r="3646" ht="15.75" customHeight="1">
      <c r="A3646" s="4">
        <v>932.0</v>
      </c>
      <c r="B3646" s="4" t="s">
        <v>451</v>
      </c>
      <c r="D3646" s="4" t="s">
        <v>5448</v>
      </c>
      <c r="E3646" s="4">
        <v>0.0</v>
      </c>
      <c r="F3646" s="4" t="str">
        <f>IFERROR(__xludf.DUMMYFUNCTION("GOOGLETRANSLATE(D3646)"),"生活是令人驚奇的，同時它瘋狂的黑鬼們想要點燃我討厭它，因為我做到了這一切，所需要的只是奉獻和一些動力")</f>
        <v>生活是令人驚奇的，同時它瘋狂的黑鬼們想要點燃我討厭它，因為我做到了這一切，所需要的只是奉獻和一些動力</v>
      </c>
      <c r="G3646" s="4" t="str">
        <f>IFERROR(__xludf.DUMMYFUNCTION("GOOGLETRANSLATE(B3646)"),"火焰")</f>
        <v>火焰</v>
      </c>
    </row>
    <row r="3647" ht="15.75" customHeight="1">
      <c r="A3647" s="4">
        <v>934.0</v>
      </c>
      <c r="B3647" s="4" t="s">
        <v>451</v>
      </c>
      <c r="C3647" s="4" t="s">
        <v>5449</v>
      </c>
      <c r="D3647" s="4" t="s">
        <v>5450</v>
      </c>
      <c r="E3647" s="4">
        <v>0.0</v>
      </c>
      <c r="F3647" s="4" t="str">
        <f>IFERROR(__xludf.DUMMYFUNCTION("GOOGLETRANSLATE(D3647)"),"Blaze 是我兄弟 http://t.co/UdKeSJ01mL")</f>
        <v>Blaze 是我兄弟 http://t.co/UdKeSJ01mL</v>
      </c>
      <c r="G3647" s="4" t="str">
        <f>IFERROR(__xludf.DUMMYFUNCTION("GOOGLETRANSLATE(B3647)"),"火焰")</f>
        <v>火焰</v>
      </c>
    </row>
    <row r="3648" ht="15.75" customHeight="1">
      <c r="A3648" s="4">
        <v>935.0</v>
      </c>
      <c r="B3648" s="4" t="s">
        <v>451</v>
      </c>
      <c r="C3648" s="4" t="s">
        <v>1702</v>
      </c>
      <c r="D3648" s="4" t="s">
        <v>5451</v>
      </c>
      <c r="E3648" s="4">
        <v>0.0</v>
      </c>
      <c r="F3648" s="4" t="str">
        <f>IFERROR(__xludf.DUMMYFUNCTION("GOOGLETRANSLATE(D3648)"),"@Shayoly 是的，我喜歡它")</f>
        <v>@Shayoly 是的，我喜歡它</v>
      </c>
      <c r="G3648" s="4" t="str">
        <f>IFERROR(__xludf.DUMMYFUNCTION("GOOGLETRANSLATE(B3648)"),"火焰")</f>
        <v>火焰</v>
      </c>
    </row>
    <row r="3649" ht="15.75" customHeight="1">
      <c r="A3649" s="4">
        <v>936.0</v>
      </c>
      <c r="B3649" s="4" t="s">
        <v>451</v>
      </c>
      <c r="D3649" s="4" t="s">
        <v>5452</v>
      </c>
      <c r="E3649" s="4">
        <v>0.0</v>
      </c>
      <c r="F3649" s="4" t="str">
        <f>IFERROR(__xludf.DUMMYFUNCTION("GOOGLETRANSLATE(D3649)"),"查看我們位於 547 Fir St Cannon Beach 或由 Dorrie Caruana 列出的房源之一的虛擬遊覽。 http://t.co/nF46PAYTvw")</f>
        <v>查看我們位於 547 Fir St Cannon Beach 或由 Dorrie Caruana 列出的房源之一的虛擬遊覽。 http://t.co/nF46PAYTvw</v>
      </c>
      <c r="G3649" s="4" t="str">
        <f>IFERROR(__xludf.DUMMYFUNCTION("GOOGLETRANSLATE(B3649)"),"火焰")</f>
        <v>火焰</v>
      </c>
    </row>
    <row r="3650" ht="15.75" customHeight="1">
      <c r="A3650" s="4">
        <v>939.0</v>
      </c>
      <c r="B3650" s="4" t="s">
        <v>451</v>
      </c>
      <c r="C3650" s="4" t="s">
        <v>5453</v>
      </c>
      <c r="D3650" s="4" t="s">
        <v>5454</v>
      </c>
      <c r="E3650" s="4">
        <v>0.0</v>
      </c>
      <c r="F3650" s="4" t="str">
        <f>IFERROR(__xludf.DUMMYFUNCTION("GOOGLETRANSLATE(D3650)"),"歡迎 @djryanwolf @djcoreygrand @djknyce @djoneplustwo @OfficialCoreDJs #Family #Cleveland #StandUp @IAMTONYNEAL http://t.co/P6GqmCTgLj")</f>
        <v>歡迎 @djryanwolf @djcoreygrand @djknyce @djoneplustwo @OfficialCoreDJs #Family #Cleveland #StandUp @IAMTONYNEAL http://t.co/P6GqmCTgLj</v>
      </c>
      <c r="G3650" s="4" t="str">
        <f>IFERROR(__xludf.DUMMYFUNCTION("GOOGLETRANSLATE(B3650)"),"火焰")</f>
        <v>火焰</v>
      </c>
    </row>
    <row r="3651" ht="15.75" customHeight="1">
      <c r="A3651" s="4">
        <v>941.0</v>
      </c>
      <c r="B3651" s="4" t="s">
        <v>451</v>
      </c>
      <c r="D3651" s="4" t="s">
        <v>5455</v>
      </c>
      <c r="E3651" s="4">
        <v>0.0</v>
      </c>
      <c r="F3651" s="4" t="str">
        <f>IFERROR(__xludf.DUMMYFUNCTION("GOOGLETRANSLATE(D3651)"),"@bellalinn 好吧，打我吧，我們會發光的！")</f>
        <v>@bellalinn 好吧，打我吧，我們會發光的！</v>
      </c>
      <c r="G3651" s="4" t="str">
        <f>IFERROR(__xludf.DUMMYFUNCTION("GOOGLETRANSLATE(B3651)"),"火焰")</f>
        <v>火焰</v>
      </c>
    </row>
    <row r="3652" ht="15.75" customHeight="1">
      <c r="A3652" s="4">
        <v>942.0</v>
      </c>
      <c r="B3652" s="4" t="s">
        <v>451</v>
      </c>
      <c r="D3652" s="4" t="s">
        <v>5456</v>
      </c>
      <c r="E3652" s="4">
        <v>0.0</v>
      </c>
      <c r="F3652" s="4" t="str">
        <f>IFERROR(__xludf.DUMMYFUNCTION("GOOGLETRANSLATE(D3652)"),"我他媽的荷蘭奴隸貿易。")</f>
        <v>我他媽的荷蘭奴隸貿易。</v>
      </c>
      <c r="G3652" s="4" t="str">
        <f>IFERROR(__xludf.DUMMYFUNCTION("GOOGLETRANSLATE(B3652)"),"火焰")</f>
        <v>火焰</v>
      </c>
    </row>
    <row r="3653" ht="15.75" customHeight="1">
      <c r="A3653" s="4">
        <v>944.0</v>
      </c>
      <c r="B3653" s="4" t="s">
        <v>451</v>
      </c>
      <c r="D3653" s="4" t="s">
        <v>5457</v>
      </c>
      <c r="E3653" s="4">
        <v>0.0</v>
      </c>
      <c r="F3653" s="4" t="str">
        <f>IFERROR(__xludf.DUMMYFUNCTION("GOOGLETRANSLATE(D3653)"),"我的頭髮現在很窮，需要在周末到來之前褪色")</f>
        <v>我的頭髮現在很窮，需要在周末到來之前褪色</v>
      </c>
      <c r="G3653" s="4" t="str">
        <f>IFERROR(__xludf.DUMMYFUNCTION("GOOGLETRANSLATE(B3653)"),"火焰")</f>
        <v>火焰</v>
      </c>
    </row>
    <row r="3654" ht="15.75" customHeight="1">
      <c r="A3654" s="4">
        <v>947.0</v>
      </c>
      <c r="B3654" s="4" t="s">
        <v>451</v>
      </c>
      <c r="C3654" s="4" t="s">
        <v>5458</v>
      </c>
      <c r="D3654" s="4" t="s">
        <v>5459</v>
      </c>
      <c r="E3654" s="4">
        <v>0.0</v>
      </c>
      <c r="F3654" s="4" t="str">
        <f>IFERROR(__xludf.DUMMYFUNCTION("GOOGLETRANSLATE(D3654)"),"黑鬼又愛又恨。")</f>
        <v>黑鬼又愛又恨。</v>
      </c>
      <c r="G3654" s="4" t="str">
        <f>IFERROR(__xludf.DUMMYFUNCTION("GOOGLETRANSLATE(B3654)"),"火焰")</f>
        <v>火焰</v>
      </c>
    </row>
    <row r="3655" ht="15.75" customHeight="1">
      <c r="A3655" s="4">
        <v>948.0</v>
      </c>
      <c r="B3655" s="4" t="s">
        <v>451</v>
      </c>
      <c r="D3655" s="4" t="s">
        <v>5460</v>
      </c>
      <c r="E3655" s="4">
        <v>0.0</v>
      </c>
      <c r="F3655" s="4" t="str">
        <f>IFERROR(__xludf.DUMMYFUNCTION("GOOGLETRANSLATE(D3655)"),"@audacityjamesta 別像那個寶貝&lt;3，你會在區域網路裡和我一起玩得很開心的！ :)")</f>
        <v>@audacityjamesta 別像那個寶貝&lt;3，你會在區域網路裡和我一起玩得很開心的！ :)</v>
      </c>
      <c r="G3655" s="4" t="str">
        <f>IFERROR(__xludf.DUMMYFUNCTION("GOOGLETRANSLATE(B3655)"),"火焰")</f>
        <v>火焰</v>
      </c>
    </row>
    <row r="3656" ht="15.75" customHeight="1">
      <c r="A3656" s="4">
        <v>951.0</v>
      </c>
      <c r="B3656" s="4" t="s">
        <v>451</v>
      </c>
      <c r="C3656" s="4" t="s">
        <v>5461</v>
      </c>
      <c r="D3656" s="4" t="s">
        <v>5462</v>
      </c>
      <c r="E3656" s="4">
        <v>0.0</v>
      </c>
      <c r="F3656" s="4" t="str">
        <f>IFERROR(__xludf.DUMMYFUNCTION("GOOGLETRANSLATE(D3656)"),"我喜歡來自 @iamrrsb 的 @YouTube 影片 http://t.co/PdEHd1tCpk Minecraft Skywars - 使用黑客和險惡箭頭的烈焰！")</f>
        <v>我喜歡來自 @iamrrsb 的 @YouTube 影片 http://t.co/PdEHd1tCpk Minecraft Skywars - 使用黑客和險惡箭頭的烈焰！</v>
      </c>
      <c r="G3656" s="4" t="str">
        <f>IFERROR(__xludf.DUMMYFUNCTION("GOOGLETRANSLATE(B3656)"),"火焰")</f>
        <v>火焰</v>
      </c>
    </row>
    <row r="3657" ht="15.75" customHeight="1">
      <c r="A3657" s="4">
        <v>952.0</v>
      </c>
      <c r="B3657" s="4" t="s">
        <v>451</v>
      </c>
      <c r="D3657" s="4" t="s">
        <v>5463</v>
      </c>
      <c r="E3657" s="4">
        <v>0.0</v>
      </c>
      <c r="F3657" s="4" t="str">
        <f>IFERROR(__xludf.DUMMYFUNCTION("GOOGLETRANSLATE(D3657)"),"民主黨做什麼。火災在幾個月前被掩蓋。芝加哥警方在審訊設施中拘留了數千名美國黑人 http://t.co/UWItVBsbnC")</f>
        <v>民主黨做什麼。火災在幾個月前被掩蓋。芝加哥警方在審訊設施中拘留了數千名美國黑人 http://t.co/UWItVBsbnC</v>
      </c>
      <c r="G3657" s="4" t="str">
        <f>IFERROR(__xludf.DUMMYFUNCTION("GOOGLETRANSLATE(B3657)"),"火焰")</f>
        <v>火焰</v>
      </c>
    </row>
    <row r="3658" ht="15.75" customHeight="1">
      <c r="A3658" s="4">
        <v>953.0</v>
      </c>
      <c r="B3658" s="4" t="s">
        <v>451</v>
      </c>
      <c r="C3658" s="4" t="s">
        <v>5464</v>
      </c>
      <c r="D3658" s="4" t="s">
        <v>5465</v>
      </c>
      <c r="E3658" s="4">
        <v>0.0</v>
      </c>
      <c r="F3658" s="4" t="str">
        <f>IFERROR(__xludf.DUMMYFUNCTION("GOOGLETRANSLATE(D3658)"),"喲，我有酒吧，但我甚至不是說唱歌手")</f>
        <v>喲，我有酒吧，但我甚至不是說唱歌手</v>
      </c>
      <c r="G3658" s="4" t="str">
        <f>IFERROR(__xludf.DUMMYFUNCTION("GOOGLETRANSLATE(B3658)"),"火焰")</f>
        <v>火焰</v>
      </c>
    </row>
    <row r="3659" ht="15.75" customHeight="1">
      <c r="A3659" s="4">
        <v>955.0</v>
      </c>
      <c r="B3659" s="4" t="s">
        <v>451</v>
      </c>
      <c r="C3659" s="4" t="s">
        <v>2261</v>
      </c>
      <c r="D3659" s="4" t="s">
        <v>5466</v>
      </c>
      <c r="E3659" s="4">
        <v>0.0</v>
      </c>
      <c r="F3659" s="4" t="str">
        <f>IFERROR(__xludf.DUMMYFUNCTION("GOOGLETRANSLATE(D3659)"),"呃，Blaze 在他們的披薩中添加了卡路里嗎？好吧，酷#thisispublichealth")</f>
        <v>呃，Blaze 在他們的披薩中添加了卡路里嗎？好吧，酷#thisispublichealth</v>
      </c>
      <c r="G3659" s="4" t="str">
        <f>IFERROR(__xludf.DUMMYFUNCTION("GOOGLETRANSLATE(B3659)"),"火焰")</f>
        <v>火焰</v>
      </c>
    </row>
    <row r="3660" ht="15.75" customHeight="1">
      <c r="A3660" s="4">
        <v>956.0</v>
      </c>
      <c r="B3660" s="4" t="s">
        <v>451</v>
      </c>
      <c r="C3660" s="4" t="s">
        <v>5112</v>
      </c>
      <c r="D3660" s="4" t="s">
        <v>5467</v>
      </c>
      <c r="E3660" s="4">
        <v>0.0</v>
      </c>
      <c r="F3660" s="4" t="str">
        <f>IFERROR(__xludf.DUMMYFUNCTION("GOOGLETRANSLATE(D3660)"),"當我們還是孩子的時候，我和在堡壘裡燃燒的照片我看起來像個傻瓜一樣塞在我的臉上？？？？？？ http://t.co/aE9cPIexAK")</f>
        <v>當我們還是孩子的時候，我和在堡壘裡燃燒的照片我看起來像個傻瓜一樣塞在我的臉上？？？？？？ http://t.co/aE9cPIexAK</v>
      </c>
      <c r="G3660" s="4" t="str">
        <f>IFERROR(__xludf.DUMMYFUNCTION("GOOGLETRANSLATE(B3660)"),"火焰")</f>
        <v>火焰</v>
      </c>
    </row>
    <row r="3661" ht="15.75" customHeight="1">
      <c r="A3661" s="4">
        <v>957.0</v>
      </c>
      <c r="B3661" s="4" t="s">
        <v>451</v>
      </c>
      <c r="D3661" s="4" t="s">
        <v>5468</v>
      </c>
      <c r="E3661" s="4">
        <v>0.0</v>
      </c>
      <c r="F3661" s="4" t="str">
        <f>IFERROR(__xludf.DUMMYFUNCTION("GOOGLETRANSLATE(D3661)"),"看起來寫作和計算機的一年即將到來。 http://t.co/CyXbrZXWq4")</f>
        <v>看起來寫作和計算機的一年即將到來。 http://t.co/CyXbrZXWq4</v>
      </c>
      <c r="G3661" s="4" t="str">
        <f>IFERROR(__xludf.DUMMYFUNCTION("GOOGLETRANSLATE(B3661)"),"火焰")</f>
        <v>火焰</v>
      </c>
    </row>
    <row r="3662" ht="15.75" customHeight="1">
      <c r="A3662" s="4">
        <v>958.0</v>
      </c>
      <c r="B3662" s="4" t="s">
        <v>451</v>
      </c>
      <c r="C3662" s="4" t="s">
        <v>5469</v>
      </c>
      <c r="D3662" s="4" t="s">
        <v>5470</v>
      </c>
      <c r="E3662" s="4">
        <v>0.0</v>
      </c>
      <c r="F3662" s="4" t="str">
        <f>IFERROR(__xludf.DUMMYFUNCTION("GOOGLETRANSLATE(D3662)"),"@Beautiful_Juic1 只是讓你知道")</f>
        <v>@Beautiful_Juic1 只是讓你知道</v>
      </c>
      <c r="G3662" s="4" t="str">
        <f>IFERROR(__xludf.DUMMYFUNCTION("GOOGLETRANSLATE(B3662)"),"火焰")</f>
        <v>火焰</v>
      </c>
    </row>
    <row r="3663" ht="15.75" customHeight="1">
      <c r="A3663" s="4">
        <v>959.0</v>
      </c>
      <c r="B3663" s="4" t="s">
        <v>451</v>
      </c>
      <c r="C3663" s="4" t="s">
        <v>5471</v>
      </c>
      <c r="D3663" s="4" t="s">
        <v>5472</v>
      </c>
      <c r="E3663" s="4">
        <v>0.0</v>
      </c>
      <c r="F3663" s="4" t="str">
        <f>IFERROR(__xludf.DUMMYFUNCTION("GOOGLETRANSLATE(D3663)"),"@BabySweet420 我以你的名義生氣 420 &amp;amp;你不燃燒。")</f>
        <v>@BabySweet420 我以你的名義生氣 420 &amp;amp;你不燃燒。</v>
      </c>
      <c r="G3663" s="4" t="str">
        <f>IFERROR(__xludf.DUMMYFUNCTION("GOOGLETRANSLATE(B3663)"),"火焰")</f>
        <v>火焰</v>
      </c>
    </row>
    <row r="3664" ht="15.75" customHeight="1">
      <c r="A3664" s="4">
        <v>960.0</v>
      </c>
      <c r="B3664" s="4" t="s">
        <v>451</v>
      </c>
      <c r="C3664" s="4" t="s">
        <v>5473</v>
      </c>
      <c r="D3664" s="4" t="s">
        <v>5474</v>
      </c>
      <c r="E3664" s="4">
        <v>0.0</v>
      </c>
      <c r="F3664" s="4" t="str">
        <f>IFERROR(__xludf.DUMMYFUNCTION("GOOGLETRANSLATE(D3664)"),"@GuiltyGearXXACP 是的，我知道，但 blaze blue 沒有 Twitter，哈哈，這是我幾週前畫的 http://t.co/sk3l74FLzZ")</f>
        <v>@GuiltyGearXXACP 是的，我知道，但 blaze blue 沒有 Twitter，哈哈，這是我幾週前畫的 http://t.co/sk3l74FLzZ</v>
      </c>
      <c r="G3664" s="4" t="str">
        <f>IFERROR(__xludf.DUMMYFUNCTION("GOOGLETRANSLATE(B3664)"),"火焰")</f>
        <v>火焰</v>
      </c>
    </row>
    <row r="3665" ht="15.75" customHeight="1">
      <c r="A3665" s="4">
        <v>961.0</v>
      </c>
      <c r="B3665" s="4" t="s">
        <v>451</v>
      </c>
      <c r="C3665" s="4" t="s">
        <v>5475</v>
      </c>
      <c r="D3665" s="4" t="s">
        <v>5476</v>
      </c>
      <c r="E3665" s="4">
        <v>0.0</v>
      </c>
      <c r="F3665" s="4" t="str">
        <f>IFERROR(__xludf.DUMMYFUNCTION("GOOGLETRANSLATE(D3665)"),"#socialmedia 新聞 - 新的 Facebook 頁面功能旨在幫助個人化客戶體驗 http://t.co/nbizaTlsmV")</f>
        <v>#socialmedia 新聞 - 新的 Facebook 頁面功能旨在幫助個人化客戶體驗 http://t.co/nbizaTlsmV</v>
      </c>
      <c r="G3665" s="4" t="str">
        <f>IFERROR(__xludf.DUMMYFUNCTION("GOOGLETRANSLATE(B3665)"),"火焰")</f>
        <v>火焰</v>
      </c>
    </row>
    <row r="3666" ht="15.75" customHeight="1">
      <c r="A3666" s="4">
        <v>962.0</v>
      </c>
      <c r="B3666" s="4" t="s">
        <v>451</v>
      </c>
      <c r="C3666" s="4" t="s">
        <v>5477</v>
      </c>
      <c r="D3666" s="4" t="s">
        <v>5478</v>
      </c>
      <c r="E3666" s="4">
        <v>0.0</v>
      </c>
      <c r="F3666" s="4" t="str">
        <f>IFERROR(__xludf.DUMMYFUNCTION("GOOGLETRANSLATE(D3666)"),"@DJJOHNBLazE 大聲喊出西南地區最熱門的 DJ")</f>
        <v>@DJJOHNBLazE 大聲喊出西南地區最熱門的 DJ</v>
      </c>
      <c r="G3666" s="4" t="str">
        <f>IFERROR(__xludf.DUMMYFUNCTION("GOOGLETRANSLATE(B3666)"),"火焰")</f>
        <v>火焰</v>
      </c>
    </row>
    <row r="3667" ht="15.75" customHeight="1">
      <c r="A3667" s="4">
        <v>963.0</v>
      </c>
      <c r="B3667" s="4" t="s">
        <v>451</v>
      </c>
      <c r="C3667" s="4" t="s">
        <v>5479</v>
      </c>
      <c r="D3667" s="4" t="s">
        <v>5480</v>
      </c>
      <c r="E3667" s="4">
        <v>0.0</v>
      </c>
      <c r="F3667" s="4" t="str">
        <f>IFERROR(__xludf.DUMMYFUNCTION("GOOGLETRANSLATE(D3667)"),"我喜歡 @YouTube 影片 http://t.co/N95IGskd3p Minecraft：第 2 集“Blaze Farm Beginnings!”")</f>
        <v>我喜歡 @YouTube 影片 http://t.co/N95IGskd3p Minecraft：第 2 集“Blaze Farm Beginnings!”</v>
      </c>
      <c r="G3667" s="4" t="str">
        <f>IFERROR(__xludf.DUMMYFUNCTION("GOOGLETRANSLATE(B3667)"),"火焰")</f>
        <v>火焰</v>
      </c>
    </row>
    <row r="3668" ht="15.75" customHeight="1">
      <c r="A3668" s="4">
        <v>965.0</v>
      </c>
      <c r="B3668" s="4" t="s">
        <v>451</v>
      </c>
      <c r="C3668" s="4" t="s">
        <v>5481</v>
      </c>
      <c r="D3668" s="4" t="s">
        <v>5482</v>
      </c>
      <c r="E3668" s="4">
        <v>0.0</v>
      </c>
      <c r="F3668" s="4" t="str">
        <f>IFERROR(__xludf.DUMMYFUNCTION("GOOGLETRANSLATE(D3668)"),"@ChristyCroley 尚未開始工作。你看到 Blaze 中的新款 Vela Short 了嗎？ http://t.co/Q8rEoEVluE")</f>
        <v>@ChristyCroley 尚未開始工作。你看到 Blaze 中的新款 Vela Short 了嗎？ http://t.co/Q8rEoEVluE</v>
      </c>
      <c r="G3668" s="4" t="str">
        <f>IFERROR(__xludf.DUMMYFUNCTION("GOOGLETRANSLATE(B3668)"),"火焰")</f>
        <v>火焰</v>
      </c>
    </row>
    <row r="3669" ht="15.75" customHeight="1">
      <c r="A3669" s="4">
        <v>968.0</v>
      </c>
      <c r="B3669" s="4" t="s">
        <v>451</v>
      </c>
      <c r="D3669" s="4" t="s">
        <v>5483</v>
      </c>
      <c r="E3669" s="4">
        <v>0.0</v>
      </c>
      <c r="F3669" s="4" t="str">
        <f>IFERROR(__xludf.DUMMYFUNCTION("GOOGLETRANSLATE(D3669)"),"@UABSStephenLong @courtlizcamp 推文全部失敗！你從內到外都是那麼美麗 Blaze On！")</f>
        <v>@UABSStephenLong @courtlizcamp 推文全部失敗！你從內到外都是那麼美麗 Blaze On！</v>
      </c>
      <c r="G3669" s="4" t="str">
        <f>IFERROR(__xludf.DUMMYFUNCTION("GOOGLETRANSLATE(B3669)"),"火焰")</f>
        <v>火焰</v>
      </c>
    </row>
    <row r="3670" ht="15.75" customHeight="1">
      <c r="A3670" s="4">
        <v>971.0</v>
      </c>
      <c r="B3670" s="4" t="s">
        <v>451</v>
      </c>
      <c r="C3670" s="4" t="s">
        <v>5469</v>
      </c>
      <c r="D3670" s="4" t="s">
        <v>5484</v>
      </c>
      <c r="E3670" s="4">
        <v>0.0</v>
      </c>
      <c r="F3670" s="4" t="str">
        <f>IFERROR(__xludf.DUMMYFUNCTION("GOOGLETRANSLATE(D3670)"),"我保證混音帶即將推出。我們現在就進去 http://t.co/uUNGRqoUgn")</f>
        <v>我保證混音帶即將推出。我們現在就進去 http://t.co/uUNGRqoUgn</v>
      </c>
      <c r="G3670" s="4" t="str">
        <f>IFERROR(__xludf.DUMMYFUNCTION("GOOGLETRANSLATE(B3670)"),"火焰")</f>
        <v>火焰</v>
      </c>
    </row>
    <row r="3671" ht="15.75" customHeight="1">
      <c r="A3671" s="4">
        <v>972.0</v>
      </c>
      <c r="B3671" s="4" t="s">
        <v>451</v>
      </c>
      <c r="D3671" s="4" t="s">
        <v>5485</v>
      </c>
      <c r="E3671" s="4">
        <v>0.0</v>
      </c>
      <c r="F3671" s="4" t="str">
        <f>IFERROR(__xludf.DUMMYFUNCTION("GOOGLETRANSLATE(D3671)"),"@_itzSteven @xdojjjj @whopper_jr_760 嗯？我、你和利奧去年就開始了，自從人們在背後開火？")</f>
        <v>@_itzSteven @xdojjjj @whopper_jr_760 嗯？我、你和利奧去年就開始了，自從人們在背後開火？</v>
      </c>
      <c r="G3671" s="4" t="str">
        <f>IFERROR(__xludf.DUMMYFUNCTION("GOOGLETRANSLATE(B3671)"),"火焰")</f>
        <v>火焰</v>
      </c>
    </row>
    <row r="3672" ht="15.75" customHeight="1">
      <c r="A3672" s="4">
        <v>974.0</v>
      </c>
      <c r="B3672" s="4" t="s">
        <v>451</v>
      </c>
      <c r="C3672" s="4" t="s">
        <v>5486</v>
      </c>
      <c r="D3672" s="4" t="s">
        <v>5487</v>
      </c>
      <c r="E3672" s="4">
        <v>0.0</v>
      </c>
      <c r="F3672" s="4" t="str">
        <f>IFERROR(__xludf.DUMMYFUNCTION("GOOGLETRANSLATE(D3672)"),"3 間臥室 1 間浴室在 29 Palms CA 出售。 (http://t.co/QMS8RRESsd)
（YouTube 影片：... http://t.co/zLa30jCsSQ")</f>
        <v>3 間臥室 1 間浴室在 29 Palms CA 出售。 (http://t.co/QMS8RRESsd)
（YouTube 影片：... http://t.co/zLa30jCsSQ</v>
      </c>
      <c r="G3672" s="4" t="str">
        <f>IFERROR(__xludf.DUMMYFUNCTION("GOOGLETRANSLATE(B3672)"),"火焰")</f>
        <v>火焰</v>
      </c>
    </row>
    <row r="3673" ht="15.75" customHeight="1">
      <c r="A3673" s="4">
        <v>976.0</v>
      </c>
      <c r="B3673" s="4" t="s">
        <v>451</v>
      </c>
      <c r="C3673" s="4" t="s">
        <v>2751</v>
      </c>
      <c r="D3673" s="4" t="s">
        <v>5488</v>
      </c>
      <c r="E3673" s="4">
        <v>0.0</v>
      </c>
      <c r="F3673" s="4" t="str">
        <f>IFERROR(__xludf.DUMMYFUNCTION("GOOGLETRANSLATE(D3673)"),"??是的，我有兩把槍？ ??")</f>
        <v>??是的，我有兩把槍？ ??</v>
      </c>
      <c r="G3673" s="4" t="str">
        <f>IFERROR(__xludf.DUMMYFUNCTION("GOOGLETRANSLATE(B3673)"),"火焰")</f>
        <v>火焰</v>
      </c>
    </row>
    <row r="3674" ht="15.75" customHeight="1">
      <c r="A3674" s="4">
        <v>977.0</v>
      </c>
      <c r="B3674" s="4" t="s">
        <v>451</v>
      </c>
      <c r="D3674" s="4" t="s">
        <v>5489</v>
      </c>
      <c r="E3674" s="4">
        <v>0.0</v>
      </c>
      <c r="F3674" s="4" t="str">
        <f>IFERROR(__xludf.DUMMYFUNCTION("GOOGLETRANSLATE(D3674)"),"@a__cee DAEM GIRL SMOOTH ASF c：？")</f>
        <v>@a__cee DAEM GIRL SMOOTH ASF c：？</v>
      </c>
      <c r="G3674" s="4" t="str">
        <f>IFERROR(__xludf.DUMMYFUNCTION("GOOGLETRANSLATE(B3674)"),"火焰")</f>
        <v>火焰</v>
      </c>
    </row>
    <row r="3675" ht="15.75" customHeight="1">
      <c r="A3675" s="4">
        <v>978.0</v>
      </c>
      <c r="B3675" s="4" t="s">
        <v>451</v>
      </c>
      <c r="C3675" s="4" t="s">
        <v>5490</v>
      </c>
      <c r="D3675" s="4" t="s">
        <v>5491</v>
      </c>
      <c r="E3675" s="4">
        <v>0.0</v>
      </c>
      <c r="F3675" s="4" t="str">
        <f>IFERROR(__xludf.DUMMYFUNCTION("GOOGLETRANSLATE(D3675)"),"https://t.co/WKv8VqVkT6 #ArtisteOfTheWeekFact 說#coast2coastdjs 的#Conversations 同意@Crystal_Blaz 的#Jiwonle 是#HipHop #ClubBanger")</f>
        <v>https://t.co/WKv8VqVkT6 #ArtisteOfTheWeekFact 說#coast2coastdjs 的#Conversations 同意@Crystal_Blaz 的#Jiwonle 是#HipHop #ClubBanger</v>
      </c>
      <c r="G3675" s="4" t="str">
        <f>IFERROR(__xludf.DUMMYFUNCTION("GOOGLETRANSLATE(B3675)"),"火焰")</f>
        <v>火焰</v>
      </c>
    </row>
    <row r="3676" ht="15.75" customHeight="1">
      <c r="A3676" s="4">
        <v>979.0</v>
      </c>
      <c r="B3676" s="4" t="s">
        <v>461</v>
      </c>
      <c r="C3676" s="4" t="s">
        <v>295</v>
      </c>
      <c r="D3676" s="4" t="s">
        <v>5492</v>
      </c>
      <c r="E3676" s="4">
        <v>0.0</v>
      </c>
      <c r="F3676" s="4" t="str">
        <f>IFERROR(__xludf.DUMMYFUNCTION("GOOGLETRANSLATE(D3676)"),"光明與熾熱的消防員生日派對 http://t.co/9rFo9GY3nE #Weddings")</f>
        <v>光明與熾熱的消防員生日派對 http://t.co/9rFo9GY3nE #Weddings</v>
      </c>
      <c r="G3676" s="4" t="str">
        <f>IFERROR(__xludf.DUMMYFUNCTION("GOOGLETRANSLATE(B3676)"),"熾烈")</f>
        <v>熾烈</v>
      </c>
    </row>
    <row r="3677" ht="15.75" customHeight="1">
      <c r="A3677" s="4">
        <v>981.0</v>
      </c>
      <c r="B3677" s="4" t="s">
        <v>461</v>
      </c>
      <c r="D3677" s="4" t="s">
        <v>5493</v>
      </c>
      <c r="E3677" s="4">
        <v>0.0</v>
      </c>
      <c r="F3677" s="4" t="str">
        <f>IFERROR(__xludf.DUMMYFUNCTION("GOOGLETRANSLATE(D3677)"),"真正的 ViBEZ 廣播 - 閃耀最佳 VIBEZ！！！ http://t.co/EMvOhm9m6j #nowplaying #listenlive")</f>
        <v>真正的 ViBEZ 廣播 - 閃耀最佳 VIBEZ！！！ http://t.co/EMvOhm9m6j #nowplaying #listenlive</v>
      </c>
      <c r="G3677" s="4" t="str">
        <f>IFERROR(__xludf.DUMMYFUNCTION("GOOGLETRANSLATE(B3677)"),"熾烈")</f>
        <v>熾烈</v>
      </c>
    </row>
    <row r="3678" ht="15.75" customHeight="1">
      <c r="A3678" s="4">
        <v>983.0</v>
      </c>
      <c r="B3678" s="4" t="s">
        <v>461</v>
      </c>
      <c r="C3678" s="4" t="s">
        <v>5494</v>
      </c>
      <c r="D3678" s="4" t="s">
        <v>5495</v>
      </c>
      <c r="E3678" s="4">
        <v>0.0</v>
      </c>
      <c r="F3678" s="4" t="str">
        <f>IFERROR(__xludf.DUMMYFUNCTION("GOOGLETRANSLATE(D3678)"),"明天就來加入我們吧！
2015 年 8 月 7 日在 Transcend：開拓多元化行銷世界的道路... http://t.co/NR1I8Qnao1")</f>
        <v>明天就來加入我們吧！
2015 年 8 月 7 日在 Transcend：開拓多元化行銷世界的道路... http://t.co/NR1I8Qnao1</v>
      </c>
      <c r="G3678" s="4" t="str">
        <f>IFERROR(__xludf.DUMMYFUNCTION("GOOGLETRANSLATE(B3678)"),"熾烈")</f>
        <v>熾烈</v>
      </c>
    </row>
    <row r="3679" ht="15.75" customHeight="1">
      <c r="A3679" s="4">
        <v>984.0</v>
      </c>
      <c r="B3679" s="4" t="s">
        <v>461</v>
      </c>
      <c r="D3679" s="4" t="s">
        <v>5496</v>
      </c>
      <c r="E3679" s="4">
        <v>0.0</v>
      </c>
      <c r="F3679" s="4" t="str">
        <f>IFERROR(__xludf.DUMMYFUNCTION("GOOGLETRANSLATE(D3679)"),"摩根銀元 1880 S 寶石 BU DMPL 浮雕 Rev Blazing MS+++++ 高等級！ - 完整閱讀 Û_ http://t.co/IU9baFDXeY http://t.co/AphqU5SvET")</f>
        <v>摩根銀元 1880 S 寶石 BU DMPL 浮雕 Rev Blazing MS+++++ 高等級！ - 完整閱讀 Û_ http://t.co/IU9baFDXeY http://t.co/AphqU5SvET</v>
      </c>
      <c r="G3679" s="4" t="str">
        <f>IFERROR(__xludf.DUMMYFUNCTION("GOOGLETRANSLATE(B3679)"),"熾烈")</f>
        <v>熾烈</v>
      </c>
    </row>
    <row r="3680" ht="15.75" customHeight="1">
      <c r="A3680" s="4">
        <v>985.0</v>
      </c>
      <c r="B3680" s="4" t="s">
        <v>461</v>
      </c>
      <c r="C3680" s="4" t="s">
        <v>291</v>
      </c>
      <c r="D3680" s="4" t="s">
        <v>5497</v>
      </c>
      <c r="E3680" s="4">
        <v>0.0</v>
      </c>
      <c r="F3680" s="4" t="str">
        <f>IFERROR(__xludf.DUMMYFUNCTION("GOOGLETRANSLATE(D3680)"),"摩根銀元 1880 S 寶石 BU DMPL 浮雕 Rev Blazing MS+++++ 高等級！ - 完整閱讀 Û_ http://t.co/m96KbQwiOr http://t.co/wrJR846fKS")</f>
        <v>摩根銀元 1880 S 寶石 BU DMPL 浮雕 Rev Blazing MS+++++ 高等級！ - 完整閱讀 Û_ http://t.co/m96KbQwiOr http://t.co/wrJR846fKS</v>
      </c>
      <c r="G3680" s="4" t="str">
        <f>IFERROR(__xludf.DUMMYFUNCTION("GOOGLETRANSLATE(B3680)"),"熾烈")</f>
        <v>熾烈</v>
      </c>
    </row>
    <row r="3681" ht="15.75" customHeight="1">
      <c r="A3681" s="4">
        <v>986.0</v>
      </c>
      <c r="B3681" s="4" t="s">
        <v>461</v>
      </c>
      <c r="D3681" s="4" t="s">
        <v>5498</v>
      </c>
      <c r="E3681" s="4">
        <v>0.0</v>
      </c>
      <c r="F3681" s="4" t="str">
        <f>IFERROR(__xludf.DUMMYFUNCTION("GOOGLETRANSLATE(D3681)"),"這個碗讓我想到......該死的我已經燃燒了這麼久")</f>
        <v>這個碗讓我想到......該死的我已經燃燒了這麼久</v>
      </c>
      <c r="G3681" s="4" t="str">
        <f>IFERROR(__xludf.DUMMYFUNCTION("GOOGLETRANSLATE(B3681)"),"熾烈")</f>
        <v>熾烈</v>
      </c>
    </row>
    <row r="3682" ht="15.75" customHeight="1">
      <c r="A3682" s="4">
        <v>987.0</v>
      </c>
      <c r="B3682" s="4" t="s">
        <v>461</v>
      </c>
      <c r="D3682" s="4" t="s">
        <v>5499</v>
      </c>
      <c r="E3682" s="4">
        <v>0.0</v>
      </c>
      <c r="F3682" s="4" t="str">
        <f>IFERROR(__xludf.DUMMYFUNCTION("GOOGLETRANSLATE(D3682)"),"@DanRyckert @drewscanlon 他以迄今為止最好的潛行技能在這場比賽中大放異彩。沒有什麼比消音的 M4 更勝一籌了。")</f>
        <v>@DanRyckert @drewscanlon 他以迄今為止最好的潛行技能在這場比賽中大放異彩。沒有什麼比消音的 M4 更勝一籌了。</v>
      </c>
      <c r="G3682" s="4" t="str">
        <f>IFERROR(__xludf.DUMMYFUNCTION("GOOGLETRANSLATE(B3682)"),"熾烈")</f>
        <v>熾烈</v>
      </c>
    </row>
    <row r="3683" ht="15.75" customHeight="1">
      <c r="A3683" s="4">
        <v>990.0</v>
      </c>
      <c r="B3683" s="4" t="s">
        <v>461</v>
      </c>
      <c r="D3683" s="4" t="s">
        <v>5500</v>
      </c>
      <c r="E3683" s="4">
        <v>0.0</v>
      </c>
      <c r="F3683" s="4" t="str">
        <f>IFERROR(__xludf.DUMMYFUNCTION("GOOGLETRANSLATE(D3683)"),"比特·帕奎奧 vs 馬克斯 3 線上空戰：DuRvOd http://t.co/6VJA8R4YXA")</f>
        <v>比特·帕奎奧 vs 馬克斯 3 線上空戰：DuRvOd http://t.co/6VJA8R4YXA</v>
      </c>
      <c r="G3683" s="4" t="str">
        <f>IFERROR(__xludf.DUMMYFUNCTION("GOOGLETRANSLATE(B3683)"),"熾烈")</f>
        <v>熾烈</v>
      </c>
    </row>
    <row r="3684" ht="15.75" customHeight="1">
      <c r="A3684" s="4">
        <v>991.0</v>
      </c>
      <c r="B3684" s="4" t="s">
        <v>461</v>
      </c>
      <c r="C3684" s="4" t="s">
        <v>5501</v>
      </c>
      <c r="D3684" s="4" t="s">
        <v>5502</v>
      </c>
      <c r="E3684" s="4">
        <v>0.0</v>
      </c>
      <c r="F3684" s="4" t="str">
        <f>IFERROR(__xludf.DUMMYFUNCTION("GOOGLETRANSLATE(D3684)"),"打開你的收音機 #stoponesounds 在你的 #airwaves 上直播 http://t.co/g7S34Sw2aM &amp;amp; 107.9 fm @StickyNYC @95roots 燃燒你所有的熱門歌曲")</f>
        <v>打開你的收音機 #stoponesounds 在你的 #airwaves 上直播 http://t.co/g7S34Sw2aM &amp;amp; 107.9 fm @StickyNYC @95roots 燃燒你所有的熱門歌曲</v>
      </c>
      <c r="G3684" s="4" t="str">
        <f>IFERROR(__xludf.DUMMYFUNCTION("GOOGLETRANSLATE(B3684)"),"熾烈")</f>
        <v>熾烈</v>
      </c>
    </row>
    <row r="3685" ht="15.75" customHeight="1">
      <c r="A3685" s="4">
        <v>992.0</v>
      </c>
      <c r="B3685" s="4" t="s">
        <v>461</v>
      </c>
      <c r="D3685" s="4" t="s">
        <v>5503</v>
      </c>
      <c r="E3685" s="4">
        <v>0.0</v>
      </c>
      <c r="F3685" s="4" t="str">
        <f>IFERROR(__xludf.DUMMYFUNCTION("GOOGLETRANSLATE(D3685)"),"@BaseballQuotes1 我有一個 32 吋的王朝")</f>
        <v>@BaseballQuotes1 我有一個 32 吋的王朝</v>
      </c>
      <c r="G3685" s="4" t="str">
        <f>IFERROR(__xludf.DUMMYFUNCTION("GOOGLETRANSLATE(B3685)"),"熾烈")</f>
        <v>熾烈</v>
      </c>
    </row>
    <row r="3686" ht="15.75" customHeight="1">
      <c r="A3686" s="4">
        <v>993.0</v>
      </c>
      <c r="B3686" s="4" t="s">
        <v>461</v>
      </c>
      <c r="C3686" s="4" t="s">
        <v>5504</v>
      </c>
      <c r="D3686" s="4" t="s">
        <v>5505</v>
      </c>
      <c r="E3686" s="4">
        <v>0.0</v>
      </c>
      <c r="F3686" s="4" t="str">
        <f>IFERROR(__xludf.DUMMYFUNCTION("GOOGLETRANSLATE(D3686)"),"我是這裡唯一的武器大師！讓我們一起槍林彈雨吧！
#Hinatobot")</f>
        <v>我是這裡唯一的武器大師！讓我們一起槍林彈雨吧！
#Hinatobot</v>
      </c>
      <c r="G3686" s="4" t="str">
        <f>IFERROR(__xludf.DUMMYFUNCTION("GOOGLETRANSLATE(B3686)"),"熾烈")</f>
        <v>熾烈</v>
      </c>
    </row>
    <row r="3687" ht="15.75" customHeight="1">
      <c r="A3687" s="4">
        <v>994.0</v>
      </c>
      <c r="B3687" s="4" t="s">
        <v>461</v>
      </c>
      <c r="C3687" s="4" t="s">
        <v>5506</v>
      </c>
      <c r="D3687" s="4" t="s">
        <v>5507</v>
      </c>
      <c r="E3687" s="4">
        <v>0.0</v>
      </c>
      <c r="F3687" s="4" t="str">
        <f>IFERROR(__xludf.DUMMYFUNCTION("GOOGLETRANSLATE(D3687)"),"@Blazing_Ben @PattyDs50 @gwfrazee @JoshuaAssaraf 不是真的。可悲的是，我對歐巴馬抱持這樣的期望。")</f>
        <v>@Blazing_Ben @PattyDs50 @gwfrazee @JoshuaAssaraf 不是真的。可悲的是，我對歐巴馬抱持這樣的期望。</v>
      </c>
      <c r="G3687" s="4" t="str">
        <f>IFERROR(__xludf.DUMMYFUNCTION("GOOGLETRANSLATE(B3687)"),"熾烈")</f>
        <v>熾烈</v>
      </c>
    </row>
    <row r="3688" ht="15.75" customHeight="1">
      <c r="A3688" s="4">
        <v>996.0</v>
      </c>
      <c r="B3688" s="4" t="s">
        <v>461</v>
      </c>
      <c r="D3688" s="4" t="s">
        <v>5508</v>
      </c>
      <c r="E3688" s="4">
        <v>0.0</v>
      </c>
      <c r="F3688" s="4" t="str">
        <f>IFERROR(__xludf.DUMMYFUNCTION("GOOGLETRANSLATE(D3688)"),"向@kasad1lla 致敬，因為她的歌聲就像她所處的天氣一樣炙熱")</f>
        <v>向@kasad1lla 致敬，因為她的歌聲就像她所處的天氣一樣炙熱</v>
      </c>
      <c r="G3688" s="4" t="str">
        <f>IFERROR(__xludf.DUMMYFUNCTION("GOOGLETRANSLATE(B3688)"),"熾烈")</f>
        <v>熾烈</v>
      </c>
    </row>
    <row r="3689" ht="15.75" customHeight="1">
      <c r="A3689" s="4">
        <v>997.0</v>
      </c>
      <c r="B3689" s="4" t="s">
        <v>461</v>
      </c>
      <c r="C3689" s="4" t="s">
        <v>1342</v>
      </c>
      <c r="D3689" s="4" t="s">
        <v>5509</v>
      </c>
      <c r="E3689" s="4">
        <v>0.0</v>
      </c>
      <c r="F3689" s="4" t="str">
        <f>IFERROR(__xludf.DUMMYFUNCTION("GOOGLETRANSLATE(D3689)"),"S3X洩漏！！！
來自 Delta Festac 鎮的 19 歲 Ash@wo 女士的照片在 BBM 5 上曝光，照片洩露... http://t.co/ixREhM05yq")</f>
        <v>S3X洩漏！！！
來自 Delta Festac 鎮的 19 歲 Ash@wo 女士的照片在 BBM 5 上曝光，照片洩露... http://t.co/ixREhM05yq</v>
      </c>
      <c r="G3689" s="4" t="str">
        <f>IFERROR(__xludf.DUMMYFUNCTION("GOOGLETRANSLATE(B3689)"),"熾烈")</f>
        <v>熾烈</v>
      </c>
    </row>
    <row r="3690" ht="15.75" customHeight="1">
      <c r="A3690" s="4">
        <v>998.0</v>
      </c>
      <c r="B3690" s="4" t="s">
        <v>461</v>
      </c>
      <c r="C3690" s="4" t="s">
        <v>5510</v>
      </c>
      <c r="D3690" s="4" t="s">
        <v>5511</v>
      </c>
      <c r="E3690" s="4">
        <v>0.0</v>
      </c>
      <c r="F3690" s="4" t="str">
        <f>IFERROR(__xludf.DUMMYFUNCTION("GOOGLETRANSLATE(D3690)"),"哦，我的心跳加速，我的體溫在屋頂上燃燒#VideoVeranoMTV Fifth Harmony")</f>
        <v>哦，我的心跳加速，我的體溫在屋頂上燃燒#VideoVeranoMTV Fifth Harmony</v>
      </c>
      <c r="G3690" s="4" t="str">
        <f>IFERROR(__xludf.DUMMYFUNCTION("GOOGLETRANSLATE(B3690)"),"熾烈")</f>
        <v>熾烈</v>
      </c>
    </row>
    <row r="3691" ht="15.75" customHeight="1">
      <c r="A3691" s="4">
        <v>999.0</v>
      </c>
      <c r="B3691" s="4" t="s">
        <v>461</v>
      </c>
      <c r="D3691" s="4" t="s">
        <v>5512</v>
      </c>
      <c r="E3691" s="4">
        <v>0.0</v>
      </c>
      <c r="F3691" s="4" t="str">
        <f>IFERROR(__xludf.DUMMYFUNCTION("GOOGLETRANSLATE(D3691)"),"@omgbethersss @BethanyMota 哈哈喜歡這個？？")</f>
        <v>@omgbethersss @BethanyMota 哈哈喜歡這個？？</v>
      </c>
      <c r="G3691" s="4" t="str">
        <f>IFERROR(__xludf.DUMMYFUNCTION("GOOGLETRANSLATE(B3691)"),"熾烈")</f>
        <v>熾烈</v>
      </c>
    </row>
    <row r="3692" ht="15.75" customHeight="1">
      <c r="A3692" s="4">
        <v>1001.0</v>
      </c>
      <c r="B3692" s="4" t="s">
        <v>461</v>
      </c>
      <c r="D3692" s="4" t="s">
        <v>5513</v>
      </c>
      <c r="E3692" s="4">
        <v>0.0</v>
      </c>
      <c r="F3692" s="4" t="str">
        <f>IFERROR(__xludf.DUMMYFUNCTION("GOOGLETRANSLATE(D3692)"),"@dmac1043 科羅拉多是一個西班牙語單字（[拉丁語起源]意思是“紅色”或“有色”）所有的傻瓜都讀錯了！")</f>
        <v>@dmac1043 科羅拉多是一個西班牙語單字（[拉丁語起源]意思是“紅色”或“有色”）所有的傻瓜都讀錯了！</v>
      </c>
      <c r="G3692" s="4" t="str">
        <f>IFERROR(__xludf.DUMMYFUNCTION("GOOGLETRANSLATE(B3692)"),"熾烈")</f>
        <v>熾烈</v>
      </c>
    </row>
    <row r="3693" ht="15.75" customHeight="1">
      <c r="A3693" s="4">
        <v>1002.0</v>
      </c>
      <c r="B3693" s="4" t="s">
        <v>461</v>
      </c>
      <c r="C3693" s="4" t="s">
        <v>2881</v>
      </c>
      <c r="D3693" s="4" t="s">
        <v>5514</v>
      </c>
      <c r="E3693" s="4">
        <v>0.0</v>
      </c>
      <c r="F3693" s="4" t="str">
        <f>IFERROR(__xludf.DUMMYFUNCTION("GOOGLETRANSLATE(D3693)"),"為什麼有些流量冰冷而有些流量熾熱以及如何加熱您的一些流量 http://t.co/C8b6DdiQIg")</f>
        <v>為什麼有些流量冰冷而有些流量熾熱以及如何加熱您的一些流量 http://t.co/C8b6DdiQIg</v>
      </c>
      <c r="G3693" s="4" t="str">
        <f>IFERROR(__xludf.DUMMYFUNCTION("GOOGLETRANSLATE(B3693)"),"熾烈")</f>
        <v>熾烈</v>
      </c>
    </row>
    <row r="3694" ht="15.75" customHeight="1">
      <c r="A3694" s="4">
        <v>1004.0</v>
      </c>
      <c r="B3694" s="4" t="s">
        <v>461</v>
      </c>
      <c r="D3694" s="4" t="s">
        <v>5515</v>
      </c>
      <c r="E3694" s="4">
        <v>0.0</v>
      </c>
      <c r="F3694" s="4" t="str">
        <f>IFERROR(__xludf.DUMMYFUNCTION("GOOGLETRANSLATE(D3694)"),"我瘋狂到可以在一個我不喜歡的地方在 95 度的正午高溫下在烈日下跑步 https://t.co/OSUoIVNiGO")</f>
        <v>我瘋狂到可以在一個我不喜歡的地方在 95 度的正午高溫下在烈日下跑步 https://t.co/OSUoIVNiGO</v>
      </c>
      <c r="G3694" s="4" t="str">
        <f>IFERROR(__xludf.DUMMYFUNCTION("GOOGLETRANSLATE(B3694)"),"熾烈")</f>
        <v>熾烈</v>
      </c>
    </row>
    <row r="3695" ht="15.75" customHeight="1">
      <c r="A3695" s="4">
        <v>1005.0</v>
      </c>
      <c r="B3695" s="4" t="s">
        <v>461</v>
      </c>
      <c r="D3695" s="4" t="s">
        <v>5516</v>
      </c>
      <c r="E3695" s="4">
        <v>0.0</v>
      </c>
      <c r="F3695" s="4" t="str">
        <f>IFERROR(__xludf.DUMMYFUNCTION("GOOGLETRANSLATE(D3695)"),"我很火熱，你無法阻止我")</f>
        <v>我很火熱，你無法阻止我</v>
      </c>
      <c r="G3695" s="4" t="str">
        <f>IFERROR(__xludf.DUMMYFUNCTION("GOOGLETRANSLATE(B3695)"),"熾烈")</f>
        <v>熾烈</v>
      </c>
    </row>
    <row r="3696" ht="15.75" customHeight="1">
      <c r="A3696" s="4">
        <v>1006.0</v>
      </c>
      <c r="B3696" s="4" t="s">
        <v>461</v>
      </c>
      <c r="C3696" s="4" t="s">
        <v>5517</v>
      </c>
      <c r="D3696" s="4" t="s">
        <v>5518</v>
      </c>
      <c r="E3696" s="4">
        <v>0.0</v>
      </c>
      <c r="F3696" s="4" t="str">
        <f>IFERROR(__xludf.DUMMYFUNCTION("GOOGLETRANSLATE(D3696)"),"還火爆？？？？")</f>
        <v>還火爆？？？？</v>
      </c>
      <c r="G3696" s="4" t="str">
        <f>IFERROR(__xludf.DUMMYFUNCTION("GOOGLETRANSLATE(B3696)"),"熾烈")</f>
        <v>熾烈</v>
      </c>
    </row>
    <row r="3697" ht="15.75" customHeight="1">
      <c r="A3697" s="4">
        <v>1008.0</v>
      </c>
      <c r="B3697" s="4" t="s">
        <v>461</v>
      </c>
      <c r="D3697" s="4" t="s">
        <v>5519</v>
      </c>
      <c r="E3697" s="4">
        <v>0.0</v>
      </c>
      <c r="F3697" s="4" t="str">
        <f>IFERROR(__xludf.DUMMYFUNCTION("GOOGLETRANSLATE(D3697)"),"@bekah__w 謝謝！每當我走進去，在烈日的照耀下，我都會全身冒汗。")</f>
        <v>@bekah__w 謝謝！每當我走進去，在烈日的照耀下，我都會全身冒汗。</v>
      </c>
      <c r="G3697" s="4" t="str">
        <f>IFERROR(__xludf.DUMMYFUNCTION("GOOGLETRANSLATE(B3697)"),"熾烈")</f>
        <v>熾烈</v>
      </c>
    </row>
    <row r="3698" ht="15.75" customHeight="1">
      <c r="A3698" s="4">
        <v>1009.0</v>
      </c>
      <c r="B3698" s="4" t="s">
        <v>461</v>
      </c>
      <c r="D3698" s="4" t="s">
        <v>5520</v>
      </c>
      <c r="E3698" s="4">
        <v>0.0</v>
      </c>
      <c r="F3698" s="4" t="str">
        <f>IFERROR(__xludf.DUMMYFUNCTION("GOOGLETRANSLATE(D3698)"),"@ACOUSTICMALOLEY 不，他正在燃燒它")</f>
        <v>@ACOUSTICMALOLEY 不，他正在燃燒它</v>
      </c>
      <c r="G3698" s="4" t="str">
        <f>IFERROR(__xludf.DUMMYFUNCTION("GOOGLETRANSLATE(B3698)"),"熾烈")</f>
        <v>熾烈</v>
      </c>
    </row>
    <row r="3699" ht="15.75" customHeight="1">
      <c r="A3699" s="4">
        <v>1010.0</v>
      </c>
      <c r="B3699" s="4" t="s">
        <v>461</v>
      </c>
      <c r="C3699" s="4" t="s">
        <v>5521</v>
      </c>
      <c r="D3699" s="4" t="s">
        <v>5522</v>
      </c>
      <c r="E3699" s="4">
        <v>0.0</v>
      </c>
      <c r="F3699" s="4" t="str">
        <f>IFERROR(__xludf.DUMMYFUNCTION("GOOGLETRANSLATE(D3699)"),"@OfficialTJonez 你的「失語症」讓我成為你家人的新粉絲。瘋狂的技能超越祝福！繼續熾熱的兄弟，贏得愛和尊重！")</f>
        <v>@OfficialTJonez 你的「失語症」讓我成為你家人的新粉絲。瘋狂的技能超越祝福！繼續熾熱的兄弟，贏得愛和尊重！</v>
      </c>
      <c r="G3699" s="4" t="str">
        <f>IFERROR(__xludf.DUMMYFUNCTION("GOOGLETRANSLATE(B3699)"),"熾烈")</f>
        <v>熾烈</v>
      </c>
    </row>
    <row r="3700" ht="15.75" customHeight="1">
      <c r="A3700" s="4">
        <v>1015.0</v>
      </c>
      <c r="B3700" s="4" t="s">
        <v>461</v>
      </c>
      <c r="C3700" s="4" t="s">
        <v>1193</v>
      </c>
      <c r="D3700" s="4" t="s">
        <v>5523</v>
      </c>
      <c r="E3700" s="4">
        <v>0.0</v>
      </c>
      <c r="F3700" s="4" t="str">
        <f>IFERROR(__xludf.DUMMYFUNCTION("GOOGLETRANSLATE(D3700)"),"**讓-我-成為-你的-熱辣-熾熱-幻想**
#escorts #gfe #DUBAI http://t.co/N6AhgfMUDt")</f>
        <v>**讓-我-成為-你的-熱辣-熾熱-幻想**
#escorts #gfe #DUBAI http://t.co/N6AhgfMUDt</v>
      </c>
      <c r="G3700" s="4" t="str">
        <f>IFERROR(__xludf.DUMMYFUNCTION("GOOGLETRANSLATE(B3700)"),"熾烈")</f>
        <v>熾烈</v>
      </c>
    </row>
    <row r="3701" ht="15.75" customHeight="1">
      <c r="A3701" s="4">
        <v>1017.0</v>
      </c>
      <c r="B3701" s="4" t="s">
        <v>461</v>
      </c>
      <c r="C3701" s="4" t="s">
        <v>5524</v>
      </c>
      <c r="D3701" s="4" t="s">
        <v>5525</v>
      </c>
      <c r="E3701" s="4">
        <v>0.0</v>
      </c>
      <c r="F3701" s="4" t="str">
        <f>IFERROR(__xludf.DUMMYFUNCTION("GOOGLETRANSLATE(D3701)"),"@__srajapakse__ 為什麼要謝謝你小姐？認為它適合炎熱的夏季？哎喲！ ??")</f>
        <v>@__srajapakse__ 為什麼要謝謝你小姐？認為它適合炎熱的夏季？哎喲！ ??</v>
      </c>
      <c r="G3701" s="4" t="str">
        <f>IFERROR(__xludf.DUMMYFUNCTION("GOOGLETRANSLATE(B3701)"),"熾烈")</f>
        <v>熾烈</v>
      </c>
    </row>
    <row r="3702" ht="15.75" customHeight="1">
      <c r="A3702" s="4">
        <v>1018.0</v>
      </c>
      <c r="B3702" s="4" t="s">
        <v>461</v>
      </c>
      <c r="C3702" s="4" t="s">
        <v>5526</v>
      </c>
      <c r="D3702" s="4" t="s">
        <v>5527</v>
      </c>
      <c r="E3702" s="4">
        <v>0.0</v>
      </c>
      <c r="F3702" s="4" t="str">
        <f>IFERROR(__xludf.DUMMYFUNCTION("GOOGLETRANSLATE(D3702)"),"@asukager 熾熱魔法袋")</f>
        <v>@asukager 熾熱魔法袋</v>
      </c>
      <c r="G3702" s="4" t="str">
        <f>IFERROR(__xludf.DUMMYFUNCTION("GOOGLETRANSLATE(B3702)"),"熾烈")</f>
        <v>熾烈</v>
      </c>
    </row>
    <row r="3703" ht="15.75" customHeight="1">
      <c r="A3703" s="4">
        <v>1020.0</v>
      </c>
      <c r="B3703" s="4" t="s">
        <v>461</v>
      </c>
      <c r="C3703" s="4" t="s">
        <v>5528</v>
      </c>
      <c r="D3703" s="4" t="s">
        <v>5529</v>
      </c>
      <c r="E3703" s="4">
        <v>0.0</v>
      </c>
      <c r="F3703" s="4" t="str">
        <f>IFERROR(__xludf.DUMMYFUNCTION("GOOGLETRANSLATE(D3703)"),"The Blazing Elwoods @BlazingElwoods - 別打擾我（Doug 的歌曲）-Tune http://t.co/QYzpB1gKmR")</f>
        <v>The Blazing Elwoods @BlazingElwoods - 別打擾我（Doug 的歌曲）-Tune http://t.co/QYzpB1gKmR</v>
      </c>
      <c r="G3703" s="4" t="str">
        <f>IFERROR(__xludf.DUMMYFUNCTION("GOOGLETRANSLATE(B3703)"),"熾烈")</f>
        <v>熾烈</v>
      </c>
    </row>
    <row r="3704" ht="15.75" customHeight="1">
      <c r="A3704" s="4">
        <v>1021.0</v>
      </c>
      <c r="B3704" s="4" t="s">
        <v>461</v>
      </c>
      <c r="C3704" s="4" t="s">
        <v>291</v>
      </c>
      <c r="D3704" s="4" t="s">
        <v>5530</v>
      </c>
      <c r="E3704" s="4">
        <v>0.0</v>
      </c>
      <c r="F3704" s="4" t="str">
        <f>IFERROR(__xludf.DUMMYFUNCTION("GOOGLETRANSLATE(D3704)"),"摩根銀元 1921 年 P CH 寶石 Bu PL 閃亮 MS++++++ 緞面罕見精製像！ - 完整reÛ_ http://t.co/99MbyFl3Id http://t.co/4ddMTguZzS")</f>
        <v>摩根銀元 1921 年 P CH 寶石 Bu PL 閃亮 MS++++++ 緞面罕見精製像！ - 完整reÛ_ http://t.co/99MbyFl3Id http://t.co/4ddMTguZzS</v>
      </c>
      <c r="G3704" s="4" t="str">
        <f>IFERROR(__xludf.DUMMYFUNCTION("GOOGLETRANSLATE(B3704)"),"熾烈")</f>
        <v>熾烈</v>
      </c>
    </row>
    <row r="3705" ht="15.75" customHeight="1">
      <c r="A3705" s="4">
        <v>1022.0</v>
      </c>
      <c r="B3705" s="4" t="s">
        <v>461</v>
      </c>
      <c r="C3705" s="4" t="s">
        <v>656</v>
      </c>
      <c r="D3705" s="4" t="s">
        <v>5531</v>
      </c>
      <c r="E3705" s="4">
        <v>0.0</v>
      </c>
      <c r="F3705" s="4" t="str">
        <f>IFERROR(__xludf.DUMMYFUNCTION("GOOGLETRANSLATE(D3705)"),"熾熱！ Etisalat 免費 MB 完整 12 個月：Etisalat 在 TECNO Q1 上贈送 100MB，這是 Ime... http://t.co/AVzsYIe1nT")</f>
        <v>熾熱！ Etisalat 免費 MB 完整 12 個月：Etisalat 在 TECNO Q1 上贈送 100MB，這是 Ime... http://t.co/AVzsYIe1nT</v>
      </c>
      <c r="G3705" s="4" t="str">
        <f>IFERROR(__xludf.DUMMYFUNCTION("GOOGLETRANSLATE(B3705)"),"熾烈")</f>
        <v>熾烈</v>
      </c>
    </row>
    <row r="3706" ht="15.75" customHeight="1">
      <c r="A3706" s="4">
        <v>1023.0</v>
      </c>
      <c r="B3706" s="4" t="s">
        <v>461</v>
      </c>
      <c r="C3706" s="4" t="s">
        <v>5532</v>
      </c>
      <c r="D3706" s="4" t="s">
        <v>5533</v>
      </c>
      <c r="E3706" s="4">
        <v>0.0</v>
      </c>
      <c r="F3706" s="4" t="str">
        <f>IFERROR(__xludf.DUMMYFUNCTION("GOOGLETRANSLATE(D3706)"),"@FunkyLilShack @mariaf30 我想要一場全面的母狗拍槍燃燒蛋糕扔查爾斯攤牌！現在值得等待嗎？？？")</f>
        <v>@FunkyLilShack @mariaf30 我想要一場全面的母狗拍槍燃燒蛋糕扔查爾斯攤牌！現在值得等待嗎？？？</v>
      </c>
      <c r="G3706" s="4" t="str">
        <f>IFERROR(__xludf.DUMMYFUNCTION("GOOGLETRANSLATE(B3706)"),"熾烈")</f>
        <v>熾烈</v>
      </c>
    </row>
    <row r="3707" ht="15.75" customHeight="1">
      <c r="A3707" s="4">
        <v>1024.0</v>
      </c>
      <c r="B3707" s="4" t="s">
        <v>461</v>
      </c>
      <c r="D3707" s="4" t="s">
        <v>5534</v>
      </c>
      <c r="E3707" s="4">
        <v>0.0</v>
      </c>
      <c r="F3707" s="4" t="str">
        <f>IFERROR(__xludf.DUMMYFUNCTION("GOOGLETRANSLATE(D3707)"),"關注@EdWelchMusic，看看他的熱門單曲“Unpacked”Man，太棒了！！！")</f>
        <v>關注@EdWelchMusic，看看他的熱門單曲“Unpacked”Man，太棒了！！！</v>
      </c>
      <c r="G3707" s="4" t="str">
        <f>IFERROR(__xludf.DUMMYFUNCTION("GOOGLETRANSLATE(B3707)"),"熾烈")</f>
        <v>熾烈</v>
      </c>
    </row>
    <row r="3708" ht="15.75" customHeight="1">
      <c r="A3708" s="4">
        <v>1026.0</v>
      </c>
      <c r="B3708" s="4" t="s">
        <v>461</v>
      </c>
      <c r="C3708" s="4" t="s">
        <v>5535</v>
      </c>
      <c r="D3708" s="4" t="s">
        <v>5536</v>
      </c>
      <c r="E3708" s="4">
        <v>0.0</v>
      </c>
      <c r="F3708" s="4" t="str">
        <f>IFERROR(__xludf.DUMMYFUNCTION("GOOGLETRANSLATE(D3708)"),"我仍然不知道在烈日下進行8小時的體力活動怎麼不是一項運動呢？")</f>
        <v>我仍然不知道在烈日下進行8小時的體力活動怎麼不是一項運動呢？</v>
      </c>
      <c r="G3708" s="4" t="str">
        <f>IFERROR(__xludf.DUMMYFUNCTION("GOOGLETRANSLATE(B3708)"),"熾烈")</f>
        <v>熾烈</v>
      </c>
    </row>
    <row r="3709" ht="15.75" customHeight="1">
      <c r="A3709" s="4">
        <v>1029.0</v>
      </c>
      <c r="B3709" s="4" t="s">
        <v>464</v>
      </c>
      <c r="D3709" s="4" t="s">
        <v>5537</v>
      </c>
      <c r="E3709" s="4">
        <v>0.0</v>
      </c>
      <c r="F3709" s="4" t="str">
        <f>IFERROR(__xludf.DUMMYFUNCTION("GOOGLETRANSLATE(D3709)"),"如何原型化有充分準備的準備：FpOJ http://t.co/WXbrArc7p3")</f>
        <v>如何原型化有充分準備的準備：FpOJ http://t.co/WXbrArc7p3</v>
      </c>
      <c r="G3709" s="4" t="str">
        <f>IFERROR(__xludf.DUMMYFUNCTION("GOOGLETRANSLATE(B3709)"),"流血的")</f>
        <v>流血的</v>
      </c>
    </row>
    <row r="3710" ht="15.75" customHeight="1">
      <c r="A3710" s="4">
        <v>1031.0</v>
      </c>
      <c r="B3710" s="4" t="s">
        <v>464</v>
      </c>
      <c r="C3710" s="4" t="s">
        <v>5538</v>
      </c>
      <c r="D3710" s="4" t="s">
        <v>5539</v>
      </c>
      <c r="E3710" s="4">
        <v>0.0</v>
      </c>
      <c r="F3710" s="4" t="str">
        <f>IFERROR(__xludf.DUMMYFUNCTION("GOOGLETRANSLATE(D3710)"),"把一塊雞塊丟到我姊姊的嘴唇上，現在流血了？")</f>
        <v>把一塊雞塊丟到我姊姊的嘴唇上，現在流血了？</v>
      </c>
      <c r="G3710" s="4" t="str">
        <f>IFERROR(__xludf.DUMMYFUNCTION("GOOGLETRANSLATE(B3710)"),"流血的")</f>
        <v>流血的</v>
      </c>
    </row>
    <row r="3711" ht="15.75" customHeight="1">
      <c r="A3711" s="4">
        <v>1032.0</v>
      </c>
      <c r="B3711" s="4" t="s">
        <v>464</v>
      </c>
      <c r="D3711" s="4" t="s">
        <v>5540</v>
      </c>
      <c r="E3711" s="4">
        <v>0.0</v>
      </c>
      <c r="F3711" s="4" t="str">
        <f>IFERROR(__xludf.DUMMYFUNCTION("GOOGLETRANSLATE(D3711)"),"你可以割斷我的喉嚨，我會為你流血道歉")</f>
        <v>你可以割斷我的喉嚨，我會為你流血道歉</v>
      </c>
      <c r="G3711" s="4" t="str">
        <f>IFERROR(__xludf.DUMMYFUNCTION("GOOGLETRANSLATE(B3711)"),"流血的")</f>
        <v>流血的</v>
      </c>
    </row>
    <row r="3712" ht="15.75" customHeight="1">
      <c r="A3712" s="4">
        <v>1035.0</v>
      </c>
      <c r="B3712" s="4" t="s">
        <v>464</v>
      </c>
      <c r="C3712" s="4" t="s">
        <v>5541</v>
      </c>
      <c r="D3712" s="4" t="s">
        <v>5542</v>
      </c>
      <c r="E3712" s="4">
        <v>0.0</v>
      </c>
      <c r="F3712" s="4" t="str">
        <f>IFERROR(__xludf.DUMMYFUNCTION("GOOGLETRANSLATE(D3712)"),"Joe Landolina：這個凝膠可以讓你立即止血 http://t.co/0BtnIwAgt1 #arizona #realestate http://t.co/hHZY3oqeLa")</f>
        <v>Joe Landolina：這個凝膠可以讓你立即止血 http://t.co/0BtnIwAgt1 #arizona #realestate http://t.co/hHZY3oqeLa</v>
      </c>
      <c r="G3712" s="4" t="str">
        <f>IFERROR(__xludf.DUMMYFUNCTION("GOOGLETRANSLATE(B3712)"),"流血的")</f>
        <v>流血的</v>
      </c>
    </row>
    <row r="3713" ht="15.75" customHeight="1">
      <c r="A3713" s="4">
        <v>1036.0</v>
      </c>
      <c r="B3713" s="4" t="s">
        <v>464</v>
      </c>
      <c r="D3713" s="4" t="s">
        <v>5543</v>
      </c>
      <c r="E3713" s="4">
        <v>0.0</v>
      </c>
      <c r="F3713" s="4" t="str">
        <f>IFERROR(__xludf.DUMMYFUNCTION("GOOGLETRANSLATE(D3713)"),"現在我的鼻子在流血。上一篇好像是10年前的事了")</f>
        <v>現在我的鼻子在流血。上一篇好像是10年前的事了</v>
      </c>
      <c r="G3713" s="4" t="str">
        <f>IFERROR(__xludf.DUMMYFUNCTION("GOOGLETRANSLATE(B3713)"),"流血的")</f>
        <v>流血的</v>
      </c>
    </row>
    <row r="3714" ht="15.75" customHeight="1">
      <c r="A3714" s="4">
        <v>1037.0</v>
      </c>
      <c r="B3714" s="4" t="s">
        <v>464</v>
      </c>
      <c r="D3714" s="4" t="s">
        <v>5544</v>
      </c>
      <c r="E3714" s="4">
        <v>0.0</v>
      </c>
      <c r="F3714" s="4" t="str">
        <f>IFERROR(__xludf.DUMMYFUNCTION("GOOGLETRANSLATE(D3714)"),"我一整天都在打字機上打字，但到目前為止我寫的只是一堆廢話。")</f>
        <v>我一整天都在打字機上打字，但到目前為止我寫的只是一堆廢話。</v>
      </c>
      <c r="G3714" s="4" t="str">
        <f>IFERROR(__xludf.DUMMYFUNCTION("GOOGLETRANSLATE(B3714)"),"流血的")</f>
        <v>流血的</v>
      </c>
    </row>
    <row r="3715" ht="15.75" customHeight="1">
      <c r="A3715" s="4">
        <v>1038.0</v>
      </c>
      <c r="B3715" s="4" t="s">
        <v>464</v>
      </c>
      <c r="C3715" s="4" t="s">
        <v>5545</v>
      </c>
      <c r="D3715" s="4" t="s">
        <v>5546</v>
      </c>
      <c r="E3715" s="4">
        <v>0.0</v>
      </c>
      <c r="F3715" s="4" t="str">
        <f>IFERROR(__xludf.DUMMYFUNCTION("GOOGLETRANSLATE(D3715)"),"@JaydenNotJared 我無能為力。希望你沒事。如果您需要交談，請給我發短信。以你的方式擁抱。 PS 不允許流血致死")</f>
        <v>@JaydenNotJared 我無能為力。希望你沒事。如果您需要交談，請給我發短信。以你的方式擁抱。 PS 不允許流血致死</v>
      </c>
      <c r="G3715" s="4" t="str">
        <f>IFERROR(__xludf.DUMMYFUNCTION("GOOGLETRANSLATE(B3715)"),"流血的")</f>
        <v>流血的</v>
      </c>
    </row>
    <row r="3716" ht="15.75" customHeight="1">
      <c r="A3716" s="4">
        <v>1041.0</v>
      </c>
      <c r="B3716" s="4" t="s">
        <v>464</v>
      </c>
      <c r="D3716" s="4" t="s">
        <v>5547</v>
      </c>
      <c r="E3716" s="4">
        <v>0.0</v>
      </c>
      <c r="F3716" s="4" t="str">
        <f>IFERROR(__xludf.DUMMYFUNCTION("GOOGLETRANSLATE(D3716)"),"顯然，如果你流血了，人們會奇怪地看著你，哈哈，好吧，繼續走就好了")</f>
        <v>顯然，如果你流血了，人們會奇怪地看著你，哈哈，好吧，繼續走就好了</v>
      </c>
      <c r="G3716" s="4" t="str">
        <f>IFERROR(__xludf.DUMMYFUNCTION("GOOGLETRANSLATE(B3716)"),"流血的")</f>
        <v>流血的</v>
      </c>
    </row>
    <row r="3717" ht="15.75" customHeight="1">
      <c r="A3717" s="4">
        <v>1042.0</v>
      </c>
      <c r="B3717" s="4" t="s">
        <v>464</v>
      </c>
      <c r="C3717" s="4" t="s">
        <v>5548</v>
      </c>
      <c r="D3717" s="4" t="s">
        <v>5549</v>
      </c>
      <c r="E3717" s="4">
        <v>0.0</v>
      </c>
      <c r="F3717" s="4" t="str">
        <f>IFERROR(__xludf.DUMMYFUNCTION("GOOGLETRANSLATE(D3717)"),"吃塔基斯然後用手揉眼睛現在我的眼睛流著淚水")</f>
        <v>吃塔基斯然後用手揉眼睛現在我的眼睛流著淚水</v>
      </c>
      <c r="G3717" s="4" t="str">
        <f>IFERROR(__xludf.DUMMYFUNCTION("GOOGLETRANSLATE(B3717)"),"流血的")</f>
        <v>流血的</v>
      </c>
    </row>
    <row r="3718" ht="15.75" customHeight="1">
      <c r="A3718" s="4">
        <v>1043.0</v>
      </c>
      <c r="B3718" s="4" t="s">
        <v>464</v>
      </c>
      <c r="C3718" s="4" t="s">
        <v>1883</v>
      </c>
      <c r="D3718" s="4" t="s">
        <v>5550</v>
      </c>
      <c r="E3718" s="4">
        <v>0.0</v>
      </c>
      <c r="F3718" s="4" t="str">
        <f>IFERROR(__xludf.DUMMYFUNCTION("GOOGLETRANSLATE(D3718)"),"@DarrylB1979 是的，聽說過…直到 2017 年和 2019 年才出來？？？？？？吸血鬼流血了")</f>
        <v>@DarrylB1979 是的，聽說過…直到 2017 年和 2019 年才出來？？？？？？吸血鬼流血了</v>
      </c>
      <c r="G3718" s="4" t="str">
        <f>IFERROR(__xludf.DUMMYFUNCTION("GOOGLETRANSLATE(B3718)"),"流血的")</f>
        <v>流血的</v>
      </c>
    </row>
    <row r="3719" ht="15.75" customHeight="1">
      <c r="A3719" s="4">
        <v>1044.0</v>
      </c>
      <c r="B3719" s="4" t="s">
        <v>464</v>
      </c>
      <c r="C3719" s="4" t="s">
        <v>231</v>
      </c>
      <c r="D3719" s="4" t="s">
        <v>5551</v>
      </c>
      <c r="E3719" s="4">
        <v>0.0</v>
      </c>
      <c r="F3719" s="4" t="str">
        <f>IFERROR(__xludf.DUMMYFUNCTION("GOOGLETRANSLATE(D3719)"),"@CoreyAshe 那看起來是破損的還是流血的？")</f>
        <v>@CoreyAshe 那看起來是破損的還是流血的？</v>
      </c>
      <c r="G3719" s="4" t="str">
        <f>IFERROR(__xludf.DUMMYFUNCTION("GOOGLETRANSLATE(B3719)"),"流血的")</f>
        <v>流血的</v>
      </c>
    </row>
    <row r="3720" ht="15.75" customHeight="1">
      <c r="A3720" s="4">
        <v>1045.0</v>
      </c>
      <c r="B3720" s="4" t="s">
        <v>464</v>
      </c>
      <c r="C3720" s="4" t="s">
        <v>5552</v>
      </c>
      <c r="D3720" s="4" t="s">
        <v>5553</v>
      </c>
      <c r="E3720" s="4">
        <v>0.0</v>
      </c>
      <c r="F3720" s="4" t="str">
        <f>IFERROR(__xludf.DUMMYFUNCTION("GOOGLETRANSLATE(D3720)"),"我撞到了腳，現在我的腳趾在流血？")</f>
        <v>我撞到了腳，現在我的腳趾在流血？</v>
      </c>
      <c r="G3720" s="4" t="str">
        <f>IFERROR(__xludf.DUMMYFUNCTION("GOOGLETRANSLATE(B3720)"),"流血的")</f>
        <v>流血的</v>
      </c>
    </row>
    <row r="3721" ht="15.75" customHeight="1">
      <c r="A3721" s="4">
        <v>1048.0</v>
      </c>
      <c r="B3721" s="4" t="s">
        <v>464</v>
      </c>
      <c r="C3721" s="4" t="s">
        <v>5554</v>
      </c>
      <c r="D3721" s="4" t="s">
        <v>5555</v>
      </c>
      <c r="E3721" s="4">
        <v>0.0</v>
      </c>
      <c r="F3721" s="4" t="str">
        <f>IFERROR(__xludf.DUMMYFUNCTION("GOOGLETRANSLATE(D3721)"),"@King_Naruto_只要我看到斑流血我就很好了？")</f>
        <v>@King_Naruto_只要我看到斑流血我就很好了？</v>
      </c>
      <c r="G3721" s="4" t="str">
        <f>IFERROR(__xludf.DUMMYFUNCTION("GOOGLETRANSLATE(B3721)"),"流血的")</f>
        <v>流血的</v>
      </c>
    </row>
    <row r="3722" ht="15.75" customHeight="1">
      <c r="A3722" s="4">
        <v>1049.0</v>
      </c>
      <c r="B3722" s="4" t="s">
        <v>464</v>
      </c>
      <c r="D3722" s="4" t="s">
        <v>5556</v>
      </c>
      <c r="E3722" s="4">
        <v>0.0</v>
      </c>
      <c r="F3722" s="4" t="str">
        <f>IFERROR(__xludf.DUMMYFUNCTION("GOOGLETRANSLATE(D3722)"),"一直想這件事，直到我踩到一塊碎玻璃 pun tak sedar，我感覺不到疼痛，而且還在流血。拉屎")</f>
        <v>一直想這件事，直到我踩到一塊碎玻璃 pun tak sedar，我感覺不到疼痛，而且還在流血。拉屎</v>
      </c>
      <c r="G3722" s="4" t="str">
        <f>IFERROR(__xludf.DUMMYFUNCTION("GOOGLETRANSLATE(B3722)"),"流血的")</f>
        <v>流血的</v>
      </c>
    </row>
    <row r="3723" ht="15.75" customHeight="1">
      <c r="A3723" s="4">
        <v>1050.0</v>
      </c>
      <c r="B3723" s="4" t="s">
        <v>464</v>
      </c>
      <c r="C3723" s="4" t="s">
        <v>5557</v>
      </c>
      <c r="D3723" s="4" t="s">
        <v>5558</v>
      </c>
      <c r="E3723" s="4">
        <v>0.0</v>
      </c>
      <c r="F3723" s="4" t="str">
        <f>IFERROR(__xludf.DUMMYFUNCTION("GOOGLETRANSLATE(D3723)"),"我的耳朵在流血 https://t.co/k5KnNwugwT")</f>
        <v>我的耳朵在流血 https://t.co/k5KnNwugwT</v>
      </c>
      <c r="G3723" s="4" t="str">
        <f>IFERROR(__xludf.DUMMYFUNCTION("GOOGLETRANSLATE(B3723)"),"流血的")</f>
        <v>流血的</v>
      </c>
    </row>
    <row r="3724" ht="15.75" customHeight="1">
      <c r="A3724" s="4">
        <v>1052.0</v>
      </c>
      <c r="B3724" s="4" t="s">
        <v>464</v>
      </c>
      <c r="D3724" s="4" t="s">
        <v>5559</v>
      </c>
      <c r="E3724" s="4">
        <v>0.0</v>
      </c>
      <c r="F3724" s="4" t="str">
        <f>IFERROR(__xludf.DUMMYFUNCTION("GOOGLETRANSLATE(D3724)"),"這不是一次可愛的晚餐約會直到攝像頭鼻子開始流血")</f>
        <v>這不是一次可愛的晚餐約會直到攝像頭鼻子開始流血</v>
      </c>
      <c r="G3724" s="4" t="str">
        <f>IFERROR(__xludf.DUMMYFUNCTION("GOOGLETRANSLATE(B3724)"),"流血的")</f>
        <v>流血的</v>
      </c>
    </row>
    <row r="3725" ht="15.75" customHeight="1">
      <c r="A3725" s="4">
        <v>1054.0</v>
      </c>
      <c r="B3725" s="4" t="s">
        <v>464</v>
      </c>
      <c r="D3725" s="4" t="s">
        <v>5560</v>
      </c>
      <c r="E3725" s="4">
        <v>0.0</v>
      </c>
      <c r="F3725" s="4" t="str">
        <f>IFERROR(__xludf.DUMMYFUNCTION("GOOGLETRANSLATE(D3725)"),"@Uptown_Jorge 抬起頭，就像你鼻子流血一樣")</f>
        <v>@Uptown_Jorge 抬起頭，就像你鼻子流血一樣</v>
      </c>
      <c r="G3725" s="4" t="str">
        <f>IFERROR(__xludf.DUMMYFUNCTION("GOOGLETRANSLATE(B3725)"),"流血的")</f>
        <v>流血的</v>
      </c>
    </row>
    <row r="3726" ht="15.75" customHeight="1">
      <c r="A3726" s="4">
        <v>1057.0</v>
      </c>
      <c r="B3726" s="4" t="s">
        <v>464</v>
      </c>
      <c r="D3726" s="4" t="s">
        <v>5561</v>
      </c>
      <c r="E3726" s="4">
        <v>0.0</v>
      </c>
      <c r="F3726" s="4" t="str">
        <f>IFERROR(__xludf.DUMMYFUNCTION("GOOGLETRANSLATE(D3726)"),"我在你的沉默中流血
我對你的暴力感到更安全。")</f>
        <v>我在你的沉默中流血
我對你的暴力感到更安全。</v>
      </c>
      <c r="G3726" s="4" t="str">
        <f>IFERROR(__xludf.DUMMYFUNCTION("GOOGLETRANSLATE(B3726)"),"流血的")</f>
        <v>流血的</v>
      </c>
    </row>
    <row r="3727" ht="15.75" customHeight="1">
      <c r="A3727" s="4">
        <v>1058.0</v>
      </c>
      <c r="B3727" s="4" t="s">
        <v>464</v>
      </c>
      <c r="C3727" s="4" t="s">
        <v>5562</v>
      </c>
      <c r="D3727" s="4" t="s">
        <v>5563</v>
      </c>
      <c r="E3727" s="4">
        <v>0.0</v>
      </c>
      <c r="F3727" s="4" t="str">
        <f>IFERROR(__xludf.DUMMYFUNCTION("GOOGLETRANSLATE(D3727)"),"@Jannet2208 我從某人的背上摔下來，頭撞在混凝土上/：我流血了")</f>
        <v>@Jannet2208 我從某人的背上摔下來，頭撞在混凝土上/：我流血了</v>
      </c>
      <c r="G3727" s="4" t="str">
        <f>IFERROR(__xludf.DUMMYFUNCTION("GOOGLETRANSLATE(B3727)"),"流血的")</f>
        <v>流血的</v>
      </c>
    </row>
    <row r="3728" ht="15.75" customHeight="1">
      <c r="A3728" s="4">
        <v>1062.0</v>
      </c>
      <c r="B3728" s="4" t="s">
        <v>464</v>
      </c>
      <c r="D3728" s="4" t="s">
        <v>5564</v>
      </c>
      <c r="E3728" s="4">
        <v>0.0</v>
      </c>
      <c r="F3728" s="4" t="str">
        <f>IFERROR(__xludf.DUMMYFUNCTION("GOOGLETRANSLATE(D3728)"),"死侍已經是我最喜歡的漫威角色之一，我所知道的是他穿著紅色套裝，所以壞人無法判斷他是否在流血")</f>
        <v>死侍已經是我最喜歡的漫威角色之一，我所知道的是他穿著紅色套裝，所以壞人無法判斷他是否在流血</v>
      </c>
      <c r="G3728" s="4" t="str">
        <f>IFERROR(__xludf.DUMMYFUNCTION("GOOGLETRANSLATE(B3728)"),"流血的")</f>
        <v>流血的</v>
      </c>
    </row>
    <row r="3729" ht="15.75" customHeight="1">
      <c r="A3729" s="4">
        <v>1066.0</v>
      </c>
      <c r="B3729" s="4" t="s">
        <v>464</v>
      </c>
      <c r="D3729" s="4" t="s">
        <v>5565</v>
      </c>
      <c r="E3729" s="4">
        <v>0.0</v>
      </c>
      <c r="F3729" s="4" t="str">
        <f>IFERROR(__xludf.DUMMYFUNCTION("GOOGLETRANSLATE(D3729)"),"@SoDamnTrue 我們知道你是誰，你是個熱血沸騰的把妹達人")</f>
        <v>@SoDamnTrue 我們知道你是誰，你是個熱血沸騰的把妹達人</v>
      </c>
      <c r="G3729" s="4" t="str">
        <f>IFERROR(__xludf.DUMMYFUNCTION("GOOGLETRANSLATE(B3729)"),"流血的")</f>
        <v>流血的</v>
      </c>
    </row>
    <row r="3730" ht="15.75" customHeight="1">
      <c r="A3730" s="4">
        <v>1067.0</v>
      </c>
      <c r="B3730" s="4" t="s">
        <v>464</v>
      </c>
      <c r="C3730" s="4" t="s">
        <v>5566</v>
      </c>
      <c r="D3730" s="4" t="s">
        <v>5567</v>
      </c>
      <c r="E3730" s="4">
        <v>0.0</v>
      </c>
      <c r="F3730" s="4" t="str">
        <f>IFERROR(__xludf.DUMMYFUNCTION("GOOGLETRANSLATE(D3730)"),"@chaosmagician97 太棒了！！我看到他流血很嚴重")</f>
        <v>@chaosmagician97 太棒了！！我看到他流血很嚴重</v>
      </c>
      <c r="G3730" s="4" t="str">
        <f>IFERROR(__xludf.DUMMYFUNCTION("GOOGLETRANSLATE(B3730)"),"流血的")</f>
        <v>流血的</v>
      </c>
    </row>
    <row r="3731" ht="15.75" customHeight="1">
      <c r="A3731" s="4">
        <v>1069.0</v>
      </c>
      <c r="B3731" s="4" t="s">
        <v>464</v>
      </c>
      <c r="C3731" s="4" t="s">
        <v>5568</v>
      </c>
      <c r="D3731" s="4" t="s">
        <v>5569</v>
      </c>
      <c r="E3731" s="4">
        <v>0.0</v>
      </c>
      <c r="F3731" s="4" t="str">
        <f>IFERROR(__xludf.DUMMYFUNCTION("GOOGLETRANSLATE(D3731)"),"@burberryant 腦部出血不知道原因")</f>
        <v>@burberryant 腦部出血不知道原因</v>
      </c>
      <c r="G3731" s="4" t="str">
        <f>IFERROR(__xludf.DUMMYFUNCTION("GOOGLETRANSLATE(B3731)"),"流血的")</f>
        <v>流血的</v>
      </c>
    </row>
    <row r="3732" ht="15.75" customHeight="1">
      <c r="A3732" s="4">
        <v>1070.0</v>
      </c>
      <c r="B3732" s="4" t="s">
        <v>464</v>
      </c>
      <c r="C3732" s="4" t="s">
        <v>5570</v>
      </c>
      <c r="D3732" s="4" t="s">
        <v>5571</v>
      </c>
      <c r="E3732" s="4">
        <v>0.0</v>
      </c>
      <c r="F3732" s="4" t="str">
        <f>IFERROR(__xludf.DUMMYFUNCTION("GOOGLETRANSLATE(D3732)"),"當你的臉流血時，讓我們看看你的足球技術有多好")</f>
        <v>當你的臉流血時，讓我們看看你的足球技術有多好</v>
      </c>
      <c r="G3732" s="4" t="str">
        <f>IFERROR(__xludf.DUMMYFUNCTION("GOOGLETRANSLATE(B3732)"),"流血的")</f>
        <v>流血的</v>
      </c>
    </row>
    <row r="3733" ht="15.75" customHeight="1">
      <c r="A3733" s="4">
        <v>1071.0</v>
      </c>
      <c r="B3733" s="4" t="s">
        <v>464</v>
      </c>
      <c r="D3733" s="4" t="s">
        <v>5572</v>
      </c>
      <c r="E3733" s="4">
        <v>0.0</v>
      </c>
      <c r="F3733" s="4" t="str">
        <f>IFERROR(__xludf.DUMMYFUNCTION("GOOGLETRANSLATE(D3733)"),"@tammy_w1997 @ElijahMallari 當他在酒吧工作的時候，他在公寓裡流血的野東西到處亂跑？？？？？？？？")</f>
        <v>@tammy_w1997 @ElijahMallari 當他在酒吧工作的時候，他在公寓裡流血的野東西到處亂跑？？？？？？？？</v>
      </c>
      <c r="G3733" s="4" t="str">
        <f>IFERROR(__xludf.DUMMYFUNCTION("GOOGLETRANSLATE(B3733)"),"流血的")</f>
        <v>流血的</v>
      </c>
    </row>
    <row r="3734" ht="15.75" customHeight="1">
      <c r="A3734" s="4">
        <v>1072.0</v>
      </c>
      <c r="B3734" s="4" t="s">
        <v>464</v>
      </c>
      <c r="C3734" s="4" t="s">
        <v>5573</v>
      </c>
      <c r="D3734" s="4" t="s">
        <v>5574</v>
      </c>
      <c r="E3734" s="4">
        <v>0.0</v>
      </c>
      <c r="F3734" s="4" t="str">
        <f>IFERROR(__xludf.DUMMYFUNCTION("GOOGLETRANSLATE(D3734)"),"@ColoicCarnality 你正在流血，我的本能被激發了。*她把目光移開，撓了撓後腦勺*")</f>
        <v>@ColoicCarnality 你正在流血，我的本能被激發了。*她把目光移開，撓了撓後腦勺*</v>
      </c>
      <c r="G3734" s="4" t="str">
        <f>IFERROR(__xludf.DUMMYFUNCTION("GOOGLETRANSLATE(B3734)"),"流血的")</f>
        <v>流血的</v>
      </c>
    </row>
    <row r="3735" ht="15.75" customHeight="1">
      <c r="A3735" s="4">
        <v>1073.0</v>
      </c>
      <c r="B3735" s="4" t="s">
        <v>464</v>
      </c>
      <c r="C3735" s="4" t="s">
        <v>5575</v>
      </c>
      <c r="D3735" s="4" t="s">
        <v>5576</v>
      </c>
      <c r="E3735" s="4">
        <v>0.0</v>
      </c>
      <c r="F3735" s="4" t="str">
        <f>IFERROR(__xludf.DUMMYFUNCTION("GOOGLETRANSLATE(D3735)"),"我的耳朵在流血，我恨斯特凡諾")</f>
        <v>我的耳朵在流血，我恨斯特凡諾</v>
      </c>
      <c r="G3735" s="4" t="str">
        <f>IFERROR(__xludf.DUMMYFUNCTION("GOOGLETRANSLATE(B3735)"),"流血的")</f>
        <v>流血的</v>
      </c>
    </row>
    <row r="3736" ht="15.75" customHeight="1">
      <c r="A3736" s="4">
        <v>1074.0</v>
      </c>
      <c r="B3736" s="4" t="s">
        <v>464</v>
      </c>
      <c r="C3736" s="4" t="s">
        <v>5577</v>
      </c>
      <c r="D3736" s="4" t="s">
        <v>5578</v>
      </c>
      <c r="E3736" s="4">
        <v>0.0</v>
      </c>
      <c r="F3736" s="4" t="str">
        <f>IFERROR(__xludf.DUMMYFUNCTION("GOOGLETRANSLATE(D3736)"),"我的耳朵又開始流血了…")</f>
        <v>我的耳朵又開始流血了…</v>
      </c>
      <c r="G3736" s="4" t="str">
        <f>IFERROR(__xludf.DUMMYFUNCTION("GOOGLETRANSLATE(B3736)"),"流血的")</f>
        <v>流血的</v>
      </c>
    </row>
    <row r="3737" ht="15.75" customHeight="1">
      <c r="A3737" s="4">
        <v>1077.0</v>
      </c>
      <c r="B3737" s="4" t="s">
        <v>464</v>
      </c>
      <c r="D3737" s="4" t="s">
        <v>5579</v>
      </c>
      <c r="E3737" s="4">
        <v>0.0</v>
      </c>
      <c r="F3737" s="4" t="str">
        <f>IFERROR(__xludf.DUMMYFUNCTION("GOOGLETRANSLATE(D3737)"),"一場狂歡婚禮？我看到這個我的眼睛在流血嗎")</f>
        <v>一場狂歡婚禮？我看到這個我的眼睛在流血嗎</v>
      </c>
      <c r="G3737" s="4" t="str">
        <f>IFERROR(__xludf.DUMMYFUNCTION("GOOGLETRANSLATE(B3737)"),"流血的")</f>
        <v>流血的</v>
      </c>
    </row>
    <row r="3738" ht="15.75" customHeight="1">
      <c r="A3738" s="4">
        <v>1078.0</v>
      </c>
      <c r="B3738" s="4" t="s">
        <v>464</v>
      </c>
      <c r="C3738" s="4" t="s">
        <v>5580</v>
      </c>
      <c r="D3738" s="4" t="s">
        <v>5581</v>
      </c>
      <c r="E3738" s="4">
        <v>0.0</v>
      </c>
      <c r="F3738" s="4" t="str">
        <f>IFERROR(__xludf.DUMMYFUNCTION("GOOGLETRANSLATE(D3738)"),"他們說壞事的發生是有原因的
但任何明智的言語都無法止血")</f>
        <v>他們說壞事的發生是有原因的
但任何明智的言語都無法止血</v>
      </c>
      <c r="G3738" s="4" t="str">
        <f>IFERROR(__xludf.DUMMYFUNCTION("GOOGLETRANSLATE(B3738)"),"流血的")</f>
        <v>流血的</v>
      </c>
    </row>
    <row r="3739" ht="15.75" customHeight="1">
      <c r="A3739" s="4">
        <v>1079.0</v>
      </c>
      <c r="B3739" s="4" t="s">
        <v>474</v>
      </c>
      <c r="D3739" s="4" t="s">
        <v>5582</v>
      </c>
      <c r="E3739" s="4">
        <v>0.0</v>
      </c>
      <c r="F3739" s="4" t="str">
        <f>IFERROR(__xludf.DUMMYFUNCTION("GOOGLETRANSLATE(D3739)"),"@DamnAarielle 你的時間線爆炸得太快了")</f>
        <v>@DamnAarielle 你的時間線爆炸得太快了</v>
      </c>
      <c r="G3739" s="4" t="str">
        <f>IFERROR(__xludf.DUMMYFUNCTION("GOOGLETRANSLATE(B3739)"),"爆炸%20up")</f>
        <v>爆炸%20up</v>
      </c>
    </row>
    <row r="3740" ht="15.75" customHeight="1">
      <c r="A3740" s="4">
        <v>1080.0</v>
      </c>
      <c r="B3740" s="4" t="s">
        <v>474</v>
      </c>
      <c r="C3740" s="4" t="s">
        <v>1764</v>
      </c>
      <c r="D3740" s="4" t="s">
        <v>5583</v>
      </c>
      <c r="E3740" s="4">
        <v>0.0</v>
      </c>
      <c r="F3740" s="4" t="str">
        <f>IFERROR(__xludf.DUMMYFUNCTION("GOOGLETRANSLATE(D3740)"),"@mfalcon21 去看看。直接用原子彈炸掉了。")</f>
        <v>@mfalcon21 去看看。直接用原子彈炸掉了。</v>
      </c>
      <c r="G3740" s="4" t="str">
        <f>IFERROR(__xludf.DUMMYFUNCTION("GOOGLETRANSLATE(B3740)"),"爆炸%20up")</f>
        <v>爆炸%20up</v>
      </c>
    </row>
    <row r="3741" ht="15.75" customHeight="1">
      <c r="A3741" s="4">
        <v>1081.0</v>
      </c>
      <c r="B3741" s="4" t="s">
        <v>474</v>
      </c>
      <c r="D3741" s="4" t="s">
        <v>5584</v>
      </c>
      <c r="E3741" s="4">
        <v>0.0</v>
      </c>
      <c r="F3741" s="4" t="str">
        <f>IFERROR(__xludf.DUMMYFUNCTION("GOOGLETRANSLATE(D3741)"),"我引爆了#oomf instagrams，因為她很可愛，而且她是個活躍的追隨者")</f>
        <v>我引爆了#oomf instagrams，因為她很可愛，而且她是個活躍的追隨者</v>
      </c>
      <c r="G3741" s="4" t="str">
        <f>IFERROR(__xludf.DUMMYFUNCTION("GOOGLETRANSLATE(B3741)"),"爆炸%20up")</f>
        <v>爆炸%20up</v>
      </c>
    </row>
    <row r="3742" ht="15.75" customHeight="1">
      <c r="A3742" s="4">
        <v>1082.0</v>
      </c>
      <c r="B3742" s="4" t="s">
        <v>474</v>
      </c>
      <c r="C3742" s="4" t="s">
        <v>5585</v>
      </c>
      <c r="D3742" s="4" t="s">
        <v>5586</v>
      </c>
      <c r="E3742" s="4">
        <v>0.0</v>
      </c>
      <c r="F3742" s="4" t="str">
        <f>IFERROR(__xludf.DUMMYFUNCTION("GOOGLETRANSLATE(D3742)"),"@b24fowler 我明白了！太瘋狂了，這條線怎麼炸了。")</f>
        <v>@b24fowler 我明白了！太瘋狂了，這條線怎麼炸了。</v>
      </c>
      <c r="G3742" s="4" t="str">
        <f>IFERROR(__xludf.DUMMYFUNCTION("GOOGLETRANSLATE(B3742)"),"爆炸%20up")</f>
        <v>爆炸%20up</v>
      </c>
    </row>
    <row r="3743" ht="15.75" customHeight="1">
      <c r="A3743" s="4">
        <v>1083.0</v>
      </c>
      <c r="B3743" s="4" t="s">
        <v>474</v>
      </c>
      <c r="C3743" s="4" t="s">
        <v>5587</v>
      </c>
      <c r="D3743" s="4" t="s">
        <v>5588</v>
      </c>
      <c r="E3743" s="4">
        <v>0.0</v>
      </c>
      <c r="F3743" s="4" t="str">
        <f>IFERROR(__xludf.DUMMYFUNCTION("GOOGLETRANSLATE(D3743)"),"我的 Instagram 剛剛爆炸了，顯然我今晚出現在《我是爵士樂》節目中。愛她是多麼的酷")</f>
        <v>我的 Instagram 剛剛爆炸了，顯然我今晚出現在《我是爵士樂》節目中。愛她是多麼的酷</v>
      </c>
      <c r="G3743" s="4" t="str">
        <f>IFERROR(__xludf.DUMMYFUNCTION("GOOGLETRANSLATE(B3743)"),"爆炸%20up")</f>
        <v>爆炸%20up</v>
      </c>
    </row>
    <row r="3744" ht="15.75" customHeight="1">
      <c r="A3744" s="4">
        <v>1084.0</v>
      </c>
      <c r="B3744" s="4" t="s">
        <v>474</v>
      </c>
      <c r="C3744" s="4" t="s">
        <v>5589</v>
      </c>
      <c r="D3744" s="4" t="s">
        <v>5590</v>
      </c>
      <c r="E3744" s="4">
        <v>0.0</v>
      </c>
      <c r="F3744" s="4" t="str">
        <f>IFERROR(__xludf.DUMMYFUNCTION("GOOGLETRANSLATE(D3744)"),"即使她因為一些愚蠢的失誤而炸毀了整個太陽系，我仍然會是阿薩吉隊")</f>
        <v>即使她因為一些愚蠢的失誤而炸毀了整個太陽系，我仍然會是阿薩吉隊</v>
      </c>
      <c r="G3744" s="4" t="str">
        <f>IFERROR(__xludf.DUMMYFUNCTION("GOOGLETRANSLATE(B3744)"),"爆炸%20up")</f>
        <v>爆炸%20up</v>
      </c>
    </row>
    <row r="3745" ht="15.75" customHeight="1">
      <c r="A3745" s="4">
        <v>1088.0</v>
      </c>
      <c r="B3745" s="4" t="s">
        <v>474</v>
      </c>
      <c r="D3745" s="4" t="s">
        <v>5591</v>
      </c>
      <c r="E3745" s="4">
        <v>0.0</v>
      </c>
      <c r="F3745" s="4" t="str">
        <f>IFERROR(__xludf.DUMMYFUNCTION("GOOGLETRANSLATE(D3745)"),"我討厭那些在推特上發「收據」的人，但我知道這是錯的
但他們不會把它拆下來，因為它“爆炸了”
gtfo 你真是太絕望了")</f>
        <v>我討厭那些在推特上發「收據」的人，但我知道這是錯的
但他們不會把它拆下來，因為它“爆炸了”
gtfo 你真是太絕望了</v>
      </c>
      <c r="G3745" s="4" t="str">
        <f>IFERROR(__xludf.DUMMYFUNCTION("GOOGLETRANSLATE(B3745)"),"爆炸%20up")</f>
        <v>爆炸%20up</v>
      </c>
    </row>
    <row r="3746" ht="15.75" customHeight="1">
      <c r="A3746" s="4">
        <v>1090.0</v>
      </c>
      <c r="B3746" s="4" t="s">
        <v>474</v>
      </c>
      <c r="D3746" s="4" t="s">
        <v>5592</v>
      </c>
      <c r="E3746" s="4">
        <v>0.0</v>
      </c>
      <c r="F3746" s="4" t="str">
        <f>IFERROR(__xludf.DUMMYFUNCTION("GOOGLETRANSLATE(D3746)"),"我想我剛剛炸毀了@HopeInHearts 通知。去看看她對我有多鼓勵？？？愛她 ？？")</f>
        <v>我想我剛剛炸毀了@HopeInHearts 通知。去看看她對我有多鼓勵？？？愛她 ？？</v>
      </c>
      <c r="G3746" s="4" t="str">
        <f>IFERROR(__xludf.DUMMYFUNCTION("GOOGLETRANSLATE(B3746)"),"爆炸%20up")</f>
        <v>爆炸%20up</v>
      </c>
    </row>
    <row r="3747" ht="15.75" customHeight="1">
      <c r="A3747" s="4">
        <v>1091.0</v>
      </c>
      <c r="B3747" s="4" t="s">
        <v>474</v>
      </c>
      <c r="C3747" s="4" t="s">
        <v>915</v>
      </c>
      <c r="D3747" s="4" t="s">
        <v>5593</v>
      </c>
      <c r="E3747" s="4">
        <v>0.0</v>
      </c>
      <c r="F3747" s="4" t="str">
        <f>IFERROR(__xludf.DUMMYFUNCTION("GOOGLETRANSLATE(D3747)"),"Hw18 將會 90-100。老兄一直跟上我。走同一個出口。把車停到一邊並告訴我他的引擎燒毀了。哈哈#2fast2furious")</f>
        <v>Hw18 將會 90-100。老兄一直跟上我。走同一個出口。把車停到一邊並告訴我他的引擎燒毀了。哈哈#2fast2furious</v>
      </c>
      <c r="G3747" s="4" t="str">
        <f>IFERROR(__xludf.DUMMYFUNCTION("GOOGLETRANSLATE(B3747)"),"爆炸%20up")</f>
        <v>爆炸%20up</v>
      </c>
    </row>
    <row r="3748" ht="15.75" customHeight="1">
      <c r="A3748" s="4">
        <v>1093.0</v>
      </c>
      <c r="B3748" s="4" t="s">
        <v>474</v>
      </c>
      <c r="C3748" s="4" t="s">
        <v>5594</v>
      </c>
      <c r="D3748" s="4" t="s">
        <v>5595</v>
      </c>
      <c r="E3748" s="4">
        <v>0.0</v>
      </c>
      <c r="F3748" s="4" t="str">
        <f>IFERROR(__xludf.DUMMYFUNCTION("GOOGLETRANSLATE(D3748)"),"宇宙可能實際上並不存在，科學家說http://t.co/DEfJ7XeKgX「#SUN 爆炸，#Earth 開始」...")</f>
        <v>宇宙可能實際上並不存在，科學家說http://t.co/DEfJ7XeKgX「#SUN 爆炸，#Earth 開始」...</v>
      </c>
      <c r="G3748" s="4" t="str">
        <f>IFERROR(__xludf.DUMMYFUNCTION("GOOGLETRANSLATE(B3748)"),"爆炸%20up")</f>
        <v>爆炸%20up</v>
      </c>
    </row>
    <row r="3749" ht="15.75" customHeight="1">
      <c r="A3749" s="4">
        <v>1094.0</v>
      </c>
      <c r="B3749" s="4" t="s">
        <v>474</v>
      </c>
      <c r="C3749" s="4" t="s">
        <v>5596</v>
      </c>
      <c r="D3749" s="4" t="s">
        <v>5597</v>
      </c>
      <c r="E3749" s="4">
        <v>0.0</v>
      </c>
      <c r="F3749" s="4" t="str">
        <f>IFERROR(__xludf.DUMMYFUNCTION("GOOGLETRANSLATE(D3749)"),"麥克斯爆炸了！ ????開槍了？？？ #鯰魚MTV")</f>
        <v>麥克斯爆炸了！ ????開槍了？？？ #鯰魚MTV</v>
      </c>
      <c r="G3749" s="4" t="str">
        <f>IFERROR(__xludf.DUMMYFUNCTION("GOOGLETRANSLATE(B3749)"),"爆炸%20up")</f>
        <v>爆炸%20up</v>
      </c>
    </row>
    <row r="3750" ht="15.75" customHeight="1">
      <c r="A3750" s="4">
        <v>1098.0</v>
      </c>
      <c r="B3750" s="4" t="s">
        <v>474</v>
      </c>
      <c r="C3750" s="4" t="s">
        <v>5598</v>
      </c>
      <c r="D3750" s="4" t="s">
        <v>5599</v>
      </c>
      <c r="E3750" s="4">
        <v>0.0</v>
      </c>
      <c r="F3750" s="4" t="str">
        <f>IFERROR(__xludf.DUMMYFUNCTION("GOOGLETRANSLATE(D3750)"),"瑞克和莫蒂 - 他們爆炸了：http://t.co/UQKX5VbiuM")</f>
        <v>瑞克和莫蒂 - 他們爆炸了：http://t.co/UQKX5VbiuM</v>
      </c>
      <c r="G3750" s="4" t="str">
        <f>IFERROR(__xludf.DUMMYFUNCTION("GOOGLETRANSLATE(B3750)"),"爆炸%20up")</f>
        <v>爆炸%20up</v>
      </c>
    </row>
    <row r="3751" ht="15.75" customHeight="1">
      <c r="A3751" s="4">
        <v>1099.0</v>
      </c>
      <c r="B3751" s="4" t="s">
        <v>474</v>
      </c>
      <c r="C3751" s="4" t="s">
        <v>5600</v>
      </c>
      <c r="D3751" s="4" t="s">
        <v>5601</v>
      </c>
      <c r="E3751" s="4">
        <v>0.0</v>
      </c>
      <c r="F3751" s="4" t="str">
        <f>IFERROR(__xludf.DUMMYFUNCTION("GOOGLETRANSLATE(D3751)"),"@CodyThompson25 ty 剛剛炸毀了發動機，著火了，他沒事了")</f>
        <v>@CodyThompson25 ty 剛剛炸毀了發動機，著火了，他沒事了</v>
      </c>
      <c r="G3751" s="4" t="str">
        <f>IFERROR(__xludf.DUMMYFUNCTION("GOOGLETRANSLATE(B3751)"),"爆炸%20up")</f>
        <v>爆炸%20up</v>
      </c>
    </row>
    <row r="3752" ht="15.75" customHeight="1">
      <c r="A3752" s="4">
        <v>1102.0</v>
      </c>
      <c r="B3752" s="4" t="s">
        <v>474</v>
      </c>
      <c r="C3752" s="4" t="s">
        <v>2753</v>
      </c>
      <c r="D3752" s="4" t="s">
        <v>5602</v>
      </c>
      <c r="E3752" s="4">
        <v>0.0</v>
      </c>
      <c r="F3752" s="4" t="str">
        <f>IFERROR(__xludf.DUMMYFUNCTION("GOOGLETRANSLATE(D3752)"),"剛剛意識到我的兄弟 @_OnlyFTF 在《那是什麼》爆炸之前就參與其中了 @ 象牙？遊戲@robsimss @CantMissKid")</f>
        <v>剛剛意識到我的兄弟 @_OnlyFTF 在《那是什麼》爆炸之前就參與其中了 @ 象牙？遊戲@robsimss @CantMissKid</v>
      </c>
      <c r="G3752" s="4" t="str">
        <f>IFERROR(__xludf.DUMMYFUNCTION("GOOGLETRANSLATE(B3752)"),"爆炸%20up")</f>
        <v>爆炸%20up</v>
      </c>
    </row>
    <row r="3753" ht="15.75" customHeight="1">
      <c r="A3753" s="4">
        <v>1103.0</v>
      </c>
      <c r="B3753" s="4" t="s">
        <v>474</v>
      </c>
      <c r="D3753" s="4" t="s">
        <v>5603</v>
      </c>
      <c r="E3753" s="4">
        <v>0.0</v>
      </c>
      <c r="F3753" s="4" t="str">
        <f>IFERROR(__xludf.DUMMYFUNCTION("GOOGLETRANSLATE(D3753)"),"今晚rq就炸了")</f>
        <v>今晚rq就炸了</v>
      </c>
      <c r="G3753" s="4" t="str">
        <f>IFERROR(__xludf.DUMMYFUNCTION("GOOGLETRANSLATE(B3753)"),"爆炸%20up")</f>
        <v>爆炸%20up</v>
      </c>
    </row>
    <row r="3754" ht="15.75" customHeight="1">
      <c r="A3754" s="4">
        <v>1104.0</v>
      </c>
      <c r="B3754" s="4" t="s">
        <v>474</v>
      </c>
      <c r="D3754" s="4" t="s">
        <v>5604</v>
      </c>
      <c r="E3754" s="4">
        <v>0.0</v>
      </c>
      <c r="F3754" s="4" t="str">
        <f>IFERROR(__xludf.DUMMYFUNCTION("GOOGLETRANSLATE(D3754)"),"我無緣無故炸掉了snapchat？？")</f>
        <v>我無緣無故炸掉了snapchat？？</v>
      </c>
      <c r="G3754" s="4" t="str">
        <f>IFERROR(__xludf.DUMMYFUNCTION("GOOGLETRANSLATE(B3754)"),"爆炸%20up")</f>
        <v>爆炸%20up</v>
      </c>
    </row>
    <row r="3755" ht="15.75" customHeight="1">
      <c r="A3755" s="4">
        <v>1105.0</v>
      </c>
      <c r="B3755" s="4" t="s">
        <v>474</v>
      </c>
      <c r="D3755" s="4" t="s">
        <v>5605</v>
      </c>
      <c r="E3755" s="4">
        <v>0.0</v>
      </c>
      <c r="F3755" s="4" t="str">
        <f>IFERROR(__xludf.DUMMYFUNCTION("GOOGLETRANSLATE(D3755)"),"皇后棄兵進展順利，直到阿納金炸毀了機器人控制船。哦，好吧，還是很有趣！下一個根本停不下來！ #WBC2015")</f>
        <v>皇后棄兵進展順利，直到阿納金炸毀了機器人控制船。哦，好吧，還是很有趣！下一個根本停不下來！ #WBC2015</v>
      </c>
      <c r="G3755" s="4" t="str">
        <f>IFERROR(__xludf.DUMMYFUNCTION("GOOGLETRANSLATE(B3755)"),"爆炸%20up")</f>
        <v>爆炸%20up</v>
      </c>
    </row>
    <row r="3756" ht="15.75" customHeight="1">
      <c r="A3756" s="4">
        <v>1106.0</v>
      </c>
      <c r="B3756" s="4" t="s">
        <v>474</v>
      </c>
      <c r="C3756" s="4" t="s">
        <v>2145</v>
      </c>
      <c r="D3756" s="4" t="s">
        <v>5606</v>
      </c>
      <c r="E3756" s="4">
        <v>0.0</v>
      </c>
      <c r="F3756" s="4" t="str">
        <f>IFERROR(__xludf.DUMMYFUNCTION("GOOGLETRANSLATE(D3756)"),"@iphooey @TIME 諷刺的是 Michele Bachmann 在 11 年與 Ron Paul 和 Ron Paul 一起提出了這個問題。每個人都對她不屑一顧，並稱之為惡作劇。她終於說對了")</f>
        <v>@iphooey @TIME 諷刺的是 Michele Bachmann 在 11 年與 Ron Paul 和 Ron Paul 一起提出了這個問題。每個人都對她不屑一顧，並稱之為惡作劇。她終於說對了</v>
      </c>
      <c r="G3756" s="4" t="str">
        <f>IFERROR(__xludf.DUMMYFUNCTION("GOOGLETRANSLATE(B3756)"),"爆炸%20up")</f>
        <v>爆炸%20up</v>
      </c>
    </row>
    <row r="3757" ht="15.75" customHeight="1">
      <c r="A3757" s="4">
        <v>1109.0</v>
      </c>
      <c r="B3757" s="4" t="s">
        <v>474</v>
      </c>
      <c r="D3757" s="4" t="s">
        <v>5607</v>
      </c>
      <c r="E3757" s="4">
        <v>0.0</v>
      </c>
      <c r="F3757" s="4" t="str">
        <f>IFERROR(__xludf.DUMMYFUNCTION("GOOGLETRANSLATE(D3757)"),"鯰魚轉發了我&amp;amp;我的通知爆炸了？？？？？？")</f>
        <v>鯰魚轉發了我&amp;amp;我的通知爆炸了？？？？？？</v>
      </c>
      <c r="G3757" s="4" t="str">
        <f>IFERROR(__xludf.DUMMYFUNCTION("GOOGLETRANSLATE(B3757)"),"爆炸%20up")</f>
        <v>爆炸%20up</v>
      </c>
    </row>
    <row r="3758" ht="15.75" customHeight="1">
      <c r="A3758" s="4">
        <v>1110.0</v>
      </c>
      <c r="B3758" s="4" t="s">
        <v>474</v>
      </c>
      <c r="C3758" s="4" t="s">
        <v>5608</v>
      </c>
      <c r="D3758" s="4" t="s">
        <v>5609</v>
      </c>
      <c r="E3758" s="4">
        <v>0.0</v>
      </c>
      <c r="F3758" s="4" t="str">
        <f>IFERROR(__xludf.DUMMYFUNCTION("GOOGLETRANSLATE(D3758)"),"有人在停車場對我吹口哨&amp;amp;上車時風把我的裙子吹起來了，這也無濟於事？")</f>
        <v>有人在停車場對我吹口哨&amp;amp;上車時風把我的裙子吹起來了，這也無濟於事？</v>
      </c>
      <c r="G3758" s="4" t="str">
        <f>IFERROR(__xludf.DUMMYFUNCTION("GOOGLETRANSLATE(B3758)"),"爆炸%20up")</f>
        <v>爆炸%20up</v>
      </c>
    </row>
    <row r="3759" ht="15.75" customHeight="1">
      <c r="A3759" s="4">
        <v>1112.0</v>
      </c>
      <c r="B3759" s="4" t="s">
        <v>474</v>
      </c>
      <c r="C3759" s="4" t="s">
        <v>5610</v>
      </c>
      <c r="D3759" s="4" t="s">
        <v>5611</v>
      </c>
      <c r="E3759" s="4">
        <v>0.0</v>
      </c>
      <c r="F3759" s="4" t="str">
        <f>IFERROR(__xludf.DUMMYFUNCTION("GOOGLETRANSLATE(D3759)"),"炸掉那些提及")</f>
        <v>炸掉那些提及</v>
      </c>
      <c r="G3759" s="4" t="str">
        <f>IFERROR(__xludf.DUMMYFUNCTION("GOOGLETRANSLATE(B3759)"),"爆炸%20up")</f>
        <v>爆炸%20up</v>
      </c>
    </row>
    <row r="3760" ht="15.75" customHeight="1">
      <c r="A3760" s="4">
        <v>1113.0</v>
      </c>
      <c r="B3760" s="4" t="s">
        <v>474</v>
      </c>
      <c r="C3760" s="4" t="s">
        <v>5612</v>
      </c>
      <c r="D3760" s="4" t="s">
        <v>5613</v>
      </c>
      <c r="E3760" s="4">
        <v>0.0</v>
      </c>
      <c r="F3760" s="4" t="str">
        <f>IFERROR(__xludf.DUMMYFUNCTION("GOOGLETRANSLATE(D3760)"),"第一次有人炸掉我的手機 30 次，就會被封鎖。相信它。 ＃鯰魚")</f>
        <v>第一次有人炸掉我的手機 30 次，就會被封鎖。相信它。 ＃鯰魚</v>
      </c>
      <c r="G3760" s="4" t="str">
        <f>IFERROR(__xludf.DUMMYFUNCTION("GOOGLETRANSLATE(B3760)"),"爆炸%20up")</f>
        <v>爆炸%20up</v>
      </c>
    </row>
    <row r="3761" ht="15.75" customHeight="1">
      <c r="A3761" s="4">
        <v>1114.0</v>
      </c>
      <c r="B3761" s="4" t="s">
        <v>474</v>
      </c>
      <c r="D3761" s="4" t="s">
        <v>5614</v>
      </c>
      <c r="E3761" s="4">
        <v>0.0</v>
      </c>
      <c r="F3761" s="4" t="str">
        <f>IFERROR(__xludf.DUMMYFUNCTION("GOOGLETRANSLATE(D3761)"),"@ImAwesome7986 就像字面上的爆炸一樣")</f>
        <v>@ImAwesome7986 就像字面上的爆炸一樣</v>
      </c>
      <c r="G3761" s="4" t="str">
        <f>IFERROR(__xludf.DUMMYFUNCTION("GOOGLETRANSLATE(B3761)"),"爆炸%20up")</f>
        <v>爆炸%20up</v>
      </c>
    </row>
    <row r="3762" ht="15.75" customHeight="1">
      <c r="A3762" s="4">
        <v>1117.0</v>
      </c>
      <c r="B3762" s="4" t="s">
        <v>474</v>
      </c>
      <c r="C3762" s="4" t="s">
        <v>5615</v>
      </c>
      <c r="D3762" s="4" t="s">
        <v>5616</v>
      </c>
      <c r="E3762" s="4">
        <v>0.0</v>
      </c>
      <c r="F3762" s="4" t="str">
        <f>IFERROR(__xludf.DUMMYFUNCTION("GOOGLETRANSLATE(D3762)"),"弗雷亞斯的影片到處瘋傳")</f>
        <v>弗雷亞斯的影片到處瘋傳</v>
      </c>
      <c r="G3762" s="4" t="str">
        <f>IFERROR(__xludf.DUMMYFUNCTION("GOOGLETRANSLATE(B3762)"),"爆炸%20up")</f>
        <v>爆炸%20up</v>
      </c>
    </row>
    <row r="3763" ht="15.75" customHeight="1">
      <c r="A3763" s="4">
        <v>1118.0</v>
      </c>
      <c r="B3763" s="4" t="s">
        <v>474</v>
      </c>
      <c r="C3763" s="4" t="s">
        <v>923</v>
      </c>
      <c r="D3763" s="4" t="s">
        <v>5617</v>
      </c>
      <c r="E3763" s="4">
        <v>0.0</v>
      </c>
      <c r="F3763" s="4" t="str">
        <f>IFERROR(__xludf.DUMMYFUNCTION("GOOGLETRANSLATE(D3763)"),"@YahooSchwab 在雷賴斯慘敗之後讓自己看起來不錯的簡單方法...那場爆炸")</f>
        <v>@YahooSchwab 在雷賴斯慘敗之後讓自己看起來不錯的簡單方法...那場爆炸</v>
      </c>
      <c r="G3763" s="4" t="str">
        <f>IFERROR(__xludf.DUMMYFUNCTION("GOOGLETRANSLATE(B3763)"),"爆炸%20up")</f>
        <v>爆炸%20up</v>
      </c>
    </row>
    <row r="3764" ht="15.75" customHeight="1">
      <c r="A3764" s="4">
        <v>1119.0</v>
      </c>
      <c r="B3764" s="4" t="s">
        <v>474</v>
      </c>
      <c r="C3764" s="4" t="s">
        <v>5618</v>
      </c>
      <c r="D3764" s="4" t="s">
        <v>5619</v>
      </c>
      <c r="E3764" s="4">
        <v>0.0</v>
      </c>
      <c r="F3764" s="4" t="str">
        <f>IFERROR(__xludf.DUMMYFUNCTION("GOOGLETRANSLATE(D3764)"),"Lmao 那個淺膚色的傢伙在推特上因談論他小時候有多醜而引爆了..")</f>
        <v>Lmao 那個淺膚色的傢伙在推特上因談論他小時候有多醜而引爆了..</v>
      </c>
      <c r="G3764" s="4" t="str">
        <f>IFERROR(__xludf.DUMMYFUNCTION("GOOGLETRANSLATE(B3764)"),"爆炸%20up")</f>
        <v>爆炸%20up</v>
      </c>
    </row>
    <row r="3765" ht="15.75" customHeight="1">
      <c r="A3765" s="4">
        <v>1120.0</v>
      </c>
      <c r="B3765" s="4" t="s">
        <v>474</v>
      </c>
      <c r="C3765" s="4" t="s">
        <v>5620</v>
      </c>
      <c r="D3765" s="4" t="s">
        <v>5621</v>
      </c>
      <c r="E3765" s="4">
        <v>0.0</v>
      </c>
      <c r="F3765" s="4" t="str">
        <f>IFERROR(__xludf.DUMMYFUNCTION("GOOGLETRANSLATE(D3765)"),"因為你看了：親愛的，我炸毀了經濟
我們推薦：保守的恐怖專櫃
#HarperANetflixShow #elxn42 #stopharper")</f>
        <v>因為你看了：親愛的，我炸毀了經濟
我們推薦：保守的恐怖專櫃
#HarperANetflixShow #elxn42 #stopharper</v>
      </c>
      <c r="G3765" s="4" t="str">
        <f>IFERROR(__xludf.DUMMYFUNCTION("GOOGLETRANSLATE(B3765)"),"爆炸%20up")</f>
        <v>爆炸%20up</v>
      </c>
    </row>
    <row r="3766" ht="15.75" customHeight="1">
      <c r="A3766" s="4">
        <v>1123.0</v>
      </c>
      <c r="B3766" s="4" t="s">
        <v>474</v>
      </c>
      <c r="D3766" s="4" t="s">
        <v>5622</v>
      </c>
      <c r="E3766" s="4">
        <v>0.0</v>
      </c>
      <c r="F3766" s="4" t="str">
        <f>IFERROR(__xludf.DUMMYFUNCTION("GOOGLETRANSLATE(D3766)"),"葉對大肖恩做了同樣的事，他還是炸了")</f>
        <v>葉對大肖恩做了同樣的事，他還是炸了</v>
      </c>
      <c r="G3766" s="4" t="str">
        <f>IFERROR(__xludf.DUMMYFUNCTION("GOOGLETRANSLATE(B3766)"),"爆炸%20up")</f>
        <v>爆炸%20up</v>
      </c>
    </row>
    <row r="3767" ht="15.75" customHeight="1">
      <c r="A3767" s="4">
        <v>1124.0</v>
      </c>
      <c r="B3767" s="4" t="s">
        <v>474</v>
      </c>
      <c r="C3767" s="4" t="s">
        <v>4764</v>
      </c>
      <c r="D3767" s="4" t="s">
        <v>5623</v>
      </c>
      <c r="E3767" s="4">
        <v>0.0</v>
      </c>
      <c r="F3767" s="4" t="str">
        <f>IFERROR(__xludf.DUMMYFUNCTION("GOOGLETRANSLATE(D3767)"),"扎恩剛剛炸毀了推特。")</f>
        <v>扎恩剛剛炸毀了推特。</v>
      </c>
      <c r="G3767" s="4" t="str">
        <f>IFERROR(__xludf.DUMMYFUNCTION("GOOGLETRANSLATE(B3767)"),"爆炸%20up")</f>
        <v>爆炸%20up</v>
      </c>
    </row>
    <row r="3768" ht="15.75" customHeight="1">
      <c r="A3768" s="4">
        <v>1126.0</v>
      </c>
      <c r="B3768" s="4" t="s">
        <v>474</v>
      </c>
      <c r="C3768" s="4" t="s">
        <v>5624</v>
      </c>
      <c r="D3768" s="4" t="s">
        <v>5625</v>
      </c>
      <c r="E3768" s="4">
        <v>0.0</v>
      </c>
      <c r="F3768" s="4" t="str">
        <f>IFERROR(__xludf.DUMMYFUNCTION("GOOGLETRANSLATE(D3768)"),"婊子完蛋了，把我的屎炸了")</f>
        <v>婊子完蛋了，把我的屎炸了</v>
      </c>
      <c r="G3768" s="4" t="str">
        <f>IFERROR(__xludf.DUMMYFUNCTION("GOOGLETRANSLATE(B3768)"),"爆炸%20up")</f>
        <v>爆炸%20up</v>
      </c>
    </row>
    <row r="3769" ht="15.75" customHeight="1">
      <c r="A3769" s="4">
        <v>1128.0</v>
      </c>
      <c r="B3769" s="4" t="s">
        <v>474</v>
      </c>
      <c r="C3769" s="4" t="s">
        <v>5626</v>
      </c>
      <c r="D3769" s="4" t="s">
        <v>5627</v>
      </c>
      <c r="E3769" s="4">
        <v>0.0</v>
      </c>
      <c r="F3769" s="4" t="str">
        <f>IFERROR(__xludf.DUMMYFUNCTION("GOOGLETRANSLATE(D3769)"),"@WeLoveRobDyrdek @adrian_peel 不是一個該死的線索。試著看看在我爆炸之前我能獲得多少點擊。我就是這樣玩的。")</f>
        <v>@WeLoveRobDyrdek @adrian_peel 不是一個該死的線索。試著看看在我爆炸之前我能獲得多少點擊。我就是這樣玩的。</v>
      </c>
      <c r="G3769" s="4" t="str">
        <f>IFERROR(__xludf.DUMMYFUNCTION("GOOGLETRANSLATE(B3769)"),"爆炸%20up")</f>
        <v>爆炸%20up</v>
      </c>
    </row>
    <row r="3770" ht="15.75" customHeight="1">
      <c r="A3770" s="4">
        <v>1129.0</v>
      </c>
      <c r="B3770" s="4" t="s">
        <v>477</v>
      </c>
      <c r="C3770" s="4" t="s">
        <v>2714</v>
      </c>
      <c r="D3770" s="4" t="s">
        <v>5628</v>
      </c>
      <c r="E3770" s="4">
        <v>0.0</v>
      </c>
      <c r="F3770" s="4" t="str">
        <f>IFERROR(__xludf.DUMMYFUNCTION("GOOGLETRANSLATE(D3770)"),"@Daorcey @nsit_ 你們是一對很棒的搭檔。就像一對灰袍守護者在與枯萎病作鬥爭......")</f>
        <v>@Daorcey @nsit_ 你們是一對很棒的搭檔。就像一對灰袍守護者在與枯萎病作鬥爭......</v>
      </c>
      <c r="G3770" s="4" t="str">
        <f>IFERROR(__xludf.DUMMYFUNCTION("GOOGLETRANSLATE(B3770)"),"枯萎病")</f>
        <v>枯萎病</v>
      </c>
    </row>
    <row r="3771" ht="15.75" customHeight="1">
      <c r="A3771" s="4">
        <v>1130.0</v>
      </c>
      <c r="B3771" s="4" t="s">
        <v>477</v>
      </c>
      <c r="C3771" s="4" t="s">
        <v>5629</v>
      </c>
      <c r="D3771" s="4" t="s">
        <v>5630</v>
      </c>
      <c r="E3771" s="4">
        <v>0.0</v>
      </c>
      <c r="F3771" s="4" t="str">
        <f>IFERROR(__xludf.DUMMYFUNCTION("GOOGLETRANSLATE(D3771)"),"@DaMidnighter 實際上有一個理論認為魔導師並不是造成枯萎病的唯一原因
那個矮人（來自")</f>
        <v>@DaMidnighter 實際上有一個理論認為魔導師並不是造成枯萎病的唯一原因
那個矮人（來自</v>
      </c>
      <c r="G3771" s="4" t="str">
        <f>IFERROR(__xludf.DUMMYFUNCTION("GOOGLETRANSLATE(B3771)"),"枯萎病")</f>
        <v>枯萎病</v>
      </c>
    </row>
    <row r="3772" ht="15.75" customHeight="1">
      <c r="A3772" s="4">
        <v>1132.0</v>
      </c>
      <c r="B3772" s="4" t="s">
        <v>477</v>
      </c>
      <c r="C3772" s="4" t="s">
        <v>482</v>
      </c>
      <c r="D3772" s="4" t="s">
        <v>5631</v>
      </c>
      <c r="E3772" s="4">
        <v>0.0</v>
      </c>
      <c r="F3772" s="4" t="str">
        <f>IFERROR(__xludf.DUMMYFUNCTION("GOOGLETRANSLATE(D3772)"),"身為自行車迷，我為世界田徑運動感到遺憾#興奮劑是一種加劇金錢獎勵的疾病。需要大量的自我反省")</f>
        <v>身為自行車迷，我為世界田徑運動感到遺憾#興奮劑是一種加劇金錢獎勵的疾病。需要大量的自我反省</v>
      </c>
      <c r="G3772" s="4" t="str">
        <f>IFERROR(__xludf.DUMMYFUNCTION("GOOGLETRANSLATE(B3772)"),"枯萎病")</f>
        <v>枯萎病</v>
      </c>
    </row>
    <row r="3773" ht="15.75" customHeight="1">
      <c r="A3773" s="4">
        <v>1134.0</v>
      </c>
      <c r="B3773" s="4" t="s">
        <v>477</v>
      </c>
      <c r="D3773" s="4" t="s">
        <v>5632</v>
      </c>
      <c r="E3773" s="4">
        <v>0.0</v>
      </c>
      <c r="F3773" s="4" t="str">
        <f>IFERROR(__xludf.DUMMYFUNCTION("GOOGLETRANSLATE(D3773)"),"@kynespeace *枯萎病")</f>
        <v>@kynespeace *枯萎病</v>
      </c>
      <c r="G3773" s="4" t="str">
        <f>IFERROR(__xludf.DUMMYFUNCTION("GOOGLETRANSLATE(B3773)"),"枯萎病")</f>
        <v>枯萎病</v>
      </c>
    </row>
    <row r="3774" ht="15.75" customHeight="1">
      <c r="A3774" s="4">
        <v>1136.0</v>
      </c>
      <c r="B3774" s="4" t="s">
        <v>477</v>
      </c>
      <c r="C3774" s="4" t="s">
        <v>183</v>
      </c>
      <c r="D3774" s="4" t="s">
        <v>5633</v>
      </c>
      <c r="E3774" s="4">
        <v>0.0</v>
      </c>
      <c r="F3774" s="4" t="str">
        <f>IFERROR(__xludf.DUMMYFUNCTION("GOOGLETRANSLATE(D3774)"),"可憐的傑克？？")</f>
        <v>可憐的傑克？？</v>
      </c>
      <c r="G3774" s="4" t="str">
        <f>IFERROR(__xludf.DUMMYFUNCTION("GOOGLETRANSLATE(B3774)"),"枯萎病")</f>
        <v>枯萎病</v>
      </c>
    </row>
    <row r="3775" ht="15.75" customHeight="1">
      <c r="A3775" s="4">
        <v>1138.0</v>
      </c>
      <c r="B3775" s="4" t="s">
        <v>477</v>
      </c>
      <c r="C3775" s="4" t="s">
        <v>5634</v>
      </c>
      <c r="D3775" s="4" t="s">
        <v>5635</v>
      </c>
      <c r="E3775" s="4">
        <v>0.0</v>
      </c>
      <c r="F3775" s="4" t="str">
        <f>IFERROR(__xludf.DUMMYFUNCTION("GOOGLETRANSLATE(D3775)"),"@realhotcullen 我同意，但我知道我們會再次走向深路，因為他們在紅色利瑞姆中發現了枯萎病。事情還沒結束&gt;_&gt;")</f>
        <v>@realhotcullen 我同意，但我知道我們會再次走向深路，因為他們在紅色利瑞姆中發現了枯萎病。事情還沒結束&gt;_&gt;</v>
      </c>
      <c r="G3775" s="4" t="str">
        <f>IFERROR(__xludf.DUMMYFUNCTION("GOOGLETRANSLATE(B3775)"),"枯萎病")</f>
        <v>枯萎病</v>
      </c>
    </row>
    <row r="3776" ht="15.75" customHeight="1">
      <c r="A3776" s="4">
        <v>1139.0</v>
      </c>
      <c r="B3776" s="4" t="s">
        <v>477</v>
      </c>
      <c r="C3776" s="4" t="s">
        <v>5636</v>
      </c>
      <c r="D3776" s="4" t="s">
        <v>5637</v>
      </c>
      <c r="E3776" s="4">
        <v>0.0</v>
      </c>
      <c r="F3776" s="4" t="str">
        <f>IFERROR(__xludf.DUMMYFUNCTION("GOOGLETRANSLATE(D3776)"),"吃點這種熱愛福利的海綿……對社會來說是個禍害。 http://t.co/rrZbZGO48N")</f>
        <v>吃點這種熱愛福利的海綿……對社會來說是個禍害。 http://t.co/rrZbZGO48N</v>
      </c>
      <c r="G3776" s="4" t="str">
        <f>IFERROR(__xludf.DUMMYFUNCTION("GOOGLETRANSLATE(B3776)"),"枯萎病")</f>
        <v>枯萎病</v>
      </c>
    </row>
    <row r="3777" ht="15.75" customHeight="1">
      <c r="A3777" s="4">
        <v>1141.0</v>
      </c>
      <c r="B3777" s="4" t="s">
        <v>477</v>
      </c>
      <c r="C3777" s="4" t="s">
        <v>5638</v>
      </c>
      <c r="D3777" s="4" t="s">
        <v>5639</v>
      </c>
      <c r="E3777" s="4">
        <v>0.0</v>
      </c>
      <c r="F3777" s="4" t="str">
        <f>IFERROR(__xludf.DUMMYFUNCTION("GOOGLETRANSLATE(D3777)"),"新貼文：普睿司曼獲得 Blight Bank 風電場合約 http://t.co/oLG09Kb6HA")</f>
        <v>新貼文：普睿司曼獲得 Blight Bank 風電場合約 http://t.co/oLG09Kb6HA</v>
      </c>
      <c r="G3777" s="4" t="str">
        <f>IFERROR(__xludf.DUMMYFUNCTION("GOOGLETRANSLATE(B3777)"),"枯萎病")</f>
        <v>枯萎病</v>
      </c>
    </row>
    <row r="3778" ht="15.75" customHeight="1">
      <c r="A3778" s="4">
        <v>1142.0</v>
      </c>
      <c r="B3778" s="4" t="s">
        <v>477</v>
      </c>
      <c r="C3778" s="4" t="s">
        <v>5640</v>
      </c>
      <c r="D3778" s="4" t="s">
        <v>5641</v>
      </c>
      <c r="E3778" s="4">
        <v>0.0</v>
      </c>
      <c r="F3778" s="4" t="str">
        <f>IFERROR(__xludf.DUMMYFUNCTION("GOOGLETRANSLATE(D3778)"),"克利夫蘭高地 Shaker Heights 對抗枯萎：隔壁的房子 http://t.co/wYOKt0ftRw")</f>
        <v>克利夫蘭高地 Shaker Heights 對抗枯萎：隔壁的房子 http://t.co/wYOKt0ftRw</v>
      </c>
      <c r="G3778" s="4" t="str">
        <f>IFERROR(__xludf.DUMMYFUNCTION("GOOGLETRANSLATE(B3778)"),"枯萎病")</f>
        <v>枯萎病</v>
      </c>
    </row>
    <row r="3779" ht="15.75" customHeight="1">
      <c r="A3779" s="4">
        <v>1145.0</v>
      </c>
      <c r="B3779" s="4" t="s">
        <v>477</v>
      </c>
      <c r="C3779" s="4" t="s">
        <v>5642</v>
      </c>
      <c r="D3779" s="4" t="s">
        <v>5643</v>
      </c>
      <c r="E3779" s="4">
        <v>0.0</v>
      </c>
      <c r="F3779" s="4" t="str">
        <f>IFERROR(__xludf.DUMMYFUNCTION("GOOGLETRANSLATE(D3779)"),"Carl Everest Rob Cobes Whitt Blight Frost Leo Snuff Godly 以及其他一些人。我會和他們一起喝啤酒。有一天。")</f>
        <v>Carl Everest Rob Cobes Whitt Blight Frost Leo Snuff Godly 以及其他一些人。我會和他們一起喝啤酒。有一天。</v>
      </c>
      <c r="G3779" s="4" t="str">
        <f>IFERROR(__xludf.DUMMYFUNCTION("GOOGLETRANSLATE(B3779)"),"枯萎病")</f>
        <v>枯萎病</v>
      </c>
    </row>
    <row r="3780" ht="15.75" customHeight="1">
      <c r="A3780" s="4">
        <v>1146.0</v>
      </c>
      <c r="B3780" s="4" t="s">
        <v>477</v>
      </c>
      <c r="D3780" s="4" t="s">
        <v>5644</v>
      </c>
      <c r="E3780" s="4">
        <v>0.0</v>
      </c>
      <c r="F3780" s="4" t="str">
        <f>IFERROR(__xludf.DUMMYFUNCTION("GOOGLETRANSLATE(D3780)"),"THDA 在孟菲斯啟動抗疫貸款工作 http://t.co/XZLRWC0PIK http://t.co/O5xlxMkoYq")</f>
        <v>THDA 在孟菲斯啟動抗疫貸款工作 http://t.co/XZLRWC0PIK http://t.co/O5xlxMkoYq</v>
      </c>
      <c r="G3780" s="4" t="str">
        <f>IFERROR(__xludf.DUMMYFUNCTION("GOOGLETRANSLATE(B3780)"),"枯萎病")</f>
        <v>枯萎病</v>
      </c>
    </row>
    <row r="3781" ht="15.75" customHeight="1">
      <c r="A3781" s="4">
        <v>1149.0</v>
      </c>
      <c r="B3781" s="4" t="s">
        <v>477</v>
      </c>
      <c r="C3781" s="4" t="s">
        <v>38</v>
      </c>
      <c r="D3781" s="4" t="s">
        <v>5645</v>
      </c>
      <c r="E3781" s="4">
        <v>0.0</v>
      </c>
      <c r="F3781" s="4" t="str">
        <f>IFERROR(__xludf.DUMMYFUNCTION("GOOGLETRANSLATE(D3781)"),"幫助將枯萎變成綠地的城市計畫：田納西州住房開發Û_ http://t.co/ZZcbBQyJ1q #news http://t.co/KKSgHsblFH")</f>
        <v>幫助將枯萎變成綠地的城市計畫：田納西州住房開發Û_ http://t.co/ZZcbBQyJ1q #news http://t.co/KKSgHsblFH</v>
      </c>
      <c r="G3781" s="4" t="str">
        <f>IFERROR(__xludf.DUMMYFUNCTION("GOOGLETRANSLATE(B3781)"),"枯萎病")</f>
        <v>枯萎病</v>
      </c>
    </row>
    <row r="3782" ht="15.75" customHeight="1">
      <c r="A3782" s="4">
        <v>1151.0</v>
      </c>
      <c r="B3782" s="4" t="s">
        <v>477</v>
      </c>
      <c r="C3782" s="4" t="s">
        <v>5646</v>
      </c>
      <c r="D3782" s="4" t="s">
        <v>5647</v>
      </c>
      <c r="E3782" s="4">
        <v>0.0</v>
      </c>
      <c r="F3782" s="4" t="str">
        <f>IFERROR(__xludf.DUMMYFUNCTION("GOOGLETRANSLATE(D3782)"),"@Demetae12 是的，我想成為新的枯萎領袖")</f>
        <v>@Demetae12 是的，我想成為新的枯萎領袖</v>
      </c>
      <c r="G3782" s="4" t="str">
        <f>IFERROR(__xludf.DUMMYFUNCTION("GOOGLETRANSLATE(B3782)"),"枯萎病")</f>
        <v>枯萎病</v>
      </c>
    </row>
    <row r="3783" ht="15.75" customHeight="1">
      <c r="A3783" s="4">
        <v>1152.0</v>
      </c>
      <c r="B3783" s="4" t="s">
        <v>477</v>
      </c>
      <c r="C3783" s="4" t="s">
        <v>5648</v>
      </c>
      <c r="D3783" s="4" t="s">
        <v>5649</v>
      </c>
      <c r="E3783" s="4">
        <v>0.0</v>
      </c>
      <c r="F3783" s="4" t="str">
        <f>IFERROR(__xludf.DUMMYFUNCTION("GOOGLETRANSLATE(D3783)"),"在規劃層面發布 -
1. Constellation - Blight on Gaia - iClown 的 Drumstep Remix
2.iClown - 無限... http://t.co/7LE5GQ2Psx")</f>
        <v>在規劃層面發布 -
1. Constellation - Blight on Gaia - iClown 的 Drumstep Remix
2.iClown - 無限... http://t.co/7LE5GQ2Psx</v>
      </c>
      <c r="G3783" s="4" t="str">
        <f>IFERROR(__xludf.DUMMYFUNCTION("GOOGLETRANSLATE(B3783)"),"枯萎病")</f>
        <v>枯萎病</v>
      </c>
    </row>
    <row r="3784" ht="15.75" customHeight="1">
      <c r="A3784" s="4">
        <v>1153.0</v>
      </c>
      <c r="B3784" s="4" t="s">
        <v>477</v>
      </c>
      <c r="D3784" s="4" t="s">
        <v>5650</v>
      </c>
      <c r="E3784" s="4">
        <v>0.0</v>
      </c>
      <c r="F3784" s="4" t="str">
        <f>IFERROR(__xludf.DUMMYFUNCTION("GOOGLETRANSLATE(D3784)"),"http://t.co/ETkd58Un8n - 克利夫蘭高地 Shaker Heights 對抗枯萎：隔壁的房子 http://t.co/LRelVrm06w")</f>
        <v>http://t.co/ETkd58Un8n - 克利夫蘭高地 Shaker Heights 對抗枯萎：隔壁的房子 http://t.co/LRelVrm06w</v>
      </c>
      <c r="G3784" s="4" t="str">
        <f>IFERROR(__xludf.DUMMYFUNCTION("GOOGLETRANSLATE(B3784)"),"枯萎病")</f>
        <v>枯萎病</v>
      </c>
    </row>
    <row r="3785" ht="15.75" customHeight="1">
      <c r="A3785" s="4">
        <v>1154.0</v>
      </c>
      <c r="B3785" s="4" t="s">
        <v>477</v>
      </c>
      <c r="C3785" s="4" t="s">
        <v>5651</v>
      </c>
      <c r="D3785" s="4" t="s">
        <v>5652</v>
      </c>
      <c r="E3785" s="4">
        <v>0.0</v>
      </c>
      <c r="F3785" s="4" t="str">
        <f>IFERROR(__xludf.DUMMYFUNCTION("GOOGLETRANSLATE(D3785)"),"「如果你想在大事上取得卓越成就，你就必須在小事上養成習慣......」不知道作者")</f>
        <v>「如果你想在大事上取得卓越成就，你就必須在小事上養成習慣......」不知道作者</v>
      </c>
      <c r="G3785" s="4" t="str">
        <f>IFERROR(__xludf.DUMMYFUNCTION("GOOGLETRANSLATE(B3785)"),"枯萎病")</f>
        <v>枯萎病</v>
      </c>
    </row>
    <row r="3786" ht="15.75" customHeight="1">
      <c r="A3786" s="4">
        <v>1155.0</v>
      </c>
      <c r="B3786" s="4" t="s">
        <v>477</v>
      </c>
      <c r="C3786" s="4" t="s">
        <v>5653</v>
      </c>
      <c r="D3786" s="4" t="s">
        <v>5654</v>
      </c>
      <c r="E3786" s="4">
        <v>0.0</v>
      </c>
      <c r="F3786" s="4" t="str">
        <f>IFERROR(__xludf.DUMMYFUNCTION("GOOGLETRANSLATE(D3786)"),"@Hendy_21 確定普迪們會在枯萎病中存活下來嗎？")</f>
        <v>@Hendy_21 確定普迪們會在枯萎病中存活下來嗎？</v>
      </c>
      <c r="G3786" s="4" t="str">
        <f>IFERROR(__xludf.DUMMYFUNCTION("GOOGLETRANSLATE(B3786)"),"枯萎病")</f>
        <v>枯萎病</v>
      </c>
    </row>
    <row r="3787" ht="15.75" customHeight="1">
      <c r="A3787" s="4">
        <v>1156.0</v>
      </c>
      <c r="B3787" s="4" t="s">
        <v>477</v>
      </c>
      <c r="C3787" s="4" t="s">
        <v>5655</v>
      </c>
      <c r="D3787" s="4" t="s">
        <v>5656</v>
      </c>
      <c r="E3787" s="4">
        <v>0.0</v>
      </c>
      <c r="F3787" s="4" t="str">
        <f>IFERROR(__xludf.DUMMYFUNCTION("GOOGLETRANSLATE(D3787)"),"崔西·布萊特 謝謝你關注我！")</f>
        <v>崔西·布萊特 謝謝你關注我！</v>
      </c>
      <c r="G3787" s="4" t="str">
        <f>IFERROR(__xludf.DUMMYFUNCTION("GOOGLETRANSLATE(B3787)"),"枯萎病")</f>
        <v>枯萎病</v>
      </c>
    </row>
    <row r="3788" ht="15.75" customHeight="1">
      <c r="A3788" s="4">
        <v>1157.0</v>
      </c>
      <c r="B3788" s="4" t="s">
        <v>477</v>
      </c>
      <c r="D3788" s="4" t="s">
        <v>5657</v>
      </c>
      <c r="E3788" s="4">
        <v>0.0</v>
      </c>
      <c r="F3788" s="4" t="str">
        <f>IFERROR(__xludf.DUMMYFUNCTION("GOOGLETRANSLATE(D3788)"),"感知橋樑枯萎病：XxhJeSC http://t.co/yBhBArajXp")</f>
        <v>感知橋樑枯萎病：XxhJeSC http://t.co/yBhBArajXp</v>
      </c>
      <c r="G3788" s="4" t="str">
        <f>IFERROR(__xludf.DUMMYFUNCTION("GOOGLETRANSLATE(B3788)"),"枯萎病")</f>
        <v>枯萎病</v>
      </c>
    </row>
    <row r="3789" ht="15.75" customHeight="1">
      <c r="A3789" s="4">
        <v>1160.0</v>
      </c>
      <c r="B3789" s="4" t="s">
        <v>477</v>
      </c>
      <c r="C3789" s="4" t="s">
        <v>5658</v>
      </c>
      <c r="D3789" s="4" t="s">
        <v>5659</v>
      </c>
      <c r="E3789" s="4">
        <v>0.0</v>
      </c>
      <c r="F3789" s="4" t="str">
        <f>IFERROR(__xludf.DUMMYFUNCTION("GOOGLETRANSLATE(D3789)"),"如果你想毀掉你的車，那就繼續吧。一旦它不屬於我了。")</f>
        <v>如果你想毀掉你的車，那就繼續吧。一旦它不屬於我了。</v>
      </c>
      <c r="G3789" s="4" t="str">
        <f>IFERROR(__xludf.DUMMYFUNCTION("GOOGLETRANSLATE(B3789)"),"枯萎病")</f>
        <v>枯萎病</v>
      </c>
    </row>
    <row r="3790" ht="15.75" customHeight="1">
      <c r="A3790" s="4">
        <v>1162.0</v>
      </c>
      <c r="B3790" s="4" t="s">
        <v>477</v>
      </c>
      <c r="C3790" s="4" t="s">
        <v>89</v>
      </c>
      <c r="D3790" s="4" t="s">
        <v>5660</v>
      </c>
      <c r="E3790" s="4">
        <v>0.0</v>
      </c>
      <c r="F3790" s="4" t="str">
        <f>IFERROR(__xludf.DUMMYFUNCTION("GOOGLETRANSLATE(D3790)"),"《性革命：女性的枯萎》已推出！ http://t.co/T8Sv2ai7sW 故事來自 @ACeBabes @HealthWeekly1 @AmateurNester")</f>
        <v>《性革命：女性的枯萎》已推出！ http://t.co/T8Sv2ai7sW 故事來自 @ACeBabes @HealthWeekly1 @AmateurNester</v>
      </c>
      <c r="G3790" s="4" t="str">
        <f>IFERROR(__xludf.DUMMYFUNCTION("GOOGLETRANSLATE(B3790)"),"枯萎病")</f>
        <v>枯萎病</v>
      </c>
    </row>
    <row r="3791" ht="15.75" customHeight="1">
      <c r="A3791" s="4">
        <v>1164.0</v>
      </c>
      <c r="B3791" s="4" t="s">
        <v>477</v>
      </c>
      <c r="C3791" s="4" t="s">
        <v>1002</v>
      </c>
      <c r="D3791" s="4" t="s">
        <v>5661</v>
      </c>
      <c r="E3791" s="4">
        <v>0.0</v>
      </c>
      <c r="F3791" s="4" t="str">
        <f>IFERROR(__xludf.DUMMYFUNCTION("GOOGLETRANSLATE(D3791)"),"就像我發誓我們將揭開的秘密是沉睡中的舊神。我想還會有另一個禍害")</f>
        <v>就像我發誓我們將揭開的秘密是沉睡中的舊神。我想還會有另一個禍害</v>
      </c>
      <c r="G3791" s="4" t="str">
        <f>IFERROR(__xludf.DUMMYFUNCTION("GOOGLETRANSLATE(B3791)"),"枯萎病")</f>
        <v>枯萎病</v>
      </c>
    </row>
    <row r="3792" ht="15.75" customHeight="1">
      <c r="A3792" s="4">
        <v>1166.0</v>
      </c>
      <c r="B3792" s="4" t="s">
        <v>477</v>
      </c>
      <c r="C3792" s="4" t="s">
        <v>183</v>
      </c>
      <c r="D3792" s="4" t="s">
        <v>5662</v>
      </c>
      <c r="E3792" s="4">
        <v>0.0</v>
      </c>
      <c r="F3792" s="4" t="str">
        <f>IFERROR(__xludf.DUMMYFUNCTION("GOOGLETRANSLATE(D3792)"),"@WillHillBet 應用程式上的雙重結果是什麼？")</f>
        <v>@WillHillBet 應用程式上的雙重結果是什麼？</v>
      </c>
      <c r="G3792" s="4" t="str">
        <f>IFERROR(__xludf.DUMMYFUNCTION("GOOGLETRANSLATE(B3792)"),"枯萎病")</f>
        <v>枯萎病</v>
      </c>
    </row>
    <row r="3793" ht="15.75" customHeight="1">
      <c r="A3793" s="4">
        <v>1167.0</v>
      </c>
      <c r="B3793" s="4" t="s">
        <v>477</v>
      </c>
      <c r="C3793" s="4" t="s">
        <v>2678</v>
      </c>
      <c r="D3793" s="4" t="s">
        <v>5663</v>
      </c>
      <c r="E3793" s="4">
        <v>0.0</v>
      </c>
      <c r="F3793" s="4" t="str">
        <f>IFERROR(__xludf.DUMMYFUNCTION("GOOGLETRANSLATE(D3793)"),"@parksboardfacts 首先是#ZippoLine，因為沒有人想使用它，社區也從未要求公園遭受這種破壞#moveit")</f>
        <v>@parksboardfacts 首先是#ZippoLine，因為沒有人想使用它，社區也從未要求公園遭受這種破壞#moveit</v>
      </c>
      <c r="G3793" s="4" t="str">
        <f>IFERROR(__xludf.DUMMYFUNCTION("GOOGLETRANSLATE(B3793)"),"枯萎病")</f>
        <v>枯萎病</v>
      </c>
    </row>
    <row r="3794" ht="15.75" customHeight="1">
      <c r="A3794" s="4">
        <v>1168.0</v>
      </c>
      <c r="B3794" s="4" t="s">
        <v>477</v>
      </c>
      <c r="C3794" s="4" t="s">
        <v>2952</v>
      </c>
      <c r="D3794" s="4" t="s">
        <v>5664</v>
      </c>
      <c r="E3794" s="4">
        <v>0.0</v>
      </c>
      <c r="F3794" s="4" t="str">
        <f>IFERROR(__xludf.DUMMYFUNCTION("GOOGLETRANSLATE(D3794)"),"請找我關於#CLE 和凱霍加縣枯萎病和綠化空地的俄亥俄州政策事務報告！ https://t.co/if62SdXVp7")</f>
        <v>請找我關於#CLE 和凱霍加縣枯萎病和綠化空地的俄亥俄州政策事務報告！ https://t.co/if62SdXVp7</v>
      </c>
      <c r="G3794" s="4" t="str">
        <f>IFERROR(__xludf.DUMMYFUNCTION("GOOGLETRANSLATE(B3794)"),"枯萎病")</f>
        <v>枯萎病</v>
      </c>
    </row>
    <row r="3795" ht="15.75" customHeight="1">
      <c r="A3795" s="4">
        <v>1170.0</v>
      </c>
      <c r="B3795" s="4" t="s">
        <v>477</v>
      </c>
      <c r="C3795" s="4" t="s">
        <v>5629</v>
      </c>
      <c r="D3795" s="4" t="s">
        <v>5665</v>
      </c>
      <c r="E3795" s="4">
        <v>0.0</v>
      </c>
      <c r="F3795" s="4" t="str">
        <f>IFERROR(__xludf.DUMMYFUNCTION("GOOGLETRANSLATE(D3795)"),"@anellatulip，把污染放在那裡，魔導師所做的就是打開大門，讓枯萎病遠離它")</f>
        <v>@anellatulip，把污染放在那裡，魔導師所做的就是打開大門，讓枯萎病遠離它</v>
      </c>
      <c r="G3795" s="4" t="str">
        <f>IFERROR(__xludf.DUMMYFUNCTION("GOOGLETRANSLATE(B3795)"),"枯萎病")</f>
        <v>枯萎病</v>
      </c>
    </row>
    <row r="3796" ht="15.75" customHeight="1">
      <c r="A3796" s="4">
        <v>1173.0</v>
      </c>
      <c r="B3796" s="4" t="s">
        <v>477</v>
      </c>
      <c r="C3796" s="4" t="s">
        <v>5629</v>
      </c>
      <c r="D3796" s="4" t="s">
        <v>5666</v>
      </c>
      <c r="E3796" s="4">
        <v>0.0</v>
      </c>
      <c r="F3796" s="4" t="str">
        <f>IFERROR(__xludf.DUMMYFUNCTION("GOOGLETRANSLATE(D3796)"),"@anellatulip 有一種理論說得通，矮人可能是枯萎病的真正起源")</f>
        <v>@anellatulip 有一種理論說得通，矮人可能是枯萎病的真正起源</v>
      </c>
      <c r="G3796" s="4" t="str">
        <f>IFERROR(__xludf.DUMMYFUNCTION("GOOGLETRANSLATE(B3796)"),"枯萎病")</f>
        <v>枯萎病</v>
      </c>
    </row>
    <row r="3797" ht="15.75" customHeight="1">
      <c r="A3797" s="4">
        <v>1175.0</v>
      </c>
      <c r="B3797" s="4" t="s">
        <v>477</v>
      </c>
      <c r="C3797" s="4" t="s">
        <v>5667</v>
      </c>
      <c r="D3797" s="4" t="s">
        <v>5668</v>
      </c>
      <c r="E3797" s="4">
        <v>0.0</v>
      </c>
      <c r="F3797" s="4" t="str">
        <f>IFERROR(__xludf.DUMMYFUNCTION("GOOGLETRANSLATE(D3797)"),"麥可傑克曼 (Michael Jackman) 在底特律地鐵時報發表的文章：
該組織後來將估計值下調至 37 平方英里... http://t.co/h31mmuduqt")</f>
        <v>麥可傑克曼 (Michael Jackman) 在底特律地鐵時報發表的文章：
該組織後來將估計值下調至 37 平方英里... http://t.co/h31mmuduqt</v>
      </c>
      <c r="G3797" s="4" t="str">
        <f>IFERROR(__xludf.DUMMYFUNCTION("GOOGLETRANSLATE(B3797)"),"枯萎病")</f>
        <v>枯萎病</v>
      </c>
    </row>
    <row r="3798" ht="15.75" customHeight="1">
      <c r="A3798" s="4">
        <v>1177.0</v>
      </c>
      <c r="B3798" s="4" t="s">
        <v>477</v>
      </c>
      <c r="D3798" s="4" t="s">
        <v>5669</v>
      </c>
      <c r="E3798" s="4">
        <v>0.0</v>
      </c>
      <c r="F3798" s="4" t="str">
        <f>IFERROR(__xludf.DUMMYFUNCTION("GOOGLETRANSLATE(D3798)"),"鎖匠藝術尊重精雕細琢，只毀鎖：lPDkl")</f>
        <v>鎖匠藝術尊重精雕細琢，只毀鎖：lPDkl</v>
      </c>
      <c r="G3798" s="4" t="str">
        <f>IFERROR(__xludf.DUMMYFUNCTION("GOOGLETRANSLATE(B3798)"),"枯萎病")</f>
        <v>枯萎病</v>
      </c>
    </row>
    <row r="3799" ht="15.75" customHeight="1">
      <c r="A3799" s="4">
        <v>1178.0</v>
      </c>
      <c r="B3799" s="4" t="s">
        <v>477</v>
      </c>
      <c r="D3799" s="4" t="s">
        <v>5670</v>
      </c>
      <c r="E3799" s="4">
        <v>0.0</v>
      </c>
      <c r="F3799" s="4" t="str">
        <f>IFERROR(__xludf.DUMMYFUNCTION("GOOGLETRANSLATE(D3799)"),"@jake_blight @WeAlIlKnowA 你這混蛋")</f>
        <v>@jake_blight @WeAlIlKnowA 你這混蛋</v>
      </c>
      <c r="G3799" s="4" t="str">
        <f>IFERROR(__xludf.DUMMYFUNCTION("GOOGLETRANSLATE(B3799)"),"枯萎病")</f>
        <v>枯萎病</v>
      </c>
    </row>
    <row r="3800" ht="15.75" customHeight="1">
      <c r="A3800" s="4">
        <v>1179.0</v>
      </c>
      <c r="B3800" s="4" t="s">
        <v>481</v>
      </c>
      <c r="D3800" s="4" t="s">
        <v>5671</v>
      </c>
      <c r="E3800" s="4">
        <v>0.0</v>
      </c>
      <c r="F3800" s="4" t="str">
        <f>IFERROR(__xludf.DUMMYFUNCTION("GOOGLETRANSLATE(D3800)"),"如果排名賽中每 5000 場勝利都會給你一張特殊的卡背，那會怎麼樣？長期來看會很酷 http://t.co/vq3yaB2j8N")</f>
        <v>如果排名賽中每 5000 場勝利都會給你一張特殊的卡背，那會怎麼樣？長期來看會很酷 http://t.co/vq3yaB2j8N</v>
      </c>
      <c r="G3800" s="4" t="str">
        <f>IFERROR(__xludf.DUMMYFUNCTION("GOOGLETRANSLATE(B3800)"),"暴風雪")</f>
        <v>暴風雪</v>
      </c>
    </row>
    <row r="3801" ht="15.75" customHeight="1">
      <c r="A3801" s="4">
        <v>1181.0</v>
      </c>
      <c r="B3801" s="4" t="s">
        <v>481</v>
      </c>
      <c r="D3801" s="4" t="s">
        <v>5672</v>
      </c>
      <c r="E3801" s="4">
        <v>0.0</v>
      </c>
      <c r="F3801" s="4" t="str">
        <f>IFERROR(__xludf.DUMMYFUNCTION("GOOGLETRANSLATE(D3801)"),"亞馬遜特惠 - 等待還是購買？ http://t.co/0T8VqKEArI")</f>
        <v>亞馬遜特惠 - 等待還是購買？ http://t.co/0T8VqKEArI</v>
      </c>
      <c r="G3801" s="4" t="str">
        <f>IFERROR(__xludf.DUMMYFUNCTION("GOOGLETRANSLATE(B3801)"),"暴風雪")</f>
        <v>暴風雪</v>
      </c>
    </row>
    <row r="3802" ht="15.75" customHeight="1">
      <c r="A3802" s="4">
        <v>1182.0</v>
      </c>
      <c r="B3802" s="4" t="s">
        <v>481</v>
      </c>
      <c r="C3802" s="4" t="s">
        <v>5673</v>
      </c>
      <c r="D3802" s="4" t="s">
        <v>5674</v>
      </c>
      <c r="E3802" s="4">
        <v>0.0</v>
      </c>
      <c r="F3802" s="4" t="str">
        <f>IFERROR(__xludf.DUMMYFUNCTION("GOOGLETRANSLATE(D3802)"),"新印刷品可在 http://t.co/ucy5fEA9yu 找到！ - 帕梅拉·暴雪的《等待太久》 - http://t.co/dnwwo1YbRK")</f>
        <v>新印刷品可在 http://t.co/ucy5fEA9yu 找到！ - 帕梅拉·暴雪的《等待太久》 - http://t.co/dnwwo1YbRK</v>
      </c>
      <c r="G3802" s="4" t="str">
        <f>IFERROR(__xludf.DUMMYFUNCTION("GOOGLETRANSLATE(B3802)"),"暴風雪")</f>
        <v>暴風雪</v>
      </c>
    </row>
    <row r="3803" ht="15.75" customHeight="1">
      <c r="A3803" s="4">
        <v>1183.0</v>
      </c>
      <c r="B3803" s="4" t="s">
        <v>481</v>
      </c>
      <c r="C3803" s="4" t="s">
        <v>5675</v>
      </c>
      <c r="D3803" s="4" t="s">
        <v>5676</v>
      </c>
      <c r="E3803" s="4">
        <v>0.0</v>
      </c>
      <c r="F3803" s="4" t="str">
        <f>IFERROR(__xludf.DUMMYFUNCTION("GOOGLETRANSLATE(D3803)"),"@Blizzard_draco 給我免費的 KAMON 藝術作品")</f>
        <v>@Blizzard_draco 給我免費的 KAMON 藝術作品</v>
      </c>
      <c r="G3803" s="4" t="str">
        <f>IFERROR(__xludf.DUMMYFUNCTION("GOOGLETRANSLATE(B3803)"),"暴風雪")</f>
        <v>暴風雪</v>
      </c>
    </row>
    <row r="3804" ht="15.75" customHeight="1">
      <c r="A3804" s="4">
        <v>1185.0</v>
      </c>
      <c r="B3804" s="4" t="s">
        <v>481</v>
      </c>
      <c r="C3804" s="4" t="s">
        <v>5677</v>
      </c>
      <c r="D3804" s="4" t="s">
        <v>5678</v>
      </c>
      <c r="E3804" s="4">
        <v>0.0</v>
      </c>
      <c r="F3804" s="4" t="str">
        <f>IFERROR(__xludf.DUMMYFUNCTION("GOOGLETRANSLATE(D3804)"),"@StevenOnTwatter @PussyxDestroyer 只需訂購暴雪付款，然後將你的堅果放入其中，說他們有你的球味。繁榮免費冰淇淋")</f>
        <v>@StevenOnTwatter @PussyxDestroyer 只需訂購暴雪付款，然後將你的堅果放入其中，說他們有你的球味。繁榮免費冰淇淋</v>
      </c>
      <c r="G3804" s="4" t="str">
        <f>IFERROR(__xludf.DUMMYFUNCTION("GOOGLETRANSLATE(B3804)"),"暴風雪")</f>
        <v>暴風雪</v>
      </c>
    </row>
    <row r="3805" ht="15.75" customHeight="1">
      <c r="A3805" s="4">
        <v>1188.0</v>
      </c>
      <c r="B3805" s="4" t="s">
        <v>481</v>
      </c>
      <c r="C3805" s="4" t="s">
        <v>126</v>
      </c>
      <c r="D3805" s="4" t="s">
        <v>5679</v>
      </c>
      <c r="E3805" s="4">
        <v>0.0</v>
      </c>
      <c r="F3805" s="4" t="str">
        <f>IFERROR(__xludf.DUMMYFUNCTION("GOOGLETRANSLATE(D3805)"),"奧茲暴風雪@中部標準時間晚上 9 點 @RadioRiffRocks / http://t.co/pjLDA9HD5v 2 小時的搖滾讓您的駝峰日圓滿結束！ http://t.co/3wNjaUaR7w")</f>
        <v>奧茲暴風雪@中部標準時間晚上 9 點 @RadioRiffRocks / http://t.co/pjLDA9HD5v 2 小時的搖滾讓您的駝峰日圓滿結束！ http://t.co/3wNjaUaR7w</v>
      </c>
      <c r="G3805" s="4" t="str">
        <f>IFERROR(__xludf.DUMMYFUNCTION("GOOGLETRANSLATE(B3805)"),"暴風雪")</f>
        <v>暴風雪</v>
      </c>
    </row>
    <row r="3806" ht="15.75" customHeight="1">
      <c r="A3806" s="4">
        <v>1189.0</v>
      </c>
      <c r="B3806" s="4" t="s">
        <v>481</v>
      </c>
      <c r="C3806" s="4" t="s">
        <v>5680</v>
      </c>
      <c r="D3806" s="4" t="s">
        <v>5681</v>
      </c>
      <c r="E3806" s="4">
        <v>0.0</v>
      </c>
      <c r="F3806" s="4" t="str">
        <f>IFERROR(__xludf.DUMMYFUNCTION("GOOGLETRANSLATE(D3806)"),"我真的想要一場羅洛暴風雪，但媽媽拒絕了，所以我想今晚沒有 DQ")</f>
        <v>我真的想要一場羅洛暴風雪，但媽媽拒絕了，所以我想今晚沒有 DQ</v>
      </c>
      <c r="G3806" s="4" t="str">
        <f>IFERROR(__xludf.DUMMYFUNCTION("GOOGLETRANSLATE(B3806)"),"暴風雪")</f>
        <v>暴風雪</v>
      </c>
    </row>
    <row r="3807" ht="15.75" customHeight="1">
      <c r="A3807" s="4">
        <v>1191.0</v>
      </c>
      <c r="B3807" s="4" t="s">
        <v>481</v>
      </c>
      <c r="D3807" s="4" t="s">
        <v>5682</v>
      </c>
      <c r="E3807" s="4">
        <v>0.0</v>
      </c>
      <c r="F3807" s="4" t="str">
        <f>IFERROR(__xludf.DUMMYFUNCTION("GOOGLETRANSLATE(D3807)"),"統計 http://t.co/U7vavyrGv9")</f>
        <v>統計 http://t.co/U7vavyrGv9</v>
      </c>
      <c r="G3807" s="4" t="str">
        <f>IFERROR(__xludf.DUMMYFUNCTION("GOOGLETRANSLATE(B3807)"),"暴風雪")</f>
        <v>暴風雪</v>
      </c>
    </row>
    <row r="3808" ht="15.75" customHeight="1">
      <c r="A3808" s="4">
        <v>1196.0</v>
      </c>
      <c r="B3808" s="4" t="s">
        <v>481</v>
      </c>
      <c r="D3808" s="4" t="s">
        <v>5683</v>
      </c>
      <c r="E3808" s="4">
        <v>0.0</v>
      </c>
      <c r="F3808" s="4" t="str">
        <f>IFERROR(__xludf.DUMMYFUNCTION("GOOGLETRANSLATE(D3808)"),"@blizzard_fans 盧西奧！！讓我們讓#overwatch 炒作列車繼續滾動吧！儘管沒有任何休息，但請注意")</f>
        <v>@blizzard_fans 盧西奧！！讓我們讓#overwatch 炒作列車繼續滾動吧！儘管沒有任何休息，但請注意</v>
      </c>
      <c r="G3808" s="4" t="str">
        <f>IFERROR(__xludf.DUMMYFUNCTION("GOOGLETRANSLATE(B3808)"),"暴風雪")</f>
        <v>暴風雪</v>
      </c>
    </row>
    <row r="3809" ht="15.75" customHeight="1">
      <c r="A3809" s="4">
        <v>1198.0</v>
      </c>
      <c r="B3809" s="4" t="s">
        <v>481</v>
      </c>
      <c r="C3809" s="4" t="s">
        <v>5684</v>
      </c>
      <c r="D3809" s="4" t="s">
        <v>5685</v>
      </c>
      <c r="E3809" s="4">
        <v>0.0</v>
      </c>
      <c r="F3809" s="4" t="str">
        <f>IFERROR(__xludf.DUMMYFUNCTION("GOOGLETRANSLATE(D3809)"),"@Blizzard_Gamin 晚上")</f>
        <v>@Blizzard_Gamin 晚上</v>
      </c>
      <c r="G3809" s="4" t="str">
        <f>IFERROR(__xludf.DUMMYFUNCTION("GOOGLETRANSLATE(B3809)"),"暴風雪")</f>
        <v>暴風雪</v>
      </c>
    </row>
    <row r="3810" ht="15.75" customHeight="1">
      <c r="A3810" s="4">
        <v>1199.0</v>
      </c>
      <c r="B3810" s="4" t="s">
        <v>481</v>
      </c>
      <c r="D3810" s="4" t="s">
        <v>5686</v>
      </c>
      <c r="E3810" s="4">
        <v>0.0</v>
      </c>
      <c r="F3810" s="4" t="str">
        <f>IFERROR(__xludf.DUMMYFUNCTION("GOOGLETRANSLATE(D3810)"),"花生醬餅乾麵團暴風雪是?????????????????????")</f>
        <v>花生醬餅乾麵團暴風雪是?????????????????????</v>
      </c>
      <c r="G3810" s="4" t="str">
        <f>IFERROR(__xludf.DUMMYFUNCTION("GOOGLETRANSLATE(B3810)"),"暴風雪")</f>
        <v>暴風雪</v>
      </c>
    </row>
    <row r="3811" ht="15.75" customHeight="1">
      <c r="A3811" s="4">
        <v>1201.0</v>
      </c>
      <c r="B3811" s="4" t="s">
        <v>481</v>
      </c>
      <c r="C3811" s="4" t="s">
        <v>5687</v>
      </c>
      <c r="D3811" s="4" t="s">
        <v>5688</v>
      </c>
      <c r="E3811" s="4">
        <v>0.0</v>
      </c>
      <c r="F3811" s="4" t="str">
        <f>IFERROR(__xludf.DUMMYFUNCTION("GOOGLETRANSLATE(D3811)"),"我的麥克風和控制器一秒鐘都不工作")</f>
        <v>我的麥克風和控制器一秒鐘都不工作</v>
      </c>
      <c r="G3811" s="4" t="str">
        <f>IFERROR(__xludf.DUMMYFUNCTION("GOOGLETRANSLATE(B3811)"),"暴風雪")</f>
        <v>暴風雪</v>
      </c>
    </row>
    <row r="3812" ht="15.75" customHeight="1">
      <c r="A3812" s="4">
        <v>1202.0</v>
      </c>
      <c r="B3812" s="4" t="s">
        <v>481</v>
      </c>
      <c r="D3812" s="4" t="s">
        <v>5689</v>
      </c>
      <c r="E3812" s="4">
        <v>0.0</v>
      </c>
      <c r="F3812" s="4" t="str">
        <f>IFERROR(__xludf.DUMMYFUNCTION("GOOGLETRANSLATE(D3812)"),"明天的公告影片 http://t.co/cUbze5MIZm")</f>
        <v>明天的公告影片 http://t.co/cUbze5MIZm</v>
      </c>
      <c r="G3812" s="4" t="str">
        <f>IFERROR(__xludf.DUMMYFUNCTION("GOOGLETRANSLATE(B3812)"),"暴風雪")</f>
        <v>暴風雪</v>
      </c>
    </row>
    <row r="3813" ht="15.75" customHeight="1">
      <c r="A3813" s="4">
        <v>1203.0</v>
      </c>
      <c r="B3813" s="4" t="s">
        <v>481</v>
      </c>
      <c r="D3813" s="4" t="s">
        <v>5690</v>
      </c>
      <c r="E3813" s="4">
        <v>0.0</v>
      </c>
      <c r="F3813" s="4" t="str">
        <f>IFERROR(__xludf.DUMMYFUNCTION("GOOGLETRANSLATE(D3813)"),"更新到 Windows 10 現在我收到此錯誤 http://t.co/kHSBZKfd6O")</f>
        <v>更新到 Windows 10 現在我收到此錯誤 http://t.co/kHSBZKfd6O</v>
      </c>
      <c r="G3813" s="4" t="str">
        <f>IFERROR(__xludf.DUMMYFUNCTION("GOOGLETRANSLATE(B3813)"),"暴風雪")</f>
        <v>暴風雪</v>
      </c>
    </row>
    <row r="3814" ht="15.75" customHeight="1">
      <c r="A3814" s="4">
        <v>1204.0</v>
      </c>
      <c r="B3814" s="4" t="s">
        <v>481</v>
      </c>
      <c r="D3814" s="4" t="s">
        <v>5691</v>
      </c>
      <c r="E3814" s="4">
        <v>0.0</v>
      </c>
      <c r="F3814" s="4" t="str">
        <f>IFERROR(__xludf.DUMMYFUNCTION("GOOGLETRANSLATE(D3814)"),"新擴展創意 - 吟遊詩人級聖三位一體 + 1 http://t.co/EGioxBabOe")</f>
        <v>新擴展創意 - 吟遊詩人級聖三位一體 + 1 http://t.co/EGioxBabOe</v>
      </c>
      <c r="G3814" s="4" t="str">
        <f>IFERROR(__xludf.DUMMYFUNCTION("GOOGLETRANSLATE(B3814)"),"暴風雪")</f>
        <v>暴風雪</v>
      </c>
    </row>
    <row r="3815" ht="15.75" customHeight="1">
      <c r="A3815" s="4">
        <v>1206.0</v>
      </c>
      <c r="B3815" s="4" t="s">
        <v>481</v>
      </c>
      <c r="C3815" s="4" t="s">
        <v>193</v>
      </c>
      <c r="D3815" s="4" t="s">
        <v>5692</v>
      </c>
      <c r="E3815" s="4">
        <v>0.0</v>
      </c>
      <c r="F3815" s="4" t="str">
        <f>IFERROR(__xludf.DUMMYFUNCTION("GOOGLETRANSLATE(D3815)"),"@DaBorsch 並不是那麼令人震驚:( 暴雪用 WoD 吸引了他們的老粉絲回來，讓我們鐵桿玩家失望了，所以每個人都再次離開")</f>
        <v>@DaBorsch 並不是那麼令人震驚:( 暴雪用 WoD 吸引了他們的老粉絲回來，讓我們鐵桿玩家失望了，所以每個人都再次離開</v>
      </c>
      <c r="G3815" s="4" t="str">
        <f>IFERROR(__xludf.DUMMYFUNCTION("GOOGLETRANSLATE(B3815)"),"暴風雪")</f>
        <v>暴風雪</v>
      </c>
    </row>
    <row r="3816" ht="15.75" customHeight="1">
      <c r="A3816" s="4">
        <v>1207.0</v>
      </c>
      <c r="B3816" s="4" t="s">
        <v>481</v>
      </c>
      <c r="D3816" s="4" t="s">
        <v>5693</v>
      </c>
      <c r="E3816" s="4">
        <v>0.0</v>
      </c>
      <c r="F3816" s="4" t="str">
        <f>IFERROR(__xludf.DUMMYFUNCTION("GOOGLETRANSLATE(D3816)"),"DQ 最好的東西是棉花糖暴風雪????????????????????????????????????????? ? ??????????")</f>
        <v>DQ 最好的東西是棉花糖暴風雪????????????????????????????????????????? ? ??????????</v>
      </c>
      <c r="G3816" s="4" t="str">
        <f>IFERROR(__xludf.DUMMYFUNCTION("GOOGLETRANSLATE(B3816)"),"暴風雪")</f>
        <v>暴風雪</v>
      </c>
    </row>
    <row r="3817" ht="15.75" customHeight="1">
      <c r="A3817" s="4">
        <v>1208.0</v>
      </c>
      <c r="B3817" s="4" t="s">
        <v>481</v>
      </c>
      <c r="D3817" s="4" t="s">
        <v>5694</v>
      </c>
      <c r="E3817" s="4">
        <v>0.0</v>
      </c>
      <c r="F3817" s="4" t="str">
        <f>IFERROR(__xludf.DUMMYFUNCTION("GOOGLETRANSLATE(D3817)"),"暴風雪中的蜥蜴巫師#LWB http://t.co/MgR809yc5a")</f>
        <v>暴風雪中的蜥蜴巫師#LWB http://t.co/MgR809yc5a</v>
      </c>
      <c r="G3817" s="4" t="str">
        <f>IFERROR(__xludf.DUMMYFUNCTION("GOOGLETRANSLATE(B3817)"),"暴風雪")</f>
        <v>暴風雪</v>
      </c>
    </row>
    <row r="3818" ht="15.75" customHeight="1">
      <c r="A3818" s="4">
        <v>1209.0</v>
      </c>
      <c r="B3818" s="4" t="s">
        <v>481</v>
      </c>
      <c r="C3818" s="4" t="s">
        <v>5695</v>
      </c>
      <c r="D3818" s="4" t="s">
        <v>5696</v>
      </c>
      <c r="E3818" s="4">
        <v>0.0</v>
      </c>
      <c r="F3818" s="4" t="str">
        <f>IFERROR(__xludf.DUMMYFUNCTION("GOOGLETRANSLATE(D3818)"),"@Blizzard_draco @LoneWolffur 我需要這個。")</f>
        <v>@Blizzard_draco @LoneWolffur 我需要這個。</v>
      </c>
      <c r="G3818" s="4" t="str">
        <f>IFERROR(__xludf.DUMMYFUNCTION("GOOGLETRANSLATE(B3818)"),"暴風雪")</f>
        <v>暴風雪</v>
      </c>
    </row>
    <row r="3819" ht="15.75" customHeight="1">
      <c r="A3819" s="4">
        <v>1211.0</v>
      </c>
      <c r="B3819" s="4" t="s">
        <v>481</v>
      </c>
      <c r="C3819" s="4" t="s">
        <v>5697</v>
      </c>
      <c r="D3819" s="4" t="s">
        <v>5698</v>
      </c>
      <c r="E3819" s="4">
        <v>0.0</v>
      </c>
      <c r="F3819" s="4" t="str">
        <f>IFERROR(__xludf.DUMMYFUNCTION("GOOGLETRANSLATE(D3819)"),"@FAIRx818x @PlayOverwatch @BlizzardCS 請暴雪我們愛你")</f>
        <v>@FAIRx818x @PlayOverwatch @BlizzardCS 請暴雪我們愛你</v>
      </c>
      <c r="G3819" s="4" t="str">
        <f>IFERROR(__xludf.DUMMYFUNCTION("GOOGLETRANSLATE(B3819)"),"暴風雪")</f>
        <v>暴風雪</v>
      </c>
    </row>
    <row r="3820" ht="15.75" customHeight="1">
      <c r="A3820" s="4">
        <v>1212.0</v>
      </c>
      <c r="B3820" s="4" t="s">
        <v>481</v>
      </c>
      <c r="C3820" s="4" t="s">
        <v>5699</v>
      </c>
      <c r="D3820" s="4" t="s">
        <v>5700</v>
      </c>
      <c r="E3820" s="4">
        <v>0.0</v>
      </c>
      <c r="F3820" s="4" t="str">
        <f>IFERROR(__xludf.DUMMYFUNCTION("GOOGLETRANSLATE(D3820)"),"一場暴風雪將是離合器asf？")</f>
        <v>一場暴風雪將是離合器asf？</v>
      </c>
      <c r="G3820" s="4" t="str">
        <f>IFERROR(__xludf.DUMMYFUNCTION("GOOGLETRANSLATE(B3820)"),"暴風雪")</f>
        <v>暴風雪</v>
      </c>
    </row>
    <row r="3821" ht="15.75" customHeight="1">
      <c r="A3821" s="4">
        <v>1213.0</v>
      </c>
      <c r="B3821" s="4" t="s">
        <v>481</v>
      </c>
      <c r="C3821" s="4" t="s">
        <v>4217</v>
      </c>
      <c r="D3821" s="4" t="s">
        <v>5701</v>
      </c>
      <c r="E3821" s="4">
        <v>0.0</v>
      </c>
      <c r="F3821" s="4" t="str">
        <f>IFERROR(__xludf.DUMMYFUNCTION("GOOGLETRANSLATE(D3821)"),"@Blizzard_draco @LoneWolffur 也是我，我非常想要一個鏈接")</f>
        <v>@Blizzard_draco @LoneWolffur 也是我，我非常想要一個鏈接</v>
      </c>
      <c r="G3821" s="4" t="str">
        <f>IFERROR(__xludf.DUMMYFUNCTION("GOOGLETRANSLATE(B3821)"),"暴風雪")</f>
        <v>暴風雪</v>
      </c>
    </row>
    <row r="3822" ht="15.75" customHeight="1">
      <c r="A3822" s="4">
        <v>1215.0</v>
      </c>
      <c r="B3822" s="4" t="s">
        <v>481</v>
      </c>
      <c r="C3822" s="4" t="s">
        <v>627</v>
      </c>
      <c r="D3822" s="4" t="s">
        <v>5702</v>
      </c>
      <c r="E3822" s="4">
        <v>0.0</v>
      </c>
      <c r="F3822" s="4" t="str">
        <f>IFERROR(__xludf.DUMMYFUNCTION("GOOGLETRANSLATE(D3822)"),"@LoneWolffur 控制自己吧")</f>
        <v>@LoneWolffur 控制自己吧</v>
      </c>
      <c r="G3822" s="4" t="str">
        <f>IFERROR(__xludf.DUMMYFUNCTION("GOOGLETRANSLATE(B3822)"),"暴風雪")</f>
        <v>暴風雪</v>
      </c>
    </row>
    <row r="3823" ht="15.75" customHeight="1">
      <c r="A3823" s="4">
        <v>1217.0</v>
      </c>
      <c r="B3823" s="4" t="s">
        <v>481</v>
      </c>
      <c r="D3823" s="4" t="s">
        <v>5703</v>
      </c>
      <c r="E3823" s="4">
        <v>0.0</v>
      </c>
      <c r="F3823" s="4" t="str">
        <f>IFERROR(__xludf.DUMMYFUNCTION("GOOGLETRANSLATE(D3823)"),"第一次在 PC 上玩爐石戰記 http://t.co/aBoLxMH1vy")</f>
        <v>第一次在 PC 上玩爐石戰記 http://t.co/aBoLxMH1vy</v>
      </c>
      <c r="G3823" s="4" t="str">
        <f>IFERROR(__xludf.DUMMYFUNCTION("GOOGLETRANSLATE(B3823)"),"暴風雪")</f>
        <v>暴風雪</v>
      </c>
    </row>
    <row r="3824" ht="15.75" customHeight="1">
      <c r="A3824" s="4">
        <v>1218.0</v>
      </c>
      <c r="B3824" s="4" t="s">
        <v>481</v>
      </c>
      <c r="D3824" s="4" t="s">
        <v>5704</v>
      </c>
      <c r="E3824" s="4">
        <v>0.0</v>
      </c>
      <c r="F3824" s="4" t="str">
        <f>IFERROR(__xludf.DUMMYFUNCTION("GOOGLETRANSLATE(D3824)"),"我喜歡棉花糖暴風雪？？")</f>
        <v>我喜歡棉花糖暴風雪？？</v>
      </c>
      <c r="G3824" s="4" t="str">
        <f>IFERROR(__xludf.DUMMYFUNCTION("GOOGLETRANSLATE(B3824)"),"暴風雪")</f>
        <v>暴風雪</v>
      </c>
    </row>
    <row r="3825" ht="15.75" customHeight="1">
      <c r="A3825" s="4">
        <v>1219.0</v>
      </c>
      <c r="B3825" s="4" t="s">
        <v>481</v>
      </c>
      <c r="C3825" s="4" t="s">
        <v>5687</v>
      </c>
      <c r="D3825" s="4" t="s">
        <v>5705</v>
      </c>
      <c r="E3825" s="4">
        <v>0.0</v>
      </c>
      <c r="F3825" s="4" t="str">
        <f>IFERROR(__xludf.DUMMYFUNCTION("GOOGLETRANSLATE(D3825)"),"@TCGReno 剛剛硬重置了我的 Xbox")</f>
        <v>@TCGReno 剛剛硬重置了我的 Xbox</v>
      </c>
      <c r="G3825" s="4" t="str">
        <f>IFERROR(__xludf.DUMMYFUNCTION("GOOGLETRANSLATE(B3825)"),"暴風雪")</f>
        <v>暴風雪</v>
      </c>
    </row>
    <row r="3826" ht="15.75" customHeight="1">
      <c r="A3826" s="4">
        <v>1221.0</v>
      </c>
      <c r="B3826" s="4" t="s">
        <v>481</v>
      </c>
      <c r="D3826" s="4" t="s">
        <v>5706</v>
      </c>
      <c r="E3826" s="4">
        <v>0.0</v>
      </c>
      <c r="F3826" s="4" t="str">
        <f>IFERROR(__xludf.DUMMYFUNCTION("GOOGLETRANSLATE(D3826)"),"我真的想要布朗尼麵糊暴風雪？")</f>
        <v>我真的想要布朗尼麵糊暴風雪？</v>
      </c>
      <c r="G3826" s="4" t="str">
        <f>IFERROR(__xludf.DUMMYFUNCTION("GOOGLETRANSLATE(B3826)"),"暴風雪")</f>
        <v>暴風雪</v>
      </c>
    </row>
    <row r="3827" ht="15.75" customHeight="1">
      <c r="A3827" s="4">
        <v>1223.0</v>
      </c>
      <c r="B3827" s="4" t="s">
        <v>481</v>
      </c>
      <c r="D3827" s="4" t="s">
        <v>5707</v>
      </c>
      <c r="E3827" s="4">
        <v>0.0</v>
      </c>
      <c r="F3827" s="4" t="str">
        <f>IFERROR(__xludf.DUMMYFUNCTION("GOOGLETRANSLATE(D3827)"),"市場新聞：動視暴雪 Cognizant Technology First Solar http://t.co/gkNRP0e8Qs")</f>
        <v>市場新聞：動視暴雪 Cognizant Technology First Solar http://t.co/gkNRP0e8Qs</v>
      </c>
      <c r="G3827" s="4" t="str">
        <f>IFERROR(__xludf.DUMMYFUNCTION("GOOGLETRANSLATE(B3827)"),"暴風雪")</f>
        <v>暴風雪</v>
      </c>
    </row>
    <row r="3828" ht="15.75" customHeight="1">
      <c r="A3828" s="4">
        <v>1224.0</v>
      </c>
      <c r="B3828" s="4" t="s">
        <v>481</v>
      </c>
      <c r="D3828" s="4" t="s">
        <v>5708</v>
      </c>
      <c r="E3828" s="4">
        <v>0.0</v>
      </c>
      <c r="F3828" s="4" t="str">
        <f>IFERROR(__xludf.DUMMYFUNCTION("GOOGLETRANSLATE(D3828)"),"肖恩結束職業生涯 SG 暴雪 vs KNOCKOUT ... http://t.co/nyv51681uE")</f>
        <v>肖恩結束職業生涯 SG 暴雪 vs KNOCKOUT ... http://t.co/nyv51681uE</v>
      </c>
      <c r="G3828" s="4" t="str">
        <f>IFERROR(__xludf.DUMMYFUNCTION("GOOGLETRANSLATE(B3828)"),"暴風雪")</f>
        <v>暴風雪</v>
      </c>
    </row>
    <row r="3829" ht="15.75" customHeight="1">
      <c r="A3829" s="4">
        <v>1225.0</v>
      </c>
      <c r="B3829" s="4" t="s">
        <v>481</v>
      </c>
      <c r="D3829" s="4" t="s">
        <v>5709</v>
      </c>
      <c r="E3829" s="4">
        <v>0.0</v>
      </c>
      <c r="F3829" s="4" t="str">
        <f>IFERROR(__xludf.DUMMYFUNCTION("GOOGLETRANSLATE(D3829)"),"你在《爐石戰記》最大的遺憾是什麼？ http://t.co/vcIrn1Md8v")</f>
        <v>你在《爐石戰記》最大的遺憾是什麼？ http://t.co/vcIrn1Md8v</v>
      </c>
      <c r="G3829" s="4" t="str">
        <f>IFERROR(__xludf.DUMMYFUNCTION("GOOGLETRANSLATE(B3829)"),"暴風雪")</f>
        <v>暴風雪</v>
      </c>
    </row>
    <row r="3830" ht="15.75" customHeight="1">
      <c r="A3830" s="4">
        <v>1226.0</v>
      </c>
      <c r="B3830" s="4" t="s">
        <v>481</v>
      </c>
      <c r="D3830" s="4" t="s">
        <v>5710</v>
      </c>
      <c r="E3830" s="4">
        <v>0.0</v>
      </c>
      <c r="F3830" s="4" t="str">
        <f>IFERROR(__xludf.DUMMYFUNCTION("GOOGLETRANSLATE(D3830)"),"有人陪我去DQ嗎？
我非常想要蝴蝶手指暴雪？")</f>
        <v>有人陪我去DQ嗎？
我非常想要蝴蝶手指暴雪？</v>
      </c>
      <c r="G3830" s="4" t="str">
        <f>IFERROR(__xludf.DUMMYFUNCTION("GOOGLETRANSLATE(B3830)"),"暴風雪")</f>
        <v>暴風雪</v>
      </c>
    </row>
    <row r="3831" ht="15.75" customHeight="1">
      <c r="A3831" s="4">
        <v>1227.0</v>
      </c>
      <c r="B3831" s="4" t="s">
        <v>481</v>
      </c>
      <c r="C3831" s="4" t="s">
        <v>5711</v>
      </c>
      <c r="D3831" s="4" t="s">
        <v>5712</v>
      </c>
      <c r="E3831" s="4">
        <v>0.0</v>
      </c>
      <c r="F3831" s="4" t="str">
        <f>IFERROR(__xludf.DUMMYFUNCTION("GOOGLETRANSLATE(D3831)"),"當你打開烘乾機時，那可怕的時刻看起來就像一場暴風雪，因為你在牛仔褲口袋裡留下了一張紙？")</f>
        <v>當你打開烘乾機時，那可怕的時刻看起來就像一場暴風雪，因為你在牛仔褲口袋裡留下了一張紙？</v>
      </c>
      <c r="G3831" s="4" t="str">
        <f>IFERROR(__xludf.DUMMYFUNCTION("GOOGLETRANSLATE(B3831)"),"暴風雪")</f>
        <v>暴風雪</v>
      </c>
    </row>
    <row r="3832" ht="15.75" customHeight="1">
      <c r="A3832" s="4">
        <v>1228.0</v>
      </c>
      <c r="B3832" s="4" t="s">
        <v>481</v>
      </c>
      <c r="C3832" s="4" t="s">
        <v>627</v>
      </c>
      <c r="D3832" s="4" t="s">
        <v>5713</v>
      </c>
      <c r="E3832" s="4">
        <v>0.0</v>
      </c>
      <c r="F3832" s="4" t="str">
        <f>IFERROR(__xludf.DUMMYFUNCTION("GOOGLETRANSLATE(D3832)"),"@LoneWolffur BRUH *去世*")</f>
        <v>@LoneWolffur BRUH *去世*</v>
      </c>
      <c r="G3832" s="4" t="str">
        <f>IFERROR(__xludf.DUMMYFUNCTION("GOOGLETRANSLATE(B3832)"),"暴風雪")</f>
        <v>暴風雪</v>
      </c>
    </row>
    <row r="3833" ht="15.75" customHeight="1">
      <c r="A3833" s="4">
        <v>1229.0</v>
      </c>
      <c r="B3833" s="4" t="s">
        <v>489</v>
      </c>
      <c r="D3833" s="4" t="s">
        <v>5714</v>
      </c>
      <c r="E3833" s="4">
        <v>0.0</v>
      </c>
      <c r="F3833" s="4" t="str">
        <f>IFERROR(__xludf.DUMMYFUNCTION("GOOGLETRANSLATE(D3833)"),"撕？？血 ！")</f>
        <v>撕？？血 ！</v>
      </c>
      <c r="G3833" s="4" t="str">
        <f>IFERROR(__xludf.DUMMYFUNCTION("GOOGLETRANSLATE(B3833)"),"血")</f>
        <v>血</v>
      </c>
    </row>
    <row r="3834" ht="15.75" customHeight="1">
      <c r="A3834" s="4">
        <v>1230.0</v>
      </c>
      <c r="B3834" s="4" t="s">
        <v>489</v>
      </c>
      <c r="D3834" s="4" t="s">
        <v>5715</v>
      </c>
      <c r="E3834" s="4">
        <v>0.0</v>
      </c>
      <c r="F3834" s="4" t="str">
        <f>IFERROR(__xludf.DUMMYFUNCTION("GOOGLETRANSLATE(D3834)"),"@Chief__CG 不，那個廚師走了，我現在被砍了。哈哈")</f>
        <v>@Chief__CG 不，那個廚師走了，我現在被砍了。哈哈</v>
      </c>
      <c r="G3834" s="4" t="str">
        <f>IFERROR(__xludf.DUMMYFUNCTION("GOOGLETRANSLATE(B3834)"),"血")</f>
        <v>血</v>
      </c>
    </row>
    <row r="3835" ht="15.75" customHeight="1">
      <c r="A3835" s="4">
        <v>1232.0</v>
      </c>
      <c r="B3835" s="4" t="s">
        <v>489</v>
      </c>
      <c r="C3835" s="4" t="s">
        <v>5716</v>
      </c>
      <c r="D3835" s="4" t="s">
        <v>5717</v>
      </c>
      <c r="E3835" s="4">
        <v>0.0</v>
      </c>
      <c r="F3835" s="4" t="str">
        <f>IFERROR(__xludf.DUMMYFUNCTION("GOOGLETRANSLATE(D3835)"),"Off The Wall Invincible 和 HIStory + 舞池上的鮮血 https://t.co/ZNTg2wndmJ")</f>
        <v>Off The Wall Invincible 和 HIStory + 舞池上的鮮血 https://t.co/ZNTg2wndmJ</v>
      </c>
      <c r="G3835" s="4" t="str">
        <f>IFERROR(__xludf.DUMMYFUNCTION("GOOGLETRANSLATE(B3835)"),"血")</f>
        <v>血</v>
      </c>
    </row>
    <row r="3836" ht="15.75" customHeight="1">
      <c r="A3836" s="4">
        <v>1234.0</v>
      </c>
      <c r="B3836" s="4" t="s">
        <v>489</v>
      </c>
      <c r="D3836" s="4" t="s">
        <v>5718</v>
      </c>
      <c r="E3836" s="4">
        <v>0.0</v>
      </c>
      <c r="F3836" s="4" t="str">
        <f>IFERROR(__xludf.DUMMYFUNCTION("GOOGLETRANSLATE(D3836)"),"今天早上我的指甲斷了（真的不是假的），流血了，很疼，有什麼辦法可以治療嗎？請幫幫我嗎？ -_-")</f>
        <v>今天早上我的指甲斷了（真的不是假的），流血了，很疼，有什麼辦法可以治療嗎？請幫幫我嗎？ -_-</v>
      </c>
      <c r="G3836" s="4" t="str">
        <f>IFERROR(__xludf.DUMMYFUNCTION("GOOGLETRANSLATE(B3836)"),"血")</f>
        <v>血</v>
      </c>
    </row>
    <row r="3837" ht="15.75" customHeight="1">
      <c r="A3837" s="4">
        <v>1235.0</v>
      </c>
      <c r="B3837" s="4" t="s">
        <v>489</v>
      </c>
      <c r="D3837" s="4" t="s">
        <v>5719</v>
      </c>
      <c r="E3837" s="4">
        <v>0.0</v>
      </c>
      <c r="F3837" s="4" t="str">
        <f>IFERROR(__xludf.DUMMYFUNCTION("GOOGLETRANSLATE(D3837)"),"Lindsay Buroker 的《龍血》盒裝版，被 290 名評論者評為 4.5 星（滿分 5 星） http://t.co/4yu5Sy1Cui #kindle http://t.co/mzmxMyklXv")</f>
        <v>Lindsay Buroker 的《龍血》盒裝版，被 290 名評論者評為 4.5 星（滿分 5 星） http://t.co/4yu5Sy1Cui #kindle http://t.co/mzmxMyklXv</v>
      </c>
      <c r="G3837" s="4" t="str">
        <f>IFERROR(__xludf.DUMMYFUNCTION("GOOGLETRANSLATE(B3837)"),"血")</f>
        <v>血</v>
      </c>
    </row>
    <row r="3838" ht="15.75" customHeight="1">
      <c r="A3838" s="4">
        <v>1236.0</v>
      </c>
      <c r="B3838" s="4" t="s">
        <v>489</v>
      </c>
      <c r="C3838" s="4" t="s">
        <v>5720</v>
      </c>
      <c r="D3838" s="4" t="s">
        <v>5721</v>
      </c>
      <c r="E3838" s="4">
        <v>0.0</v>
      </c>
      <c r="F3838" s="4" t="str">
        <f>IFERROR(__xludf.DUMMYFUNCTION("GOOGLETRANSLATE(D3838)"),"教科書上說，A+ve 型血與胃癌有關…我體內的另一個脆弱基因…")</f>
        <v>教科書上說，A+ve 型血與胃癌有關…我體內的另一個脆弱基因…</v>
      </c>
      <c r="G3838" s="4" t="str">
        <f>IFERROR(__xludf.DUMMYFUNCTION("GOOGLETRANSLATE(B3838)"),"血")</f>
        <v>血</v>
      </c>
    </row>
    <row r="3839" ht="15.75" customHeight="1">
      <c r="A3839" s="4">
        <v>1237.0</v>
      </c>
      <c r="B3839" s="4" t="s">
        <v>489</v>
      </c>
      <c r="D3839" s="4" t="s">
        <v>5722</v>
      </c>
      <c r="E3839" s="4">
        <v>0.0</v>
      </c>
      <c r="F3839" s="4" t="str">
        <f>IFERROR(__xludf.DUMMYFUNCTION("GOOGLETRANSLATE(D3839)"),"朋友就像血肉一樣，他們並不總是陪在我們身邊。但當我們受傷時，它們就會出現。")</f>
        <v>朋友就像血肉一樣，他們並不總是陪在我們身邊。但當我們受傷時，它們就會出現。</v>
      </c>
      <c r="G3839" s="4" t="str">
        <f>IFERROR(__xludf.DUMMYFUNCTION("GOOGLETRANSLATE(B3839)"),"血")</f>
        <v>血</v>
      </c>
    </row>
    <row r="3840" ht="15.75" customHeight="1">
      <c r="A3840" s="4">
        <v>1238.0</v>
      </c>
      <c r="B3840" s="4" t="s">
        <v>489</v>
      </c>
      <c r="C3840" s="4" t="s">
        <v>5723</v>
      </c>
      <c r="D3840" s="4" t="s">
        <v>5724</v>
      </c>
      <c r="E3840" s="4">
        <v>0.0</v>
      </c>
      <c r="F3840" s="4" t="str">
        <f>IFERROR(__xludf.DUMMYFUNCTION("GOOGLETRANSLATE(D3840)"),"我們走了，得到它，得到它的血液")</f>
        <v>我們走了，得到它，得到它的血液</v>
      </c>
      <c r="G3840" s="4" t="str">
        <f>IFERROR(__xludf.DUMMYFUNCTION("GOOGLETRANSLATE(B3840)"),"血")</f>
        <v>血</v>
      </c>
    </row>
    <row r="3841" ht="15.75" customHeight="1">
      <c r="A3841" s="4">
        <v>1240.0</v>
      </c>
      <c r="B3841" s="4" t="s">
        <v>489</v>
      </c>
      <c r="D3841" s="4" t="s">
        <v>5725</v>
      </c>
      <c r="E3841" s="4">
        <v>0.0</v>
      </c>
      <c r="F3841" s="4" t="str">
        <f>IFERROR(__xludf.DUMMYFUNCTION("GOOGLETRANSLATE(D3841)"),"給爺爺做透析，天哪，這血讓我頭暈目眩")</f>
        <v>給爺爺做透析，天哪，這血讓我頭暈目眩</v>
      </c>
      <c r="G3841" s="4" t="str">
        <f>IFERROR(__xludf.DUMMYFUNCTION("GOOGLETRANSLATE(B3841)"),"血")</f>
        <v>血</v>
      </c>
    </row>
    <row r="3842" ht="15.75" customHeight="1">
      <c r="A3842" s="4">
        <v>1241.0</v>
      </c>
      <c r="B3842" s="4" t="s">
        <v>489</v>
      </c>
      <c r="D3842" s="4" t="s">
        <v>5726</v>
      </c>
      <c r="E3842" s="4">
        <v>0.0</v>
      </c>
      <c r="F3842" s="4" t="str">
        <f>IFERROR(__xludf.DUMMYFUNCTION("GOOGLETRANSLATE(D3842)"),"@SetZorah 爸爸你為什麼不聲稱我這意味著不對我們看起來相同的眼睛相同的血液相同的 xbox 360 SMH -.-")</f>
        <v>@SetZorah 爸爸你為什麼不聲稱我這意味著不對我們看起來相同的眼睛相同的血液相同的 xbox 360 SMH -.-</v>
      </c>
      <c r="G3842" s="4" t="str">
        <f>IFERROR(__xludf.DUMMYFUNCTION("GOOGLETRANSLATE(B3842)"),"血")</f>
        <v>血</v>
      </c>
    </row>
    <row r="3843" ht="15.75" customHeight="1">
      <c r="A3843" s="4">
        <v>1242.0</v>
      </c>
      <c r="B3843" s="4" t="s">
        <v>489</v>
      </c>
      <c r="D3843" s="4" t="s">
        <v>5727</v>
      </c>
      <c r="E3843" s="4">
        <v>0.0</v>
      </c>
      <c r="F3843" s="4" t="str">
        <f>IFERROR(__xludf.DUMMYFUNCTION("GOOGLETRANSLATE(D3843)"),"Omron HEM-712C 自動血壓計標準型與大號血壓袖帶 http://t.co/gJBAInQWN9 http://t.co/jPhgpL1c5x")</f>
        <v>Omron HEM-712C 自動血壓計標準型與大號血壓袖帶 http://t.co/gJBAInQWN9 http://t.co/jPhgpL1c5x</v>
      </c>
      <c r="G3843" s="4" t="str">
        <f>IFERROR(__xludf.DUMMYFUNCTION("GOOGLETRANSLATE(B3843)"),"血")</f>
        <v>血</v>
      </c>
    </row>
    <row r="3844" ht="15.75" customHeight="1">
      <c r="A3844" s="4">
        <v>1243.0</v>
      </c>
      <c r="B3844" s="4" t="s">
        <v>489</v>
      </c>
      <c r="D3844" s="4" t="s">
        <v>5728</v>
      </c>
      <c r="E3844" s="4">
        <v>0.0</v>
      </c>
      <c r="F3844" s="4" t="str">
        <f>IFERROR(__xludf.DUMMYFUNCTION("GOOGLETRANSLATE(D3844)"),"我的血壓已經很高了，我不需要這些額外的東西！！！！")</f>
        <v>我的血壓已經很高了，我不需要這些額外的東西！！！！</v>
      </c>
      <c r="G3844" s="4" t="str">
        <f>IFERROR(__xludf.DUMMYFUNCTION("GOOGLETRANSLATE(B3844)"),"血")</f>
        <v>血</v>
      </c>
    </row>
    <row r="3845" ht="15.75" customHeight="1">
      <c r="A3845" s="4">
        <v>1244.0</v>
      </c>
      <c r="B3845" s="4" t="s">
        <v>489</v>
      </c>
      <c r="C3845" s="4" t="s">
        <v>800</v>
      </c>
      <c r="D3845" s="4" t="s">
        <v>5729</v>
      </c>
      <c r="E3845" s="4">
        <v>0.0</v>
      </c>
      <c r="F3845" s="4" t="str">
        <f>IFERROR(__xludf.DUMMYFUNCTION("GOOGLETRANSLATE(D3845)"),"@Chambered_Blood 是的，你是！ #從經驗說起")</f>
        <v>@Chambered_Blood 是的，你是！ #從經驗說起</v>
      </c>
      <c r="G3845" s="4" t="str">
        <f>IFERROR(__xludf.DUMMYFUNCTION("GOOGLETRANSLATE(B3845)"),"血")</f>
        <v>血</v>
      </c>
    </row>
    <row r="3846" ht="15.75" customHeight="1">
      <c r="A3846" s="4">
        <v>1249.0</v>
      </c>
      <c r="B3846" s="4" t="s">
        <v>489</v>
      </c>
      <c r="C3846" s="4" t="s">
        <v>5730</v>
      </c>
      <c r="D3846" s="4" t="s">
        <v>5731</v>
      </c>
      <c r="E3846" s="4">
        <v>0.0</v>
      </c>
      <c r="F3846" s="4" t="str">
        <f>IFERROR(__xludf.DUMMYFUNCTION("GOOGLETRANSLATE(D3846)"),"夥計們。我有一個與我沒有血緣關係的妹妹。")</f>
        <v>夥計們。我有一個與我沒有血緣關係的妹妹。</v>
      </c>
      <c r="G3846" s="4" t="str">
        <f>IFERROR(__xludf.DUMMYFUNCTION("GOOGLETRANSLATE(B3846)"),"血")</f>
        <v>血</v>
      </c>
    </row>
    <row r="3847" ht="15.75" customHeight="1">
      <c r="A3847" s="4">
        <v>1250.0</v>
      </c>
      <c r="B3847" s="4" t="s">
        <v>489</v>
      </c>
      <c r="D3847" s="4" t="s">
        <v>5732</v>
      </c>
      <c r="E3847" s="4">
        <v>0.0</v>
      </c>
      <c r="F3847" s="4" t="str">
        <f>IFERROR(__xludf.DUMMYFUNCTION("GOOGLETRANSLATE(D3847)"),"布魯白人買了最醜的鞋子，而且它們超級緊，沒有血流到腳上")</f>
        <v>布魯白人買了最醜的鞋子，而且它們超級緊，沒有血流到腳上</v>
      </c>
      <c r="G3847" s="4" t="str">
        <f>IFERROR(__xludf.DUMMYFUNCTION("GOOGLETRANSLATE(B3847)"),"血")</f>
        <v>血</v>
      </c>
    </row>
    <row r="3848" ht="15.75" customHeight="1">
      <c r="A3848" s="4">
        <v>1251.0</v>
      </c>
      <c r="B3848" s="4" t="s">
        <v>489</v>
      </c>
      <c r="C3848" s="4" t="s">
        <v>5733</v>
      </c>
      <c r="D3848" s="4" t="s">
        <v>5734</v>
      </c>
      <c r="E3848" s="4">
        <v>0.0</v>
      </c>
      <c r="F3848" s="4" t="str">
        <f>IFERROR(__xludf.DUMMYFUNCTION("GOOGLETRANSLATE(D3848)"),"又有一天，又是一道很棒的@_dangerousbeans 粥。認真的人。粥中的血橙是驚人的。")</f>
        <v>又有一天，又是一道很棒的@_dangerousbeans 粥。認真的人。粥中的血橙是驚人的。</v>
      </c>
      <c r="G3848" s="4" t="str">
        <f>IFERROR(__xludf.DUMMYFUNCTION("GOOGLETRANSLATE(B3848)"),"血")</f>
        <v>血</v>
      </c>
    </row>
    <row r="3849" ht="15.75" customHeight="1">
      <c r="A3849" s="4">
        <v>1252.0</v>
      </c>
      <c r="B3849" s="4" t="s">
        <v>489</v>
      </c>
      <c r="D3849" s="4" t="s">
        <v>5735</v>
      </c>
      <c r="E3849" s="4">
        <v>0.0</v>
      </c>
      <c r="F3849" s="4" t="str">
        <f>IFERROR(__xludf.DUMMYFUNCTION("GOOGLETRANSLATE(D3849)"),"@scoto519 生日快樂，年輕的血液")</f>
        <v>@scoto519 生日快樂，年輕的血液</v>
      </c>
      <c r="G3849" s="4" t="str">
        <f>IFERROR(__xludf.DUMMYFUNCTION("GOOGLETRANSLATE(B3849)"),"血")</f>
        <v>血</v>
      </c>
    </row>
    <row r="3850" ht="15.75" customHeight="1">
      <c r="A3850" s="4">
        <v>1253.0</v>
      </c>
      <c r="B3850" s="4" t="s">
        <v>489</v>
      </c>
      <c r="C3850" s="4" t="s">
        <v>5736</v>
      </c>
      <c r="D3850" s="4" t="s">
        <v>5737</v>
      </c>
      <c r="E3850" s="4">
        <v>0.0</v>
      </c>
      <c r="F3850" s="4" t="str">
        <f>IFERROR(__xludf.DUMMYFUNCTION("GOOGLETRANSLATE(D3850)"),"如果沒有血！ ????")</f>
        <v>如果沒有血！ ????</v>
      </c>
      <c r="G3850" s="4" t="str">
        <f>IFERROR(__xludf.DUMMYFUNCTION("GOOGLETRANSLATE(B3850)"),"血")</f>
        <v>血</v>
      </c>
    </row>
    <row r="3851" ht="15.75" customHeight="1">
      <c r="A3851" s="4">
        <v>1254.0</v>
      </c>
      <c r="B3851" s="4" t="s">
        <v>489</v>
      </c>
      <c r="D3851" s="4" t="s">
        <v>5738</v>
      </c>
      <c r="E3851" s="4">
        <v>0.0</v>
      </c>
      <c r="F3851" s="4" t="str">
        <f>IFERROR(__xludf.DUMMYFUNCTION("GOOGLETRANSLATE(D3851)"),"裡面沒有那種討厭的血液。沒有雙關語的意思")</f>
        <v>裡面沒有那種討厭的血液。沒有雙關語的意思</v>
      </c>
      <c r="G3851" s="4" t="str">
        <f>IFERROR(__xludf.DUMMYFUNCTION("GOOGLETRANSLATE(B3851)"),"血")</f>
        <v>血</v>
      </c>
    </row>
    <row r="3852" ht="15.75" customHeight="1">
      <c r="A3852" s="4">
        <v>1262.0</v>
      </c>
      <c r="B3852" s="4" t="s">
        <v>489</v>
      </c>
      <c r="C3852" s="4" t="s">
        <v>5739</v>
      </c>
      <c r="D3852" s="4" t="s">
        <v>5740</v>
      </c>
      <c r="E3852" s="4">
        <v>0.0</v>
      </c>
      <c r="F3852" s="4" t="str">
        <f>IFERROR(__xludf.DUMMYFUNCTION("GOOGLETRANSLATE(D3852)"),"今天從接受藥物測試、血液淹沒結核病注射到記錄填寫真是太匆忙了？")</f>
        <v>今天從接受藥物測試、血液淹沒結核病注射到記錄填寫真是太匆忙了？</v>
      </c>
      <c r="G3852" s="4" t="str">
        <f>IFERROR(__xludf.DUMMYFUNCTION("GOOGLETRANSLATE(B3852)"),"血")</f>
        <v>血</v>
      </c>
    </row>
    <row r="3853" ht="15.75" customHeight="1">
      <c r="A3853" s="4">
        <v>1263.0</v>
      </c>
      <c r="B3853" s="4" t="s">
        <v>489</v>
      </c>
      <c r="D3853" s="4" t="s">
        <v>5741</v>
      </c>
      <c r="E3853" s="4">
        <v>0.0</v>
      </c>
      <c r="F3853" s="4" t="str">
        <f>IFERROR(__xludf.DUMMYFUNCTION("GOOGLETRANSLATE(D3853)"),"男人 。有人得阻止斯比這傢伙太他媽有趣了")</f>
        <v>男人 。有人得阻止斯比這傢伙太他媽有趣了</v>
      </c>
      <c r="G3853" s="4" t="str">
        <f>IFERROR(__xludf.DUMMYFUNCTION("GOOGLETRANSLATE(B3853)"),"血")</f>
        <v>血</v>
      </c>
    </row>
    <row r="3854" ht="15.75" customHeight="1">
      <c r="A3854" s="4">
        <v>1264.0</v>
      </c>
      <c r="B3854" s="4" t="s">
        <v>489</v>
      </c>
      <c r="D3854" s="4" t="s">
        <v>5742</v>
      </c>
      <c r="E3854" s="4">
        <v>0.0</v>
      </c>
      <c r="F3854" s="4" t="str">
        <f>IFERROR(__xludf.DUMMYFUNCTION("GOOGLETRANSLATE(D3854)"),"這次，風會把我的吉普賽血統帶到哪裡去呢？ http://t.co/66YVulIZbk")</f>
        <v>這次，風會把我的吉普賽血統帶到哪裡去呢？ http://t.co/66YVulIZbk</v>
      </c>
      <c r="G3854" s="4" t="str">
        <f>IFERROR(__xludf.DUMMYFUNCTION("GOOGLETRANSLATE(B3854)"),"血")</f>
        <v>血</v>
      </c>
    </row>
    <row r="3855" ht="15.75" customHeight="1">
      <c r="A3855" s="4">
        <v>1267.0</v>
      </c>
      <c r="B3855" s="4" t="s">
        <v>489</v>
      </c>
      <c r="C3855" s="4" t="s">
        <v>5743</v>
      </c>
      <c r="D3855" s="4" t="s">
        <v>5744</v>
      </c>
      <c r="E3855" s="4">
        <v>0.0</v>
      </c>
      <c r="F3855" s="4" t="str">
        <f>IFERROR(__xludf.DUMMYFUNCTION("GOOGLETRANSLATE(D3855)"),"@Lobo_paranoico 廣告狂人")</f>
        <v>@Lobo_paranoico 廣告狂人</v>
      </c>
      <c r="G3855" s="4" t="str">
        <f>IFERROR(__xludf.DUMMYFUNCTION("GOOGLETRANSLATE(B3855)"),"血")</f>
        <v>血</v>
      </c>
    </row>
    <row r="3856" ht="15.75" customHeight="1">
      <c r="A3856" s="4">
        <v>1270.0</v>
      </c>
      <c r="B3856" s="4" t="s">
        <v>489</v>
      </c>
      <c r="C3856" s="4" t="s">
        <v>5745</v>
      </c>
      <c r="D3856" s="4" t="s">
        <v>5746</v>
      </c>
      <c r="E3856" s="4">
        <v>0.0</v>
      </c>
      <c r="F3856" s="4" t="str">
        <f>IFERROR(__xludf.DUMMYFUNCTION("GOOGLETRANSLATE(D3856)"),"#RolandoNaBeats：艾莉古爾丁 - 我的血液 |請造訪我們的網站收聽！ http://t.co/Zk69uGXMT8")</f>
        <v>#RolandoNaBeats：艾莉古爾丁 - 我的血液 |請造訪我們的網站收聽！ http://t.co/Zk69uGXMT8</v>
      </c>
      <c r="G3856" s="4" t="str">
        <f>IFERROR(__xludf.DUMMYFUNCTION("GOOGLETRANSLATE(B3856)"),"血")</f>
        <v>血</v>
      </c>
    </row>
    <row r="3857" ht="15.75" customHeight="1">
      <c r="A3857" s="4">
        <v>1271.0</v>
      </c>
      <c r="B3857" s="4" t="s">
        <v>489</v>
      </c>
      <c r="C3857" s="4" t="s">
        <v>5747</v>
      </c>
      <c r="D3857" s="4" t="s">
        <v>5748</v>
      </c>
      <c r="E3857" s="4">
        <v>0.0</v>
      </c>
      <c r="F3857" s="4" t="str">
        <f>IFERROR(__xludf.DUMMYFUNCTION("GOOGLETRANSLATE(D3857)"),"@olrules 歡迎 - 閱讀我的新書《與耶穌相遇》的免費章節。它充滿了希望。 http://t.co/6qX7arf4AG")</f>
        <v>@olrules 歡迎 - 閱讀我的新書《與耶穌相遇》的免費章節。它充滿了希望。 http://t.co/6qX7arf4AG</v>
      </c>
      <c r="G3857" s="4" t="str">
        <f>IFERROR(__xludf.DUMMYFUNCTION("GOOGLETRANSLATE(B3857)"),"血")</f>
        <v>血</v>
      </c>
    </row>
    <row r="3858" ht="15.75" customHeight="1">
      <c r="A3858" s="4">
        <v>1272.0</v>
      </c>
      <c r="B3858" s="4" t="s">
        <v>489</v>
      </c>
      <c r="C3858" s="4" t="s">
        <v>5749</v>
      </c>
      <c r="D3858" s="4" t="s">
        <v>5750</v>
      </c>
      <c r="E3858" s="4">
        <v>0.0</v>
      </c>
      <c r="F3858" s="4" t="str">
        <f>IFERROR(__xludf.DUMMYFUNCTION("GOOGLETRANSLATE(D3858)"),"@Anthxvy 流淌在血液中")</f>
        <v>@Anthxvy 流淌在血液中</v>
      </c>
      <c r="G3858" s="4" t="str">
        <f>IFERROR(__xludf.DUMMYFUNCTION("GOOGLETRANSLATE(B3858)"),"血")</f>
        <v>血</v>
      </c>
    </row>
    <row r="3859" ht="15.75" customHeight="1">
      <c r="A3859" s="4">
        <v>1273.0</v>
      </c>
      <c r="B3859" s="4" t="s">
        <v>489</v>
      </c>
      <c r="C3859" s="4" t="s">
        <v>5751</v>
      </c>
      <c r="D3859" s="4" t="s">
        <v>5752</v>
      </c>
      <c r="E3859" s="4">
        <v>0.0</v>
      </c>
      <c r="F3859" s="4" t="str">
        <f>IFERROR(__xludf.DUMMYFUNCTION("GOOGLETRANSLATE(D3859)"),"@sethalphaeus 我個人最喜歡的包括 Paramore Muse Green Day Royal Blood 和 5sos")</f>
        <v>@sethalphaeus 我個人最喜歡的包括 Paramore Muse Green Day Royal Blood 和 5sos</v>
      </c>
      <c r="G3859" s="4" t="str">
        <f>IFERROR(__xludf.DUMMYFUNCTION("GOOGLETRANSLATE(B3859)"),"血")</f>
        <v>血</v>
      </c>
    </row>
    <row r="3860" ht="15.75" customHeight="1">
      <c r="A3860" s="4">
        <v>1275.0</v>
      </c>
      <c r="B3860" s="4" t="s">
        <v>489</v>
      </c>
      <c r="D3860" s="4" t="s">
        <v>5753</v>
      </c>
      <c r="E3860" s="4">
        <v>0.0</v>
      </c>
      <c r="F3860" s="4" t="str">
        <f>IFERROR(__xludf.DUMMYFUNCTION("GOOGLETRANSLATE(D3860)"),"他們的兒女流下了無辜的血，土地被污染了 詩篇 106:38 幫助制止墮胎的罪惡。")</f>
        <v>他們的兒女流下了無辜的血，土地被污染了 詩篇 106:38 幫助制止墮胎的罪惡。</v>
      </c>
      <c r="G3860" s="4" t="str">
        <f>IFERROR(__xludf.DUMMYFUNCTION("GOOGLETRANSLATE(B3860)"),"血")</f>
        <v>血</v>
      </c>
    </row>
    <row r="3861" ht="15.75" customHeight="1">
      <c r="A3861" s="4">
        <v>1276.0</v>
      </c>
      <c r="B3861" s="4" t="s">
        <v>489</v>
      </c>
      <c r="C3861" s="4" t="s">
        <v>1187</v>
      </c>
      <c r="D3861" s="4" t="s">
        <v>5754</v>
      </c>
      <c r="E3861" s="4">
        <v>0.0</v>
      </c>
      <c r="F3861" s="4" t="str">
        <f>IFERROR(__xludf.DUMMYFUNCTION("GOOGLETRANSLATE(D3861)"),"*se pone 唱一首哭泣的閃電*")</f>
        <v>*se pone 唱一首哭泣的閃電*</v>
      </c>
      <c r="G3861" s="4" t="str">
        <f>IFERROR(__xludf.DUMMYFUNCTION("GOOGLETRANSLATE(B3861)"),"血")</f>
        <v>血</v>
      </c>
    </row>
    <row r="3862" ht="15.75" customHeight="1">
      <c r="A3862" s="4">
        <v>1278.0</v>
      </c>
      <c r="B3862" s="4" t="s">
        <v>489</v>
      </c>
      <c r="C3862" s="4" t="s">
        <v>5755</v>
      </c>
      <c r="D3862" s="4" t="s">
        <v>5756</v>
      </c>
      <c r="E3862" s="4">
        <v>0.0</v>
      </c>
      <c r="F3862" s="4" t="str">
        <f>IFERROR(__xludf.DUMMYFUNCTION("GOOGLETRANSLATE(D3862)"),"將這些項目添加到您的日常飲食習慣中。請研究如何用血液服用Û_ https://t.co/LnpsCaDaXr")</f>
        <v>將這些項目添加到您的日常飲食習慣中。請研究如何用血液服用Û_ https://t.co/LnpsCaDaXr</v>
      </c>
      <c r="G3862" s="4" t="str">
        <f>IFERROR(__xludf.DUMMYFUNCTION("GOOGLETRANSLATE(B3862)"),"血")</f>
        <v>血</v>
      </c>
    </row>
    <row r="3863" ht="15.75" customHeight="1">
      <c r="A3863" s="4">
        <v>1279.0</v>
      </c>
      <c r="B3863" s="4" t="s">
        <v>498</v>
      </c>
      <c r="C3863" s="4" t="s">
        <v>5757</v>
      </c>
      <c r="D3863" s="4" t="s">
        <v>5758</v>
      </c>
      <c r="E3863" s="4">
        <v>0.0</v>
      </c>
      <c r="F3863" s="4" t="str">
        <f>IFERROR(__xludf.DUMMYFUNCTION("GOOGLETRANSLATE(D3863)"),"到底是誰幹的？ https://t.co/jRKGYl7Te5")</f>
        <v>到底是誰幹的？ https://t.co/jRKGYl7Te5</v>
      </c>
      <c r="G3863" s="4" t="str">
        <f>IFERROR(__xludf.DUMMYFUNCTION("GOOGLETRANSLATE(B3863)"),"血腥")</f>
        <v>血腥</v>
      </c>
    </row>
    <row r="3864" ht="15.75" customHeight="1">
      <c r="A3864" s="4">
        <v>1280.0</v>
      </c>
      <c r="B3864" s="4" t="s">
        <v>498</v>
      </c>
      <c r="D3864" s="4" t="s">
        <v>5759</v>
      </c>
      <c r="E3864" s="4">
        <v>0.0</v>
      </c>
      <c r="F3864" s="4" t="str">
        <f>IFERROR(__xludf.DUMMYFUNCTION("GOOGLETRANSLATE(D3864)"),"感染的血淋淋的耳洞總是很有趣？")</f>
        <v>感染的血淋淋的耳洞總是很有趣？</v>
      </c>
      <c r="G3864" s="4" t="str">
        <f>IFERROR(__xludf.DUMMYFUNCTION("GOOGLETRANSLATE(B3864)"),"血腥")</f>
        <v>血腥</v>
      </c>
    </row>
    <row r="3865" ht="15.75" customHeight="1">
      <c r="A3865" s="4">
        <v>1282.0</v>
      </c>
      <c r="B3865" s="4" t="s">
        <v>498</v>
      </c>
      <c r="C3865" s="4" t="s">
        <v>2900</v>
      </c>
      <c r="D3865" s="4" t="s">
        <v>5760</v>
      </c>
      <c r="E3865" s="4">
        <v>0.0</v>
      </c>
      <c r="F3865" s="4" t="str">
        <f>IFERROR(__xludf.DUMMYFUNCTION("GOOGLETRANSLATE(D3865)"),"Aggressif 太他媽的咄咄逼人了")</f>
        <v>Aggressif 太他媽的咄咄逼人了</v>
      </c>
      <c r="G3865" s="4" t="str">
        <f>IFERROR(__xludf.DUMMYFUNCTION("GOOGLETRANSLATE(B3865)"),"血腥")</f>
        <v>血腥</v>
      </c>
    </row>
    <row r="3866" ht="15.75" customHeight="1">
      <c r="A3866" s="4">
        <v>1283.0</v>
      </c>
      <c r="B3866" s="4" t="s">
        <v>498</v>
      </c>
      <c r="C3866" s="4" t="s">
        <v>5761</v>
      </c>
      <c r="D3866" s="4" t="s">
        <v>5762</v>
      </c>
      <c r="E3866" s="4">
        <v>0.0</v>
      </c>
      <c r="F3866" s="4" t="str">
        <f>IFERROR(__xludf.DUMMYFUNCTION("GOOGLETRANSLATE(D3866)"),"我透過@be_ram0s 參加#win 整套butterLONDON 唇蠟筆。 - 進去吧！ #bbloggers http://t.co/DsB3lDfuxU")</f>
        <v>我透過@be_ram0s 參加#win 整套butterLONDON 唇蠟筆。 - 進去吧！ #bbloggers http://t.co/DsB3lDfuxU</v>
      </c>
      <c r="G3866" s="4" t="str">
        <f>IFERROR(__xludf.DUMMYFUNCTION("GOOGLETRANSLATE(B3866)"),"血腥")</f>
        <v>血腥</v>
      </c>
    </row>
    <row r="3867" ht="15.75" customHeight="1">
      <c r="A3867" s="4">
        <v>1284.0</v>
      </c>
      <c r="B3867" s="4" t="s">
        <v>498</v>
      </c>
      <c r="C3867" s="4" t="s">
        <v>5763</v>
      </c>
      <c r="D3867" s="4" t="s">
        <v>5764</v>
      </c>
      <c r="E3867" s="4">
        <v>0.0</v>
      </c>
      <c r="F3867" s="4" t="str">
        <f>IFERROR(__xludf.DUMMYFUNCTION("GOOGLETRANSLATE(D3867)"),"@slsandpet 嘿莎莉，抱歉你寄email給我了嗎？擅離職守該死的工作啊！ @ResignInShame")</f>
        <v>@slsandpet 嘿莎莉，抱歉你寄email給我了嗎？擅離職守該死的工作啊！ @ResignInShame</v>
      </c>
      <c r="G3867" s="4" t="str">
        <f>IFERROR(__xludf.DUMMYFUNCTION("GOOGLETRANSLATE(B3867)"),"血腥")</f>
        <v>血腥</v>
      </c>
    </row>
    <row r="3868" ht="15.75" customHeight="1">
      <c r="A3868" s="4">
        <v>1287.0</v>
      </c>
      <c r="B3868" s="4" t="s">
        <v>498</v>
      </c>
      <c r="C3868" s="4" t="s">
        <v>5723</v>
      </c>
      <c r="D3868" s="4" t="s">
        <v>5765</v>
      </c>
      <c r="E3868" s="4">
        <v>0.0</v>
      </c>
      <c r="F3868" s="4" t="str">
        <f>IFERROR(__xludf.DUMMYFUNCTION("GOOGLETRANSLATE(D3868)"),"我在這裡聽血腥傑伊。 ???? https://t.co/CIyty0FgpR")</f>
        <v>我在這裡聽血腥傑伊。 ???? https://t.co/CIyty0FgpR</v>
      </c>
      <c r="G3868" s="4" t="str">
        <f>IFERROR(__xludf.DUMMYFUNCTION("GOOGLETRANSLATE(B3868)"),"血腥")</f>
        <v>血腥</v>
      </c>
    </row>
    <row r="3869" ht="15.75" customHeight="1">
      <c r="A3869" s="4">
        <v>1288.0</v>
      </c>
      <c r="B3869" s="4" t="s">
        <v>498</v>
      </c>
      <c r="C3869" s="4" t="s">
        <v>5766</v>
      </c>
      <c r="D3869" s="4" t="s">
        <v>5767</v>
      </c>
      <c r="E3869" s="4">
        <v>0.0</v>
      </c>
      <c r="F3869" s="4" t="str">
        <f>IFERROR(__xludf.DUMMYFUNCTION("GOOGLETRANSLATE(D3869)"),"@LauradeHolanda 我有 83 年的 Forrest 版本，那也太糟糕了:)））xxx")</f>
        <v>@LauradeHolanda 我有 83 年的 Forrest 版本，那也太糟糕了:)））xxx</v>
      </c>
      <c r="G3869" s="4" t="str">
        <f>IFERROR(__xludf.DUMMYFUNCTION("GOOGLETRANSLATE(B3869)"),"血腥")</f>
        <v>血腥</v>
      </c>
    </row>
    <row r="3870" ht="15.75" customHeight="1">
      <c r="A3870" s="4">
        <v>1289.0</v>
      </c>
      <c r="B3870" s="4" t="s">
        <v>498</v>
      </c>
      <c r="D3870" s="4" t="s">
        <v>5768</v>
      </c>
      <c r="E3870" s="4">
        <v>0.0</v>
      </c>
      <c r="F3870" s="4" t="str">
        <f>IFERROR(__xludf.DUMMYFUNCTION("GOOGLETRANSLATE(D3870)"),"《猛鬼街的惡夢》正在重拍…再一次 - http://t.co/HvwkJQXXyT")</f>
        <v>《猛鬼街的惡夢》正在重拍…再一次 - http://t.co/HvwkJQXXyT</v>
      </c>
      <c r="G3870" s="4" t="str">
        <f>IFERROR(__xludf.DUMMYFUNCTION("GOOGLETRANSLATE(B3870)"),"血腥")</f>
        <v>血腥</v>
      </c>
    </row>
    <row r="3871" ht="15.75" customHeight="1">
      <c r="A3871" s="4">
        <v>1290.0</v>
      </c>
      <c r="B3871" s="4" t="s">
        <v>498</v>
      </c>
      <c r="C3871" s="4" t="s">
        <v>1452</v>
      </c>
      <c r="D3871" s="4" t="s">
        <v>5769</v>
      </c>
      <c r="E3871" s="4">
        <v>0.0</v>
      </c>
      <c r="F3871" s="4" t="str">
        <f>IFERROR(__xludf.DUMMYFUNCTION("GOOGLETRANSLATE(D3871)"),"我他媽等不及了！！索尼為史蒂芬金的《黑暗塔》設定了日期 #stephenking #thedarktower http://t.co/J9LPdRXCDE @bdisgusting")</f>
        <v>我他媽等不及了！！索尼為史蒂芬金的《黑暗塔》設定了日期 #stephenking #thedarktower http://t.co/J9LPdRXCDE @bdisgusting</v>
      </c>
      <c r="G3871" s="4" t="str">
        <f>IFERROR(__xludf.DUMMYFUNCTION("GOOGLETRANSLATE(B3871)"),"血腥")</f>
        <v>血腥</v>
      </c>
    </row>
    <row r="3872" ht="15.75" customHeight="1">
      <c r="A3872" s="4">
        <v>1293.0</v>
      </c>
      <c r="B3872" s="4" t="s">
        <v>498</v>
      </c>
      <c r="D3872" s="4" t="s">
        <v>5770</v>
      </c>
      <c r="E3872" s="4">
        <v>0.0</v>
      </c>
      <c r="F3872" s="4" t="str">
        <f>IFERROR(__xludf.DUMMYFUNCTION("GOOGLETRANSLATE(D3872)"),"必須嘗試放棄這麼多該死的事情。斯姆赫")</f>
        <v>必須嘗試放棄這麼多該死的事情。斯姆赫</v>
      </c>
      <c r="G3872" s="4" t="str">
        <f>IFERROR(__xludf.DUMMYFUNCTION("GOOGLETRANSLATE(B3872)"),"血腥")</f>
        <v>血腥</v>
      </c>
    </row>
    <row r="3873" ht="15.75" customHeight="1">
      <c r="A3873" s="4">
        <v>1297.0</v>
      </c>
      <c r="B3873" s="4" t="s">
        <v>498</v>
      </c>
      <c r="C3873" s="4" t="s">
        <v>5771</v>
      </c>
      <c r="D3873" s="4" t="s">
        <v>5772</v>
      </c>
      <c r="E3873" s="4">
        <v>0.0</v>
      </c>
      <c r="F3873" s="4" t="str">
        <f>IFERROR(__xludf.DUMMYFUNCTION("GOOGLETRANSLATE(D3873)"),"@zhenghxn 我試過《11隻眼赤目大殺》和《東京食屍鬼》，都該死的血腥我不敢看？？？？？？？？")</f>
        <v>@zhenghxn 我試過《11隻眼赤目大殺》和《東京食屍鬼》，都該死的血腥我不敢看？？？？？？？？</v>
      </c>
      <c r="G3873" s="4" t="str">
        <f>IFERROR(__xludf.DUMMYFUNCTION("GOOGLETRANSLATE(B3873)"),"血腥")</f>
        <v>血腥</v>
      </c>
    </row>
    <row r="3874" ht="15.75" customHeight="1">
      <c r="A3874" s="4">
        <v>1298.0</v>
      </c>
      <c r="B3874" s="4" t="s">
        <v>498</v>
      </c>
      <c r="C3874" s="4" t="s">
        <v>5773</v>
      </c>
      <c r="D3874" s="4" t="s">
        <v>5774</v>
      </c>
      <c r="E3874" s="4">
        <v>0.0</v>
      </c>
      <c r="F3874" s="4" t="str">
        <f>IFERROR(__xludf.DUMMYFUNCTION("GOOGLETRANSLATE(D3874)"),"@Fantosex 現在忍住吧，因為這就是你透過補償手段從我身上得到的全部。")</f>
        <v>@Fantosex 現在忍住吧，因為這就是你透過補償手段從我身上得到的全部。</v>
      </c>
      <c r="G3874" s="4" t="str">
        <f>IFERROR(__xludf.DUMMYFUNCTION("GOOGLETRANSLATE(B3874)"),"血腥")</f>
        <v>血腥</v>
      </c>
    </row>
    <row r="3875" ht="15.75" customHeight="1">
      <c r="A3875" s="4">
        <v>1300.0</v>
      </c>
      <c r="B3875" s="4" t="s">
        <v>498</v>
      </c>
      <c r="C3875" s="4" t="s">
        <v>5775</v>
      </c>
      <c r="D3875" s="4" t="s">
        <v>5776</v>
      </c>
      <c r="E3875" s="4">
        <v>0.0</v>
      </c>
      <c r="F3875" s="4" t="str">
        <f>IFERROR(__xludf.DUMMYFUNCTION("GOOGLETRANSLATE(D3875)"),"你稱它們為週末。我稱之為血腥瑪莉時代。這個夏天充滿了它們。我的新Û_ https://t.co/VnNi3zzuZ6")</f>
        <v>你稱它們為週末。我稱之為血腥瑪莉時代。這個夏天充滿了它們。我的新Û_ https://t.co/VnNi3zzuZ6</v>
      </c>
      <c r="G3875" s="4" t="str">
        <f>IFERROR(__xludf.DUMMYFUNCTION("GOOGLETRANSLATE(B3875)"),"血腥")</f>
        <v>血腥</v>
      </c>
    </row>
    <row r="3876" ht="15.75" customHeight="1">
      <c r="A3876" s="4">
        <v>1301.0</v>
      </c>
      <c r="B3876" s="4" t="s">
        <v>498</v>
      </c>
      <c r="C3876" s="4" t="s">
        <v>5777</v>
      </c>
      <c r="D3876" s="4" t="s">
        <v>5778</v>
      </c>
      <c r="E3876" s="4">
        <v>0.0</v>
      </c>
      <c r="F3876" s="4" t="str">
        <f>IFERROR(__xludf.DUMMYFUNCTION("GOOGLETRANSLATE(D3876)"),"該死的今天真是太糟糕了。我什至還沒有真正做過任何事情。只是。疲勞的。一切。以為瓦卡會有幫助，但效果也有限。 =/")</f>
        <v>該死的今天真是太糟糕了。我什至還沒有真正做過任何事情。只是。疲勞的。一切。以為瓦卡會有幫助，但效果也有限。 =/</v>
      </c>
      <c r="G3876" s="4" t="str">
        <f>IFERROR(__xludf.DUMMYFUNCTION("GOOGLETRANSLATE(B3876)"),"血腥")</f>
        <v>血腥</v>
      </c>
    </row>
    <row r="3877" ht="15.75" customHeight="1">
      <c r="A3877" s="4">
        <v>1302.0</v>
      </c>
      <c r="B3877" s="4" t="s">
        <v>498</v>
      </c>
      <c r="C3877" s="4" t="s">
        <v>625</v>
      </c>
      <c r="D3877" s="4" t="s">
        <v>5779</v>
      </c>
      <c r="E3877" s="4">
        <v>0.0</v>
      </c>
      <c r="F3877" s="4" t="str">
        <f>IFERROR(__xludf.DUMMYFUNCTION("GOOGLETRANSLATE(D3877)"),"真他媽的熱")</f>
        <v>真他媽的熱</v>
      </c>
      <c r="G3877" s="4" t="str">
        <f>IFERROR(__xludf.DUMMYFUNCTION("GOOGLETRANSLATE(B3877)"),"血腥")</f>
        <v>血腥</v>
      </c>
    </row>
    <row r="3878" ht="15.75" customHeight="1">
      <c r="A3878" s="4">
        <v>1303.0</v>
      </c>
      <c r="B3878" s="4" t="s">
        <v>498</v>
      </c>
      <c r="C3878" s="4" t="s">
        <v>5294</v>
      </c>
      <c r="D3878" s="4" t="s">
        <v>5780</v>
      </c>
      <c r="E3878" s="4">
        <v>0.0</v>
      </c>
      <c r="F3878" s="4" t="str">
        <f>IFERROR(__xludf.DUMMYFUNCTION("GOOGLETRANSLATE(D3878)"),"@MrTophyPup 太性感了*流口水*")</f>
        <v>@MrTophyPup 太性感了*流口水*</v>
      </c>
      <c r="G3878" s="4" t="str">
        <f>IFERROR(__xludf.DUMMYFUNCTION("GOOGLETRANSLATE(B3878)"),"血腥")</f>
        <v>血腥</v>
      </c>
    </row>
    <row r="3879" ht="15.75" customHeight="1">
      <c r="A3879" s="4">
        <v>1304.0</v>
      </c>
      <c r="B3879" s="4" t="s">
        <v>498</v>
      </c>
      <c r="D3879" s="4" t="s">
        <v>5781</v>
      </c>
      <c r="E3879" s="4">
        <v>0.0</v>
      </c>
      <c r="F3879" s="4" t="str">
        <f>IFERROR(__xludf.DUMMYFUNCTION("GOOGLETRANSLATE(D3879)"),"你知道他們怎麼說副作用低&amp;amp;真的很快嗎？兒子，該產品是一種痤瘡霜。為什麼其中一個副作用是血性腹瀉？")</f>
        <v>你知道他們怎麼說副作用低&amp;amp;真的很快嗎？兒子，該產品是一種痤瘡霜。為什麼其中一個副作用是血性腹瀉？</v>
      </c>
      <c r="G3879" s="4" t="str">
        <f>IFERROR(__xludf.DUMMYFUNCTION("GOOGLETRANSLATE(B3879)"),"血腥")</f>
        <v>血腥</v>
      </c>
    </row>
    <row r="3880" ht="15.75" customHeight="1">
      <c r="A3880" s="4">
        <v>1305.0</v>
      </c>
      <c r="B3880" s="4" t="s">
        <v>498</v>
      </c>
      <c r="C3880" s="4" t="s">
        <v>5172</v>
      </c>
      <c r="D3880" s="4" t="s">
        <v>5782</v>
      </c>
      <c r="E3880" s="4">
        <v>0.0</v>
      </c>
      <c r="F3880" s="4" t="str">
        <f>IFERROR(__xludf.DUMMYFUNCTION("GOOGLETRANSLATE(D3880)"),"隆達·魯西將「接近」在 50 場比賽中賺到弗洛伊德·梅威瑟的錢 - 血腥肘 http://t.co/IjzcYtbFfo #boxing")</f>
        <v>隆達·魯西將「接近」在 50 場比賽中賺到弗洛伊德·梅威瑟的錢 - 血腥肘 http://t.co/IjzcYtbFfo #boxing</v>
      </c>
      <c r="G3880" s="4" t="str">
        <f>IFERROR(__xludf.DUMMYFUNCTION("GOOGLETRANSLATE(B3880)"),"血腥")</f>
        <v>血腥</v>
      </c>
    </row>
    <row r="3881" ht="15.75" customHeight="1">
      <c r="A3881" s="4">
        <v>1307.0</v>
      </c>
      <c r="B3881" s="4" t="s">
        <v>498</v>
      </c>
      <c r="C3881" s="4" t="s">
        <v>5783</v>
      </c>
      <c r="D3881" s="4" t="s">
        <v>5784</v>
      </c>
      <c r="E3881" s="4">
        <v>0.0</v>
      </c>
      <c r="F3881" s="4" t="str">
        <f>IFERROR(__xludf.DUMMYFUNCTION("GOOGLETRANSLATE(D3881)"),"我畫畫很糟糕..為什麼我同意用所有顏料的血腥油畫一張A3風景畫？")</f>
        <v>我畫畫很糟糕..為什麼我同意用所有顏料的血腥油畫一張A3風景畫？</v>
      </c>
      <c r="G3881" s="4" t="str">
        <f>IFERROR(__xludf.DUMMYFUNCTION("GOOGLETRANSLATE(B3881)"),"血腥")</f>
        <v>血腥</v>
      </c>
    </row>
    <row r="3882" ht="15.75" customHeight="1">
      <c r="A3882" s="4">
        <v>1308.0</v>
      </c>
      <c r="B3882" s="4" t="s">
        <v>498</v>
      </c>
      <c r="D3882" s="4" t="s">
        <v>5785</v>
      </c>
      <c r="E3882" s="4">
        <v>0.0</v>
      </c>
      <c r="F3882" s="4" t="str">
        <f>IFERROR(__xludf.DUMMYFUNCTION("GOOGLETRANSLATE(D3882)"),"在這罪惡的一生中我所需要的一切
只有我和我女朋友
騎車直到血腥的結局
只有我和我女朋友")</f>
        <v>在這罪惡的一生中我所需要的一切
只有我和我女朋友
騎車直到血腥的結局
只有我和我女朋友</v>
      </c>
      <c r="G3882" s="4" t="str">
        <f>IFERROR(__xludf.DUMMYFUNCTION("GOOGLETRANSLATE(B3882)"),"血腥")</f>
        <v>血腥</v>
      </c>
    </row>
    <row r="3883" ht="15.75" customHeight="1">
      <c r="A3883" s="4">
        <v>1309.0</v>
      </c>
      <c r="B3883" s="4" t="s">
        <v>498</v>
      </c>
      <c r="C3883" s="4" t="s">
        <v>5786</v>
      </c>
      <c r="D3883" s="4" t="s">
        <v>5787</v>
      </c>
      <c r="E3883" s="4">
        <v>0.0</v>
      </c>
      <c r="F3883" s="4" t="str">
        <f>IFERROR(__xludf.DUMMYFUNCTION("GOOGLETRANSLATE(D3883)"),"@_itsmegss_ 我認為是的。好吧，現在它正在狂吠")</f>
        <v>@_itsmegss_ 我認為是的。好吧，現在它正在狂吠</v>
      </c>
      <c r="G3883" s="4" t="str">
        <f>IFERROR(__xludf.DUMMYFUNCTION("GOOGLETRANSLATE(B3883)"),"血腥")</f>
        <v>血腥</v>
      </c>
    </row>
    <row r="3884" ht="15.75" customHeight="1">
      <c r="A3884" s="4">
        <v>1312.0</v>
      </c>
      <c r="B3884" s="4" t="s">
        <v>498</v>
      </c>
      <c r="C3884" s="4" t="s">
        <v>625</v>
      </c>
      <c r="D3884" s="4" t="s">
        <v>5788</v>
      </c>
      <c r="E3884" s="4">
        <v>0.0</v>
      </c>
      <c r="F3884" s="4" t="str">
        <f>IFERROR(__xludf.DUMMYFUNCTION("GOOGLETRANSLATE(D3884)"),"呃，你好，蓋住你該死的大腿，你該死的乳溝…… ÛÓ 呃，你好！從什麼時候開始，我暴露了我的乳溝，我… http://t.co/Kv5L4PPXfG")</f>
        <v>呃，你好，蓋住你該死的大腿，你該死的乳溝…… ÛÓ 呃，你好！從什麼時候開始，我暴露了我的乳溝，我… http://t.co/Kv5L4PPXfG</v>
      </c>
      <c r="G3884" s="4" t="str">
        <f>IFERROR(__xludf.DUMMYFUNCTION("GOOGLETRANSLATE(B3884)"),"血腥")</f>
        <v>血腥</v>
      </c>
    </row>
    <row r="3885" ht="15.75" customHeight="1">
      <c r="A3885" s="4">
        <v>1315.0</v>
      </c>
      <c r="B3885" s="4" t="s">
        <v>498</v>
      </c>
      <c r="C3885" s="4" t="s">
        <v>5789</v>
      </c>
      <c r="D3885" s="4" t="s">
        <v>5790</v>
      </c>
      <c r="E3885" s="4">
        <v>0.0</v>
      </c>
      <c r="F3885" s="4" t="str">
        <f>IFERROR(__xludf.DUMMYFUNCTION("GOOGLETRANSLATE(D3885)"),"@MariaSherwood2 @JohnJCampbell 超級棒極了")</f>
        <v>@MariaSherwood2 @JohnJCampbell 超級棒極了</v>
      </c>
      <c r="G3885" s="4" t="str">
        <f>IFERROR(__xludf.DUMMYFUNCTION("GOOGLETRANSLATE(B3885)"),"血腥")</f>
        <v>血腥</v>
      </c>
    </row>
    <row r="3886" ht="15.75" customHeight="1">
      <c r="A3886" s="4">
        <v>1316.0</v>
      </c>
      <c r="B3886" s="4" t="s">
        <v>498</v>
      </c>
      <c r="C3886" s="4" t="s">
        <v>5791</v>
      </c>
      <c r="D3886" s="4" t="s">
        <v>5792</v>
      </c>
      <c r="E3886" s="4">
        <v>0.0</v>
      </c>
      <c r="F3886" s="4" t="str">
        <f>IFERROR(__xludf.DUMMYFUNCTION("GOOGLETRANSLATE(D3886)"),"水槽裡的血腥瑪莉。甜菜汁 http://t.co/LUigmHMa1i")</f>
        <v>水槽裡的血腥瑪莉。甜菜汁 http://t.co/LUigmHMa1i</v>
      </c>
      <c r="G3886" s="4" t="str">
        <f>IFERROR(__xludf.DUMMYFUNCTION("GOOGLETRANSLATE(B3886)"),"血腥")</f>
        <v>血腥</v>
      </c>
    </row>
    <row r="3887" ht="15.75" customHeight="1">
      <c r="A3887" s="4">
        <v>1317.0</v>
      </c>
      <c r="B3887" s="4" t="s">
        <v>498</v>
      </c>
      <c r="D3887" s="4" t="s">
        <v>5793</v>
      </c>
      <c r="E3887" s="4">
        <v>0.0</v>
      </c>
      <c r="F3887" s="4" t="str">
        <f>IFERROR(__xludf.DUMMYFUNCTION("GOOGLETRANSLATE(D3887)"),"@MelRises @gayler1969 @wwwbigbaldhead @jessienojoke @melissaross9847 如果我的 Monty Python 已經更新到他想要的程度了。")</f>
        <v>@MelRises @gayler1969 @wwwbigbaldhead @jessienojoke @melissaross9847 如果我的 Monty Python 已經更新到他想要的程度了。</v>
      </c>
      <c r="G3887" s="4" t="str">
        <f>IFERROR(__xludf.DUMMYFUNCTION("GOOGLETRANSLATE(B3887)"),"血腥")</f>
        <v>血腥</v>
      </c>
    </row>
    <row r="3888" ht="15.75" customHeight="1">
      <c r="A3888" s="4">
        <v>1318.0</v>
      </c>
      <c r="B3888" s="4" t="s">
        <v>498</v>
      </c>
      <c r="D3888" s="4" t="s">
        <v>5794</v>
      </c>
      <c r="E3888" s="4">
        <v>0.0</v>
      </c>
      <c r="F3888" s="4" t="str">
        <f>IFERROR(__xludf.DUMMYFUNCTION("GOOGLETRANSLATE(D3888)"),"來認識該死的 RS5 http://t.co/RVczMimfVx")</f>
        <v>來認識該死的 RS5 http://t.co/RVczMimfVx</v>
      </c>
      <c r="G3888" s="4" t="str">
        <f>IFERROR(__xludf.DUMMYFUNCTION("GOOGLETRANSLATE(B3888)"),"血腥")</f>
        <v>血腥</v>
      </c>
    </row>
    <row r="3889" ht="15.75" customHeight="1">
      <c r="A3889" s="4">
        <v>1319.0</v>
      </c>
      <c r="B3889" s="4" t="s">
        <v>498</v>
      </c>
      <c r="C3889" s="4" t="s">
        <v>5795</v>
      </c>
      <c r="D3889" s="4" t="s">
        <v>5796</v>
      </c>
      <c r="E3889" s="4">
        <v>0.0</v>
      </c>
      <c r="F3889" s="4" t="str">
        <f>IFERROR(__xludf.DUMMYFUNCTION("GOOGLETRANSLATE(D3889)"),"星期五本來應該是快樂的一天，但這真是個該死的星期五，哈哈 zzzz")</f>
        <v>星期五本來應該是快樂的一天，但這真是個該死的星期五，哈哈 zzzz</v>
      </c>
      <c r="G3889" s="4" t="str">
        <f>IFERROR(__xludf.DUMMYFUNCTION("GOOGLETRANSLATE(B3889)"),"血腥")</f>
        <v>血腥</v>
      </c>
    </row>
    <row r="3890" ht="15.75" customHeight="1">
      <c r="A3890" s="4">
        <v>1320.0</v>
      </c>
      <c r="B3890" s="4" t="s">
        <v>498</v>
      </c>
      <c r="C3890" s="4" t="s">
        <v>5797</v>
      </c>
      <c r="D3890" s="4" t="s">
        <v>5798</v>
      </c>
      <c r="E3890" s="4">
        <v>0.0</v>
      </c>
      <c r="F3890" s="4" t="str">
        <f>IFERROR(__xludf.DUMMYFUNCTION("GOOGLETRANSLATE(D3890)"),"@chxrmingprince @jones_luna 我該死的希望如此*她說交叉雙臂坐在椅子上*")</f>
        <v>@chxrmingprince @jones_luna 我該死的希望如此*她說交叉雙臂坐在椅子上*</v>
      </c>
      <c r="G3890" s="4" t="str">
        <f>IFERROR(__xludf.DUMMYFUNCTION("GOOGLETRANSLATE(B3890)"),"血腥")</f>
        <v>血腥</v>
      </c>
    </row>
    <row r="3891" ht="15.75" customHeight="1">
      <c r="A3891" s="4">
        <v>1321.0</v>
      </c>
      <c r="B3891" s="4" t="s">
        <v>498</v>
      </c>
      <c r="C3891" s="4" t="s">
        <v>5799</v>
      </c>
      <c r="D3891" s="4" t="s">
        <v>5800</v>
      </c>
      <c r="E3891" s="4">
        <v>0.0</v>
      </c>
      <c r="F3891" s="4" t="str">
        <f>IFERROR(__xludf.DUMMYFUNCTION("GOOGLETRANSLATE(D3891)"),"等我告訴我的大學朋友，他也讀過血腥瑪麗，關於戲劇CD")</f>
        <v>等我告訴我的大學朋友，他也讀過血腥瑪麗，關於戲劇CD</v>
      </c>
      <c r="G3891" s="4" t="str">
        <f>IFERROR(__xludf.DUMMYFUNCTION("GOOGLETRANSLATE(B3891)"),"血腥")</f>
        <v>血腥</v>
      </c>
    </row>
    <row r="3892" ht="15.75" customHeight="1">
      <c r="A3892" s="4">
        <v>1326.0</v>
      </c>
      <c r="B3892" s="4" t="s">
        <v>498</v>
      </c>
      <c r="C3892" s="4" t="s">
        <v>5801</v>
      </c>
      <c r="D3892" s="4" t="s">
        <v>5802</v>
      </c>
      <c r="E3892" s="4">
        <v>0.0</v>
      </c>
      <c r="F3892" s="4" t="str">
        <f>IFERROR(__xludf.DUMMYFUNCTION("GOOGLETRANSLATE(D3892)"),"我剛剛看了《血腥星期一》第 S01E09 集！ http://t.co/vRptHvPymt #bloodymonday #tvshowtime http://t.co/NkKvknBvOz")</f>
        <v>我剛剛看了《血腥星期一》第 S01E09 集！ http://t.co/vRptHvPymt #bloodymonday #tvshowtime http://t.co/NkKvknBvOz</v>
      </c>
      <c r="G3892" s="4" t="str">
        <f>IFERROR(__xludf.DUMMYFUNCTION("GOOGLETRANSLATE(B3892)"),"血腥")</f>
        <v>血腥</v>
      </c>
    </row>
    <row r="3893" ht="15.75" customHeight="1">
      <c r="A3893" s="4">
        <v>1327.0</v>
      </c>
      <c r="B3893" s="4" t="s">
        <v>498</v>
      </c>
      <c r="C3893" s="4" t="s">
        <v>5803</v>
      </c>
      <c r="D3893" s="4" t="s">
        <v>5804</v>
      </c>
      <c r="E3893" s="4">
        <v>0.0</v>
      </c>
      <c r="F3893" s="4" t="str">
        <f>IFERROR(__xludf.DUMMYFUNCTION("GOOGLETRANSLATE(D3893)"),"馬龍威廉斯&gt;貓王貓王馬龍威廉斯&gt;鋼鐵豹.
隨機播放模式就像血腥傳奇。")</f>
        <v>馬龍威廉斯&gt;貓王貓王馬龍威廉斯&gt;鋼鐵豹.
隨機播放模式就像血腥傳奇。</v>
      </c>
      <c r="G3893" s="4" t="str">
        <f>IFERROR(__xludf.DUMMYFUNCTION("GOOGLETRANSLATE(B3893)"),"血腥")</f>
        <v>血腥</v>
      </c>
    </row>
    <row r="3894" ht="15.75" customHeight="1">
      <c r="A3894" s="4">
        <v>1328.0</v>
      </c>
      <c r="B3894" s="4" t="s">
        <v>498</v>
      </c>
      <c r="C3894" s="4" t="s">
        <v>4919</v>
      </c>
      <c r="D3894" s="4" t="s">
        <v>5805</v>
      </c>
      <c r="E3894" s="4">
        <v>0.0</v>
      </c>
      <c r="F3894" s="4" t="str">
        <f>IFERROR(__xludf.DUMMYFUNCTION("GOOGLETRANSLATE(D3894)"),"黑色星期五變得血腥（寧願購物）http://t.co/l0pmmtZLwP #mystery")</f>
        <v>黑色星期五變得血腥（寧願購物）http://t.co/l0pmmtZLwP #mystery</v>
      </c>
      <c r="G3894" s="4" t="str">
        <f>IFERROR(__xludf.DUMMYFUNCTION("GOOGLETRANSLATE(B3894)"),"血腥")</f>
        <v>血腥</v>
      </c>
    </row>
    <row r="3895" ht="15.75" customHeight="1">
      <c r="A3895" s="4">
        <v>1331.0</v>
      </c>
      <c r="B3895" s="4" t="s">
        <v>505</v>
      </c>
      <c r="C3895" s="4" t="s">
        <v>5806</v>
      </c>
      <c r="D3895" s="4" t="s">
        <v>5807</v>
      </c>
      <c r="E3895" s="4">
        <v>0.0</v>
      </c>
      <c r="F3895" s="4" t="str">
        <f>IFERROR(__xludf.DUMMYFUNCTION("GOOGLETRANSLATE(D3895)"),"@ezralevant 有人告訴我所有的足球媽媽都把這張照片放大並貼在女兒臥室的牆上。不是！！！")</f>
        <v>@ezralevant 有人告訴我所有的足球媽媽都把這張照片放大並貼在女兒臥室的牆上。不是！！！</v>
      </c>
      <c r="G3895" s="4" t="str">
        <f>IFERROR(__xludf.DUMMYFUNCTION("GOOGLETRANSLATE(B3895)"),"吹%20up")</f>
        <v>吹%20up</v>
      </c>
    </row>
    <row r="3896" ht="15.75" customHeight="1">
      <c r="A3896" s="4">
        <v>1332.0</v>
      </c>
      <c r="B3896" s="4" t="s">
        <v>505</v>
      </c>
      <c r="C3896" s="4" t="s">
        <v>5808</v>
      </c>
      <c r="D3896" s="4" t="s">
        <v>5809</v>
      </c>
      <c r="E3896" s="4">
        <v>0.0</v>
      </c>
      <c r="F3896" s="4" t="str">
        <f>IFERROR(__xludf.DUMMYFUNCTION("GOOGLETRANSLATE(D3896)"),"@Papcrdoll 和我 s2g 如果我的提及因我的選擇而被放大，我將停用並永遠離開。尊重我的選擇。")</f>
        <v>@Papcrdoll 和我 s2g 如果我的提及因我的選擇而被放大，我將停用並永遠離開。尊重我的選擇。</v>
      </c>
      <c r="G3896" s="4" t="str">
        <f>IFERROR(__xludf.DUMMYFUNCTION("GOOGLETRANSLATE(B3896)"),"吹%20up")</f>
        <v>吹%20up</v>
      </c>
    </row>
    <row r="3897" ht="15.75" customHeight="1">
      <c r="A3897" s="4">
        <v>1334.0</v>
      </c>
      <c r="B3897" s="4" t="s">
        <v>505</v>
      </c>
      <c r="C3897" s="4" t="s">
        <v>5810</v>
      </c>
      <c r="D3897" s="4" t="s">
        <v>5811</v>
      </c>
      <c r="E3897" s="4">
        <v>0.0</v>
      </c>
      <c r="F3897" s="4" t="str">
        <f>IFERROR(__xludf.DUMMYFUNCTION("GOOGLETRANSLATE(D3897)"),"@ManUtd @EmilymcfcHeslop
哇剛剛哇！
如果有任何其他俱樂部花掉那麼多錢並搞砸了這樣的球員，他們就會受到嘲笑！")</f>
        <v>@ManUtd @EmilymcfcHeslop
哇剛剛哇！
如果有任何其他俱樂部花掉那麼多錢並搞砸了這樣的球員，他們就會受到嘲笑！</v>
      </c>
      <c r="G3897" s="4" t="str">
        <f>IFERROR(__xludf.DUMMYFUNCTION("GOOGLETRANSLATE(B3897)"),"吹%20up")</f>
        <v>吹%20up</v>
      </c>
    </row>
    <row r="3898" ht="15.75" customHeight="1">
      <c r="A3898" s="4">
        <v>1335.0</v>
      </c>
      <c r="B3898" s="4" t="s">
        <v>505</v>
      </c>
      <c r="C3898" s="4" t="s">
        <v>5812</v>
      </c>
      <c r="D3898" s="4" t="s">
        <v>5813</v>
      </c>
      <c r="E3898" s="4">
        <v>0.0</v>
      </c>
      <c r="F3898" s="4" t="str">
        <f>IFERROR(__xludf.DUMMYFUNCTION("GOOGLETRANSLATE(D3898)"),"該死的格林克在第一局就被炸了")</f>
        <v>該死的格林克在第一局就被炸了</v>
      </c>
      <c r="G3898" s="4" t="str">
        <f>IFERROR(__xludf.DUMMYFUNCTION("GOOGLETRANSLATE(B3898)"),"吹%20up")</f>
        <v>吹%20up</v>
      </c>
    </row>
    <row r="3899" ht="15.75" customHeight="1">
      <c r="A3899" s="4">
        <v>1337.0</v>
      </c>
      <c r="B3899" s="4" t="s">
        <v>505</v>
      </c>
      <c r="D3899" s="4" t="s">
        <v>5814</v>
      </c>
      <c r="E3899" s="4">
        <v>0.0</v>
      </c>
      <c r="F3899" s="4" t="str">
        <f>IFERROR(__xludf.DUMMYFUNCTION("GOOGLETRANSLATE(D3899)"),"醒來太氣人了哈哈")</f>
        <v>醒來太氣人了哈哈</v>
      </c>
      <c r="G3899" s="4" t="str">
        <f>IFERROR(__xludf.DUMMYFUNCTION("GOOGLETRANSLATE(B3899)"),"吹%20up")</f>
        <v>吹%20up</v>
      </c>
    </row>
    <row r="3900" ht="15.75" customHeight="1">
      <c r="A3900" s="4">
        <v>1338.0</v>
      </c>
      <c r="B3900" s="4" t="s">
        <v>505</v>
      </c>
      <c r="C3900" s="4" t="s">
        <v>5815</v>
      </c>
      <c r="D3900" s="4" t="s">
        <v>5816</v>
      </c>
      <c r="E3900" s="4">
        <v>0.0</v>
      </c>
      <c r="F3900" s="4" t="str">
        <f>IFERROR(__xludf.DUMMYFUNCTION("GOOGLETRANSLATE(D3900)"),"瑪姬阿姨你被炸了哎呀")</f>
        <v>瑪姬阿姨你被炸了哎呀</v>
      </c>
      <c r="G3900" s="4" t="str">
        <f>IFERROR(__xludf.DUMMYFUNCTION("GOOGLETRANSLATE(B3900)"),"吹%20up")</f>
        <v>吹%20up</v>
      </c>
    </row>
    <row r="3901" ht="15.75" customHeight="1">
      <c r="A3901" s="4">
        <v>1340.0</v>
      </c>
      <c r="B3901" s="4" t="s">
        <v>505</v>
      </c>
      <c r="C3901" s="4" t="s">
        <v>38</v>
      </c>
      <c r="D3901" s="4" t="s">
        <v>5817</v>
      </c>
      <c r="E3901" s="4">
        <v>0.0</v>
      </c>
      <c r="F3901" s="4" t="str">
        <f>IFERROR(__xludf.DUMMYFUNCTION("GOOGLETRANSLATE(D3901)"),"@troylercraft 是的，這不值得，因為他已經有這麼多垃圾郵件發送者和垃圾郵件發送者了。他的推特可能每秒鐘都會爆爆")</f>
        <v>@troylercraft 是的，這不值得，因為他已經有這麼多垃圾郵件發送者和垃圾郵件發送者了。他的推特可能每秒鐘都會爆爆</v>
      </c>
      <c r="G3901" s="4" t="str">
        <f>IFERROR(__xludf.DUMMYFUNCTION("GOOGLETRANSLATE(B3901)"),"吹%20up")</f>
        <v>吹%20up</v>
      </c>
    </row>
    <row r="3902" ht="15.75" customHeight="1">
      <c r="A3902" s="4">
        <v>1343.0</v>
      </c>
      <c r="B3902" s="4" t="s">
        <v>505</v>
      </c>
      <c r="C3902" s="4" t="s">
        <v>3111</v>
      </c>
      <c r="D3902" s="4" t="s">
        <v>5818</v>
      </c>
      <c r="E3902" s="4">
        <v>0.0</v>
      </c>
      <c r="F3902" s="4" t="str">
        <f>IFERROR(__xludf.DUMMYFUNCTION("GOOGLETRANSLATE(D3902)"),"夥計，為什麼@machinegunkelly 沒有爆炸？他還在地下。")</f>
        <v>夥計，為什麼@machinegunkelly 沒有爆炸？他還在地下。</v>
      </c>
      <c r="G3902" s="4" t="str">
        <f>IFERROR(__xludf.DUMMYFUNCTION("GOOGLETRANSLATE(B3902)"),"吹%20up")</f>
        <v>吹%20up</v>
      </c>
    </row>
    <row r="3903" ht="15.75" customHeight="1">
      <c r="A3903" s="4">
        <v>1345.0</v>
      </c>
      <c r="B3903" s="4" t="s">
        <v>505</v>
      </c>
      <c r="C3903" s="4" t="s">
        <v>5819</v>
      </c>
      <c r="D3903" s="4" t="s">
        <v>5820</v>
      </c>
      <c r="E3903" s="4">
        <v>0.0</v>
      </c>
      <c r="F3903" s="4" t="str">
        <f>IFERROR(__xludf.DUMMYFUNCTION("GOOGLETRANSLATE(D3903)"),"我的提及為何被誇大？ ?? wtf。")</f>
        <v>我的提及為何被誇大？ ?? wtf。</v>
      </c>
      <c r="G3903" s="4" t="str">
        <f>IFERROR(__xludf.DUMMYFUNCTION("GOOGLETRANSLATE(B3903)"),"吹%20up")</f>
        <v>吹%20up</v>
      </c>
    </row>
    <row r="3904" ht="15.75" customHeight="1">
      <c r="A3904" s="4">
        <v>1347.0</v>
      </c>
      <c r="B3904" s="4" t="s">
        <v>505</v>
      </c>
      <c r="D3904" s="4" t="s">
        <v>5821</v>
      </c>
      <c r="E3904" s="4">
        <v>0.0</v>
      </c>
      <c r="F3904" s="4" t="str">
        <f>IFERROR(__xludf.DUMMYFUNCTION("GOOGLETRANSLATE(D3904)"),"那一刻，當你即將贏得迷你 uhc 時，卻被爬行者炸毀，並因飛行而被踢……太鹹了……！！！？")</f>
        <v>那一刻，當你即將贏得迷你 uhc 時，卻被爬行者炸毀，並因飛行而被踢……太鹹了……！！！？</v>
      </c>
      <c r="G3904" s="4" t="str">
        <f>IFERROR(__xludf.DUMMYFUNCTION("GOOGLETRANSLATE(B3904)"),"吹%20up")</f>
        <v>吹%20up</v>
      </c>
    </row>
    <row r="3905" ht="15.75" customHeight="1">
      <c r="A3905" s="4">
        <v>1348.0</v>
      </c>
      <c r="B3905" s="4" t="s">
        <v>505</v>
      </c>
      <c r="C3905" s="4" t="s">
        <v>5822</v>
      </c>
      <c r="D3905" s="4" t="s">
        <v>5823</v>
      </c>
      <c r="E3905" s="4">
        <v>0.0</v>
      </c>
      <c r="F3905" s="4" t="str">
        <f>IFERROR(__xludf.DUMMYFUNCTION("GOOGLETRANSLATE(D3905)"),"@libraryeliza 他確實得到了 @taylorswift13 的認可，這可能是他爆炸的原因 http://t.co/KOLMzBz1pZ #MusicAdvisory")</f>
        <v>@libraryeliza 他確實得到了 @taylorswift13 的認可，這可能是他爆炸的原因 http://t.co/KOLMzBz1pZ #MusicAdvisory</v>
      </c>
      <c r="G3905" s="4" t="str">
        <f>IFERROR(__xludf.DUMMYFUNCTION("GOOGLETRANSLATE(B3905)"),"吹%20up")</f>
        <v>吹%20up</v>
      </c>
    </row>
    <row r="3906" ht="15.75" customHeight="1">
      <c r="A3906" s="4">
        <v>1350.0</v>
      </c>
      <c r="B3906" s="4" t="s">
        <v>505</v>
      </c>
      <c r="C3906" s="4" t="s">
        <v>5824</v>
      </c>
      <c r="D3906" s="4" t="s">
        <v>5825</v>
      </c>
      <c r="E3906" s="4">
        <v>0.0</v>
      </c>
      <c r="F3906" s="4" t="str">
        <f>IFERROR(__xludf.DUMMYFUNCTION("GOOGLETRANSLATE(D3906)"),"你看！！！卡什的“Live for Today”基金會在《人物》雜誌的網站上被炸了！！
托德布萊克... http://t.co/2Fenu1SYu6")</f>
        <v>你看！！！卡什的“Live for Today”基金會在《人物》雜誌的網站上被炸了！！
托德布萊克... http://t.co/2Fenu1SYu6</v>
      </c>
      <c r="G3906" s="4" t="str">
        <f>IFERROR(__xludf.DUMMYFUNCTION("GOOGLETRANSLATE(B3906)"),"吹%20up")</f>
        <v>吹%20up</v>
      </c>
    </row>
    <row r="3907" ht="15.75" customHeight="1">
      <c r="A3907" s="4">
        <v>1351.0</v>
      </c>
      <c r="B3907" s="4" t="s">
        <v>505</v>
      </c>
      <c r="C3907" s="4" t="s">
        <v>1002</v>
      </c>
      <c r="D3907" s="4" t="s">
        <v>5826</v>
      </c>
      <c r="E3907" s="4">
        <v>0.0</v>
      </c>
      <c r="F3907" s="4" t="str">
        <f>IFERROR(__xludf.DUMMYFUNCTION("GOOGLETRANSLATE(D3907)"),"@KaylaK369 上個月我走進 EE 商店時得到了它。慶幸的是還沒炸起來。 http://t.co/PgB2BmCFX8")</f>
        <v>@KaylaK369 上個月我走進 EE 商店時得到了它。慶幸的是還沒炸起來。 http://t.co/PgB2BmCFX8</v>
      </c>
      <c r="G3907" s="4" t="str">
        <f>IFERROR(__xludf.DUMMYFUNCTION("GOOGLETRANSLATE(B3907)"),"吹%20up")</f>
        <v>吹%20up</v>
      </c>
    </row>
    <row r="3908" ht="15.75" customHeight="1">
      <c r="A3908" s="4">
        <v>1352.0</v>
      </c>
      <c r="B3908" s="4" t="s">
        <v>505</v>
      </c>
      <c r="C3908" s="4" t="s">
        <v>5827</v>
      </c>
      <c r="D3908" s="4" t="s">
        <v>5828</v>
      </c>
      <c r="E3908" s="4">
        <v>0.0</v>
      </c>
      <c r="F3908" s="4" t="str">
        <f>IFERROR(__xludf.DUMMYFUNCTION("GOOGLETRANSLATE(D3908)"),"這是半天後第一次推文被炸毀…RE https://t.co/1BUF0xM53d")</f>
        <v>這是半天後第一次推文被炸毀…RE https://t.co/1BUF0xM53d</v>
      </c>
      <c r="G3908" s="4" t="str">
        <f>IFERROR(__xludf.DUMMYFUNCTION("GOOGLETRANSLATE(B3908)"),"吹%20up")</f>
        <v>吹%20up</v>
      </c>
    </row>
    <row r="3909" ht="15.75" customHeight="1">
      <c r="A3909" s="4">
        <v>1353.0</v>
      </c>
      <c r="B3909" s="4" t="s">
        <v>505</v>
      </c>
      <c r="C3909" s="4" t="s">
        <v>5829</v>
      </c>
      <c r="D3909" s="4" t="s">
        <v>5830</v>
      </c>
      <c r="E3909" s="4">
        <v>0.0</v>
      </c>
      <c r="F3909" s="4" t="str">
        <f>IFERROR(__xludf.DUMMYFUNCTION("GOOGLETRANSLATE(D3909)"),"「我們對這個擴展感到震驚。我們見過的任何東西都沒有像這個這樣有如此多的選擇。 https://t.co/0YzgW9ZbHR https://t.co/rHtaqjvQn2")</f>
        <v>「我們對這個擴展感到震驚。我們見過的任何東西都沒有像這個這樣有如此多的選擇。 https://t.co/0YzgW9ZbHR https://t.co/rHtaqjvQn2</v>
      </c>
      <c r="G3909" s="4" t="str">
        <f>IFERROR(__xludf.DUMMYFUNCTION("GOOGLETRANSLATE(B3909)"),"吹%20up")</f>
        <v>吹%20up</v>
      </c>
    </row>
    <row r="3910" ht="15.75" customHeight="1">
      <c r="A3910" s="4">
        <v>1354.0</v>
      </c>
      <c r="B3910" s="4" t="s">
        <v>505</v>
      </c>
      <c r="C3910" s="4" t="s">
        <v>5831</v>
      </c>
      <c r="D3910" s="4" t="s">
        <v>5832</v>
      </c>
      <c r="E3910" s="4">
        <v>0.0</v>
      </c>
      <c r="F3910" s="4" t="str">
        <f>IFERROR(__xludf.DUMMYFUNCTION("GOOGLETRANSLATE(D3910)"),"@TheBoyOfMasks“再次感謝你讓我留在這裡，因為莊園被炸毀了......無論如何，你怎麼樣，夥計？”")</f>
        <v>@TheBoyOfMasks“再次感謝你讓我留在這裡，因為莊園被炸毀了......無論如何，你怎麼樣，夥計？”</v>
      </c>
      <c r="G3910" s="4" t="str">
        <f>IFERROR(__xludf.DUMMYFUNCTION("GOOGLETRANSLATE(B3910)"),"吹%20up")</f>
        <v>吹%20up</v>
      </c>
    </row>
    <row r="3911" ht="15.75" customHeight="1">
      <c r="A3911" s="4">
        <v>1356.0</v>
      </c>
      <c r="B3911" s="4" t="s">
        <v>505</v>
      </c>
      <c r="C3911" s="4" t="s">
        <v>5833</v>
      </c>
      <c r="D3911" s="4" t="s">
        <v>5834</v>
      </c>
      <c r="E3911" s="4">
        <v>0.0</v>
      </c>
      <c r="F3911" s="4" t="str">
        <f>IFERROR(__xludf.DUMMYFUNCTION("GOOGLETRANSLATE(D3911)"),"孤獨日記。
沙上的圖案
可能已經被吹走了。
照片成雙成對
所有人都在火焰中窒息...... http://t.co/EKfaZ6wVBz")</f>
        <v>孤獨日記。
沙上的圖案
可能已經被吹走了。
照片成雙成對
所有人都在火焰中窒息...... http://t.co/EKfaZ6wVBz</v>
      </c>
      <c r="G3911" s="4" t="str">
        <f>IFERROR(__xludf.DUMMYFUNCTION("GOOGLETRANSLATE(B3911)"),"吹%20up")</f>
        <v>吹%20up</v>
      </c>
    </row>
    <row r="3912" ht="15.75" customHeight="1">
      <c r="A3912" s="4">
        <v>1361.0</v>
      </c>
      <c r="B3912" s="4" t="s">
        <v>505</v>
      </c>
      <c r="C3912" s="4" t="s">
        <v>5835</v>
      </c>
      <c r="D3912" s="4" t="s">
        <v>5836</v>
      </c>
      <c r="E3912" s="4">
        <v>0.0</v>
      </c>
      <c r="F3912" s="4" t="str">
        <f>IFERROR(__xludf.DUMMYFUNCTION("GOOGLETRANSLATE(D3912)"),"瓦妮莎的比賽正式結束了。女士們、先生們……真正的好戲即將開始。 #BB17")</f>
        <v>瓦妮莎的比賽正式結束了。女士們、先生們……真正的好戲即將開始。 #BB17</v>
      </c>
      <c r="G3912" s="4" t="str">
        <f>IFERROR(__xludf.DUMMYFUNCTION("GOOGLETRANSLATE(B3912)"),"吹%20up")</f>
        <v>吹%20up</v>
      </c>
    </row>
    <row r="3913" ht="15.75" customHeight="1">
      <c r="A3913" s="4">
        <v>1362.0</v>
      </c>
      <c r="B3913" s="4" t="s">
        <v>505</v>
      </c>
      <c r="D3913" s="4" t="s">
        <v>5837</v>
      </c>
      <c r="E3913" s="4">
        <v>0.0</v>
      </c>
      <c r="F3913" s="4" t="str">
        <f>IFERROR(__xludf.DUMMYFUNCTION("GOOGLETRANSLATE(D3913)"),"一定是被變異蚊子咬了，我的腳踝已經炸掉了。小屄")</f>
        <v>一定是被變異蚊子咬了，我的腳踝已經炸掉了。小屄</v>
      </c>
      <c r="G3913" s="4" t="str">
        <f>IFERROR(__xludf.DUMMYFUNCTION("GOOGLETRANSLATE(B3913)"),"吹%20up")</f>
        <v>吹%20up</v>
      </c>
    </row>
    <row r="3914" ht="15.75" customHeight="1">
      <c r="A3914" s="4">
        <v>1363.0</v>
      </c>
      <c r="B3914" s="4" t="s">
        <v>505</v>
      </c>
      <c r="D3914" s="4" t="s">
        <v>5838</v>
      </c>
      <c r="E3914" s="4">
        <v>0.0</v>
      </c>
      <c r="F3914" s="4" t="str">
        <f>IFERROR(__xludf.DUMMYFUNCTION("GOOGLETRANSLATE(D3914)"),"你可以從 tozlet 座位上學到的東西|：屁股麻風病全面的混蛋綜合症，橫向口齒不清和口齒不清。廁所佝僂病。")</f>
        <v>你可以從 tozlet 座位上學到的東西|：屁股麻風病全面的混蛋綜合症，橫向口齒不清和口齒不清。廁所佝僂病。</v>
      </c>
      <c r="G3914" s="4" t="str">
        <f>IFERROR(__xludf.DUMMYFUNCTION("GOOGLETRANSLATE(B3914)"),"吹%20up")</f>
        <v>吹%20up</v>
      </c>
    </row>
    <row r="3915" ht="15.75" customHeight="1">
      <c r="A3915" s="4">
        <v>1365.0</v>
      </c>
      <c r="B3915" s="4" t="s">
        <v>505</v>
      </c>
      <c r="D3915" s="4" t="s">
        <v>5839</v>
      </c>
      <c r="E3915" s="4">
        <v>0.0</v>
      </c>
      <c r="F3915" s="4" t="str">
        <f>IFERROR(__xludf.DUMMYFUNCTION("GOOGLETRANSLATE(D3915)"),"@KalinAndMyles @KalinWhite 我的 ig 被黑客炸毀了，我需要它來阻止 #givebackkalinwhiteaccount")</f>
        <v>@KalinAndMyles @KalinWhite 我的 ig 被黑客炸毀了，我需要它來阻止 #givebackkalinwhiteaccount</v>
      </c>
      <c r="G3915" s="4" t="str">
        <f>IFERROR(__xludf.DUMMYFUNCTION("GOOGLETRANSLATE(B3915)"),"吹%20up")</f>
        <v>吹%20up</v>
      </c>
    </row>
    <row r="3916" ht="15.75" customHeight="1">
      <c r="A3916" s="4">
        <v>1368.0</v>
      </c>
      <c r="B3916" s="4" t="s">
        <v>505</v>
      </c>
      <c r="C3916" s="4" t="s">
        <v>5840</v>
      </c>
      <c r="D3916" s="4" t="s">
        <v>5841</v>
      </c>
      <c r="E3916" s="4">
        <v>0.0</v>
      </c>
      <c r="F3916" s="4" t="str">
        <f>IFERROR(__xludf.DUMMYFUNCTION("GOOGLETRANSLATE(D3916)"),"@luke_winkie 無論誰執導這些視頻，都需要抓住 Nicki Minaj 或獲得美國認可的人，這樣才能讓人們大吃一驚。")</f>
        <v>@luke_winkie 無論誰執導這些視頻，都需要抓住 Nicki Minaj 或獲得美國認可的人，這樣才能讓人們大吃一驚。</v>
      </c>
      <c r="G3916" s="4" t="str">
        <f>IFERROR(__xludf.DUMMYFUNCTION("GOOGLETRANSLATE(B3916)"),"吹%20up")</f>
        <v>吹%20up</v>
      </c>
    </row>
    <row r="3917" ht="15.75" customHeight="1">
      <c r="A3917" s="4">
        <v>1369.0</v>
      </c>
      <c r="B3917" s="4" t="s">
        <v>505</v>
      </c>
      <c r="C3917" s="4" t="s">
        <v>5842</v>
      </c>
      <c r="D3917" s="4" t="s">
        <v>5843</v>
      </c>
      <c r="E3917" s="4">
        <v>0.0</v>
      </c>
      <c r="F3917" s="4" t="str">
        <f>IFERROR(__xludf.DUMMYFUNCTION("GOOGLETRANSLATE(D3917)"),"@PrincessDuck 上週希望第六感能夠發揮得這麼好。詹姆斯可能會贏，但他是一個巨大的目標，很快就會消失。")</f>
        <v>@PrincessDuck 上週希望第六感能夠發揮得這麼好。詹姆斯可能會贏，但他是一個巨大的目標，很快就會消失。</v>
      </c>
      <c r="G3917" s="4" t="str">
        <f>IFERROR(__xludf.DUMMYFUNCTION("GOOGLETRANSLATE(B3917)"),"吹%20up")</f>
        <v>吹%20up</v>
      </c>
    </row>
    <row r="3918" ht="15.75" customHeight="1">
      <c r="A3918" s="4">
        <v>1371.0</v>
      </c>
      <c r="B3918" s="4" t="s">
        <v>505</v>
      </c>
      <c r="C3918" s="4" t="s">
        <v>5844</v>
      </c>
      <c r="D3918" s="4" t="s">
        <v>5845</v>
      </c>
      <c r="E3918" s="4">
        <v>0.0</v>
      </c>
      <c r="F3918" s="4" t="str">
        <f>IFERROR(__xludf.DUMMYFUNCTION("GOOGLETRANSLATE(D3918)"),"@orbette 比較像是 BLOWN UP amirite")</f>
        <v>@orbette 比較像是 BLOWN UP amirite</v>
      </c>
      <c r="G3918" s="4" t="str">
        <f>IFERROR(__xludf.DUMMYFUNCTION("GOOGLETRANSLATE(B3918)"),"吹%20up")</f>
        <v>吹%20up</v>
      </c>
    </row>
    <row r="3919" ht="15.75" customHeight="1">
      <c r="A3919" s="4">
        <v>1372.0</v>
      </c>
      <c r="B3919" s="4" t="s">
        <v>505</v>
      </c>
      <c r="C3919" s="4" t="s">
        <v>5846</v>
      </c>
      <c r="D3919" s="4" t="s">
        <v>5847</v>
      </c>
      <c r="E3919" s="4">
        <v>0.0</v>
      </c>
      <c r="F3919" s="4" t="str">
        <f>IFERROR(__xludf.DUMMYFUNCTION("GOOGLETRANSLATE(D3919)"),"我的狗剛剛炸毀了他的狗窩 血腥約克郡恐怖分子")</f>
        <v>我的狗剛剛炸毀了他的狗窩 血腥約克郡恐怖分子</v>
      </c>
      <c r="G3919" s="4" t="str">
        <f>IFERROR(__xludf.DUMMYFUNCTION("GOOGLETRANSLATE(B3919)"),"吹%20up")</f>
        <v>吹%20up</v>
      </c>
    </row>
    <row r="3920" ht="15.75" customHeight="1">
      <c r="A3920" s="4">
        <v>1374.0</v>
      </c>
      <c r="B3920" s="4" t="s">
        <v>505</v>
      </c>
      <c r="D3920" s="4" t="s">
        <v>5848</v>
      </c>
      <c r="E3920" s="4">
        <v>0.0</v>
      </c>
      <c r="F3920" s="4" t="str">
        <f>IFERROR(__xludf.DUMMYFUNCTION("GOOGLETRANSLATE(D3920)"),"打開 ESPN2 並被炸毀")</f>
        <v>打開 ESPN2 並被炸毀</v>
      </c>
      <c r="G3920" s="4" t="str">
        <f>IFERROR(__xludf.DUMMYFUNCTION("GOOGLETRANSLATE(B3920)"),"吹%20up")</f>
        <v>吹%20up</v>
      </c>
    </row>
    <row r="3921" ht="15.75" customHeight="1">
      <c r="A3921" s="4">
        <v>1376.0</v>
      </c>
      <c r="B3921" s="4" t="s">
        <v>505</v>
      </c>
      <c r="D3921" s="4" t="s">
        <v>5849</v>
      </c>
      <c r="E3921" s="4">
        <v>0.0</v>
      </c>
      <c r="F3921" s="4" t="str">
        <f>IFERROR(__xludf.DUMMYFUNCTION("GOOGLETRANSLATE(D3921)"),"@thebriankrause leos 屁股剛剛再次被隱喻地炸毀#PiperWearsThePants #charmed")</f>
        <v>@thebriankrause leos 屁股剛剛再次被隱喻地炸毀#PiperWearsThePants #charmed</v>
      </c>
      <c r="G3921" s="4" t="str">
        <f>IFERROR(__xludf.DUMMYFUNCTION("GOOGLETRANSLATE(B3921)"),"吹%20up")</f>
        <v>吹%20up</v>
      </c>
    </row>
    <row r="3922" ht="15.75" customHeight="1">
      <c r="A3922" s="4">
        <v>1378.0</v>
      </c>
      <c r="B3922" s="4" t="s">
        <v>505</v>
      </c>
      <c r="C3922" s="4" t="s">
        <v>5850</v>
      </c>
      <c r="D3922" s="4" t="s">
        <v>5851</v>
      </c>
      <c r="E3922" s="4">
        <v>0.0</v>
      </c>
      <c r="F3922" s="4" t="str">
        <f>IFERROR(__xludf.DUMMYFUNCTION("GOOGLETRANSLATE(D3922)"),"@anarchic_teapot @BoironUSA @zeno001 當用一瓶硝化甘油猛擊一本書時，Glonium 6C 也有助於被炸毀。")</f>
        <v>@anarchic_teapot @BoironUSA @zeno001 當用一瓶硝化甘油猛擊一本書時，Glonium 6C 也有助於被炸毀。</v>
      </c>
      <c r="G3922" s="4" t="str">
        <f>IFERROR(__xludf.DUMMYFUNCTION("GOOGLETRANSLATE(B3922)"),"吹%20up")</f>
        <v>吹%20up</v>
      </c>
    </row>
    <row r="3923" ht="15.75" customHeight="1">
      <c r="A3923" s="4">
        <v>1379.0</v>
      </c>
      <c r="B3923" s="4" t="s">
        <v>516</v>
      </c>
      <c r="C3923" s="4" t="s">
        <v>291</v>
      </c>
      <c r="D3923" s="4" t="s">
        <v>5852</v>
      </c>
      <c r="E3923" s="4">
        <v>0.0</v>
      </c>
      <c r="F3923" s="4" t="str">
        <f>IFERROR(__xludf.DUMMYFUNCTION("GOOGLETRANSLATE(D3923)"),"新款女士單肩托特包女式斜背包人造皮革時尚皮夾 - 全包 http://t.co/y87Gi3BRlV http://t.co/1zbhVDCXzS")</f>
        <v>新款女士單肩托特包女式斜背包人造皮革時尚皮夾 - 全包 http://t.co/y87Gi3BRlV http://t.co/1zbhVDCXzS</v>
      </c>
      <c r="G3923" s="4" t="str">
        <f>IFERROR(__xludf.DUMMYFUNCTION("GOOGLETRANSLATE(B3923)"),"本體%20bag")</f>
        <v>本體%20bag</v>
      </c>
    </row>
    <row r="3924" ht="15.75" customHeight="1">
      <c r="A3924" s="4">
        <v>1380.0</v>
      </c>
      <c r="B3924" s="4" t="s">
        <v>516</v>
      </c>
      <c r="C3924" s="4" t="s">
        <v>291</v>
      </c>
      <c r="D3924" s="4" t="s">
        <v>5853</v>
      </c>
      <c r="E3924" s="4">
        <v>0.0</v>
      </c>
      <c r="F3924" s="4" t="str">
        <f>IFERROR(__xludf.DUMMYFUNCTION("GOOGLETRANSLATE(D3924)"),"新款女士單肩手提包女用斜背包人造皮革時尚皮夾 - 全面推薦 http://t.co/BLAAWHYScT http://t.co/dDR0zjXVQN")</f>
        <v>新款女士單肩手提包女用斜背包人造皮革時尚皮夾 - 全面推薦 http://t.co/BLAAWHYScT http://t.co/dDR0zjXVQN</v>
      </c>
      <c r="G3924" s="4" t="str">
        <f>IFERROR(__xludf.DUMMYFUNCTION("GOOGLETRANSLATE(B3924)"),"本體%20bag")</f>
        <v>本體%20bag</v>
      </c>
    </row>
    <row r="3925" ht="15.75" customHeight="1">
      <c r="A3925" s="4">
        <v>1381.0</v>
      </c>
      <c r="B3925" s="4" t="s">
        <v>516</v>
      </c>
      <c r="D3925" s="4" t="s">
        <v>5854</v>
      </c>
      <c r="E3925" s="4">
        <v>0.0</v>
      </c>
      <c r="F3925" s="4" t="str">
        <f>IFERROR(__xludf.DUMMYFUNCTION("GOOGLETRANSLATE(D3925)"),"如果你有兒子或女兒，你願意看到他們去與伊朗開戰並裝在屍袋裡回來嗎？讓#Republicans知道")</f>
        <v>如果你有兒子或女兒，你願意看到他們去與伊朗開戰並裝在屍袋裡回來嗎？讓#Republicans知道</v>
      </c>
      <c r="G3925" s="4" t="str">
        <f>IFERROR(__xludf.DUMMYFUNCTION("GOOGLETRANSLATE(B3925)"),"本體%20bag")</f>
        <v>本體%20bag</v>
      </c>
    </row>
    <row r="3926" ht="15.75" customHeight="1">
      <c r="A3926" s="4">
        <v>1382.0</v>
      </c>
      <c r="B3926" s="4" t="s">
        <v>516</v>
      </c>
      <c r="C3926" s="4" t="s">
        <v>5855</v>
      </c>
      <c r="D3926" s="4" t="s">
        <v>5856</v>
      </c>
      <c r="E3926" s="4">
        <v>0.0</v>
      </c>
      <c r="F3926" s="4" t="str">
        <f>IFERROR(__xludf.DUMMYFUNCTION("GOOGLETRANSLATE(D3926)"),"@questergirl 同上，但這就是我們所擁有的一切。我感覺如果我喝加冰的伏特加，他們就得把我裹屍袋")</f>
        <v>@questergirl 同上，但這就是我們所擁有的一切。我感覺如果我喝加冰的伏特加，他們就得把我裹屍袋</v>
      </c>
      <c r="G3926" s="4" t="str">
        <f>IFERROR(__xludf.DUMMYFUNCTION("GOOGLETRANSLATE(B3926)"),"本體%20bag")</f>
        <v>本體%20bag</v>
      </c>
    </row>
    <row r="3927" ht="15.75" customHeight="1">
      <c r="A3927" s="4">
        <v>1383.0</v>
      </c>
      <c r="B3927" s="4" t="s">
        <v>516</v>
      </c>
      <c r="D3927" s="4" t="s">
        <v>5857</v>
      </c>
      <c r="E3927" s="4">
        <v>0.0</v>
      </c>
      <c r="F3927" s="4" t="str">
        <f>IFERROR(__xludf.DUMMYFUNCTION("GOOGLETRANSLATE(D3927)"),"# 手袋 正品 Mulberry Antony 斜背郵差包 深色橡木柔軟水牛皮革： å£279.00結束日期： W... http://t.co/FTM4RKl8mN")</f>
        <v># 手袋 正品 Mulberry Antony 斜背郵差包 深色橡木柔軟水牛皮革： å£279.00結束日期： W... http://t.co/FTM4RKl8mN</v>
      </c>
      <c r="G3927" s="4" t="str">
        <f>IFERROR(__xludf.DUMMYFUNCTION("GOOGLETRANSLATE(B3927)"),"本體%20bag")</f>
        <v>本體%20bag</v>
      </c>
    </row>
    <row r="3928" ht="15.75" customHeight="1">
      <c r="A3928" s="4">
        <v>1384.0</v>
      </c>
      <c r="B3928" s="4" t="s">
        <v>516</v>
      </c>
      <c r="C3928" s="4" t="s">
        <v>291</v>
      </c>
      <c r="D3928" s="4" t="s">
        <v>5858</v>
      </c>
      <c r="E3928" s="4">
        <v>0.0</v>
      </c>
      <c r="F3928" s="4" t="str">
        <f>IFERROR(__xludf.DUMMYFUNCTION("GOOGLETRANSLATE(D3928)"),"路易威登 Monogram Sophie 限量版手拿包斜挎包 - eBay 全文閱讀 http://t.co/JrxgoLnPqw http://t.co/Lin16KvZbn")</f>
        <v>路易威登 Monogram Sophie 限量版手拿包斜挎包 - eBay 全文閱讀 http://t.co/JrxgoLnPqw http://t.co/Lin16KvZbn</v>
      </c>
      <c r="G3928" s="4" t="str">
        <f>IFERROR(__xludf.DUMMYFUNCTION("GOOGLETRANSLATE(B3928)"),"本體%20bag")</f>
        <v>本體%20bag</v>
      </c>
    </row>
    <row r="3929" ht="15.75" customHeight="1">
      <c r="A3929" s="4">
        <v>1385.0</v>
      </c>
      <c r="B3929" s="4" t="s">
        <v>516</v>
      </c>
      <c r="C3929" s="4" t="s">
        <v>291</v>
      </c>
      <c r="D3929" s="4" t="s">
        <v>5859</v>
      </c>
      <c r="E3929" s="4">
        <v>0.0</v>
      </c>
      <c r="F3929" s="4" t="str">
        <f>IFERROR(__xludf.DUMMYFUNCTION("GOOGLETRANSLATE(D3929)"),"路易威登 Monogram Sophie 限量版手拿包斜背包 - eBay 全文閱讀 http://t.co/GGgFVO5Pb4 http://t.co/NlFr8t3xqm")</f>
        <v>路易威登 Monogram Sophie 限量版手拿包斜背包 - eBay 全文閱讀 http://t.co/GGgFVO5Pb4 http://t.co/NlFr8t3xqm</v>
      </c>
      <c r="G3929" s="4" t="str">
        <f>IFERROR(__xludf.DUMMYFUNCTION("GOOGLETRANSLATE(B3929)"),"本體%20bag")</f>
        <v>本體%20bag</v>
      </c>
    </row>
    <row r="3930" ht="15.75" customHeight="1">
      <c r="A3930" s="4">
        <v>1388.0</v>
      </c>
      <c r="B3930" s="4" t="s">
        <v>516</v>
      </c>
      <c r="C3930" s="4" t="s">
        <v>1529</v>
      </c>
      <c r="D3930" s="4" t="s">
        <v>5860</v>
      </c>
      <c r="E3930" s="4">
        <v>0.0</v>
      </c>
      <c r="F3930" s="4" t="str">
        <f>IFERROR(__xludf.DUMMYFUNCTION("GOOGLETRANSLATE(D3930)"),"路易威登 CultSierre Monogram 肩背包 斜背包 http://t.co/mUf5cZQjrL http://t.co/SsLT8ESMHY")</f>
        <v>路易威登 CultSierre Monogram 肩背包 斜背包 http://t.co/mUf5cZQjrL http://t.co/SsLT8ESMHY</v>
      </c>
      <c r="G3930" s="4" t="str">
        <f>IFERROR(__xludf.DUMMYFUNCTION("GOOGLETRANSLATE(B3930)"),"本體%20bag")</f>
        <v>本體%20bag</v>
      </c>
    </row>
    <row r="3931" ht="15.75" customHeight="1">
      <c r="A3931" s="4">
        <v>1389.0</v>
      </c>
      <c r="B3931" s="4" t="s">
        <v>516</v>
      </c>
      <c r="C3931" s="4" t="s">
        <v>5861</v>
      </c>
      <c r="D3931" s="4" t="s">
        <v>5862</v>
      </c>
      <c r="E3931" s="4">
        <v>0.0</v>
      </c>
      <c r="F3931" s="4" t="str">
        <f>IFERROR(__xludf.DUMMYFUNCTION("GOOGLETRANSLATE(D3931)"),"查看 Ameribag 健康背包單肩斜背包卡其色棕褐色米色尼龍 http://t.co/r4k7TyLofJ @eBay")</f>
        <v>查看 Ameribag 健康背包單肩斜背包卡其色棕褐色米色尼龍 http://t.co/r4k7TyLofJ @eBay</v>
      </c>
      <c r="G3931" s="4" t="str">
        <f>IFERROR(__xludf.DUMMYFUNCTION("GOOGLETRANSLATE(B3931)"),"本體%20bag")</f>
        <v>本體%20bag</v>
      </c>
    </row>
    <row r="3932" ht="15.75" customHeight="1">
      <c r="A3932" s="4">
        <v>1390.0</v>
      </c>
      <c r="B3932" s="4" t="s">
        <v>516</v>
      </c>
      <c r="C3932" s="4" t="s">
        <v>405</v>
      </c>
      <c r="D3932" s="4" t="s">
        <v>5863</v>
      </c>
      <c r="E3932" s="4">
        <v>0.0</v>
      </c>
      <c r="F3932" s="4" t="str">
        <f>IFERROR(__xludf.DUMMYFUNCTION("GOOGLETRANSLATE(D3932)"),"照片：巴斯Body Works 長春花藍色化妝包，頂部和四個角落有銅滾邊...... http://t.co/A9BNlse6QB")</f>
        <v>照片：巴斯Body Works 長春花藍色化妝包，頂部和四個角落有銅滾邊...... http://t.co/A9BNlse6QB</v>
      </c>
      <c r="G3932" s="4" t="str">
        <f>IFERROR(__xludf.DUMMYFUNCTION("GOOGLETRANSLATE(B3932)"),"本體%20bag")</f>
        <v>本體%20bag</v>
      </c>
    </row>
    <row r="3933" ht="15.75" customHeight="1">
      <c r="A3933" s="4">
        <v>1391.0</v>
      </c>
      <c r="B3933" s="4" t="s">
        <v>516</v>
      </c>
      <c r="D3933" s="4" t="s">
        <v>5864</v>
      </c>
      <c r="E3933" s="4">
        <v>0.0</v>
      </c>
      <c r="F3933" s="4" t="str">
        <f>IFERROR(__xludf.DUMMYFUNCTION("GOOGLETRANSLATE(D3933)"),"新款女士單肩手提包女用斜背包人造皮革時尚皮夾 - 全包 http://t.co/3PCNtcZoxv http://t.co/n0AkjM1e4B")</f>
        <v>新款女士單肩手提包女用斜背包人造皮革時尚皮夾 - 全包 http://t.co/3PCNtcZoxv http://t.co/n0AkjM1e4B</v>
      </c>
      <c r="G3933" s="4" t="str">
        <f>IFERROR(__xludf.DUMMYFUNCTION("GOOGLETRANSLATE(B3933)"),"本體%20bag")</f>
        <v>本體%20bag</v>
      </c>
    </row>
    <row r="3934" ht="15.75" customHeight="1">
      <c r="A3934" s="4">
        <v>1393.0</v>
      </c>
      <c r="B3934" s="4" t="s">
        <v>516</v>
      </c>
      <c r="D3934" s="4" t="s">
        <v>5865</v>
      </c>
      <c r="E3934" s="4">
        <v>0.0</v>
      </c>
      <c r="F3934" s="4" t="str">
        <f>IFERROR(__xludf.DUMMYFUNCTION("GOOGLETRANSLATE(D3934)"),"新款夏季長款顯瘦包臀A字裙藍色http://t.co/lvKoEMsq8m http://t.co/CjiRhHh4vj")</f>
        <v>新款夏季長款顯瘦包臀A字裙藍色http://t.co/lvKoEMsq8m http://t.co/CjiRhHh4vj</v>
      </c>
      <c r="G3934" s="4" t="str">
        <f>IFERROR(__xludf.DUMMYFUNCTION("GOOGLETRANSLATE(B3934)"),"本體%20bag")</f>
        <v>本體%20bag</v>
      </c>
    </row>
    <row r="3935" ht="15.75" customHeight="1">
      <c r="A3935" s="4">
        <v>1394.0</v>
      </c>
      <c r="B3935" s="4" t="s">
        <v>516</v>
      </c>
      <c r="C3935" s="4" t="s">
        <v>193</v>
      </c>
      <c r="D3935" s="4" t="s">
        <v>5866</v>
      </c>
      <c r="E3935" s="4">
        <v>0.0</v>
      </c>
      <c r="F3935" s="4" t="str">
        <f>IFERROR(__xludf.DUMMYFUNCTION("GOOGLETRANSLATE(D3935)"),"å¤} 新款女士單肩手提包 #Handbag 人造皮革 Hobo 皮夾斜背包 #Womens http://t.co/UooZXauS26 http://t.co/6MGBizjfgd RT enÛ_")</f>
        <v>å¤} 新款女士單肩手提包 #Handbag 人造皮革 Hobo 皮夾斜背包 #Womens http://t.co/UooZXauS26 http://t.co/6MGBizjfgd RT enÛ_</v>
      </c>
      <c r="G3935" s="4" t="str">
        <f>IFERROR(__xludf.DUMMYFUNCTION("GOOGLETRANSLATE(B3935)"),"本體%20bag")</f>
        <v>本體%20bag</v>
      </c>
    </row>
    <row r="3936" ht="15.75" customHeight="1">
      <c r="A3936" s="4">
        <v>1395.0</v>
      </c>
      <c r="B3936" s="4" t="s">
        <v>516</v>
      </c>
      <c r="C3936" s="4" t="s">
        <v>5867</v>
      </c>
      <c r="D3936" s="4" t="s">
        <v>5868</v>
      </c>
      <c r="E3936" s="4">
        <v>0.0</v>
      </c>
      <c r="F3936" s="4" t="str">
        <f>IFERROR(__xludf.DUMMYFUNCTION("GOOGLETRANSLATE(D3936)"),"@TR_jdavis Bruh 你想打架我很沮喪在籠子裡見我兄弟最好在你最終被裝進屍袋之前弄清楚你在和誰打交道")</f>
        <v>@TR_jdavis Bruh 你想打架我很沮喪在籠子裡見我兄弟最好在你最終被裝進屍袋之前弄清楚你在和誰打交道</v>
      </c>
      <c r="G3936" s="4" t="str">
        <f>IFERROR(__xludf.DUMMYFUNCTION("GOOGLETRANSLATE(B3936)"),"本體%20bag")</f>
        <v>本體%20bag</v>
      </c>
    </row>
    <row r="3937" ht="15.75" customHeight="1">
      <c r="A3937" s="4">
        <v>1396.0</v>
      </c>
      <c r="B3937" s="4" t="s">
        <v>516</v>
      </c>
      <c r="C3937" s="4" t="s">
        <v>291</v>
      </c>
      <c r="D3937" s="4" t="s">
        <v>5869</v>
      </c>
      <c r="E3937" s="4">
        <v>0.0</v>
      </c>
      <c r="F3937" s="4" t="str">
        <f>IFERROR(__xludf.DUMMYFUNCTION("GOOGLETRANSLATE(D3937)"),"新款女士單肩手提包仿皮流浪漢皮夾斜背包女式 - 完整閱讀Û_ http://t.co/4FXfllRIen http://t.co/i12NLSr8Fk")</f>
        <v>新款女士單肩手提包仿皮流浪漢皮夾斜背包女式 - 完整閱讀Û_ http://t.co/4FXfllRIen http://t.co/i12NLSr8Fk</v>
      </c>
      <c r="G3937" s="4" t="str">
        <f>IFERROR(__xludf.DUMMYFUNCTION("GOOGLETRANSLATE(B3937)"),"本體%20bag")</f>
        <v>本體%20bag</v>
      </c>
    </row>
    <row r="3938" ht="15.75" customHeight="1">
      <c r="A3938" s="4">
        <v>1399.0</v>
      </c>
      <c r="B3938" s="4" t="s">
        <v>516</v>
      </c>
      <c r="C3938" s="4" t="s">
        <v>291</v>
      </c>
      <c r="D3938" s="4" t="s">
        <v>5870</v>
      </c>
      <c r="E3938" s="4">
        <v>0.0</v>
      </c>
      <c r="F3938" s="4" t="str">
        <f>IFERROR(__xludf.DUMMYFUNCTION("GOOGLETRANSLATE(D3938)"),"正品路易威登棕色 SAUMUR 35 斜挎單肩包字母圖案 7.23 419-3 - 完整閱讀Û_ http://t.co/HCDiwE5flc http://t.co/zLvEbEoavG")</f>
        <v>正品路易威登棕色 SAUMUR 35 斜挎單肩包字母圖案 7.23 419-3 - 完整閱讀Û_ http://t.co/HCDiwE5flc http://t.co/zLvEbEoavG</v>
      </c>
      <c r="G3938" s="4" t="str">
        <f>IFERROR(__xludf.DUMMYFUNCTION("GOOGLETRANSLATE(B3938)"),"本體%20bag")</f>
        <v>本體%20bag</v>
      </c>
    </row>
    <row r="3939" ht="15.75" customHeight="1">
      <c r="A3939" s="4">
        <v>1401.0</v>
      </c>
      <c r="B3939" s="4" t="s">
        <v>516</v>
      </c>
      <c r="D3939" s="4" t="s">
        <v>5871</v>
      </c>
      <c r="E3939" s="4">
        <v>0.0</v>
      </c>
      <c r="F3939" s="4" t="str">
        <f>IFERROR(__xludf.DUMMYFUNCTION("GOOGLETRANSLATE(D3939)"),"查看復古 Longaberger 花卉織物單肩斜背包棕色皮革肩帶 http://t.co/FB8snRg4HU @eBay")</f>
        <v>查看復古 Longaberger 花卉織物單肩斜背包棕色皮革肩帶 http://t.co/FB8snRg4HU @eBay</v>
      </c>
      <c r="G3939" s="4" t="str">
        <f>IFERROR(__xludf.DUMMYFUNCTION("GOOGLETRANSLATE(B3939)"),"本體%20bag")</f>
        <v>本體%20bag</v>
      </c>
    </row>
    <row r="3940" ht="15.75" customHeight="1">
      <c r="A3940" s="4">
        <v>1402.0</v>
      </c>
      <c r="B3940" s="4" t="s">
        <v>516</v>
      </c>
      <c r="C3940" s="4" t="s">
        <v>517</v>
      </c>
      <c r="D3940" s="4" t="s">
        <v>5872</v>
      </c>
      <c r="E3940" s="4">
        <v>0.0</v>
      </c>
      <c r="F3940" s="4" t="str">
        <f>IFERROR(__xludf.DUMMYFUNCTION("GOOGLETRANSLATE(D3940)"),"??新款女士單肩手提包 #Handbag 人造皮革 Hobo 皮夾斜背包 #Womens http://t.co/zujwUiomb3 http://t.co/GBCtmhx7pW")</f>
        <v>??新款女士單肩手提包 #Handbag 人造皮革 Hobo 皮夾斜背包 #Womens http://t.co/zujwUiomb3 http://t.co/GBCtmhx7pW</v>
      </c>
      <c r="G3940" s="4" t="str">
        <f>IFERROR(__xludf.DUMMYFUNCTION("GOOGLETRANSLATE(B3940)"),"本體%20bag")</f>
        <v>本體%20bag</v>
      </c>
    </row>
    <row r="3941" ht="15.75" customHeight="1">
      <c r="A3941" s="4">
        <v>1405.0</v>
      </c>
      <c r="B3941" s="4" t="s">
        <v>516</v>
      </c>
      <c r="D3941" s="4" t="s">
        <v>5873</v>
      </c>
      <c r="E3941" s="4">
        <v>0.0</v>
      </c>
      <c r="F3941" s="4" t="str">
        <f>IFERROR(__xludf.DUMMYFUNCTION("GOOGLETRANSLATE(D3941)"),"新款夏季長款顯瘦包臀A字裙藍色http://t.co/8JymD9YPSJ http://t.co/57PKmmCaDG")</f>
        <v>新款夏季長款顯瘦包臀A字裙藍色http://t.co/8JymD9YPSJ http://t.co/57PKmmCaDG</v>
      </c>
      <c r="G3941" s="4" t="str">
        <f>IFERROR(__xludf.DUMMYFUNCTION("GOOGLETRANSLATE(B3941)"),"本體%20bag")</f>
        <v>本體%20bag</v>
      </c>
    </row>
    <row r="3942" ht="15.75" customHeight="1">
      <c r="A3942" s="4">
        <v>1406.0</v>
      </c>
      <c r="B3942" s="4" t="s">
        <v>516</v>
      </c>
      <c r="C3942" s="4" t="s">
        <v>193</v>
      </c>
      <c r="D3942" s="4" t="s">
        <v>5874</v>
      </c>
      <c r="E3942" s="4">
        <v>0.0</v>
      </c>
      <c r="F3942" s="4" t="str">
        <f>IFERROR(__xludf.DUMMYFUNCTION("GOOGLETRANSLATE(D3942)"),"?Ìü 新款女士單肩手提包 #Handbag 人造皮革 Hobo 皮夾斜背包 #Womens http://t.co/UooZXauS26 http://t.co/Pw78nblJKy RT enÛ_")</f>
        <v>?Ìü 新款女士單肩手提包 #Handbag 人造皮革 Hobo 皮夾斜背包 #Womens http://t.co/UooZXauS26 http://t.co/Pw78nblJKy RT enÛ_</v>
      </c>
      <c r="G3942" s="4" t="str">
        <f>IFERROR(__xludf.DUMMYFUNCTION("GOOGLETRANSLATE(B3942)"),"本體%20bag")</f>
        <v>本體%20bag</v>
      </c>
    </row>
    <row r="3943" ht="15.75" customHeight="1">
      <c r="A3943" s="4">
        <v>1407.0</v>
      </c>
      <c r="B3943" s="4" t="s">
        <v>516</v>
      </c>
      <c r="C3943" s="4" t="s">
        <v>291</v>
      </c>
      <c r="D3943" s="4" t="s">
        <v>5875</v>
      </c>
      <c r="E3943" s="4">
        <v>0.0</v>
      </c>
      <c r="F3943" s="4" t="str">
        <f>IFERROR(__xludf.DUMMYFUNCTION("GOOGLETRANSLATE(D3943)"),"路易威登 Monogram Sophie 限量版手拿包斜挎包 - eBay 全文閱讀 http://t.co/I4AogcSOY5 http://t.co/dJIwG9pxV4")</f>
        <v>路易威登 Monogram Sophie 限量版手拿包斜挎包 - eBay 全文閱讀 http://t.co/I4AogcSOY5 http://t.co/dJIwG9pxV4</v>
      </c>
      <c r="G3943" s="4" t="str">
        <f>IFERROR(__xludf.DUMMYFUNCTION("GOOGLETRANSLATE(B3943)"),"本體%20bag")</f>
        <v>本體%20bag</v>
      </c>
    </row>
    <row r="3944" ht="15.75" customHeight="1">
      <c r="A3944" s="4">
        <v>1408.0</v>
      </c>
      <c r="B3944" s="4" t="s">
        <v>516</v>
      </c>
      <c r="D3944" s="4" t="s">
        <v>5876</v>
      </c>
      <c r="E3944" s="4">
        <v>0.0</v>
      </c>
      <c r="F3944" s="4" t="str">
        <f>IFERROR(__xludf.DUMMYFUNCTION("GOOGLETRANSLATE(D3944)"),"新款女用手提包仿皮女單肩托特包斜挎包大號挎包 - 全包 http://t.co/NCjPGf6znv http://t.co/GeRJau74eY")</f>
        <v>新款女用手提包仿皮女單肩托特包斜挎包大號挎包 - 全包 http://t.co/NCjPGf6znv http://t.co/GeRJau74eY</v>
      </c>
      <c r="G3944" s="4" t="str">
        <f>IFERROR(__xludf.DUMMYFUNCTION("GOOGLETRANSLATE(B3944)"),"本體%20bag")</f>
        <v>本體%20bag</v>
      </c>
    </row>
    <row r="3945" ht="15.75" customHeight="1">
      <c r="A3945" s="4">
        <v>1411.0</v>
      </c>
      <c r="B3945" s="4" t="s">
        <v>516</v>
      </c>
      <c r="D3945" s="4" t="s">
        <v>5877</v>
      </c>
      <c r="E3945" s="4">
        <v>0.0</v>
      </c>
      <c r="F3945" s="4" t="str">
        <f>IFERROR(__xludf.DUMMYFUNCTION("GOOGLETRANSLATE(D3945)"),"有一天，這顆心消失了，我被裝進屍袋裡。")</f>
        <v>有一天，這顆心消失了，我被裝進屍袋裡。</v>
      </c>
      <c r="G3945" s="4" t="str">
        <f>IFERROR(__xludf.DUMMYFUNCTION("GOOGLETRANSLATE(B3945)"),"本體%20bag")</f>
        <v>本體%20bag</v>
      </c>
    </row>
    <row r="3946" ht="15.75" customHeight="1">
      <c r="A3946" s="4">
        <v>1412.0</v>
      </c>
      <c r="B3946" s="4" t="s">
        <v>516</v>
      </c>
      <c r="D3946" s="4" t="s">
        <v>5878</v>
      </c>
      <c r="E3946" s="4">
        <v>0.0</v>
      </c>
      <c r="F3946" s="4" t="str">
        <f>IFERROR(__xludf.DUMMYFUNCTION("GOOGLETRANSLATE(D3946)"),"#handbag #fashion #style http://t.co/iPXpI3me16 正品路易威登 Pochette Bosphore 肩斜背包Û_ http://t.co/RV0Fk7q4Y5")</f>
        <v>#handbag #fashion #style http://t.co/iPXpI3me16 正品路易威登 Pochette Bosphore 肩斜背包Û_ http://t.co/RV0Fk7q4Y5</v>
      </c>
      <c r="G3946" s="4" t="str">
        <f>IFERROR(__xludf.DUMMYFUNCTION("GOOGLETRANSLATE(B3946)"),"本體%20bag")</f>
        <v>本體%20bag</v>
      </c>
    </row>
    <row r="3947" ht="15.75" customHeight="1">
      <c r="A3947" s="4">
        <v>1414.0</v>
      </c>
      <c r="B3947" s="4" t="s">
        <v>516</v>
      </c>
      <c r="C3947" s="4" t="s">
        <v>517</v>
      </c>
      <c r="D3947" s="4" t="s">
        <v>5879</v>
      </c>
      <c r="E3947" s="4">
        <v>0.0</v>
      </c>
      <c r="F3947" s="4" t="str">
        <f>IFERROR(__xludf.DUMMYFUNCTION("GOOGLETRANSLATE(D3947)"),"A_？新款女士單肩手提包 #Handbag 人造皮革 Hobo 皮夾斜背包 #Womens http://t.co/zujwUiomb3 http://t.co/YklTFj1FnC")</f>
        <v>A_？新款女士單肩手提包 #Handbag 人造皮革 Hobo 皮夾斜背包 #Womens http://t.co/zujwUiomb3 http://t.co/YklTFj1FnC</v>
      </c>
      <c r="G3947" s="4" t="str">
        <f>IFERROR(__xludf.DUMMYFUNCTION("GOOGLETRANSLATE(B3947)"),"本體%20bag")</f>
        <v>本體%20bag</v>
      </c>
    </row>
    <row r="3948" ht="15.75" customHeight="1">
      <c r="A3948" s="4">
        <v>1415.0</v>
      </c>
      <c r="B3948" s="4" t="s">
        <v>516</v>
      </c>
      <c r="D3948" s="4" t="s">
        <v>5880</v>
      </c>
      <c r="E3948" s="4">
        <v>0.0</v>
      </c>
      <c r="F3948" s="4" t="str">
        <f>IFERROR(__xludf.DUMMYFUNCTION("GOOGLETRANSLATE(D3948)"),"#handbag #fashion #style http://t.co/hPd3SNM6oy 復古 Coach 皮夾相機包斜背包 #9973
$16.99 (0 出價)
Û_ http://t.co/GSmdDmu9Pu")</f>
        <v>#handbag #fashion #style http://t.co/hPd3SNM6oy 復古 Coach 皮夾相機包斜背包 #9973
$16.99 (0 出價)
Û_ http://t.co/GSmdDmu9Pu</v>
      </c>
      <c r="G3948" s="4" t="str">
        <f>IFERROR(__xludf.DUMMYFUNCTION("GOOGLETRANSLATE(B3948)"),"本體%20bag")</f>
        <v>本體%20bag</v>
      </c>
    </row>
    <row r="3949" ht="15.75" customHeight="1">
      <c r="A3949" s="4">
        <v>1418.0</v>
      </c>
      <c r="B3949" s="4" t="s">
        <v>516</v>
      </c>
      <c r="C3949" s="4" t="s">
        <v>291</v>
      </c>
      <c r="D3949" s="4" t="s">
        <v>5881</v>
      </c>
      <c r="E3949" s="4">
        <v>0.0</v>
      </c>
      <c r="F3949" s="4" t="str">
        <f>IFERROR(__xludf.DUMMYFUNCTION("GOOGLETRANSLATE(D3949)"),"正品皮革男士包郵差包適合 iPad mini 4 平板電腦保護套斜挎空氣 jp - Full reaÛ_ http://t.co/rcBurZSb2b http://t.co/eHsfKlgRI3")</f>
        <v>正品皮革男士包郵差包適合 iPad mini 4 平板電腦保護套斜挎空氣 jp - Full reaÛ_ http://t.co/rcBurZSb2b http://t.co/eHsfKlgRI3</v>
      </c>
      <c r="G3949" s="4" t="str">
        <f>IFERROR(__xludf.DUMMYFUNCTION("GOOGLETRANSLATE(B3949)"),"本體%20bag")</f>
        <v>本體%20bag</v>
      </c>
    </row>
    <row r="3950" ht="15.75" customHeight="1">
      <c r="A3950" s="4">
        <v>1419.0</v>
      </c>
      <c r="B3950" s="4" t="s">
        <v>516</v>
      </c>
      <c r="C3950" s="4" t="s">
        <v>291</v>
      </c>
      <c r="D3950" s="4" t="s">
        <v>5882</v>
      </c>
      <c r="E3950" s="4">
        <v>0.0</v>
      </c>
      <c r="F3950" s="4" t="str">
        <f>IFERROR(__xludf.DUMMYFUNCTION("GOOGLETRANSLATE(D3950)"),"路易威登 Monogram Sophie 限量版手拿包斜背包 - eBay 全文閱讀 http://t.co/VJgR6Liaxh http://t.co/55JR66PLOV")</f>
        <v>路易威登 Monogram Sophie 限量版手拿包斜背包 - eBay 全文閱讀 http://t.co/VJgR6Liaxh http://t.co/55JR66PLOV</v>
      </c>
      <c r="G3950" s="4" t="str">
        <f>IFERROR(__xludf.DUMMYFUNCTION("GOOGLETRANSLATE(B3950)"),"本體%20bag")</f>
        <v>本體%20bag</v>
      </c>
    </row>
    <row r="3951" ht="15.75" customHeight="1">
      <c r="A3951" s="4">
        <v>1420.0</v>
      </c>
      <c r="B3951" s="4" t="s">
        <v>516</v>
      </c>
      <c r="C3951" s="4" t="s">
        <v>517</v>
      </c>
      <c r="D3951" s="4" t="s">
        <v>5883</v>
      </c>
      <c r="E3951" s="4">
        <v>0.0</v>
      </c>
      <c r="F3951" s="4" t="str">
        <f>IFERROR(__xludf.DUMMYFUNCTION("GOOGLETRANSLATE(D3951)"),"??新款女士單肩手提包 #Handbag 人造皮革 Hobo 皮夾斜背包 #Womens http://t.co/zujwUiomb3 http://t.co/CJqq6cgohg")</f>
        <v>??新款女士單肩手提包 #Handbag 人造皮革 Hobo 皮夾斜背包 #Womens http://t.co/zujwUiomb3 http://t.co/CJqq6cgohg</v>
      </c>
      <c r="G3951" s="4" t="str">
        <f>IFERROR(__xludf.DUMMYFUNCTION("GOOGLETRANSLATE(B3951)"),"本體%20bag")</f>
        <v>本體%20bag</v>
      </c>
    </row>
    <row r="3952" ht="15.75" customHeight="1">
      <c r="A3952" s="4">
        <v>1421.0</v>
      </c>
      <c r="B3952" s="4" t="s">
        <v>516</v>
      </c>
      <c r="D3952" s="4" t="s">
        <v>5884</v>
      </c>
      <c r="E3952" s="4">
        <v>0.0</v>
      </c>
      <c r="F3952" s="4" t="str">
        <f>IFERROR(__xludf.DUMMYFUNCTION("GOOGLETRANSLATE(D3952)"),"Nuu那個FAM？ fwt我把你留在屍袋裡了？")</f>
        <v>Nuu那個FAM？ fwt我把你留在屍袋裡了？</v>
      </c>
      <c r="G3952" s="4" t="str">
        <f>IFERROR(__xludf.DUMMYFUNCTION("GOOGLETRANSLATE(B3952)"),"本體%20bag")</f>
        <v>本體%20bag</v>
      </c>
    </row>
    <row r="3953" ht="15.75" customHeight="1">
      <c r="A3953" s="4">
        <v>1422.0</v>
      </c>
      <c r="B3953" s="4" t="s">
        <v>516</v>
      </c>
      <c r="C3953" s="4" t="s">
        <v>291</v>
      </c>
      <c r="D3953" s="4" t="s">
        <v>5885</v>
      </c>
      <c r="E3953" s="4">
        <v>0.0</v>
      </c>
      <c r="F3953" s="4" t="str">
        <f>IFERROR(__xludf.DUMMYFUNCTION("GOOGLETRANSLATE(D3953)"),"新款女士單肩手提包仿皮流浪漢皮夾斜背包女式 - 完整閱讀Û_ http://t.co/uR7FeXszg4 http://t.co/wb8awobLcL")</f>
        <v>新款女士單肩手提包仿皮流浪漢皮夾斜背包女式 - 完整閱讀Û_ http://t.co/uR7FeXszg4 http://t.co/wb8awobLcL</v>
      </c>
      <c r="G3953" s="4" t="str">
        <f>IFERROR(__xludf.DUMMYFUNCTION("GOOGLETRANSLATE(B3953)"),"本體%20bag")</f>
        <v>本體%20bag</v>
      </c>
    </row>
    <row r="3954" ht="15.75" customHeight="1">
      <c r="A3954" s="4">
        <v>1425.0</v>
      </c>
      <c r="B3954" s="4" t="s">
        <v>516</v>
      </c>
      <c r="D3954" s="4" t="s">
        <v>5886</v>
      </c>
      <c r="E3954" s="4">
        <v>0.0</v>
      </c>
      <c r="F3954" s="4" t="str">
        <f>IFERROR(__xludf.DUMMYFUNCTION("GOOGLETRANSLATE(D3954)"),"@Rhee1975 @deliciousvomit 不，我不是，我是說他們很幸運，他們可以回家與家人團聚，而不是被裝進裹屍袋")</f>
        <v>@Rhee1975 @deliciousvomit 不，我不是，我是說他們很幸運，他們可以回家與家人團聚，而不是被裝進裹屍袋</v>
      </c>
      <c r="G3954" s="4" t="str">
        <f>IFERROR(__xludf.DUMMYFUNCTION("GOOGLETRANSLATE(B3954)"),"本體%20bag")</f>
        <v>本體%20bag</v>
      </c>
    </row>
    <row r="3955" ht="15.75" customHeight="1">
      <c r="A3955" s="4">
        <v>1429.0</v>
      </c>
      <c r="B3955" s="4" t="s">
        <v>519</v>
      </c>
      <c r="C3955" s="4" t="s">
        <v>5887</v>
      </c>
      <c r="D3955" s="4" t="s">
        <v>5888</v>
      </c>
      <c r="E3955" s="4">
        <v>0.0</v>
      </c>
      <c r="F3955" s="4" t="str">
        <f>IFERROR(__xludf.DUMMYFUNCTION("GOOGLETRANSLATE(D3955)"),"@matt_bez 哦，我根本不喜歡她！她的身體正在爆炸。我是說她會得到玫瑰。")</f>
        <v>@matt_bez 哦，我根本不喜歡她！她的身體正在爆炸。我是說她會得到玫瑰。</v>
      </c>
      <c r="G3955" s="4" t="str">
        <f>IFERROR(__xludf.DUMMYFUNCTION("GOOGLETRANSLATE(B3955)"),"主體%20裝袋")</f>
        <v>主體%20裝袋</v>
      </c>
    </row>
    <row r="3956" ht="15.75" customHeight="1">
      <c r="A3956" s="4">
        <v>1431.0</v>
      </c>
      <c r="B3956" s="4" t="s">
        <v>519</v>
      </c>
      <c r="C3956" s="4" t="s">
        <v>427</v>
      </c>
      <c r="D3956" s="4" t="s">
        <v>5889</v>
      </c>
      <c r="E3956" s="4">
        <v>0.0</v>
      </c>
      <c r="F3956" s="4" t="str">
        <f>IFERROR(__xludf.DUMMYFUNCTION("GOOGLETRANSLATE(D3956)"),"@ohmyloz @RondaRousey 誰在裝袋她的身體？她抽煙很熱？")</f>
        <v>@ohmyloz @RondaRousey 誰在裝袋她的身體？她抽煙很熱？</v>
      </c>
      <c r="G3956" s="4" t="str">
        <f>IFERROR(__xludf.DUMMYFUNCTION("GOOGLETRANSLATE(B3956)"),"主體%20裝袋")</f>
        <v>主體%20裝袋</v>
      </c>
    </row>
    <row r="3957" ht="15.75" customHeight="1">
      <c r="A3957" s="4">
        <v>1432.0</v>
      </c>
      <c r="B3957" s="4" t="s">
        <v>519</v>
      </c>
      <c r="C3957" s="4" t="s">
        <v>5890</v>
      </c>
      <c r="D3957" s="4" t="s">
        <v>5891</v>
      </c>
      <c r="E3957" s="4">
        <v>0.0</v>
      </c>
      <c r="F3957" s="4" t="str">
        <f>IFERROR(__xludf.DUMMYFUNCTION("GOOGLETRANSLATE(D3957)"),"德雷克真是溫馴的身體裝袋")</f>
        <v>德雷克真是溫馴的身體裝袋</v>
      </c>
      <c r="G3957" s="4" t="str">
        <f>IFERROR(__xludf.DUMMYFUNCTION("GOOGLETRANSLATE(B3957)"),"主體%20裝袋")</f>
        <v>主體%20裝袋</v>
      </c>
    </row>
    <row r="3958" ht="15.75" customHeight="1">
      <c r="A3958" s="4">
        <v>1436.0</v>
      </c>
      <c r="B3958" s="4" t="s">
        <v>519</v>
      </c>
      <c r="D3958" s="4" t="s">
        <v>5892</v>
      </c>
      <c r="E3958" s="4">
        <v>0.0</v>
      </c>
      <c r="F3958" s="4" t="str">
        <f>IFERROR(__xludf.DUMMYFUNCTION("GOOGLETRANSLATE(D3958)"),"@MeekMill 是 w(rec)k 聯賽球 @Drake 是奧運會級別的身體包袱，就像他的職業生涯一無是處#trollingtilMeekdiss")</f>
        <v>@MeekMill 是 w(rec)k 聯賽球 @Drake 是奧運會級別的身體包袱，就像他的職業生涯一無是處#trollingtilMeekdiss</v>
      </c>
      <c r="G3958" s="4" t="str">
        <f>IFERROR(__xludf.DUMMYFUNCTION("GOOGLETRANSLATE(B3958)"),"主體%20裝袋")</f>
        <v>主體%20裝袋</v>
      </c>
    </row>
    <row r="3959" ht="15.75" customHeight="1">
      <c r="A3959" s="4">
        <v>1439.0</v>
      </c>
      <c r="B3959" s="4" t="s">
        <v>519</v>
      </c>
      <c r="C3959" s="4" t="s">
        <v>5893</v>
      </c>
      <c r="D3959" s="4" t="s">
        <v>5894</v>
      </c>
      <c r="E3959" s="4">
        <v>0.0</v>
      </c>
      <c r="F3959" s="4" t="str">
        <f>IFERROR(__xludf.DUMMYFUNCTION("GOOGLETRANSLATE(D3959)"),"伊德加夫（Idgaf），誰是強硬的，誰是來自加拿大的，誰是來自北費城的溫順的人，一直表現得像個潑婦。德雷克一直在軌道上用身體包裹他的屁股")</f>
        <v>伊德加夫（Idgaf），誰是強硬的，誰是來自加拿大的，誰是來自北費城的溫順的人，一直表現得像個潑婦。德雷克一直在軌道上用身體包裹他的屁股</v>
      </c>
      <c r="G3959" s="4" t="str">
        <f>IFERROR(__xludf.DUMMYFUNCTION("GOOGLETRANSLATE(B3959)"),"主體%20裝袋")</f>
        <v>主體%20裝袋</v>
      </c>
    </row>
    <row r="3960" ht="15.75" customHeight="1">
      <c r="A3960" s="4">
        <v>1441.0</v>
      </c>
      <c r="B3960" s="4" t="s">
        <v>519</v>
      </c>
      <c r="C3960" s="4" t="s">
        <v>5895</v>
      </c>
      <c r="D3960" s="4" t="s">
        <v>5896</v>
      </c>
      <c r="E3960" s="4">
        <v>0.0</v>
      </c>
      <c r="F3960" s="4" t="str">
        <f>IFERROR(__xludf.DUMMYFUNCTION("GOOGLETRANSLATE(D3960)"),"@BroseidonRex @dapurplesharpie 我瀏覽了一下推特，錯過了這個身體套袋。")</f>
        <v>@BroseidonRex @dapurplesharpie 我瀏覽了一下推特，錯過了這個身體套袋。</v>
      </c>
      <c r="G3960" s="4" t="str">
        <f>IFERROR(__xludf.DUMMYFUNCTION("GOOGLETRANSLATE(B3960)"),"主體%20裝袋")</f>
        <v>主體%20裝袋</v>
      </c>
    </row>
    <row r="3961" ht="15.75" customHeight="1">
      <c r="A3961" s="4">
        <v>1443.0</v>
      </c>
      <c r="B3961" s="4" t="s">
        <v>519</v>
      </c>
      <c r="C3961" s="4" t="s">
        <v>1248</v>
      </c>
      <c r="D3961" s="4" t="s">
        <v>5897</v>
      </c>
      <c r="E3961" s="4">
        <v>0.0</v>
      </c>
      <c r="F3961" s="4" t="str">
        <f>IFERROR(__xludf.DUMMYFUNCTION("GOOGLETRANSLATE(D3961)"),"G+：+https://t.co/dODXi41Y1CåÊis Body Bagging 他們抒情！ https://t.co/HlMyaAnrC9")</f>
        <v>G+：+https://t.co/dODXi41Y1CåÊis Body Bagging 他們抒情！ https://t.co/HlMyaAnrC9</v>
      </c>
      <c r="G3961" s="4" t="str">
        <f>IFERROR(__xludf.DUMMYFUNCTION("GOOGLETRANSLATE(B3961)"),"主體%20裝袋")</f>
        <v>主體%20裝袋</v>
      </c>
    </row>
    <row r="3962" ht="15.75" customHeight="1">
      <c r="A3962" s="4">
        <v>1444.0</v>
      </c>
      <c r="B3962" s="4" t="s">
        <v>519</v>
      </c>
      <c r="C3962" s="4" t="s">
        <v>942</v>
      </c>
      <c r="D3962" s="4" t="s">
        <v>5898</v>
      </c>
      <c r="E3962" s="4">
        <v>0.0</v>
      </c>
      <c r="F3962" s="4" t="str">
        <f>IFERROR(__xludf.DUMMYFUNCTION("GOOGLETRANSLATE(D3962)"),"@bomairinge @EluTranscendent 直身裝袋。")</f>
        <v>@bomairinge @EluTranscendent 直身裝袋。</v>
      </c>
      <c r="G3962" s="4" t="str">
        <f>IFERROR(__xludf.DUMMYFUNCTION("GOOGLETRANSLATE(B3962)"),"主體%20裝袋")</f>
        <v>主體%20裝袋</v>
      </c>
    </row>
    <row r="3963" ht="15.75" customHeight="1">
      <c r="A3963" s="4">
        <v>1445.0</v>
      </c>
      <c r="B3963" s="4" t="s">
        <v>519</v>
      </c>
      <c r="D3963" s="4" t="s">
        <v>5899</v>
      </c>
      <c r="E3963" s="4">
        <v>0.0</v>
      </c>
      <c r="F3963" s="4" t="str">
        <f>IFERROR(__xludf.DUMMYFUNCTION("GOOGLETRANSLATE(D3963)"),"身體套袋母狗？？？ http://t.co/aFssGPnZWi")</f>
        <v>身體套袋母狗？？？ http://t.co/aFssGPnZWi</v>
      </c>
      <c r="G3963" s="4" t="str">
        <f>IFERROR(__xludf.DUMMYFUNCTION("GOOGLETRANSLATE(B3963)"),"主體%20裝袋")</f>
        <v>主體%20裝袋</v>
      </c>
    </row>
    <row r="3964" ht="15.75" customHeight="1">
      <c r="A3964" s="4">
        <v>1447.0</v>
      </c>
      <c r="B3964" s="4" t="s">
        <v>519</v>
      </c>
      <c r="C3964" s="4" t="s">
        <v>5900</v>
      </c>
      <c r="D3964" s="4" t="s">
        <v>5901</v>
      </c>
      <c r="E3964" s="4">
        <v>0.0</v>
      </c>
      <c r="F3964" s="4" t="str">
        <f>IFERROR(__xludf.DUMMYFUNCTION("GOOGLETRANSLATE(D3964)"),"沒有比看到和我的朋友們一起站在舞台上更好的感覺了……22 年的友誼，我們仍然在一起用麥克風。")</f>
        <v>沒有比看到和我的朋友們一起站在舞台上更好的感覺了……22 年的友誼，我們仍然在一起用麥克風。</v>
      </c>
      <c r="G3964" s="4" t="str">
        <f>IFERROR(__xludf.DUMMYFUNCTION("GOOGLETRANSLATE(B3964)"),"主體%20裝袋")</f>
        <v>主體%20裝袋</v>
      </c>
    </row>
    <row r="3965" ht="15.75" customHeight="1">
      <c r="A3965" s="4">
        <v>1448.0</v>
      </c>
      <c r="B3965" s="4" t="s">
        <v>519</v>
      </c>
      <c r="C3965" s="4" t="s">
        <v>5902</v>
      </c>
      <c r="D3965" s="4" t="s">
        <v>5903</v>
      </c>
      <c r="E3965" s="4">
        <v>0.0</v>
      </c>
      <c r="F3965" s="4" t="str">
        <f>IFERROR(__xludf.DUMMYFUNCTION("GOOGLETRANSLATE(D3965)"),"Mopheme 和 Bigstar Johnson 是這場遊戲中的一個問題#VuzuHustle")</f>
        <v>Mopheme 和 Bigstar Johnson 是這場遊戲中的一個問題#VuzuHustle</v>
      </c>
      <c r="G3965" s="4" t="str">
        <f>IFERROR(__xludf.DUMMYFUNCTION("GOOGLETRANSLATE(B3965)"),"主體%20裝袋")</f>
        <v>主體%20裝袋</v>
      </c>
    </row>
    <row r="3966" ht="15.75" customHeight="1">
      <c r="A3966" s="4">
        <v>1449.0</v>
      </c>
      <c r="B3966" s="4" t="s">
        <v>519</v>
      </c>
      <c r="D3966" s="4" t="s">
        <v>5904</v>
      </c>
      <c r="E3966" s="4">
        <v>0.0</v>
      </c>
      <c r="F3966" s="4" t="str">
        <f>IFERROR(__xludf.DUMMYFUNCTION("GOOGLETRANSLATE(D3966)"),"我在 ????今天...4 必鬚髮布我的分數 http://t.co/81g18wSAUk")</f>
        <v>我在 ????今天...4 必鬚髮布我的分數 http://t.co/81g18wSAUk</v>
      </c>
      <c r="G3966" s="4" t="str">
        <f>IFERROR(__xludf.DUMMYFUNCTION("GOOGLETRANSLATE(B3966)"),"主體%20裝袋")</f>
        <v>主體%20裝袋</v>
      </c>
    </row>
    <row r="3967" ht="15.75" customHeight="1">
      <c r="A3967" s="4">
        <v>1450.0</v>
      </c>
      <c r="B3967" s="4" t="s">
        <v>519</v>
      </c>
      <c r="C3967" s="4" t="s">
        <v>5905</v>
      </c>
      <c r="D3967" s="4" t="s">
        <v>5906</v>
      </c>
      <c r="E3967" s="4">
        <v>0.0</v>
      </c>
      <c r="F3967" s="4" t="str">
        <f>IFERROR(__xludf.DUMMYFUNCTION("GOOGLETRANSLATE(D3967)"),"@editaxohaze 然後讓裝袋主體開始哈哈？？？我還沒戴上手銬，所以應該不會那麼糟！")</f>
        <v>@editaxohaze 然後讓裝袋主體開始哈哈？？？我還沒戴上手銬，所以應該不會那麼糟！</v>
      </c>
      <c r="G3967" s="4" t="str">
        <f>IFERROR(__xludf.DUMMYFUNCTION("GOOGLETRANSLATE(B3967)"),"主體%20裝袋")</f>
        <v>主體%20裝袋</v>
      </c>
    </row>
    <row r="3968" ht="15.75" customHeight="1">
      <c r="A3968" s="4">
        <v>1452.0</v>
      </c>
      <c r="B3968" s="4" t="s">
        <v>519</v>
      </c>
      <c r="D3968" s="4" t="s">
        <v>5907</v>
      </c>
      <c r="E3968" s="4">
        <v>0.0</v>
      </c>
      <c r="F3968" s="4" t="str">
        <f>IFERROR(__xludf.DUMMYFUNCTION("GOOGLETRANSLATE(D3968)"),"#OVOFest Drake 在 OVO 舞台上直身套住 Meek。 #ZIPIMUP！")</f>
        <v>#OVOFest Drake 在 OVO 舞台上直身套住 Meek。 #ZIPIMUP！</v>
      </c>
      <c r="G3968" s="4" t="str">
        <f>IFERROR(__xludf.DUMMYFUNCTION("GOOGLETRANSLATE(B3968)"),"主體%20裝袋")</f>
        <v>主體%20裝袋</v>
      </c>
    </row>
    <row r="3969" ht="15.75" customHeight="1">
      <c r="A3969" s="4">
        <v>1453.0</v>
      </c>
      <c r="B3969" s="4" t="s">
        <v>519</v>
      </c>
      <c r="D3969" s="4" t="s">
        <v>5908</v>
      </c>
      <c r="E3969" s="4">
        <v>0.0</v>
      </c>
      <c r="F3969" s="4" t="str">
        <f>IFERROR(__xludf.DUMMYFUNCTION("GOOGLETRANSLATE(D3969)"),"我不是德雷克的粉絲，但我喜歡看到他把人裹在身上。很棒的行銷哈哈。")</f>
        <v>我不是德雷克的粉絲，但我喜歡看到他把人裹在身上。很棒的行銷哈哈。</v>
      </c>
      <c r="G3969" s="4" t="str">
        <f>IFERROR(__xludf.DUMMYFUNCTION("GOOGLETRANSLATE(B3969)"),"主體%20裝袋")</f>
        <v>主體%20裝袋</v>
      </c>
    </row>
    <row r="3970" ht="15.75" customHeight="1">
      <c r="A3970" s="4">
        <v>1454.0</v>
      </c>
      <c r="B3970" s="4" t="s">
        <v>519</v>
      </c>
      <c r="D3970" s="4" t="s">
        <v>5909</v>
      </c>
      <c r="E3970" s="4">
        <v>0.0</v>
      </c>
      <c r="F3970" s="4" t="str">
        <f>IFERROR(__xludf.DUMMYFUNCTION("GOOGLETRANSLATE(D3970)"),"@amaramin3 米克絕對有能力在賽道上把自己的屁股裝滿，德雷克簡直太他媽的順利了！")</f>
        <v>@amaramin3 米克絕對有能力在賽道上把自己的屁股裝滿，德雷克簡直太他媽的順利了！</v>
      </c>
      <c r="G3970" s="4" t="str">
        <f>IFERROR(__xludf.DUMMYFUNCTION("GOOGLETRANSLATE(B3970)"),"主體%20裝袋")</f>
        <v>主體%20裝袋</v>
      </c>
    </row>
    <row r="3971" ht="15.75" customHeight="1">
      <c r="A3971" s="4">
        <v>1455.0</v>
      </c>
      <c r="B3971" s="4" t="s">
        <v>519</v>
      </c>
      <c r="C3971" s="4" t="s">
        <v>5910</v>
      </c>
      <c r="D3971" s="4" t="s">
        <v>5911</v>
      </c>
      <c r="E3971" s="4">
        <v>0.0</v>
      </c>
      <c r="F3971" s="4" t="str">
        <f>IFERROR(__xludf.DUMMYFUNCTION("GOOGLETRANSLATE(D3971)"),"蓋茲沒有把屍體裝袋？兄弟裡的黑鬼真的知道他是誰嗎？？？")</f>
        <v>蓋茲沒有把屍體裝袋？兄弟裡的黑鬼真的知道他是誰嗎？？？</v>
      </c>
      <c r="G3971" s="4" t="str">
        <f>IFERROR(__xludf.DUMMYFUNCTION("GOOGLETRANSLATE(B3971)"),"主體%20裝袋")</f>
        <v>主體%20裝袋</v>
      </c>
    </row>
    <row r="3972" ht="15.75" customHeight="1">
      <c r="A3972" s="4">
        <v>1456.0</v>
      </c>
      <c r="B3972" s="4" t="s">
        <v>519</v>
      </c>
      <c r="D3972" s="4" t="s">
        <v>5912</v>
      </c>
      <c r="E3972" s="4">
        <v>0.0</v>
      </c>
      <c r="F3972" s="4" t="str">
        <f>IFERROR(__xludf.DUMMYFUNCTION("GOOGLETRANSLATE(D3972)"),"WWE 2k15 MyCareer EP18 Tyrone 裝袋傢伙：http://t.co/mr5bI4KD82 來自 @YouTube")</f>
        <v>WWE 2k15 MyCareer EP18 Tyrone 裝袋傢伙：http://t.co/mr5bI4KD82 來自 @YouTube</v>
      </c>
      <c r="G3972" s="4" t="str">
        <f>IFERROR(__xludf.DUMMYFUNCTION("GOOGLETRANSLATE(B3972)"),"主體%20裝袋")</f>
        <v>主體%20裝袋</v>
      </c>
    </row>
    <row r="3973" ht="15.75" customHeight="1">
      <c r="A3973" s="4">
        <v>1459.0</v>
      </c>
      <c r="B3973" s="4" t="s">
        <v>519</v>
      </c>
      <c r="C3973" s="4" t="s">
        <v>334</v>
      </c>
      <c r="D3973" s="4" t="s">
        <v>5913</v>
      </c>
      <c r="E3973" s="4">
        <v>0.0</v>
      </c>
      <c r="F3973" s="4" t="str">
        <f>IFERROR(__xludf.DUMMYFUNCTION("GOOGLETRANSLATE(D3973)"),"德雷克身體裝袋溫順。他談論“代筆作家”肯定觸及了敏感點。他試圖結束他的職業生涯。 http://t.co/2jHTlWueY0")</f>
        <v>德雷克身體裝袋溫順。他談論“代筆作家”肯定觸及了敏感點。他試圖結束他的職業生涯。 http://t.co/2jHTlWueY0</v>
      </c>
      <c r="G3973" s="4" t="str">
        <f>IFERROR(__xludf.DUMMYFUNCTION("GOOGLETRANSLATE(B3973)"),"主體%20裝袋")</f>
        <v>主體%20裝袋</v>
      </c>
    </row>
    <row r="3974" ht="15.75" customHeight="1">
      <c r="A3974" s="4">
        <v>1460.0</v>
      </c>
      <c r="B3974" s="4" t="s">
        <v>519</v>
      </c>
      <c r="C3974" s="4" t="s">
        <v>5914</v>
      </c>
      <c r="D3974" s="4" t="s">
        <v>5915</v>
      </c>
      <c r="E3974" s="4">
        <v>0.0</v>
      </c>
      <c r="F3974" s="4" t="str">
        <f>IFERROR(__xludf.DUMMYFUNCTION("GOOGLETRANSLATE(D3974)"),"好diss壞節拍和流量。記住我的話，一旦米克·米爾做出回應，他就會用身體包裹住他。病人病人。米克是一位戰鬥說唱歌手！")</f>
        <v>好diss壞節拍和流量。記住我的話，一旦米克·米爾做出回應，他就會用身體包裹住他。病人病人。米克是一位戰鬥說唱歌手！</v>
      </c>
      <c r="G3974" s="4" t="str">
        <f>IFERROR(__xludf.DUMMYFUNCTION("GOOGLETRANSLATE(B3974)"),"主體%20裝袋")</f>
        <v>主體%20裝袋</v>
      </c>
    </row>
    <row r="3975" ht="15.75" customHeight="1">
      <c r="A3975" s="4">
        <v>1463.0</v>
      </c>
      <c r="B3975" s="4" t="s">
        <v>519</v>
      </c>
      <c r="C3975" s="4" t="s">
        <v>5916</v>
      </c>
      <c r="D3975" s="4" t="s">
        <v>5917</v>
      </c>
      <c r="E3975" s="4">
        <v>0.0</v>
      </c>
      <c r="F3975" s="4" t="str">
        <f>IFERROR(__xludf.DUMMYFUNCTION("GOOGLETRANSLATE(D3975)"),"@Drake 是個溫順的人，同時他正在和 Nicki 一起巡演，噓噓……他放了 2 首 diss 曲目並且溫順 0 但老兄開始了哈哈")</f>
        <v>@Drake 是個溫順的人，同時他正在和 Nicki 一起巡演，噓噓……他放了 2 首 diss 曲目並且溫順 0 但老兄開始了哈哈</v>
      </c>
      <c r="G3975" s="4" t="str">
        <f>IFERROR(__xludf.DUMMYFUNCTION("GOOGLETRANSLATE(B3975)"),"主體%20裝袋")</f>
        <v>主體%20裝袋</v>
      </c>
    </row>
    <row r="3976" ht="15.75" customHeight="1">
      <c r="A3976" s="4">
        <v>1464.0</v>
      </c>
      <c r="B3976" s="4" t="s">
        <v>519</v>
      </c>
      <c r="D3976" s="4" t="s">
        <v>5918</v>
      </c>
      <c r="E3976" s="4">
        <v>0.0</v>
      </c>
      <c r="F3976" s="4" t="str">
        <f>IFERROR(__xludf.DUMMYFUNCTION("GOOGLETRANSLATE(D3976)"),"@MzGracieBaby 鄭重聲明，我很早就跳出了窗外……我得到了@OfficialRealRap 的身體裝袋運氣……哈哈，保存文件")</f>
        <v>@MzGracieBaby 鄭重聲明，我很早就跳出了窗外……我得到了@OfficialRealRap 的身體裝袋運氣……哈哈，保存文件</v>
      </c>
      <c r="G3976" s="4" t="str">
        <f>IFERROR(__xludf.DUMMYFUNCTION("GOOGLETRANSLATE(B3976)"),"主體%20裝袋")</f>
        <v>主體%20裝袋</v>
      </c>
    </row>
    <row r="3977" ht="15.75" customHeight="1">
      <c r="A3977" s="4">
        <v>1466.0</v>
      </c>
      <c r="B3977" s="4" t="s">
        <v>519</v>
      </c>
      <c r="C3977" s="4" t="s">
        <v>5919</v>
      </c>
      <c r="D3977" s="4" t="s">
        <v>5920</v>
      </c>
      <c r="E3977" s="4">
        <v>0.0</v>
      </c>
      <c r="F3977" s="4" t="str">
        <f>IFERROR(__xludf.DUMMYFUNCTION("GOOGLETRANSLATE(D3977)"),"已裝袋 ** RT @d_lac：德瑞克是裝袋溫順")</f>
        <v>已裝袋 ** RT @d_lac：德瑞克是裝袋溫順</v>
      </c>
      <c r="G3977" s="4" t="str">
        <f>IFERROR(__xludf.DUMMYFUNCTION("GOOGLETRANSLATE(B3977)"),"主體%20裝袋")</f>
        <v>主體%20裝袋</v>
      </c>
    </row>
    <row r="3978" ht="15.75" customHeight="1">
      <c r="A3978" s="4">
        <v>1467.0</v>
      </c>
      <c r="B3978" s="4" t="s">
        <v>519</v>
      </c>
      <c r="C3978" s="4" t="s">
        <v>1972</v>
      </c>
      <c r="D3978" s="4" t="s">
        <v>5921</v>
      </c>
      <c r="E3978" s="4">
        <v>0.0</v>
      </c>
      <c r="F3978" s="4" t="str">
        <f>IFERROR(__xludf.DUMMYFUNCTION("GOOGLETRANSLATE(D3978)"),"德雷克在這場牛肉比賽中一直保持著最嘻哈的風格，他他媽的身體背靠背溫順？")</f>
        <v>德雷克在這場牛肉比賽中一直保持著最嘻哈的風格，他他媽的身體背靠背溫順？</v>
      </c>
      <c r="G3978" s="4" t="str">
        <f>IFERROR(__xludf.DUMMYFUNCTION("GOOGLETRANSLATE(B3978)"),"主體%20裝袋")</f>
        <v>主體%20裝袋</v>
      </c>
    </row>
    <row r="3979" ht="15.75" customHeight="1">
      <c r="A3979" s="4">
        <v>1470.0</v>
      </c>
      <c r="B3979" s="4" t="s">
        <v>519</v>
      </c>
      <c r="C3979" s="4" t="s">
        <v>5922</v>
      </c>
      <c r="D3979" s="4" t="s">
        <v>5923</v>
      </c>
      <c r="E3979" s="4">
        <v>0.0</v>
      </c>
      <c r="F3979" s="4" t="str">
        <f>IFERROR(__xludf.DUMMYFUNCTION("GOOGLETRANSLATE(D3979)"),"醒來發現德瑞克再次把米克裹在身上！！溫順的你不能吐你的女朋友...就躺下來吧夥計...不對... http://t.co/6CraEKc9wb")</f>
        <v>醒來發現德瑞克再次把米克裹在身上！！溫順的你不能吐你的女朋友...就躺下來吧夥計...不對... http://t.co/6CraEKc9wb</v>
      </c>
      <c r="G3979" s="4" t="str">
        <f>IFERROR(__xludf.DUMMYFUNCTION("GOOGLETRANSLATE(B3979)"),"主體%20裝袋")</f>
        <v>主體%20裝袋</v>
      </c>
    </row>
    <row r="3980" ht="15.75" customHeight="1">
      <c r="A3980" s="4">
        <v>1472.0</v>
      </c>
      <c r="B3980" s="4" t="s">
        <v>519</v>
      </c>
      <c r="C3980" s="4" t="s">
        <v>154</v>
      </c>
      <c r="D3980" s="4" t="s">
        <v>5924</v>
      </c>
      <c r="E3980" s="4">
        <v>0.0</v>
      </c>
      <c r="F3980" s="4" t="str">
        <f>IFERROR(__xludf.DUMMYFUNCTION("GOOGLETRANSLATE(D3980)"),"@Im2aD 我本來想告訴他，但你卻把他包起來")</f>
        <v>@Im2aD 我本來想告訴他，但你卻把他包起來</v>
      </c>
      <c r="G3980" s="4" t="str">
        <f>IFERROR(__xludf.DUMMYFUNCTION("GOOGLETRANSLATE(B3980)"),"主體%20裝袋")</f>
        <v>主體%20裝袋</v>
      </c>
    </row>
    <row r="3981" ht="15.75" customHeight="1">
      <c r="A3981" s="4">
        <v>1475.0</v>
      </c>
      <c r="B3981" s="4" t="s">
        <v>519</v>
      </c>
      <c r="C3981" s="4" t="s">
        <v>5925</v>
      </c>
      <c r="D3981" s="4" t="s">
        <v>5926</v>
      </c>
      <c r="E3981" s="4">
        <v>0.0</v>
      </c>
      <c r="F3981" s="4" t="str">
        <f>IFERROR(__xludf.DUMMYFUNCTION("GOOGLETRANSLATE(D3981)"),"8小時裝袋=身體酸痛")</f>
        <v>8小時裝袋=身體酸痛</v>
      </c>
      <c r="G3981" s="4" t="str">
        <f>IFERROR(__xludf.DUMMYFUNCTION("GOOGLETRANSLATE(B3981)"),"主體%20裝袋")</f>
        <v>主體%20裝袋</v>
      </c>
    </row>
    <row r="3982" ht="15.75" customHeight="1">
      <c r="A3982" s="4">
        <v>1477.0</v>
      </c>
      <c r="B3982" s="4" t="s">
        <v>519</v>
      </c>
      <c r="C3982" s="4" t="s">
        <v>5927</v>
      </c>
      <c r="D3982" s="4" t="s">
        <v>5928</v>
      </c>
      <c r="E3982" s="4">
        <v>0.0</v>
      </c>
      <c r="F3982" s="4" t="str">
        <f>IFERROR(__xludf.DUMMYFUNCTION("GOOGLETRANSLATE(D3982)"),"@SlikRickDaRula Drake 真的是身體裝袋偷看男人？他真的很喜歡")</f>
        <v>@SlikRickDaRula Drake 真的是身體裝袋偷看男人？他真的很喜歡</v>
      </c>
      <c r="G3982" s="4" t="str">
        <f>IFERROR(__xludf.DUMMYFUNCTION("GOOGLETRANSLATE(B3982)"),"主體%20裝袋")</f>
        <v>主體%20裝袋</v>
      </c>
    </row>
    <row r="3983" ht="15.75" customHeight="1">
      <c r="A3983" s="4">
        <v>1480.0</v>
      </c>
      <c r="B3983" s="4" t="s">
        <v>529</v>
      </c>
      <c r="C3983" s="4" t="s">
        <v>4366</v>
      </c>
      <c r="D3983" s="4" t="s">
        <v>5929</v>
      </c>
      <c r="E3983" s="4">
        <v>0.0</v>
      </c>
      <c r="F3983" s="4" t="str">
        <f>IFERROR(__xludf.DUMMYFUNCTION("GOOGLETRANSLATE(D3983)"),"Micom 2015 夏季撞色糖果色蝴蝶結斜背包手提單肩包適合女士，搭配 Micom Zip Po http://t.co/sQMTKKJiMJ")</f>
        <v>Micom 2015 夏季撞色糖果色蝴蝶結斜背包手提單肩包適合女士，搭配 Micom Zip Po http://t.co/sQMTKKJiMJ</v>
      </c>
      <c r="G3983" s="4" t="str">
        <f>IFERROR(__xludf.DUMMYFUNCTION("GOOGLETRANSLATE(B3983)"),"本體%20袋")</f>
        <v>本體%20袋</v>
      </c>
    </row>
    <row r="3984" ht="15.75" customHeight="1">
      <c r="A3984" s="4">
        <v>1482.0</v>
      </c>
      <c r="B3984" s="4" t="s">
        <v>529</v>
      </c>
      <c r="C3984" s="4" t="s">
        <v>5930</v>
      </c>
      <c r="D3984" s="4" t="s">
        <v>5931</v>
      </c>
      <c r="E3984" s="4">
        <v>0.0</v>
      </c>
      <c r="F3984" s="4" t="str">
        <f>IFERROR(__xludf.DUMMYFUNCTION("GOOGLETRANSLATE(D3984)"),"HOBO Hobo 復古 Shira 敞篷 BÛ_ $238.00 美元 #bestseller http://t.co/0LLwuqn8vg")</f>
        <v>HOBO Hobo 復古 Shira 敞篷 BÛ_ $238.00 美元 #bestseller http://t.co/0LLwuqn8vg</v>
      </c>
      <c r="G3984" s="4" t="str">
        <f>IFERROR(__xludf.DUMMYFUNCTION("GOOGLETRANSLATE(B3984)"),"本體%20袋")</f>
        <v>本體%20袋</v>
      </c>
    </row>
    <row r="3985" ht="15.75" customHeight="1">
      <c r="A3985" s="4">
        <v>1483.0</v>
      </c>
      <c r="B3985" s="4" t="s">
        <v>529</v>
      </c>
      <c r="D3985" s="4" t="s">
        <v>5932</v>
      </c>
      <c r="E3985" s="4">
        <v>0.0</v>
      </c>
      <c r="F3985" s="4" t="str">
        <f>IFERROR(__xludf.DUMMYFUNCTION("GOOGLETRANSLATE(D3985)"),"兒童肩背包 PVC 單肩書包 女孩卡通斜背包 http://t.co/7l9qAzLjVg http://t.co/Q0hSyfrwEC")</f>
        <v>兒童肩背包 PVC 單肩書包 女孩卡通斜背包 http://t.co/7l9qAzLjVg http://t.co/Q0hSyfrwEC</v>
      </c>
      <c r="G3985" s="4" t="str">
        <f>IFERROR(__xludf.DUMMYFUNCTION("GOOGLETRANSLATE(B3985)"),"本體%20袋")</f>
        <v>本體%20袋</v>
      </c>
    </row>
    <row r="3986" ht="15.75" customHeight="1">
      <c r="A3986" s="4">
        <v>1484.0</v>
      </c>
      <c r="B3986" s="4" t="s">
        <v>529</v>
      </c>
      <c r="C3986" s="4" t="s">
        <v>1019</v>
      </c>
      <c r="D3986" s="4" t="s">
        <v>5933</v>
      </c>
      <c r="E3986" s="4">
        <v>0.0</v>
      </c>
      <c r="F3986" s="4" t="str">
        <f>IFERROR(__xludf.DUMMYFUNCTION("GOOGLETRANSLATE(D3986)"),"女用扣休閒時尚單肩手提包口袋斜背包綠色 http://t.co/pYee94nuRe")</f>
        <v>女用扣休閒時尚單肩手提包口袋斜背包綠色 http://t.co/pYee94nuRe</v>
      </c>
      <c r="G3986" s="4" t="str">
        <f>IFERROR(__xludf.DUMMYFUNCTION("GOOGLETRANSLATE(B3986)"),"本體%20袋")</f>
        <v>本體%20袋</v>
      </c>
    </row>
    <row r="3987" ht="15.75" customHeight="1">
      <c r="A3987" s="4">
        <v>1485.0</v>
      </c>
      <c r="B3987" s="4" t="s">
        <v>529</v>
      </c>
      <c r="C3987" s="4" t="s">
        <v>5934</v>
      </c>
      <c r="D3987" s="4" t="s">
        <v>5935</v>
      </c>
      <c r="E3987" s="4">
        <v>0.0</v>
      </c>
      <c r="F3987" s="4" t="str">
        <f>IFERROR(__xludf.DUMMYFUNCTION("GOOGLETRANSLATE(D3987)"),"後車箱裡不是沒有包包，而是一具屍體")</f>
        <v>後車箱裡不是沒有包包，而是一具屍體</v>
      </c>
      <c r="G3987" s="4" t="str">
        <f>IFERROR(__xludf.DUMMYFUNCTION("GOOGLETRANSLATE(B3987)"),"本體%20袋")</f>
        <v>本體%20袋</v>
      </c>
    </row>
    <row r="3988" ht="15.75" customHeight="1">
      <c r="A3988" s="4">
        <v>1486.0</v>
      </c>
      <c r="B3988" s="4" t="s">
        <v>529</v>
      </c>
      <c r="C3988" s="4" t="s">
        <v>5930</v>
      </c>
      <c r="D3988" s="4" t="s">
        <v>5936</v>
      </c>
      <c r="E3988" s="4">
        <v>0.0</v>
      </c>
      <c r="F3988" s="4" t="str">
        <f>IFERROR(__xludf.DUMMYFUNCTION("GOOGLETRANSLATE(D3988)"),"暢銷書！ Fossil Dawson 迷你斜背包 EsÛ_ 98.00 美元 http://t.co/HhHvKxFAIH")</f>
        <v>暢銷書！ Fossil Dawson 迷你斜背包 EsÛ_ 98.00 美元 http://t.co/HhHvKxFAIH</v>
      </c>
      <c r="G3988" s="4" t="str">
        <f>IFERROR(__xludf.DUMMYFUNCTION("GOOGLETRANSLATE(B3988)"),"本體%20袋")</f>
        <v>本體%20袋</v>
      </c>
    </row>
    <row r="3989" ht="15.75" customHeight="1">
      <c r="A3989" s="4">
        <v>1487.0</v>
      </c>
      <c r="B3989" s="4" t="s">
        <v>529</v>
      </c>
      <c r="C3989" s="4" t="s">
        <v>5404</v>
      </c>
      <c r="D3989" s="4" t="s">
        <v>5937</v>
      </c>
      <c r="E3989" s="4">
        <v>0.0</v>
      </c>
      <c r="F3989" s="4" t="str">
        <f>IFERROR(__xludf.DUMMYFUNCTION("GOOGLETRANSLATE(D3989)"),"@BoomerangTime @RSKarim1 @sopameer @wattashit3 似乎已經裝著屍袋抵達利達。")</f>
        <v>@BoomerangTime @RSKarim1 @sopameer @wattashit3 似乎已經裝著屍袋抵達利達。</v>
      </c>
      <c r="G3989" s="4" t="str">
        <f>IFERROR(__xludf.DUMMYFUNCTION("GOOGLETRANSLATE(B3989)"),"本體%20袋")</f>
        <v>本體%20袋</v>
      </c>
    </row>
    <row r="3990" ht="15.75" customHeight="1">
      <c r="A3990" s="4">
        <v>1488.0</v>
      </c>
      <c r="B3990" s="4" t="s">
        <v>529</v>
      </c>
      <c r="C3990" s="4" t="s">
        <v>1268</v>
      </c>
      <c r="D3990" s="4" t="s">
        <v>5938</v>
      </c>
      <c r="E3990" s="4">
        <v>0.0</v>
      </c>
      <c r="F3990" s="4" t="str">
        <f>IFERROR(__xludf.DUMMYFUNCTION("GOOGLETRANSLATE(D3990)"),"The Body Bags 將於 2015 年 8 月 7 日晚上 7:30 在北卡羅來納州夏洛特 Tremont 音樂廳舉辦一場演出 http://t.co/FpKiqbus9r #concert")</f>
        <v>The Body Bags 將於 2015 年 8 月 7 日晚上 7:30 在北卡羅來納州夏洛特 Tremont 音樂廳舉辦一場演出 http://t.co/FpKiqbus9r #concert</v>
      </c>
      <c r="G3990" s="4" t="str">
        <f>IFERROR(__xludf.DUMMYFUNCTION("GOOGLETRANSLATE(B3990)"),"本體%20袋")</f>
        <v>本體%20袋</v>
      </c>
    </row>
    <row r="3991" ht="15.75" customHeight="1">
      <c r="A3991" s="4">
        <v>1491.0</v>
      </c>
      <c r="B3991" s="4" t="s">
        <v>529</v>
      </c>
      <c r="C3991" s="4" t="s">
        <v>5939</v>
      </c>
      <c r="D3991" s="4" t="s">
        <v>5940</v>
      </c>
      <c r="E3991" s="4">
        <v>0.0</v>
      </c>
      <c r="F3991" s="4" t="str">
        <f>IFERROR(__xludf.DUMMYFUNCTION("GOOGLETRANSLATE(D3991)"),"裹屍袋！ https://t.co/0McXc68GZD")</f>
        <v>裹屍袋！ https://t.co/0McXc68GZD</v>
      </c>
      <c r="G3991" s="4" t="str">
        <f>IFERROR(__xludf.DUMMYFUNCTION("GOOGLETRANSLATE(B3991)"),"本體%20袋")</f>
        <v>本體%20袋</v>
      </c>
    </row>
    <row r="3992" ht="15.75" customHeight="1">
      <c r="A3992" s="4">
        <v>1493.0</v>
      </c>
      <c r="B3992" s="4" t="s">
        <v>529</v>
      </c>
      <c r="D3992" s="4" t="s">
        <v>5941</v>
      </c>
      <c r="E3992" s="4">
        <v>0.0</v>
      </c>
      <c r="F3992" s="4" t="str">
        <f>IFERROR(__xludf.DUMMYFUNCTION("GOOGLETRANSLATE(D3992)"),"當你買兩袋薯片和各種水果零食以及一杯紅牛作為零食時，你就知道你討厭你的身體")</f>
        <v>當你買兩袋薯片和各種水果零食以及一杯紅牛作為零食時，你就知道你討厭你的身體</v>
      </c>
      <c r="G3992" s="4" t="str">
        <f>IFERROR(__xludf.DUMMYFUNCTION("GOOGLETRANSLATE(B3992)"),"本體%20袋")</f>
        <v>本體%20袋</v>
      </c>
    </row>
    <row r="3993" ht="15.75" customHeight="1">
      <c r="A3993" s="4">
        <v>1494.0</v>
      </c>
      <c r="B3993" s="4" t="s">
        <v>529</v>
      </c>
      <c r="C3993" s="4" t="s">
        <v>5942</v>
      </c>
      <c r="D3993" s="4" t="s">
        <v>5943</v>
      </c>
      <c r="E3993" s="4">
        <v>0.0</v>
      </c>
      <c r="F3993" s="4" t="str">
        <f>IFERROR(__xludf.DUMMYFUNCTION("GOOGLETRANSLATE(D3993)"),"突發事件：費爾法克斯縣消防員在調查 Facebook 貼文有關將警察放入「裹屍袋」部門的調查中被安排行政休假。說。")</f>
        <v>突發事件：費爾法克斯縣消防員在調查 Facebook 貼文有關將警察放入「裹屍袋」部門的調查中被安排行政休假。說。</v>
      </c>
      <c r="G3993" s="4" t="str">
        <f>IFERROR(__xludf.DUMMYFUNCTION("GOOGLETRANSLATE(B3993)"),"本體%20袋")</f>
        <v>本體%20袋</v>
      </c>
    </row>
    <row r="3994" ht="15.75" customHeight="1">
      <c r="A3994" s="4">
        <v>1495.0</v>
      </c>
      <c r="B3994" s="4" t="s">
        <v>529</v>
      </c>
      <c r="C3994" s="4" t="s">
        <v>1019</v>
      </c>
      <c r="D3994" s="4" t="s">
        <v>5944</v>
      </c>
      <c r="E3994" s="4">
        <v>0.0</v>
      </c>
      <c r="F3994" s="4" t="str">
        <f>IFERROR(__xludf.DUMMYFUNCTION("GOOGLETRANSLATE(D3994)"),"女用扣休閒時尚單肩手提包口袋斜背包白色 http://t.co/mWZQCjhZPb")</f>
        <v>女用扣休閒時尚單肩手提包口袋斜背包白色 http://t.co/mWZQCjhZPb</v>
      </c>
      <c r="G3994" s="4" t="str">
        <f>IFERROR(__xludf.DUMMYFUNCTION("GOOGLETRANSLATE(B3994)"),"本體%20袋")</f>
        <v>本體%20袋</v>
      </c>
    </row>
    <row r="3995" ht="15.75" customHeight="1">
      <c r="A3995" s="4">
        <v>1497.0</v>
      </c>
      <c r="B3995" s="4" t="s">
        <v>529</v>
      </c>
      <c r="D3995" s="4" t="s">
        <v>5945</v>
      </c>
      <c r="E3995" s="4">
        <v>0.0</v>
      </c>
      <c r="F3995" s="4" t="str">
        <f>IFERROR(__xludf.DUMMYFUNCTION("GOOGLETRANSLATE(D3995)"),"所有 RCHS 足球員請注意，更衣室旁會有棺材和屍袋，明天拿一個，因為我們會死")</f>
        <v>所有 RCHS 足球員請注意，更衣室旁會有棺材和屍袋，明天拿一個，因為我們會死</v>
      </c>
      <c r="G3995" s="4" t="str">
        <f>IFERROR(__xludf.DUMMYFUNCTION("GOOGLETRANSLATE(B3995)"),"本體%20袋")</f>
        <v>本體%20袋</v>
      </c>
    </row>
    <row r="3996" ht="15.75" customHeight="1">
      <c r="A3996" s="4">
        <v>1498.0</v>
      </c>
      <c r="B3996" s="4" t="s">
        <v>529</v>
      </c>
      <c r="D3996" s="4" t="s">
        <v>5946</v>
      </c>
      <c r="E3996" s="4">
        <v>0.0</v>
      </c>
      <c r="F3996" s="4" t="str">
        <f>IFERROR(__xludf.DUMMYFUNCTION("GOOGLETRANSLATE(D3996)"),"女款花朵印花肩背包斜背金屬鏈條斜背包藍色 http://t.co/rjZw6C8asX http://t.co/WtdIav11ua")</f>
        <v>女款花朵印花肩背包斜背金屬鏈條斜背包藍色 http://t.co/rjZw6C8asX http://t.co/WtdIav11ua</v>
      </c>
      <c r="G3996" s="4" t="str">
        <f>IFERROR(__xludf.DUMMYFUNCTION("GOOGLETRANSLATE(B3996)"),"本體%20袋")</f>
        <v>本體%20袋</v>
      </c>
    </row>
    <row r="3997" ht="15.75" customHeight="1">
      <c r="A3997" s="4">
        <v>1499.0</v>
      </c>
      <c r="B3997" s="4" t="s">
        <v>529</v>
      </c>
      <c r="D3997" s="4" t="s">
        <v>5947</v>
      </c>
      <c r="E3997" s="4">
        <v>0.0</v>
      </c>
      <c r="F3997" s="4" t="str">
        <f>IFERROR(__xludf.DUMMYFUNCTION("GOOGLETRANSLATE(D3997)"),"女用斜背包 郵差包 手拿包 小肩包 拉鍊包 白色 http://t.co/EpIQdBxVZO http://t.co/BhfOYLQLJp")</f>
        <v>女用斜背包 郵差包 手拿包 小肩包 拉鍊包 白色 http://t.co/EpIQdBxVZO http://t.co/BhfOYLQLJp</v>
      </c>
      <c r="G3997" s="4" t="str">
        <f>IFERROR(__xludf.DUMMYFUNCTION("GOOGLETRANSLATE(B3997)"),"本體%20袋")</f>
        <v>本體%20袋</v>
      </c>
    </row>
    <row r="3998" ht="15.75" customHeight="1">
      <c r="A3998" s="4">
        <v>1500.0</v>
      </c>
      <c r="B3998" s="4" t="s">
        <v>529</v>
      </c>
      <c r="C3998" s="4" t="s">
        <v>5948</v>
      </c>
      <c r="D3998" s="4" t="s">
        <v>5949</v>
      </c>
      <c r="E3998" s="4">
        <v>0.0</v>
      </c>
      <c r="F3998" s="4" t="str">
        <f>IFERROR(__xludf.DUMMYFUNCTION("GOOGLETRANSLATE(D3998)"),"@Deeeznvtzzz 帶上屍袋吧")</f>
        <v>@Deeeznvtzzz 帶上屍袋吧</v>
      </c>
      <c r="G3998" s="4" t="str">
        <f>IFERROR(__xludf.DUMMYFUNCTION("GOOGLETRANSLATE(B3998)"),"本體%20袋")</f>
        <v>本體%20袋</v>
      </c>
    </row>
    <row r="3999" ht="15.75" customHeight="1">
      <c r="A3999" s="4">
        <v>1501.0</v>
      </c>
      <c r="B3999" s="4" t="s">
        <v>529</v>
      </c>
      <c r="C3999" s="4" t="s">
        <v>190</v>
      </c>
      <c r="D3999" s="4" t="s">
        <v>5950</v>
      </c>
      <c r="E3999" s="4">
        <v>0.0</v>
      </c>
      <c r="F3999" s="4" t="str">
        <f>IFERROR(__xludf.DUMMYFUNCTION("GOOGLETRANSLATE(D3999)"),"美國和平研究所主席想要俄羅斯屍袋 http://t.co/owbUjez3q4")</f>
        <v>美國和平研究所主席想要俄羅斯屍袋 http://t.co/owbUjez3q4</v>
      </c>
      <c r="G3999" s="4" t="str">
        <f>IFERROR(__xludf.DUMMYFUNCTION("GOOGLETRANSLATE(B3999)"),"本體%20袋")</f>
        <v>本體%20袋</v>
      </c>
    </row>
    <row r="4000" ht="15.75" customHeight="1">
      <c r="A4000" s="4">
        <v>1502.0</v>
      </c>
      <c r="B4000" s="4" t="s">
        <v>529</v>
      </c>
      <c r="C4000" s="4" t="s">
        <v>5951</v>
      </c>
      <c r="D4000" s="4" t="s">
        <v>5952</v>
      </c>
      <c r="E4000" s="4">
        <v>0.0</v>
      </c>
      <c r="F4000" s="4" t="str">
        <f>IFERROR(__xludf.DUMMYFUNCTION("GOOGLETRANSLATE(D4000)"),"更新：在 Facebook 發文呼籲人們將警察放入「屍袋」後，維吉尼亞州消防員正在行政休假。 http://t.co/Mt029QJ4Ig")</f>
        <v>更新：在 Facebook 發文呼籲人們將警察放入「屍袋」後，維吉尼亞州消防員正在行政休假。 http://t.co/Mt029QJ4Ig</v>
      </c>
      <c r="G4000" s="4" t="str">
        <f>IFERROR(__xludf.DUMMYFUNCTION("GOOGLETRANSLATE(B4000)"),"本體%20袋")</f>
        <v>本體%20袋</v>
      </c>
    </row>
    <row r="4001" ht="15.75" customHeight="1">
      <c r="A4001" s="4">
        <v>1503.0</v>
      </c>
      <c r="B4001" s="4" t="s">
        <v>529</v>
      </c>
      <c r="D4001" s="4" t="s">
        <v>5953</v>
      </c>
      <c r="E4001" s="4">
        <v>0.0</v>
      </c>
      <c r="F4001" s="4" t="str">
        <f>IFERROR(__xludf.DUMMYFUNCTION("GOOGLETRANSLATE(D4001)"),"@ScottWalker 所以你可以把窮人和中產階級的孩子送去戰爭，這樣他們就可以裝在裹屍袋裡。典型的共和黨")</f>
        <v>@ScottWalker 所以你可以把窮人和中產階級的孩子送去戰爭，這樣他們就可以裝在裹屍袋裡。典型的共和黨</v>
      </c>
      <c r="G4001" s="4" t="str">
        <f>IFERROR(__xludf.DUMMYFUNCTION("GOOGLETRANSLATE(B4001)"),"本體%20袋")</f>
        <v>本體%20袋</v>
      </c>
    </row>
    <row r="4002" ht="15.75" customHeight="1">
      <c r="A4002" s="4">
        <v>1504.0</v>
      </c>
      <c r="B4002" s="4" t="s">
        <v>529</v>
      </c>
      <c r="C4002" s="4" t="s">
        <v>5954</v>
      </c>
      <c r="D4002" s="4" t="s">
        <v>5955</v>
      </c>
      <c r="E4002" s="4">
        <v>0.0</v>
      </c>
      <c r="F4002" s="4" t="str">
        <f>IFERROR(__xludf.DUMMYFUNCTION("GOOGLETRANSLATE(D4002)"),"@baskgod裹屍袋")</f>
        <v>@baskgod裹屍袋</v>
      </c>
      <c r="G4002" s="4" t="str">
        <f>IFERROR(__xludf.DUMMYFUNCTION("GOOGLETRANSLATE(B4002)"),"本體%20袋")</f>
        <v>本體%20袋</v>
      </c>
    </row>
    <row r="4003" ht="15.75" customHeight="1">
      <c r="A4003" s="4">
        <v>1505.0</v>
      </c>
      <c r="B4003" s="4" t="s">
        <v>529</v>
      </c>
      <c r="D4003" s="4" t="s">
        <v>5956</v>
      </c>
      <c r="E4003" s="4">
        <v>0.0</v>
      </c>
      <c r="F4003" s="4" t="str">
        <f>IFERROR(__xludf.DUMMYFUNCTION("GOOGLETRANSLATE(D4003)"),"九個巨大的人體大小的垃圾袋之後......我要開始丟東西了。 #moving2k15 #expertwhiner")</f>
        <v>九個巨大的人體大小的垃圾袋之後......我要開始丟東西了。 #moving2k15 #expertwhiner</v>
      </c>
      <c r="G4003" s="4" t="str">
        <f>IFERROR(__xludf.DUMMYFUNCTION("GOOGLETRANSLATE(B4003)"),"本體%20袋")</f>
        <v>本體%20袋</v>
      </c>
    </row>
    <row r="4004" ht="15.75" customHeight="1">
      <c r="A4004" s="4">
        <v>1506.0</v>
      </c>
      <c r="B4004" s="4" t="s">
        <v>529</v>
      </c>
      <c r="D4004" s="4" t="s">
        <v>5957</v>
      </c>
      <c r="E4004" s="4">
        <v>0.0</v>
      </c>
      <c r="F4004" s="4" t="str">
        <f>IFERROR(__xludf.DUMMYFUNCTION("GOOGLETRANSLATE(D4004)"),"我喜歡 The Body Shop 的包包？
#cutekitten #catsofinstagram #summerinsweden #cat #katterpÌ´instagram #dumle #dagens቉Û_ http://t.co/p4ZFXdnbcH")</f>
        <v>我喜歡 The Body Shop 的包包？
#cutekitten #catsofinstagram #summerinsweden #cat #katterpÌ´instagram #dumle #dagens቉Û_ http://t.co/p4ZFXdnbcH</v>
      </c>
      <c r="G4004" s="4" t="str">
        <f>IFERROR(__xludf.DUMMYFUNCTION("GOOGLETRANSLATE(B4004)"),"本體%20袋")</f>
        <v>本體%20袋</v>
      </c>
    </row>
    <row r="4005" ht="15.75" customHeight="1">
      <c r="A4005" s="4">
        <v>1507.0</v>
      </c>
      <c r="B4005" s="4" t="s">
        <v>529</v>
      </c>
      <c r="D4005" s="4" t="s">
        <v>5958</v>
      </c>
      <c r="E4005" s="4">
        <v>0.0</v>
      </c>
      <c r="F4005" s="4" t="str">
        <f>IFERROR(__xludf.DUMMYFUNCTION("GOOGLETRANSLATE(D4005)"),"女用手提包人造皮革手袋肩背斜背包頂部提手包玫瑰色 http://t.co/GYzPisBI1u http://t.co/mSDnTkWYaf")</f>
        <v>女用手提包人造皮革手袋肩背斜背包頂部提手包玫瑰色 http://t.co/GYzPisBI1u http://t.co/mSDnTkWYaf</v>
      </c>
      <c r="G4005" s="4" t="str">
        <f>IFERROR(__xludf.DUMMYFUNCTION("GOOGLETRANSLATE(B4005)"),"本體%20袋")</f>
        <v>本體%20袋</v>
      </c>
    </row>
    <row r="4006" ht="15.75" customHeight="1">
      <c r="A4006" s="4">
        <v>1508.0</v>
      </c>
      <c r="B4006" s="4" t="s">
        <v>529</v>
      </c>
      <c r="D4006" s="4" t="s">
        <v>5959</v>
      </c>
      <c r="E4006" s="4">
        <v>0.0</v>
      </c>
      <c r="F4006" s="4" t="str">
        <f>IFERROR(__xludf.DUMMYFUNCTION("GOOGLETRANSLATE(D4006)"),"女用斜背包格紋鍊鑲釘斜背包多色肩背包藍色 http://t.co/qj2kbltCxZ http://t.co/xQpn2zYkCt")</f>
        <v>女用斜背包格紋鍊鑲釘斜背包多色肩背包藍色 http://t.co/qj2kbltCxZ http://t.co/xQpn2zYkCt</v>
      </c>
      <c r="G4006" s="4" t="str">
        <f>IFERROR(__xludf.DUMMYFUNCTION("GOOGLETRANSLATE(B4006)"),"本體%20袋")</f>
        <v>本體%20袋</v>
      </c>
    </row>
    <row r="4007" ht="15.75" customHeight="1">
      <c r="A4007" s="4">
        <v>1509.0</v>
      </c>
      <c r="B4007" s="4" t="s">
        <v>529</v>
      </c>
      <c r="C4007" s="4" t="s">
        <v>5960</v>
      </c>
      <c r="D4007" s="4" t="s">
        <v>5961</v>
      </c>
      <c r="E4007" s="4">
        <v>0.0</v>
      </c>
      <c r="F4007" s="4" t="str">
        <f>IFERROR(__xludf.DUMMYFUNCTION("GOOGLETRANSLATE(D4007)"),"今天實驗室準備好這些裹屍袋。 ??")</f>
        <v>今天實驗室準備好這些裹屍袋。 ??</v>
      </c>
      <c r="G4007" s="4" t="str">
        <f>IFERROR(__xludf.DUMMYFUNCTION("GOOGLETRANSLATE(B4007)"),"本體%20袋")</f>
        <v>本體%20袋</v>
      </c>
    </row>
    <row r="4008" ht="15.75" customHeight="1">
      <c r="A4008" s="4">
        <v>1510.0</v>
      </c>
      <c r="B4008" s="4" t="s">
        <v>529</v>
      </c>
      <c r="D4008" s="4" t="s">
        <v>5962</v>
      </c>
      <c r="E4008" s="4">
        <v>0.0</v>
      </c>
      <c r="F4008" s="4" t="str">
        <f>IFERROR(__xludf.DUMMYFUNCTION("GOOGLETRANSLATE(D4008)"),"母狗拿著比她們全身還大的包包來拍照？？？？？")</f>
        <v>母狗拿著比她們全身還大的包包來拍照？？？？？</v>
      </c>
      <c r="G4008" s="4" t="str">
        <f>IFERROR(__xludf.DUMMYFUNCTION("GOOGLETRANSLATE(B4008)"),"本體%20袋")</f>
        <v>本體%20袋</v>
      </c>
    </row>
    <row r="4009" ht="15.75" customHeight="1">
      <c r="A4009" s="4">
        <v>1511.0</v>
      </c>
      <c r="B4009" s="4" t="s">
        <v>529</v>
      </c>
      <c r="D4009" s="4" t="s">
        <v>5963</v>
      </c>
      <c r="E4009" s="4">
        <v>0.0</v>
      </c>
      <c r="F4009" s="4" t="str">
        <f>IFERROR(__xludf.DUMMYFUNCTION("GOOGLETRANSLATE(D4009)"),"女用扣休閒時尚單肩手提包口袋斜背包綠色 http://t.co/Jqso4fyZp4 http://t.co/F4XnPliO5S")</f>
        <v>女用扣休閒時尚單肩手提包口袋斜背包綠色 http://t.co/Jqso4fyZp4 http://t.co/F4XnPliO5S</v>
      </c>
      <c r="G4009" s="4" t="str">
        <f>IFERROR(__xludf.DUMMYFUNCTION("GOOGLETRANSLATE(B4009)"),"本體%20袋")</f>
        <v>本體%20袋</v>
      </c>
    </row>
    <row r="4010" ht="15.75" customHeight="1">
      <c r="A4010" s="4">
        <v>1513.0</v>
      </c>
      <c r="B4010" s="4" t="s">
        <v>529</v>
      </c>
      <c r="C4010" s="4" t="s">
        <v>5964</v>
      </c>
      <c r="D4010" s="4" t="s">
        <v>5965</v>
      </c>
      <c r="E4010" s="4">
        <v>0.0</v>
      </c>
      <c r="F4010" s="4" t="str">
        <f>IFERROR(__xludf.DUMMYFUNCTION("GOOGLETRANSLATE(D4010)"),"#IranDeal 大多數不希望達成這項協議的國會議員沒有任何孩子會帶著屍袋回家。戰爭讓他們賺錢")</f>
        <v>#IranDeal 大多數不希望達成這項協議的國會議員沒有任何孩子會帶著屍袋回家。戰爭讓他們賺錢</v>
      </c>
      <c r="G4010" s="4" t="str">
        <f>IFERROR(__xludf.DUMMYFUNCTION("GOOGLETRANSLATE(B4010)"),"本體%20袋")</f>
        <v>本體%20袋</v>
      </c>
    </row>
    <row r="4011" ht="15.75" customHeight="1">
      <c r="A4011" s="4">
        <v>1514.0</v>
      </c>
      <c r="B4011" s="4" t="s">
        <v>529</v>
      </c>
      <c r="D4011" s="4" t="s">
        <v>5966</v>
      </c>
      <c r="E4011" s="4">
        <v>0.0</v>
      </c>
      <c r="F4011" s="4" t="str">
        <f>IFERROR(__xludf.DUMMYFUNCTION("GOOGLETRANSLATE(D4011)"),"ÛÏ派對和屍袋就像酒後駕車一樣。Û")</f>
        <v>ÛÏ派對和屍袋就像酒後駕車一樣。Û</v>
      </c>
      <c r="G4011" s="4" t="str">
        <f>IFERROR(__xludf.DUMMYFUNCTION("GOOGLETRANSLATE(B4011)"),"本體%20袋")</f>
        <v>本體%20袋</v>
      </c>
    </row>
    <row r="4012" ht="15.75" customHeight="1">
      <c r="A4012" s="4">
        <v>1515.0</v>
      </c>
      <c r="B4012" s="4" t="s">
        <v>529</v>
      </c>
      <c r="C4012" s="4" t="s">
        <v>5967</v>
      </c>
      <c r="D4012" s="4" t="s">
        <v>5968</v>
      </c>
      <c r="E4012" s="4">
        <v>0.0</v>
      </c>
      <c r="F4012" s="4" t="str">
        <f>IFERROR(__xludf.DUMMYFUNCTION("GOOGLETRANSLATE(D4012)"),"@Limpar33 掃腿？或把人裝進屍袋裡？")</f>
        <v>@Limpar33 掃腿？或把人裝進屍袋裡？</v>
      </c>
      <c r="G4012" s="4" t="str">
        <f>IFERROR(__xludf.DUMMYFUNCTION("GOOGLETRANSLATE(B4012)"),"本體%20袋")</f>
        <v>本體%20袋</v>
      </c>
    </row>
    <row r="4013" ht="15.75" customHeight="1">
      <c r="A4013" s="4">
        <v>1518.0</v>
      </c>
      <c r="B4013" s="4" t="s">
        <v>529</v>
      </c>
      <c r="C4013" s="4" t="s">
        <v>5969</v>
      </c>
      <c r="D4013" s="4" t="s">
        <v>5970</v>
      </c>
      <c r="E4013" s="4">
        <v>0.0</v>
      </c>
      <c r="F4013" s="4" t="str">
        <f>IFERROR(__xludf.DUMMYFUNCTION("GOOGLETRANSLATE(D4013)"),"開槍射擊直到我們看到屍袋")</f>
        <v>開槍射擊直到我們看到屍袋</v>
      </c>
      <c r="G4013" s="4" t="str">
        <f>IFERROR(__xludf.DUMMYFUNCTION("GOOGLETRANSLATE(B4013)"),"本體%20袋")</f>
        <v>本體%20袋</v>
      </c>
    </row>
    <row r="4014" ht="15.75" customHeight="1">
      <c r="A4014" s="4">
        <v>1519.0</v>
      </c>
      <c r="B4014" s="4" t="s">
        <v>529</v>
      </c>
      <c r="D4014" s="4" t="s">
        <v>5971</v>
      </c>
      <c r="E4014" s="4">
        <v>0.0</v>
      </c>
      <c r="F4014" s="4" t="str">
        <f>IFERROR(__xludf.DUMMYFUNCTION("GOOGLETRANSLATE(D4014)"),"「你的身體會痊癒，眼袋會消失，你會很高興，你會微笑，真的...」http://t.co/WuKcAlNQms")</f>
        <v>「你的身體會痊癒，眼袋會消失，你會很高興，你會微笑，真的...」http://t.co/WuKcAlNQms</v>
      </c>
      <c r="G4014" s="4" t="str">
        <f>IFERROR(__xludf.DUMMYFUNCTION("GOOGLETRANSLATE(B4014)"),"本體%20袋")</f>
        <v>本體%20袋</v>
      </c>
    </row>
    <row r="4015" ht="15.75" customHeight="1">
      <c r="A4015" s="4">
        <v>1520.0</v>
      </c>
      <c r="B4015" s="4" t="s">
        <v>529</v>
      </c>
      <c r="C4015" s="4" t="s">
        <v>193</v>
      </c>
      <c r="D4015" s="4" t="s">
        <v>5972</v>
      </c>
      <c r="E4015" s="4">
        <v>0.0</v>
      </c>
      <c r="F4015" s="4" t="str">
        <f>IFERROR(__xludf.DUMMYFUNCTION("GOOGLETRANSLATE(D4015)"),"女用手提包 斜背包 幾何圖案 挎包 托特包 肩包 白色 http://t.co/qvSp6b2qSU http://t.co/0s6ydFrWDQ RT GasparcÛ_")</f>
        <v>女用手提包 斜背包 幾何圖案 挎包 托特包 肩包 白色 http://t.co/qvSp6b2qSU http://t.co/0s6ydFrWDQ RT GasparcÛ_</v>
      </c>
      <c r="G4015" s="4" t="str">
        <f>IFERROR(__xludf.DUMMYFUNCTION("GOOGLETRANSLATE(B4015)"),"本體%20袋")</f>
        <v>本體%20袋</v>
      </c>
    </row>
    <row r="4016" ht="15.75" customHeight="1">
      <c r="A4016" s="4">
        <v>1521.0</v>
      </c>
      <c r="B4016" s="4" t="s">
        <v>529</v>
      </c>
      <c r="D4016" s="4" t="s">
        <v>5973</v>
      </c>
      <c r="E4016" s="4">
        <v>0.0</v>
      </c>
      <c r="F4016" s="4" t="str">
        <f>IFERROR(__xludf.DUMMYFUNCTION("GOOGLETRANSLATE(D4016)"),"女士斜背包 手拿包 手提包 斜挎包 肩背包 設計師手袋 高品質 ... http://t.co/zGJGgHDuRF")</f>
        <v>女士斜背包 手拿包 手提包 斜挎包 肩背包 設計師手袋 高品質 ... http://t.co/zGJGgHDuRF</v>
      </c>
      <c r="G4016" s="4" t="str">
        <f>IFERROR(__xludf.DUMMYFUNCTION("GOOGLETRANSLATE(B4016)"),"本體%20袋")</f>
        <v>本體%20袋</v>
      </c>
    </row>
    <row r="4017" ht="15.75" customHeight="1">
      <c r="A4017" s="4">
        <v>1522.0</v>
      </c>
      <c r="B4017" s="4" t="s">
        <v>529</v>
      </c>
      <c r="D4017" s="4" t="s">
        <v>5974</v>
      </c>
      <c r="E4017" s="4">
        <v>0.0</v>
      </c>
      <c r="F4017" s="4" t="str">
        <f>IFERROR(__xludf.DUMMYFUNCTION("GOOGLETRANSLATE(D4017)"),"女用手提包斜背幾何圖案挎包手提包單肩包白色 http://t.co/L1GFXgOZvx http://t.co/TKJYbjjsKl")</f>
        <v>女用手提包斜背幾何圖案挎包手提包單肩包白色 http://t.co/L1GFXgOZvx http://t.co/TKJYbjjsKl</v>
      </c>
      <c r="G4017" s="4" t="str">
        <f>IFERROR(__xludf.DUMMYFUNCTION("GOOGLETRANSLATE(B4017)"),"本體%20袋")</f>
        <v>本體%20袋</v>
      </c>
    </row>
    <row r="4018" ht="15.75" customHeight="1">
      <c r="A4018" s="4">
        <v>1523.0</v>
      </c>
      <c r="B4018" s="4" t="s">
        <v>529</v>
      </c>
      <c r="C4018" s="4" t="s">
        <v>5975</v>
      </c>
      <c r="D4018" s="4" t="s">
        <v>5976</v>
      </c>
      <c r="E4018" s="4">
        <v>0.0</v>
      </c>
      <c r="F4018" s="4" t="str">
        <f>IFERROR(__xludf.DUMMYFUNCTION("GOOGLETRANSLATE(D4018)"),"狀態：最後一次看到購買裹屍袋。")</f>
        <v>狀態：最後一次看到購買裹屍袋。</v>
      </c>
      <c r="G4018" s="4" t="str">
        <f>IFERROR(__xludf.DUMMYFUNCTION("GOOGLETRANSLATE(B4018)"),"本體%20袋")</f>
        <v>本體%20袋</v>
      </c>
    </row>
    <row r="4019" ht="15.75" customHeight="1">
      <c r="A4019" s="4">
        <v>1524.0</v>
      </c>
      <c r="B4019" s="4" t="s">
        <v>529</v>
      </c>
      <c r="C4019" s="4" t="s">
        <v>5977</v>
      </c>
      <c r="D4019" s="4" t="s">
        <v>5978</v>
      </c>
      <c r="E4019" s="4">
        <v>0.0</v>
      </c>
      <c r="F4019" s="4" t="str">
        <f>IFERROR(__xludf.DUMMYFUNCTION("GOOGLETRANSLATE(D4019)"),"@asymbina @tithenai 我因為只喜歡斜背包而受到阻礙。我真的很喜歡 Ella Vickers 包：可機洗。 http://t.co/YsFYEahpVg")</f>
        <v>@asymbina @tithenai 我因為只喜歡斜背包而受到阻礙。我真的很喜歡 Ella Vickers 包：可機洗。 http://t.co/YsFYEahpVg</v>
      </c>
      <c r="G4019" s="4" t="str">
        <f>IFERROR(__xludf.DUMMYFUNCTION("GOOGLETRANSLATE(B4019)"),"本體%20袋")</f>
        <v>本體%20袋</v>
      </c>
    </row>
    <row r="4020" ht="15.75" customHeight="1">
      <c r="A4020" s="4">
        <v>1525.0</v>
      </c>
      <c r="B4020" s="4" t="s">
        <v>529</v>
      </c>
      <c r="D4020" s="4" t="s">
        <v>5979</v>
      </c>
      <c r="E4020" s="4">
        <v>0.0</v>
      </c>
      <c r="F4020" s="4" t="str">
        <f>IFERROR(__xludf.DUMMYFUNCTION("GOOGLETRANSLATE(D4020)"),"Zicac 復古皮革公事包郵差挎包手提包斜背包女式 http://t.co/a3Xv6Ff8DN")</f>
        <v>Zicac 復古皮革公事包郵差挎包手提包斜背包女式 http://t.co/a3Xv6Ff8DN</v>
      </c>
      <c r="G4020" s="4" t="str">
        <f>IFERROR(__xludf.DUMMYFUNCTION("GOOGLETRANSLATE(B4020)"),"本體%20袋")</f>
        <v>本體%20袋</v>
      </c>
    </row>
    <row r="4021" ht="15.75" customHeight="1">
      <c r="A4021" s="4">
        <v>1526.0</v>
      </c>
      <c r="B4021" s="4" t="s">
        <v>529</v>
      </c>
      <c r="C4021" s="4" t="s">
        <v>5980</v>
      </c>
      <c r="D4021" s="4" t="s">
        <v>5981</v>
      </c>
      <c r="E4021" s="4">
        <v>0.0</v>
      </c>
      <c r="F4021" s="4" t="str">
        <f>IFERROR(__xludf.DUMMYFUNCTION("GOOGLETRANSLATE(D4021)"),"費爾法克斯調查消防員在 Facebook 發文表示警察應該被放入裹屍袋 - 華盛頓郵報 http://t.co/jAxHzjCCd4")</f>
        <v>費爾法克斯調查消防員在 Facebook 發文表示警察應該被放入裹屍袋 - 華盛頓郵報 http://t.co/jAxHzjCCd4</v>
      </c>
      <c r="G4021" s="4" t="str">
        <f>IFERROR(__xludf.DUMMYFUNCTION("GOOGLETRANSLATE(B4021)"),"本體%20袋")</f>
        <v>本體%20袋</v>
      </c>
    </row>
    <row r="4022" ht="15.75" customHeight="1">
      <c r="A4022" s="4">
        <v>1527.0</v>
      </c>
      <c r="B4022" s="4" t="s">
        <v>529</v>
      </c>
      <c r="D4022" s="4" t="s">
        <v>5982</v>
      </c>
      <c r="E4022" s="4">
        <v>0.0</v>
      </c>
      <c r="F4022" s="4" t="str">
        <f>IFERROR(__xludf.DUMMYFUNCTION("GOOGLETRANSLATE(D4022)"),"男士斜背帆布腰包純色字母印花運動拉鍊袋咖啡 http://t.co/sCXfC5wi9t http://t.co/gx1oTOH8sj")</f>
        <v>男士斜背帆布腰包純色字母印花運動拉鍊袋咖啡 http://t.co/sCXfC5wi9t http://t.co/gx1oTOH8sj</v>
      </c>
      <c r="G4022" s="4" t="str">
        <f>IFERROR(__xludf.DUMMYFUNCTION("GOOGLETRANSLATE(B4022)"),"本體%20袋")</f>
        <v>本體%20袋</v>
      </c>
    </row>
    <row r="4023" ht="15.75" customHeight="1">
      <c r="A4023" s="4">
        <v>1530.0</v>
      </c>
      <c r="B4023" s="4" t="s">
        <v>532</v>
      </c>
      <c r="C4023" s="4" t="s">
        <v>5983</v>
      </c>
      <c r="D4023" s="4" t="s">
        <v>5984</v>
      </c>
      <c r="E4023" s="4">
        <v>0.0</v>
      </c>
      <c r="F4023" s="4" t="str">
        <f>IFERROR(__xludf.DUMMYFUNCTION("GOOGLETRANSLATE(D4023)"),"聽聽這首熱門歌曲。充滿正能量、青春的夏日炸彈
你喜歡它嗎？
https://t.co/2LiWkJybE9
#挪威2040")</f>
        <v>聽聽這首熱門歌曲。充滿正能量、青春的夏日炸彈
你喜歡它嗎？
https://t.co/2LiWkJybE9
#挪威2040</v>
      </c>
      <c r="G4023" s="4" t="str">
        <f>IFERROR(__xludf.DUMMYFUNCTION("GOOGLETRANSLATE(B4023)"),"炸彈")</f>
        <v>炸彈</v>
      </c>
    </row>
    <row r="4024" ht="15.75" customHeight="1">
      <c r="A4024" s="4">
        <v>1531.0</v>
      </c>
      <c r="B4024" s="4" t="s">
        <v>532</v>
      </c>
      <c r="D4024" s="4" t="s">
        <v>5985</v>
      </c>
      <c r="E4024" s="4">
        <v>0.0</v>
      </c>
      <c r="F4024" s="4" t="str">
        <f>IFERROR(__xludf.DUMMYFUNCTION("GOOGLETRANSLATE(D4024)"),"beforeitsnews : 全球衍生性商品：1.5 美元四兆定時炸彈 http://t.co/GhmmUj7GbE (vÛ_ http://t.co/u9LvvLzhYe) http://t.co/LyJ57pq3yX")</f>
        <v>beforeitsnews : 全球衍生性商品：1.5 美元四兆定時炸彈 http://t.co/GhmmUj7GbE (vÛ_ http://t.co/u9LvvLzhYe) http://t.co/LyJ57pq3yX</v>
      </c>
      <c r="G4024" s="4" t="str">
        <f>IFERROR(__xludf.DUMMYFUNCTION("GOOGLETRANSLATE(B4024)"),"炸彈")</f>
        <v>炸彈</v>
      </c>
    </row>
    <row r="4025" ht="15.75" customHeight="1">
      <c r="A4025" s="4">
        <v>1533.0</v>
      </c>
      <c r="B4025" s="4" t="s">
        <v>532</v>
      </c>
      <c r="C4025" s="4" t="s">
        <v>5986</v>
      </c>
      <c r="D4025" s="4" t="s">
        <v>5987</v>
      </c>
      <c r="E4025" s="4">
        <v>0.0</v>
      </c>
      <c r="F4025" s="4" t="str">
        <f>IFERROR(__xludf.DUMMYFUNCTION("GOOGLETRANSLATE(D4025)"),"這即將成為炸彈屁股煙火圖片http://t.co/lr4BTvuEoM")</f>
        <v>這即將成為炸彈屁股煙火圖片http://t.co/lr4BTvuEoM</v>
      </c>
      <c r="G4025" s="4" t="str">
        <f>IFERROR(__xludf.DUMMYFUNCTION("GOOGLETRANSLATE(B4025)"),"炸彈")</f>
        <v>炸彈</v>
      </c>
    </row>
    <row r="4026" ht="15.75" customHeight="1">
      <c r="A4026" s="4">
        <v>1537.0</v>
      </c>
      <c r="B4026" s="4" t="s">
        <v>532</v>
      </c>
      <c r="C4026" s="4" t="s">
        <v>5988</v>
      </c>
      <c r="D4026" s="4" t="s">
        <v>5989</v>
      </c>
      <c r="E4026" s="4">
        <v>0.0</v>
      </c>
      <c r="F4026" s="4" t="str">
        <f>IFERROR(__xludf.DUMMYFUNCTION("GOOGLETRANSLATE(D4026)"),"南俊的《FANTASTIC IS BOMB BYE OMG》")</f>
        <v>南俊的《FANTASTIC IS BOMB BYE OMG》</v>
      </c>
      <c r="G4026" s="4" t="str">
        <f>IFERROR(__xludf.DUMMYFUNCTION("GOOGLETRANSLATE(B4026)"),"炸彈")</f>
        <v>炸彈</v>
      </c>
    </row>
    <row r="4027" ht="15.75" customHeight="1">
      <c r="A4027" s="4">
        <v>1538.0</v>
      </c>
      <c r="B4027" s="4" t="s">
        <v>532</v>
      </c>
      <c r="C4027" s="4" t="s">
        <v>5990</v>
      </c>
      <c r="D4027" s="4" t="s">
        <v>5991</v>
      </c>
      <c r="E4027" s="4">
        <v>0.0</v>
      </c>
      <c r="F4027" s="4" t="str">
        <f>IFERROR(__xludf.DUMMYFUNCTION("GOOGLETRANSLATE(D4027)"),"Halsey 和 TROYE 的合作將會是炸彈")</f>
        <v>Halsey 和 TROYE 的合作將會是炸彈</v>
      </c>
      <c r="G4027" s="4" t="str">
        <f>IFERROR(__xludf.DUMMYFUNCTION("GOOGLETRANSLATE(B4027)"),"炸彈")</f>
        <v>炸彈</v>
      </c>
    </row>
    <row r="4028" ht="15.75" customHeight="1">
      <c r="A4028" s="4">
        <v>1540.0</v>
      </c>
      <c r="B4028" s="4" t="s">
        <v>532</v>
      </c>
      <c r="C4028" s="4" t="s">
        <v>1676</v>
      </c>
      <c r="D4028" s="4" t="s">
        <v>5992</v>
      </c>
      <c r="E4028" s="4">
        <v>0.0</v>
      </c>
      <c r="F4028" s="4" t="str">
        <f>IFERROR(__xludf.DUMMYFUNCTION("GOOGLETRANSLATE(D4028)"),"@AaronTheFM 夥計們不敢透露他的真名，反正他知道我會轟炸他")</f>
        <v>@AaronTheFM 夥計們不敢透露他的真名，反正他知道我會轟炸他</v>
      </c>
      <c r="G4028" s="4" t="str">
        <f>IFERROR(__xludf.DUMMYFUNCTION("GOOGLETRANSLATE(B4028)"),"炸彈")</f>
        <v>炸彈</v>
      </c>
    </row>
    <row r="4029" ht="15.75" customHeight="1">
      <c r="A4029" s="4">
        <v>1543.0</v>
      </c>
      <c r="B4029" s="4" t="s">
        <v>532</v>
      </c>
      <c r="C4029" s="4" t="s">
        <v>126</v>
      </c>
      <c r="D4029" s="4" t="s">
        <v>5993</v>
      </c>
      <c r="E4029" s="4">
        <v>0.0</v>
      </c>
      <c r="F4029" s="4" t="str">
        <f>IFERROR(__xludf.DUMMYFUNCTION("GOOGLETRANSLATE(D4029)"),"@CranBoonitz 那麼要發出炸彈威脅嗎？ @HereticOfEthics")</f>
        <v>@CranBoonitz 那麼要發出炸彈威脅嗎？ @HereticOfEthics</v>
      </c>
      <c r="G4029" s="4" t="str">
        <f>IFERROR(__xludf.DUMMYFUNCTION("GOOGLETRANSLATE(B4029)"),"炸彈")</f>
        <v>炸彈</v>
      </c>
    </row>
    <row r="4030" ht="15.75" customHeight="1">
      <c r="A4030" s="4">
        <v>1544.0</v>
      </c>
      <c r="B4030" s="4" t="s">
        <v>532</v>
      </c>
      <c r="C4030" s="4" t="s">
        <v>2547</v>
      </c>
      <c r="D4030" s="4" t="s">
        <v>5994</v>
      </c>
      <c r="E4030" s="4">
        <v>0.0</v>
      </c>
      <c r="F4030" s="4" t="str">
        <f>IFERROR(__xludf.DUMMYFUNCTION("GOOGLETRANSLATE(D4030)"),"ÛÏ@dylanmcclure55：在 zumiez 工作的 http://t.co/zW5jp46v5kÛ 是哪個位置？")</f>
        <v>ÛÏ@dylanmcclure55：在 zumiez 工作的 http://t.co/zW5jp46v5kÛ 是哪個位置？</v>
      </c>
      <c r="G4030" s="4" t="str">
        <f>IFERROR(__xludf.DUMMYFUNCTION("GOOGLETRANSLATE(B4030)"),"炸彈")</f>
        <v>炸彈</v>
      </c>
    </row>
    <row r="4031" ht="15.75" customHeight="1">
      <c r="A4031" s="4">
        <v>1546.0</v>
      </c>
      <c r="B4031" s="4" t="s">
        <v>532</v>
      </c>
      <c r="C4031" s="4" t="s">
        <v>5995</v>
      </c>
      <c r="D4031" s="4" t="s">
        <v>5996</v>
      </c>
      <c r="E4031" s="4">
        <v>0.0</v>
      </c>
      <c r="F4031" s="4" t="str">
        <f>IFERROR(__xludf.DUMMYFUNCTION("GOOGLETRANSLATE(D4031)"),"Jen你是個炸彈女孩！ https://t.co/czQr3CI9Xw")</f>
        <v>Jen你是個炸彈女孩！ https://t.co/czQr3CI9Xw</v>
      </c>
      <c r="G4031" s="4" t="str">
        <f>IFERROR(__xludf.DUMMYFUNCTION("GOOGLETRANSLATE(B4031)"),"炸彈")</f>
        <v>炸彈</v>
      </c>
    </row>
    <row r="4032" ht="15.75" customHeight="1">
      <c r="A4032" s="4">
        <v>1547.0</v>
      </c>
      <c r="B4032" s="4" t="s">
        <v>532</v>
      </c>
      <c r="C4032" s="4" t="s">
        <v>5997</v>
      </c>
      <c r="D4032" s="4" t="s">
        <v>5998</v>
      </c>
      <c r="E4032" s="4">
        <v>0.0</v>
      </c>
      <c r="F4032" s="4" t="str">
        <f>IFERROR(__xludf.DUMMYFUNCTION("GOOGLETRANSLATE(D4032)"),"@daniglasgow45 大D生日快樂！！！我想念你女孩希望你有一顆炸彈？？？ http://t.co/cFouwPBRCG")</f>
        <v>@daniglasgow45 大D生日快樂！！！我想念你女孩希望你有一顆炸彈？？？ http://t.co/cFouwPBRCG</v>
      </c>
      <c r="G4032" s="4" t="str">
        <f>IFERROR(__xludf.DUMMYFUNCTION("GOOGLETRANSLATE(B4032)"),"炸彈")</f>
        <v>炸彈</v>
      </c>
    </row>
    <row r="4033" ht="15.75" customHeight="1">
      <c r="A4033" s="4">
        <v>1553.0</v>
      </c>
      <c r="B4033" s="4" t="s">
        <v>532</v>
      </c>
      <c r="C4033" s="4" t="s">
        <v>5999</v>
      </c>
      <c r="D4033" s="4" t="s">
        <v>6000</v>
      </c>
      <c r="E4033" s="4">
        <v>0.0</v>
      </c>
      <c r="F4033" s="4" t="str">
        <f>IFERROR(__xludf.DUMMYFUNCTION("GOOGLETRANSLATE(D4033)"),"@danielsahyounie 如果你們贏了那就太棒了？")</f>
        <v>@danielsahyounie 如果你們贏了那就太棒了？</v>
      </c>
      <c r="G4033" s="4" t="str">
        <f>IFERROR(__xludf.DUMMYFUNCTION("GOOGLETRANSLATE(B4033)"),"炸彈")</f>
        <v>炸彈</v>
      </c>
    </row>
    <row r="4034" ht="15.75" customHeight="1">
      <c r="A4034" s="4">
        <v>1558.0</v>
      </c>
      <c r="B4034" s="4" t="s">
        <v>532</v>
      </c>
      <c r="D4034" s="4" t="s">
        <v>6001</v>
      </c>
      <c r="E4034" s="4">
        <v>0.0</v>
      </c>
      <c r="F4034" s="4" t="str">
        <f>IFERROR(__xludf.DUMMYFUNCTION("GOOGLETRANSLATE(D4034)"),"@dopeitsval 啊你是炸彈寶貝？")</f>
        <v>@dopeitsval 啊你是炸彈寶貝？</v>
      </c>
      <c r="G4034" s="4" t="str">
        <f>IFERROR(__xludf.DUMMYFUNCTION("GOOGLETRANSLATE(B4034)"),"炸彈")</f>
        <v>炸彈</v>
      </c>
    </row>
    <row r="4035" ht="15.75" customHeight="1">
      <c r="A4035" s="4">
        <v>1559.0</v>
      </c>
      <c r="B4035" s="4" t="s">
        <v>532</v>
      </c>
      <c r="D4035" s="4" t="s">
        <v>6002</v>
      </c>
      <c r="E4035" s="4">
        <v>0.0</v>
      </c>
      <c r="F4035" s="4" t="str">
        <f>IFERROR(__xludf.DUMMYFUNCTION("GOOGLETRANSLATE(D4035)"),"當你收到炸彈屁股圖片郵件？？？？？？")</f>
        <v>當你收到炸彈屁股圖片郵件？？？？？？</v>
      </c>
      <c r="G4035" s="4" t="str">
        <f>IFERROR(__xludf.DUMMYFUNCTION("GOOGLETRANSLATE(B4035)"),"炸彈")</f>
        <v>炸彈</v>
      </c>
    </row>
    <row r="4036" ht="15.75" customHeight="1">
      <c r="A4036" s="4">
        <v>1562.0</v>
      </c>
      <c r="B4036" s="4" t="s">
        <v>532</v>
      </c>
      <c r="C4036" s="4" t="s">
        <v>6003</v>
      </c>
      <c r="D4036" s="4" t="s">
        <v>6004</v>
      </c>
      <c r="E4036" s="4">
        <v>0.0</v>
      </c>
      <c r="F4036" s="4" t="str">
        <f>IFERROR(__xludf.DUMMYFUNCTION("GOOGLETRANSLATE(D4036)"),"@CaraJDeIevingnc 炸彈衝擊比超出了 kyle js")</f>
        <v>@CaraJDeIevingnc 炸彈衝擊比超出了 kyle js</v>
      </c>
      <c r="G4036" s="4" t="str">
        <f>IFERROR(__xludf.DUMMYFUNCTION("GOOGLETRANSLATE(B4036)"),"炸彈")</f>
        <v>炸彈</v>
      </c>
    </row>
    <row r="4037" ht="15.75" customHeight="1">
      <c r="A4037" s="4">
        <v>1568.0</v>
      </c>
      <c r="B4037" s="4" t="s">
        <v>532</v>
      </c>
      <c r="C4037" s="4" t="s">
        <v>6005</v>
      </c>
      <c r="D4037" s="4" t="s">
        <v>6006</v>
      </c>
      <c r="E4037" s="4">
        <v>0.0</v>
      </c>
      <c r="F4037" s="4" t="str">
        <f>IFERROR(__xludf.DUMMYFUNCTION("GOOGLETRANSLATE(D4037)"),"扁平炸彈@FlavaFraz21 #whatcanthedo")</f>
        <v>扁平炸彈@FlavaFraz21 #whatcanthedo</v>
      </c>
      <c r="G4037" s="4" t="str">
        <f>IFERROR(__xludf.DUMMYFUNCTION("GOOGLETRANSLATE(B4037)"),"炸彈")</f>
        <v>炸彈</v>
      </c>
    </row>
    <row r="4038" ht="15.75" customHeight="1">
      <c r="A4038" s="4">
        <v>1570.0</v>
      </c>
      <c r="B4038" s="4" t="s">
        <v>532</v>
      </c>
      <c r="D4038" s="4" t="s">
        <v>6007</v>
      </c>
      <c r="E4038" s="4">
        <v>0.0</v>
      </c>
      <c r="F4038" s="4" t="str">
        <f>IFERROR(__xludf.DUMMYFUNCTION("GOOGLETRANSLATE(D4038)"),"靈魂食物現在聽起來很炸彈’")</f>
        <v>靈魂食物現在聽起來很炸彈’</v>
      </c>
      <c r="G4038" s="4" t="str">
        <f>IFERROR(__xludf.DUMMYFUNCTION("GOOGLETRANSLATE(B4038)"),"炸彈")</f>
        <v>炸彈</v>
      </c>
    </row>
    <row r="4039" ht="15.75" customHeight="1">
      <c r="A4039" s="4">
        <v>1572.0</v>
      </c>
      <c r="B4039" s="4" t="s">
        <v>532</v>
      </c>
      <c r="D4039" s="4" t="s">
        <v>6008</v>
      </c>
      <c r="E4039" s="4">
        <v>0.0</v>
      </c>
      <c r="F4039" s="4" t="str">
        <f>IFERROR(__xludf.DUMMYFUNCTION("GOOGLETRANSLATE(D4039)"),"炸彈這麼合適？？我的家人和大多數牙買加人都喜歡喊子彈！")</f>
        <v>炸彈這麼合適？？我的家人和大多數牙買加人都喜歡喊子彈！</v>
      </c>
      <c r="G4039" s="4" t="str">
        <f>IFERROR(__xludf.DUMMYFUNCTION("GOOGLETRANSLATE(B4039)"),"炸彈")</f>
        <v>炸彈</v>
      </c>
    </row>
    <row r="4040" ht="15.75" customHeight="1">
      <c r="A4040" s="4">
        <v>1576.0</v>
      </c>
      <c r="B4040" s="4" t="s">
        <v>532</v>
      </c>
      <c r="C4040" s="4" t="s">
        <v>1205</v>
      </c>
      <c r="D4040" s="4" t="s">
        <v>6009</v>
      </c>
      <c r="E4040" s="4">
        <v>0.0</v>
      </c>
      <c r="F4040" s="4" t="str">
        <f>IFERROR(__xludf.DUMMYFUNCTION("GOOGLETRANSLATE(D4040)"),"MF Life 是一顆人聲和抒情的炸彈。今年夏天看過她的直播。令人驚嘆的歌手。 RT @THEmale_madonna：梅蘭妮菲歐娜睡得太熟了？")</f>
        <v>MF Life 是一顆人聲和抒情的炸彈。今年夏天看過她的直播。令人驚嘆的歌手。 RT @THEmale_madonna：梅蘭妮菲歐娜睡得太熟了？</v>
      </c>
      <c r="G4040" s="4" t="str">
        <f>IFERROR(__xludf.DUMMYFUNCTION("GOOGLETRANSLATE(B4040)"),"炸彈")</f>
        <v>炸彈</v>
      </c>
    </row>
    <row r="4041" ht="15.75" customHeight="1">
      <c r="A4041" s="4">
        <v>1577.0</v>
      </c>
      <c r="B4041" s="4" t="s">
        <v>532</v>
      </c>
      <c r="C4041" s="4" t="s">
        <v>6010</v>
      </c>
      <c r="D4041" s="4" t="s">
        <v>6011</v>
      </c>
      <c r="E4041" s="4">
        <v>0.0</v>
      </c>
      <c r="F4041" s="4" t="str">
        <f>IFERROR(__xludf.DUMMYFUNCTION("GOOGLETRANSLATE(D4041)"),"E-Hutch是炸彈嗎？ http://t.co/aqmpxzo3V1")</f>
        <v>E-Hutch是炸彈嗎？ http://t.co/aqmpxzo3V1</v>
      </c>
      <c r="G4041" s="4" t="str">
        <f>IFERROR(__xludf.DUMMYFUNCTION("GOOGLETRANSLATE(B4041)"),"炸彈")</f>
        <v>炸彈</v>
      </c>
    </row>
    <row r="4042" ht="15.75" customHeight="1">
      <c r="A4042" s="4">
        <v>1579.0</v>
      </c>
      <c r="B4042" s="4" t="s">
        <v>555</v>
      </c>
      <c r="C4042" s="4" t="s">
        <v>6012</v>
      </c>
      <c r="D4042" s="4" t="s">
        <v>6013</v>
      </c>
      <c r="E4042" s="4">
        <v>0.0</v>
      </c>
      <c r="F4042" s="4" t="str">
        <f>IFERROR(__xludf.DUMMYFUNCTION("GOOGLETRANSLATE(D4042)"),"搖滾#MLB @​​JoeyBats19 的藍鳥隊剛剛從羅傑斯中心轟炸了一場。 #BlueJays 的附加賽領先 - Bell Moseby 和 Barfield 回歸！")</f>
        <v>搖滾#MLB @​​JoeyBats19 的藍鳥隊剛剛從羅傑斯中心轟炸了一場。 #BlueJays 的附加賽領先 - Bell Moseby 和 Barfield 回歸！</v>
      </c>
      <c r="G4042" s="4" t="str">
        <f>IFERROR(__xludf.DUMMYFUNCTION("GOOGLETRANSLATE(B4042)"),"被轟炸")</f>
        <v>被轟炸</v>
      </c>
    </row>
    <row r="4043" ht="15.75" customHeight="1">
      <c r="A4043" s="4">
        <v>1580.0</v>
      </c>
      <c r="B4043" s="4" t="s">
        <v>555</v>
      </c>
      <c r="D4043" s="4" t="s">
        <v>6014</v>
      </c>
      <c r="E4043" s="4">
        <v>0.0</v>
      </c>
      <c r="F4043" s="4" t="str">
        <f>IFERROR(__xludf.DUMMYFUNCTION("GOOGLETRANSLATE(D4043)"),"@Stankyboy88 我應該把照片炸掉")</f>
        <v>@Stankyboy88 我應該把照片炸掉</v>
      </c>
      <c r="G4043" s="4" t="str">
        <f>IFERROR(__xludf.DUMMYFUNCTION("GOOGLETRANSLATE(B4043)"),"被轟炸")</f>
        <v>被轟炸</v>
      </c>
    </row>
    <row r="4044" ht="15.75" customHeight="1">
      <c r="A4044" s="4">
        <v>1587.0</v>
      </c>
      <c r="B4044" s="4" t="s">
        <v>555</v>
      </c>
      <c r="C4044" s="4" t="s">
        <v>6015</v>
      </c>
      <c r="D4044" s="4" t="s">
        <v>6016</v>
      </c>
      <c r="E4044" s="4">
        <v>0.0</v>
      </c>
      <c r="F4044" s="4" t="str">
        <f>IFERROR(__xludf.DUMMYFUNCTION("GOOGLETRANSLATE(D4044)"),"倫敦生活：美麗的被轟炸的英國照片 http://t.co/2RAcaiVFfq #arts")</f>
        <v>倫敦生活：美麗的被轟炸的英國照片 http://t.co/2RAcaiVFfq #arts</v>
      </c>
      <c r="G4044" s="4" t="str">
        <f>IFERROR(__xludf.DUMMYFUNCTION("GOOGLETRANSLATE(B4044)"),"被轟炸")</f>
        <v>被轟炸</v>
      </c>
    </row>
    <row r="4045" ht="15.75" customHeight="1">
      <c r="A4045" s="4">
        <v>1588.0</v>
      </c>
      <c r="B4045" s="4" t="s">
        <v>555</v>
      </c>
      <c r="D4045" s="4" t="s">
        <v>6017</v>
      </c>
      <c r="E4045" s="4">
        <v>0.0</v>
      </c>
      <c r="F4045" s="4" t="str">
        <f>IFERROR(__xludf.DUMMYFUNCTION("GOOGLETRANSLATE(D4045)"),"我不敢相信@myfriendmina 照片轟炸了截圖")</f>
        <v>我不敢相信@myfriendmina 照片轟炸了截圖</v>
      </c>
      <c r="G4045" s="4" t="str">
        <f>IFERROR(__xludf.DUMMYFUNCTION("GOOGLETRANSLATE(B4045)"),"被轟炸")</f>
        <v>被轟炸</v>
      </c>
    </row>
    <row r="4046" ht="15.75" customHeight="1">
      <c r="A4046" s="4">
        <v>1597.0</v>
      </c>
      <c r="B4046" s="4" t="s">
        <v>555</v>
      </c>
      <c r="D4046" s="4" t="s">
        <v>6018</v>
      </c>
      <c r="E4046" s="4">
        <v>0.0</v>
      </c>
      <c r="F4046" s="4" t="str">
        <f>IFERROR(__xludf.DUMMYFUNCTION("GOOGLETRANSLATE(D4046)"),"照片被炸了？？？ http://t.co/arTUMHmBhh")</f>
        <v>照片被炸了？？？ http://t.co/arTUMHmBhh</v>
      </c>
      <c r="G4046" s="4" t="str">
        <f>IFERROR(__xludf.DUMMYFUNCTION("GOOGLETRANSLATE(B4046)"),"被轟炸")</f>
        <v>被轟炸</v>
      </c>
    </row>
    <row r="4047" ht="15.75" customHeight="1">
      <c r="A4047" s="4">
        <v>1599.0</v>
      </c>
      <c r="B4047" s="4" t="s">
        <v>555</v>
      </c>
      <c r="D4047" s="4" t="s">
        <v>6019</v>
      </c>
      <c r="E4047" s="4">
        <v>0.0</v>
      </c>
      <c r="F4047" s="4" t="str">
        <f>IFERROR(__xludf.DUMMYFUNCTION("GOOGLETRANSLATE(D4047)"),"@QPR1980 @Rorington95 現在與金錢無關。弗格森在接任曼聯後的幾年內就轟殺了曼聯的酗酒者，而溫格則在")</f>
        <v>@QPR1980 @Rorington95 現在與金錢無關。弗格森在接任曼聯後的幾年內就轟殺了曼聯的酗酒者，而溫格則在</v>
      </c>
      <c r="G4047" s="4" t="str">
        <f>IFERROR(__xludf.DUMMYFUNCTION("GOOGLETRANSLATE(B4047)"),"被轟炸")</f>
        <v>被轟炸</v>
      </c>
    </row>
    <row r="4048" ht="15.75" customHeight="1">
      <c r="A4048" s="4">
        <v>1601.0</v>
      </c>
      <c r="B4048" s="4" t="s">
        <v>555</v>
      </c>
      <c r="D4048" s="4" t="s">
        <v>6020</v>
      </c>
      <c r="E4048" s="4">
        <v>0.0</v>
      </c>
      <c r="F4048" s="4" t="str">
        <f>IFERROR(__xludf.DUMMYFUNCTION("GOOGLETRANSLATE(D4048)"),"@oooureli @Abu_Baraa1 你的意思是你在與伊拉克人分享「民主」時所表現出的寬容？等等，你肢解並轟炸了他們。")</f>
        <v>@oooureli @Abu_Baraa1 你的意思是你在與伊拉克人分享「民主」時所表現出的寬容？等等，你肢解並轟炸了他們。</v>
      </c>
      <c r="G4048" s="4" t="str">
        <f>IFERROR(__xludf.DUMMYFUNCTION("GOOGLETRANSLATE(B4048)"),"被轟炸")</f>
        <v>被轟炸</v>
      </c>
    </row>
    <row r="4049" ht="15.75" customHeight="1">
      <c r="A4049" s="4">
        <v>1602.0</v>
      </c>
      <c r="B4049" s="4" t="s">
        <v>555</v>
      </c>
      <c r="D4049" s="4" t="s">
        <v>6021</v>
      </c>
      <c r="E4049" s="4">
        <v>0.0</v>
      </c>
      <c r="F4049" s="4" t="str">
        <f>IFERROR(__xludf.DUMMYFUNCTION("GOOGLETRANSLATE(D4049)"),"@BrodyFrieling @hanna_brooksie 照片被轟炸")</f>
        <v>@BrodyFrieling @hanna_brooksie 照片被轟炸</v>
      </c>
      <c r="G4049" s="4" t="str">
        <f>IFERROR(__xludf.DUMMYFUNCTION("GOOGLETRANSLATE(B4049)"),"被轟炸")</f>
        <v>被轟炸</v>
      </c>
    </row>
    <row r="4050" ht="15.75" customHeight="1">
      <c r="A4050" s="4">
        <v>1605.0</v>
      </c>
      <c r="B4050" s="4" t="s">
        <v>555</v>
      </c>
      <c r="D4050" s="4" t="s">
        <v>6022</v>
      </c>
      <c r="E4050" s="4">
        <v>0.0</v>
      </c>
      <c r="F4050" s="4" t="str">
        <f>IFERROR(__xludf.DUMMYFUNCTION("GOOGLETRANSLATE(D4050)"),"@CheetosArabia @Crudes 感覺如果我想從他的奇多中抓起一顆，我就會被轟炸。")</f>
        <v>@CheetosArabia @Crudes 感覺如果我想從他的奇多中抓起一顆，我就會被轟炸。</v>
      </c>
      <c r="G4050" s="4" t="str">
        <f>IFERROR(__xludf.DUMMYFUNCTION("GOOGLETRANSLATE(B4050)"),"被轟炸")</f>
        <v>被轟炸</v>
      </c>
    </row>
    <row r="4051" ht="15.75" customHeight="1">
      <c r="A4051" s="4">
        <v>1607.0</v>
      </c>
      <c r="B4051" s="4" t="s">
        <v>555</v>
      </c>
      <c r="C4051" s="4" t="s">
        <v>6023</v>
      </c>
      <c r="D4051" s="4" t="s">
        <v>6024</v>
      </c>
      <c r="E4051" s="4">
        <v>0.0</v>
      </c>
      <c r="F4051" s="4" t="str">
        <f>IFERROR(__xludf.DUMMYFUNCTION("GOOGLETRANSLATE(D4051)"),"@ChristophersZen @HunterLove1995 @tblack 是啊夥計..... 那部電影被猛烈轟炸了")</f>
        <v>@ChristophersZen @HunterLove1995 @tblack 是啊夥計..... 那部電影被猛烈轟炸了</v>
      </c>
      <c r="G4051" s="4" t="str">
        <f>IFERROR(__xludf.DUMMYFUNCTION("GOOGLETRANSLATE(B4051)"),"被轟炸")</f>
        <v>被轟炸</v>
      </c>
    </row>
    <row r="4052" ht="15.75" customHeight="1">
      <c r="A4052" s="4">
        <v>1608.0</v>
      </c>
      <c r="B4052" s="4" t="s">
        <v>555</v>
      </c>
      <c r="C4052" s="4" t="s">
        <v>6025</v>
      </c>
      <c r="D4052" s="4" t="s">
        <v>6026</v>
      </c>
      <c r="E4052" s="4">
        <v>0.0</v>
      </c>
      <c r="F4052" s="4" t="str">
        <f>IFERROR(__xludf.DUMMYFUNCTION("GOOGLETRANSLATE(D4052)"),".@RaniaKhalek 是的。我面臨著從「賓拉登是你叔叔嗎？」開始的一切。到「希望阿富汗會被轟炸」。孩子們可能非常醜陋。")</f>
        <v>.@RaniaKhalek 是的。我面臨著從「賓拉登是你叔叔嗎？」開始的一切。到「希望阿富汗會被轟炸」。孩子們可能非常醜陋。</v>
      </c>
      <c r="G4052" s="4" t="str">
        <f>IFERROR(__xludf.DUMMYFUNCTION("GOOGLETRANSLATE(B4052)"),"被轟炸")</f>
        <v>被轟炸</v>
      </c>
    </row>
    <row r="4053" ht="15.75" customHeight="1">
      <c r="A4053" s="4">
        <v>1609.0</v>
      </c>
      <c r="B4053" s="4" t="s">
        <v>555</v>
      </c>
      <c r="C4053" s="4" t="s">
        <v>6027</v>
      </c>
      <c r="D4053" s="4" t="s">
        <v>6028</v>
      </c>
      <c r="E4053" s="4">
        <v>0.0</v>
      </c>
      <c r="F4053" s="4" t="str">
        <f>IFERROR(__xludf.DUMMYFUNCTION("GOOGLETRANSLATE(D4053)"),"@KurtSchlichter @FALPhil 這種自由主義的同情心是胡說八道。一位特定的女權主義者表示，美國轟炸了日本，使其回歸傳統的性別歧視價值。")</f>
        <v>@KurtSchlichter @FALPhil 這種自由主義的同情心是胡說八道。一位特定的女權主義者表示，美國轟炸了日本，使其回歸傳統的性別歧視價值。</v>
      </c>
      <c r="G4053" s="4" t="str">
        <f>IFERROR(__xludf.DUMMYFUNCTION("GOOGLETRANSLATE(B4053)"),"被轟炸")</f>
        <v>被轟炸</v>
      </c>
    </row>
    <row r="4054" ht="15.75" customHeight="1">
      <c r="A4054" s="4">
        <v>1611.0</v>
      </c>
      <c r="B4054" s="4" t="s">
        <v>555</v>
      </c>
      <c r="D4054" s="4" t="s">
        <v>6029</v>
      </c>
      <c r="E4054" s="4">
        <v>0.0</v>
      </c>
      <c r="F4054" s="4" t="str">
        <f>IFERROR(__xludf.DUMMYFUNCTION("GOOGLETRANSLATE(D4054)"),"女士們，根據男士的說法，這裡是如何從 #date 中恢復過來... http://t.co/c5GGSZUGw1 http://t.co/2PiMg9BIcE")</f>
        <v>女士們，根據男士的說法，這裡是如何從 #date 中恢復過來... http://t.co/c5GGSZUGw1 http://t.co/2PiMg9BIcE</v>
      </c>
      <c r="G4054" s="4" t="str">
        <f>IFERROR(__xludf.DUMMYFUNCTION("GOOGLETRANSLATE(B4054)"),"被轟炸")</f>
        <v>被轟炸</v>
      </c>
    </row>
    <row r="4055" ht="15.75" customHeight="1">
      <c r="A4055" s="4">
        <v>1613.0</v>
      </c>
      <c r="B4055" s="4" t="s">
        <v>555</v>
      </c>
      <c r="D4055" s="4" t="s">
        <v>6030</v>
      </c>
      <c r="E4055" s="4">
        <v>0.0</v>
      </c>
      <c r="F4055" s="4" t="str">
        <f>IFERROR(__xludf.DUMMYFUNCTION("GOOGLETRANSLATE(D4055)"),"@r_lauren83199 @xojademari124 我希望你得到巴蒂斯塔轟炸勞倫")</f>
        <v>@r_lauren83199 @xojademari124 我希望你得到巴蒂斯塔轟炸勞倫</v>
      </c>
      <c r="G4055" s="4" t="str">
        <f>IFERROR(__xludf.DUMMYFUNCTION("GOOGLETRANSLATE(B4055)"),"被轟炸")</f>
        <v>被轟炸</v>
      </c>
    </row>
    <row r="4056" ht="15.75" customHeight="1">
      <c r="A4056" s="4">
        <v>1618.0</v>
      </c>
      <c r="B4056" s="4" t="s">
        <v>555</v>
      </c>
      <c r="D4056" s="4" t="s">
        <v>6031</v>
      </c>
      <c r="E4056" s="4">
        <v>0.0</v>
      </c>
      <c r="F4056" s="4" t="str">
        <f>IFERROR(__xludf.DUMMYFUNCTION("GOOGLETRANSLATE(D4056)"),"我試著與家人放鬆地傳球，結果球被炸過我的頭後我不得不追著球跑")</f>
        <v>我試著與家人放鬆地傳球，結果球被炸過我的頭後我不得不追著球跑</v>
      </c>
      <c r="G4056" s="4" t="str">
        <f>IFERROR(__xludf.DUMMYFUNCTION("GOOGLETRANSLATE(B4056)"),"被轟炸")</f>
        <v>被轟炸</v>
      </c>
    </row>
    <row r="4057" ht="15.75" customHeight="1">
      <c r="A4057" s="4">
        <v>1619.0</v>
      </c>
      <c r="B4057" s="4" t="s">
        <v>555</v>
      </c>
      <c r="C4057" s="4" t="s">
        <v>6032</v>
      </c>
      <c r="D4057" s="4" t="s">
        <v>6033</v>
      </c>
      <c r="E4057" s="4">
        <v>0.0</v>
      </c>
      <c r="F4057" s="4" t="str">
        <f>IFERROR(__xludf.DUMMYFUNCTION("GOOGLETRANSLATE(D4057)"),"我喜歡 @YouTube 影片 http://t.co/FX7uZZXtE4 本尼迪克特康伯巴奇遭到影片轟炸")</f>
        <v>我喜歡 @YouTube 影片 http://t.co/FX7uZZXtE4 本尼迪克特康伯巴奇遭到影片轟炸</v>
      </c>
      <c r="G4057" s="4" t="str">
        <f>IFERROR(__xludf.DUMMYFUNCTION("GOOGLETRANSLATE(B4057)"),"被轟炸")</f>
        <v>被轟炸</v>
      </c>
    </row>
    <row r="4058" ht="15.75" customHeight="1">
      <c r="A4058" s="4">
        <v>1622.0</v>
      </c>
      <c r="B4058" s="4" t="s">
        <v>555</v>
      </c>
      <c r="C4058" s="4" t="s">
        <v>2365</v>
      </c>
      <c r="D4058" s="4" t="s">
        <v>6034</v>
      </c>
      <c r="E4058" s="4">
        <v>0.0</v>
      </c>
      <c r="F4058" s="4" t="str">
        <f>IFERROR(__xludf.DUMMYFUNCTION("GOOGLETRANSLATE(D4058)"),"你剛被 GIF 轟炸#AfricansInSF #BeyondGPS https://t.co/ETdGPIwxtI")</f>
        <v>你剛被 GIF 轟炸#AfricansInSF #BeyondGPS https://t.co/ETdGPIwxtI</v>
      </c>
      <c r="G4058" s="4" t="str">
        <f>IFERROR(__xludf.DUMMYFUNCTION("GOOGLETRANSLATE(B4058)"),"被轟炸")</f>
        <v>被轟炸</v>
      </c>
    </row>
    <row r="4059" ht="15.75" customHeight="1">
      <c r="A4059" s="4">
        <v>1627.0</v>
      </c>
      <c r="B4059" s="4" t="s">
        <v>555</v>
      </c>
      <c r="C4059" s="4" t="s">
        <v>6035</v>
      </c>
      <c r="D4059" s="4" t="s">
        <v>6036</v>
      </c>
      <c r="E4059" s="4">
        <v>0.0</v>
      </c>
      <c r="F4059" s="4" t="str">
        <f>IFERROR(__xludf.DUMMYFUNCTION("GOOGLETRANSLATE(D4059)"),"一隻黃蜂剛剛俯衝轟炸了我的臉")</f>
        <v>一隻黃蜂剛剛俯衝轟炸了我的臉</v>
      </c>
      <c r="G4059" s="4" t="str">
        <f>IFERROR(__xludf.DUMMYFUNCTION("GOOGLETRANSLATE(B4059)"),"被轟炸")</f>
        <v>被轟炸</v>
      </c>
    </row>
    <row r="4060" ht="15.75" customHeight="1">
      <c r="A4060" s="4">
        <v>1628.0</v>
      </c>
      <c r="B4060" s="4" t="s">
        <v>555</v>
      </c>
      <c r="C4060" s="4" t="s">
        <v>3958</v>
      </c>
      <c r="D4060" s="4" t="s">
        <v>6037</v>
      </c>
      <c r="E4060" s="4">
        <v>0.0</v>
      </c>
      <c r="F4060" s="4" t="str">
        <f>IFERROR(__xludf.DUMMYFUNCTION("GOOGLETRANSLATE(D4060)"),"@MisfitRarity 不合時宜的人被轟炸了")</f>
        <v>@MisfitRarity 不合時宜的人被轟炸了</v>
      </c>
      <c r="G4060" s="4" t="str">
        <f>IFERROR(__xludf.DUMMYFUNCTION("GOOGLETRANSLATE(B4060)"),"被轟炸")</f>
        <v>被轟炸</v>
      </c>
    </row>
    <row r="4061" ht="15.75" customHeight="1">
      <c r="A4061" s="4">
        <v>1663.0</v>
      </c>
      <c r="B4061" s="4" t="s">
        <v>590</v>
      </c>
      <c r="C4061" s="4" t="s">
        <v>708</v>
      </c>
      <c r="D4061" s="4" t="s">
        <v>6038</v>
      </c>
      <c r="E4061" s="4">
        <v>0.0</v>
      </c>
      <c r="F4061" s="4" t="str">
        <f>IFERROR(__xludf.DUMMYFUNCTION("GOOGLETRANSLATE(D4061)"),"我認為轟炸伊朗會更仁慈...... https://t.co/GVm70U2bPm")</f>
        <v>我認為轟炸伊朗會更仁慈...... https://t.co/GVm70U2bPm</v>
      </c>
      <c r="G4061" s="4" t="str">
        <f>IFERROR(__xludf.DUMMYFUNCTION("GOOGLETRANSLATE(B4061)"),"轟炸")</f>
        <v>轟炸</v>
      </c>
    </row>
    <row r="4062" ht="15.75" customHeight="1">
      <c r="A4062" s="4">
        <v>1666.0</v>
      </c>
      <c r="B4062" s="4" t="s">
        <v>590</v>
      </c>
      <c r="D4062" s="4" t="s">
        <v>6039</v>
      </c>
      <c r="E4062" s="4">
        <v>0.0</v>
      </c>
      <c r="F4062" s="4" t="str">
        <f>IFERROR(__xludf.DUMMYFUNCTION("GOOGLETRANSLATE(D4062)"),"哦，去他媽的比爾·克林頓轟炸我們，去他媽的北約。")</f>
        <v>哦，去他媽的比爾·克林頓轟炸我們，去他媽的北約。</v>
      </c>
      <c r="G4062" s="4" t="str">
        <f>IFERROR(__xludf.DUMMYFUNCTION("GOOGLETRANSLATE(B4062)"),"轟炸")</f>
        <v>轟炸</v>
      </c>
    </row>
    <row r="4063" ht="15.75" customHeight="1">
      <c r="A4063" s="4">
        <v>1671.0</v>
      </c>
      <c r="B4063" s="4" t="s">
        <v>629</v>
      </c>
      <c r="C4063" s="4" t="s">
        <v>6040</v>
      </c>
      <c r="D4063" s="4" t="s">
        <v>6041</v>
      </c>
      <c r="E4063" s="4">
        <v>0.0</v>
      </c>
      <c r="F4063" s="4" t="str">
        <f>IFERROR(__xludf.DUMMYFUNCTION("GOOGLETRANSLATE(D4063)"),"美國馬歇爾計畫作者：Dambisa Moyo，@ProSyn #oped http://t.co/GnPStnvi5G，@po_st")</f>
        <v>美國馬歇爾計畫作者：Dambisa Moyo，@ProSyn #oped http://t.co/GnPStnvi5G，@po_st</v>
      </c>
      <c r="G4063" s="4" t="str">
        <f>IFERROR(__xludf.DUMMYFUNCTION("GOOGLETRANSLATE(B4063)"),"橋樑%20塌陷")</f>
        <v>橋樑%20塌陷</v>
      </c>
    </row>
    <row r="4064" ht="15.75" customHeight="1">
      <c r="A4064" s="4">
        <v>1691.0</v>
      </c>
      <c r="B4064" s="4" t="s">
        <v>629</v>
      </c>
      <c r="C4064" s="4" t="s">
        <v>6042</v>
      </c>
      <c r="D4064" s="4" t="s">
        <v>6043</v>
      </c>
      <c r="E4064" s="4">
        <v>0.0</v>
      </c>
      <c r="F4064" s="4" t="str">
        <f>IFERROR(__xludf.DUMMYFUNCTION("GOOGLETRANSLATE(D4064)"),"@BloopAndABlast 因為我需要知道我是否應該從橋上跳下去參加 #Collapse 或計劃遊行。兩者皆無")</f>
        <v>@BloopAndABlast 因為我需要知道我是否應該從橋上跳下去參加 #Collapse 或計劃遊行。兩者皆無</v>
      </c>
      <c r="G4064" s="4" t="str">
        <f>IFERROR(__xludf.DUMMYFUNCTION("GOOGLETRANSLATE(B4064)"),"橋樑%20塌陷")</f>
        <v>橋樑%20塌陷</v>
      </c>
    </row>
    <row r="4065" ht="15.75" customHeight="1">
      <c r="A4065" s="4">
        <v>1698.0</v>
      </c>
      <c r="B4065" s="4" t="s">
        <v>629</v>
      </c>
      <c r="C4065" s="4" t="s">
        <v>6044</v>
      </c>
      <c r="D4065" s="4" t="s">
        <v>6045</v>
      </c>
      <c r="E4065" s="4">
        <v>0.0</v>
      </c>
      <c r="F4065" s="4" t="str">
        <f>IFERROR(__xludf.DUMMYFUNCTION("GOOGLETRANSLATE(D4065)"),"聽 Blowers 和 Tuffers 在特倫特橋的澳大利亞擊球崩潰時提醒我為什麼我愛 @bbctms！太棒了！ #ENGvAUS")</f>
        <v>聽 Blowers 和 Tuffers 在特倫特橋的澳大利亞擊球崩潰時提醒我為什麼我愛 @bbctms！太棒了！ #ENGvAUS</v>
      </c>
      <c r="G4065" s="4" t="str">
        <f>IFERROR(__xludf.DUMMYFUNCTION("GOOGLETRANSLATE(B4065)"),"橋樑%20塌陷")</f>
        <v>橋樑%20塌陷</v>
      </c>
    </row>
    <row r="4066" ht="15.75" customHeight="1">
      <c r="A4066" s="4">
        <v>1707.0</v>
      </c>
      <c r="B4066" s="4" t="s">
        <v>629</v>
      </c>
      <c r="D4066" s="4" t="s">
        <v>6046</v>
      </c>
      <c r="E4066" s="4">
        <v>0.0</v>
      </c>
      <c r="F4066" s="4" t="str">
        <f>IFERROR(__xludf.DUMMYFUNCTION("GOOGLETRANSLATE(D4066)"),"2015 年灰燼：澳洲特倫特橋倒塌是歷史上最嚴重的倒塌之一：英格蘭以 60 分擊敗澳洲... http://t.co/t5TrhjUAU0")</f>
        <v>2015 年灰燼：澳洲特倫特橋倒塌是歷史上最嚴重的倒塌之一：英格蘭以 60 分擊敗澳洲... http://t.co/t5TrhjUAU0</v>
      </c>
      <c r="G4066" s="4" t="str">
        <f>IFERROR(__xludf.DUMMYFUNCTION("GOOGLETRANSLATE(B4066)"),"橋樑%20塌陷")</f>
        <v>橋樑%20塌陷</v>
      </c>
    </row>
    <row r="4067" ht="15.75" customHeight="1">
      <c r="A4067" s="4">
        <v>1715.0</v>
      </c>
      <c r="B4067" s="4" t="s">
        <v>629</v>
      </c>
      <c r="C4067" s="4" t="s">
        <v>501</v>
      </c>
      <c r="D4067" s="4" t="s">
        <v>6047</v>
      </c>
      <c r="E4067" s="4">
        <v>0.0</v>
      </c>
      <c r="F4067" s="4" t="str">
        <f>IFERROR(__xludf.DUMMYFUNCTION("GOOGLETRANSLATE(D4067)"),"Leicester_Merc : ICYMI - #Ashes 2015：澳洲在特倫特橋倒塌 - Twitter 如何解釋 http://t.co/HqeWMREysO) http://t.co/y4y8fclJED")</f>
        <v>Leicester_Merc : ICYMI - #Ashes 2015：澳洲在特倫特橋倒塌 - Twitter 如何解釋 http://t.co/HqeWMREysO) http://t.co/y4y8fclJED</v>
      </c>
      <c r="G4067" s="4" t="str">
        <f>IFERROR(__xludf.DUMMYFUNCTION("GOOGLETRANSLATE(B4067)"),"橋樑%20塌陷")</f>
        <v>橋樑%20塌陷</v>
      </c>
    </row>
    <row r="4068" ht="15.75" customHeight="1">
      <c r="A4068" s="4">
        <v>1719.0</v>
      </c>
      <c r="B4068" s="4" t="s">
        <v>629</v>
      </c>
      <c r="D4068" s="4" t="s">
        <v>6048</v>
      </c>
      <c r="E4068" s="4">
        <v>0.0</v>
      </c>
      <c r="F4068" s="4" t="str">
        <f>IFERROR(__xludf.DUMMYFUNCTION("GOOGLETRANSLATE(D4068)"),"美國的馬歇爾計畫作者：Dambisa Moyo，來自@ProSyn #oped http://t.co/l5g2zJ3kgG，來自@po_st")</f>
        <v>美國的馬歇爾計畫作者：Dambisa Moyo，來自@ProSyn #oped http://t.co/l5g2zJ3kgG，來自@po_st</v>
      </c>
      <c r="G4068" s="4" t="str">
        <f>IFERROR(__xludf.DUMMYFUNCTION("GOOGLETRANSLATE(B4068)"),"橋樑%20塌陷")</f>
        <v>橋樑%20塌陷</v>
      </c>
    </row>
    <row r="4069" ht="15.75" customHeight="1">
      <c r="A4069" s="4">
        <v>1721.0</v>
      </c>
      <c r="B4069" s="4" t="s">
        <v>668</v>
      </c>
      <c r="D4069" s="4" t="s">
        <v>6049</v>
      </c>
      <c r="E4069" s="4">
        <v>0.0</v>
      </c>
      <c r="F4069" s="4" t="str">
        <f>IFERROR(__xludf.DUMMYFUNCTION("GOOGLETRANSLATE(D4069)"),"@SonofLiberty357 城鎮周圍明亮燃燒的建築物照亮了一切！")</f>
        <v>@SonofLiberty357 城鎮周圍明亮燃燒的建築物照亮了一切！</v>
      </c>
      <c r="G4069" s="4" t="str">
        <f>IFERROR(__xludf.DUMMYFUNCTION("GOOGLETRANSLATE(B4069)"),"建築物%20燃燒")</f>
        <v>建築物%20燃燒</v>
      </c>
    </row>
    <row r="4070" ht="15.75" customHeight="1">
      <c r="A4070" s="4">
        <v>1726.0</v>
      </c>
      <c r="B4070" s="4" t="s">
        <v>668</v>
      </c>
      <c r="D4070" s="4" t="s">
        <v>6050</v>
      </c>
      <c r="E4070" s="4">
        <v>0.0</v>
      </c>
      <c r="F4070" s="4" t="str">
        <f>IFERROR(__xludf.DUMMYFUNCTION("GOOGLETRANSLATE(D4070)"),"kou 就像 [現金登記] [建築物燃燒]")</f>
        <v>kou 就像 [現金登記] [建築物燃燒]</v>
      </c>
      <c r="G4070" s="4" t="str">
        <f>IFERROR(__xludf.DUMMYFUNCTION("GOOGLETRANSLATE(B4070)"),"建築物%20燃燒")</f>
        <v>建築物%20燃燒</v>
      </c>
    </row>
    <row r="4071" ht="15.75" customHeight="1">
      <c r="A4071" s="4">
        <v>1731.0</v>
      </c>
      <c r="B4071" s="4" t="s">
        <v>668</v>
      </c>
      <c r="C4071" s="4" t="s">
        <v>6051</v>
      </c>
      <c r="D4071" s="4" t="s">
        <v>6052</v>
      </c>
      <c r="E4071" s="4">
        <v>0.0</v>
      </c>
      <c r="F4071" s="4" t="str">
        <f>IFERROR(__xludf.DUMMYFUNCTION("GOOGLETRANSLATE(D4071)"),"有史以來最偉大的女性拳擊手，但它是...在我的空閒時間從燃燒的建築物中拯救嬰兒，但你知道...什麼...")</f>
        <v>有史以來最偉大的女性拳擊手，但它是...在我的空閒時間從燃燒的建築物中拯救嬰兒，但你知道...什麼...</v>
      </c>
      <c r="G4071" s="4" t="str">
        <f>IFERROR(__xludf.DUMMYFUNCTION("GOOGLETRANSLATE(B4071)"),"建築物%20燃燒")</f>
        <v>建築物%20燃燒</v>
      </c>
    </row>
    <row r="4072" ht="15.75" customHeight="1">
      <c r="A4072" s="4">
        <v>1733.0</v>
      </c>
      <c r="B4072" s="4" t="s">
        <v>668</v>
      </c>
      <c r="C4072" s="4" t="s">
        <v>6053</v>
      </c>
      <c r="D4072" s="4" t="s">
        <v>6054</v>
      </c>
      <c r="E4072" s="4">
        <v>0.0</v>
      </c>
      <c r="F4072" s="4" t="str">
        <f>IFERROR(__xludf.DUMMYFUNCTION("GOOGLETRANSLATE(D4072)"),"我正在為一個炸彈屁股學年做好心理準備，如果不是的話我會燒毀建築物？")</f>
        <v>我正在為一個炸彈屁股學年做好心理準備，如果不是的話我會燒毀建築物？</v>
      </c>
      <c r="G4072" s="4" t="str">
        <f>IFERROR(__xludf.DUMMYFUNCTION("GOOGLETRANSLATE(B4072)"),"建築物%20燃燒")</f>
        <v>建築物%20燃燒</v>
      </c>
    </row>
    <row r="4073" ht="15.75" customHeight="1">
      <c r="A4073" s="4">
        <v>1737.0</v>
      </c>
      <c r="B4073" s="4" t="s">
        <v>668</v>
      </c>
      <c r="C4073" s="4" t="s">
        <v>1749</v>
      </c>
      <c r="D4073" s="4" t="s">
        <v>6055</v>
      </c>
      <c r="E4073" s="4">
        <v>0.0</v>
      </c>
      <c r="F4073" s="4" t="str">
        <f>IFERROR(__xludf.DUMMYFUNCTION("GOOGLETRANSLATE(D4073)"),"？高空-燃燒的建築物？ http://t.co/uVq41i3Kx2 #nowplaying")</f>
        <v>？高空-燃燒的建築物？ http://t.co/uVq41i3Kx2 #nowplaying</v>
      </c>
      <c r="G4073" s="4" t="str">
        <f>IFERROR(__xludf.DUMMYFUNCTION("GOOGLETRANSLATE(B4073)"),"建築物%20燃燒")</f>
        <v>建築物%20燃燒</v>
      </c>
    </row>
    <row r="4074" ht="15.75" customHeight="1">
      <c r="A4074" s="4">
        <v>1744.0</v>
      </c>
      <c r="B4074" s="4" t="s">
        <v>668</v>
      </c>
      <c r="C4074" s="4" t="s">
        <v>1205</v>
      </c>
      <c r="D4074" s="4" t="s">
        <v>6056</v>
      </c>
      <c r="E4074" s="4">
        <v>0.0</v>
      </c>
      <c r="F4074" s="4" t="str">
        <f>IFERROR(__xludf.DUMMYFUNCTION("GOOGLETRANSLATE(D4074)"),"@joshcorman #infosec 不管你是否知道，你現在是一名消防員，你經常遇到燃燒的建築物來處理它。")</f>
        <v>@joshcorman #infosec 不管你是否知道，你現在是一名消防員，你經常遇到燃燒的建築物來處理它。</v>
      </c>
      <c r="G4074" s="4" t="str">
        <f>IFERROR(__xludf.DUMMYFUNCTION("GOOGLETRANSLATE(B4074)"),"建築物%20燃燒")</f>
        <v>建築物%20燃燒</v>
      </c>
    </row>
    <row r="4075" ht="15.75" customHeight="1">
      <c r="A4075" s="4">
        <v>1747.0</v>
      </c>
      <c r="B4075" s="4" t="s">
        <v>668</v>
      </c>
      <c r="D4075" s="4" t="s">
        <v>6057</v>
      </c>
      <c r="E4075" s="4">
        <v>0.0</v>
      </c>
      <c r="F4075" s="4" t="str">
        <f>IFERROR(__xludf.DUMMYFUNCTION("GOOGLETRANSLATE(D4075)"),"自從凱利被燒傷以來，我一直夢想著進入燃燒的建築物內？")</f>
        <v>自從凱利被燒傷以來，我一直夢想著進入燃燒的建築物內？</v>
      </c>
      <c r="G4075" s="4" t="str">
        <f>IFERROR(__xludf.DUMMYFUNCTION("GOOGLETRANSLATE(B4075)"),"建築物%20燃燒")</f>
        <v>建築物%20燃燒</v>
      </c>
    </row>
    <row r="4076" ht="15.75" customHeight="1">
      <c r="A4076" s="4">
        <v>1752.0</v>
      </c>
      <c r="B4076" s="4" t="s">
        <v>668</v>
      </c>
      <c r="C4076" s="4" t="s">
        <v>814</v>
      </c>
      <c r="D4076" s="4" t="s">
        <v>815</v>
      </c>
      <c r="E4076" s="4">
        <v>0.0</v>
      </c>
      <c r="F4076" s="4" t="str">
        <f>IFERROR(__xludf.DUMMYFUNCTION("GOOGLETRANSLATE(D4076)"),"我宣誓效忠教皇還有史詩之城燃燒的建築。 ????")</f>
        <v>我宣誓效忠教皇還有史詩之城燃燒的建築。 ????</v>
      </c>
      <c r="G4076" s="4" t="str">
        <f>IFERROR(__xludf.DUMMYFUNCTION("GOOGLETRANSLATE(B4076)"),"建築物%20燃燒")</f>
        <v>建築物%20燃燒</v>
      </c>
    </row>
    <row r="4077" ht="15.75" customHeight="1">
      <c r="A4077" s="4">
        <v>1763.0</v>
      </c>
      <c r="B4077" s="4" t="s">
        <v>668</v>
      </c>
      <c r="C4077" s="4" t="s">
        <v>4896</v>
      </c>
      <c r="D4077" s="4" t="s">
        <v>6058</v>
      </c>
      <c r="E4077" s="4">
        <v>0.0</v>
      </c>
      <c r="F4077" s="4" t="str">
        <f>IFERROR(__xludf.DUMMYFUNCTION("GOOGLETRANSLATE(D4077)"),"@RockBottomRadFM 是《Tough Enough》中從燃燒的建築物中拯救人們的挑戰之一嗎？")</f>
        <v>@RockBottomRadFM 是《Tough Enough》中從燃燒的建築物中拯救人們的挑戰之一嗎？</v>
      </c>
      <c r="G4077" s="4" t="str">
        <f>IFERROR(__xludf.DUMMYFUNCTION("GOOGLETRANSLATE(B4077)"),"建築物%20燃燒")</f>
        <v>建築物%20燃燒</v>
      </c>
    </row>
    <row r="4078" ht="15.75" customHeight="1">
      <c r="A4078" s="4">
        <v>1766.0</v>
      </c>
      <c r="B4078" s="4" t="s">
        <v>668</v>
      </c>
      <c r="C4078" s="4" t="s">
        <v>6044</v>
      </c>
      <c r="D4078" s="4" t="s">
        <v>6059</v>
      </c>
      <c r="E4078" s="4">
        <v>0.0</v>
      </c>
      <c r="F4078" s="4" t="str">
        <f>IFERROR(__xludf.DUMMYFUNCTION("GOOGLETRANSLATE(D4078)"),"從燃燒的建築物中拯救嬰兒，將蛋糕浸泡在一噸酒精墊中是一個合我心意的人嗎？ #GBBO")</f>
        <v>從燃燒的建築物中拯救嬰兒，將蛋糕浸泡在一噸酒精墊中是一個合我心意的人嗎？ #GBBO</v>
      </c>
      <c r="G4078" s="4" t="str">
        <f>IFERROR(__xludf.DUMMYFUNCTION("GOOGLETRANSLATE(B4078)"),"建築物%20燃燒")</f>
        <v>建築物%20燃燒</v>
      </c>
    </row>
    <row r="4079" ht="15.75" customHeight="1">
      <c r="A4079" s="4">
        <v>1767.0</v>
      </c>
      <c r="B4079" s="4" t="s">
        <v>668</v>
      </c>
      <c r="D4079" s="4" t="s">
        <v>6060</v>
      </c>
      <c r="E4079" s="4">
        <v>0.0</v>
      </c>
      <c r="F4079" s="4" t="str">
        <f>IFERROR(__xludf.DUMMYFUNCTION("GOOGLETRANSLATE(D4079)"),"@PPFA 至少他們沒有燒毀建築物和搶劫商店。")</f>
        <v>@PPFA 至少他們沒有燒毀建築物和搶劫商店。</v>
      </c>
      <c r="G4079" s="4" t="str">
        <f>IFERROR(__xludf.DUMMYFUNCTION("GOOGLETRANSLATE(B4079)"),"建築物%20燃燒")</f>
        <v>建築物%20燃燒</v>
      </c>
    </row>
    <row r="4080" ht="15.75" customHeight="1">
      <c r="A4080" s="4">
        <v>1773.0</v>
      </c>
      <c r="B4080" s="4" t="s">
        <v>711</v>
      </c>
      <c r="C4080" s="4" t="s">
        <v>712</v>
      </c>
      <c r="D4080" s="4" t="s">
        <v>6061</v>
      </c>
      <c r="E4080" s="4">
        <v>0.0</v>
      </c>
      <c r="F4080" s="4" t="str">
        <f>IFERROR(__xludf.DUMMYFUNCTION("GOOGLETRANSLATE(D4080)"),"與 http://t.co/4I0Kz2aKly 上安裝不合規外部覆層相關的火災危險 - 作者：@www.cbplawyers")</f>
        <v>與 http://t.co/4I0Kz2aKly 上安裝不合規外部覆層相關的火災危險 - 作者：@www.cbplawyers</v>
      </c>
      <c r="G4080" s="4" t="str">
        <f>IFERROR(__xludf.DUMMYFUNCTION("GOOGLETRANSLATE(B4080)"),"建築物%20on%20火災")</f>
        <v>建築物%20on%20火災</v>
      </c>
    </row>
    <row r="4081" ht="15.75" customHeight="1">
      <c r="A4081" s="4">
        <v>1784.0</v>
      </c>
      <c r="B4081" s="4" t="s">
        <v>711</v>
      </c>
      <c r="D4081" s="4" t="s">
        <v>6062</v>
      </c>
      <c r="E4081" s="4">
        <v>0.0</v>
      </c>
      <c r="F4081" s="4" t="str">
        <f>IFERROR(__xludf.DUMMYFUNCTION("GOOGLETRANSLATE(D4081)"),"廣場讓戰利品組織寫xv我相信我們會做得很好（我周圍的建築物著火了）")</f>
        <v>廣場讓戰利品組織寫xv我相信我們會做得很好（我周圍的建築物著火了）</v>
      </c>
      <c r="G4081" s="4" t="str">
        <f>IFERROR(__xludf.DUMMYFUNCTION("GOOGLETRANSLATE(B4081)"),"建築物%20on%20火災")</f>
        <v>建築物%20on%20火災</v>
      </c>
    </row>
    <row r="4082" ht="15.75" customHeight="1">
      <c r="A4082" s="4">
        <v>1798.0</v>
      </c>
      <c r="B4082" s="4" t="s">
        <v>711</v>
      </c>
      <c r="C4082" s="4" t="s">
        <v>6063</v>
      </c>
      <c r="D4082" s="4" t="s">
        <v>6064</v>
      </c>
      <c r="E4082" s="4">
        <v>0.0</v>
      </c>
      <c r="F4082" s="4" t="str">
        <f>IFERROR(__xludf.DUMMYFUNCTION("GOOGLETRANSLATE(D4082)"),"州消防法規的變化禁止在公寓和公寓大樓的甲板上使用烤架。檢查您的... http://t.co/KE1ZS6NAml")</f>
        <v>州消防法規的變化禁止在公寓和公寓大樓的甲板上使用烤架。檢查您的... http://t.co/KE1ZS6NAml</v>
      </c>
      <c r="G4082" s="4" t="str">
        <f>IFERROR(__xludf.DUMMYFUNCTION("GOOGLETRANSLATE(B4082)"),"建築物%20on%20火災")</f>
        <v>建築物%20on%20火災</v>
      </c>
    </row>
    <row r="4083" ht="15.75" customHeight="1">
      <c r="A4083" s="4">
        <v>1799.0</v>
      </c>
      <c r="B4083" s="4" t="s">
        <v>711</v>
      </c>
      <c r="C4083" s="4" t="s">
        <v>6065</v>
      </c>
      <c r="D4083" s="4" t="s">
        <v>6066</v>
      </c>
      <c r="E4083" s="4">
        <v>0.0</v>
      </c>
      <c r="F4083" s="4" t="str">
        <f>IFERROR(__xludf.DUMMYFUNCTION("GOOGLETRANSLATE(D4083)"),"與在高層建築上安裝不合規外牆板相關的火災危險 - 保險 - 澳洲 http://t.co/wFsEaOBATo")</f>
        <v>與在高層建築上安裝不合規外牆板相關的火災危險 - 保險 - 澳洲 http://t.co/wFsEaOBATo</v>
      </c>
      <c r="G4083" s="4" t="str">
        <f>IFERROR(__xludf.DUMMYFUNCTION("GOOGLETRANSLATE(B4083)"),"建築物%20on%20火災")</f>
        <v>建築物%20on%20火災</v>
      </c>
    </row>
    <row r="4084" ht="15.75" customHeight="1">
      <c r="A4084" s="4">
        <v>1804.0</v>
      </c>
      <c r="B4084" s="4" t="s">
        <v>711</v>
      </c>
      <c r="C4084" s="4" t="s">
        <v>6067</v>
      </c>
      <c r="D4084" s="4" t="s">
        <v>6068</v>
      </c>
      <c r="E4084" s="4">
        <v>0.0</v>
      </c>
      <c r="F4084" s="4" t="str">
        <f>IFERROR(__xludf.DUMMYFUNCTION("GOOGLETRANSLATE(D4084)"),"所以我的樂團 Buildings on Fire 本週三將與 @GIANTGIANTSOUND 一起演奏 @bbcintroducing @PurpleTurtleRdg https://t.co/ofaN6DkOEZ #rdg")</f>
        <v>所以我的樂團 Buildings on Fire 本週三將與 @GIANTGIANTSOUND 一起演奏 @bbcintroducing @PurpleTurtleRdg https://t.co/ofaN6DkOEZ #rdg</v>
      </c>
      <c r="G4084" s="4" t="str">
        <f>IFERROR(__xludf.DUMMYFUNCTION("GOOGLETRANSLATE(B4084)"),"建築物%20on%20火災")</f>
        <v>建築物%20on%20火災</v>
      </c>
    </row>
    <row r="4085" ht="15.75" customHeight="1">
      <c r="A4085" s="4">
        <v>1821.0</v>
      </c>
      <c r="B4085" s="4" t="s">
        <v>758</v>
      </c>
      <c r="C4085" s="4" t="s">
        <v>6069</v>
      </c>
      <c r="D4085" s="4" t="s">
        <v>6070</v>
      </c>
      <c r="E4085" s="4">
        <v>0.0</v>
      </c>
      <c r="F4085" s="4" t="str">
        <f>IFERROR(__xludf.DUMMYFUNCTION("GOOGLETRANSLATE(D4085)"),"我討厭當我試圖拉直我的頭髮時，我的兄弟突然衝到我身後嚇唬我，我剛剛燒傷了手指")</f>
        <v>我討厭當我試圖拉直我的頭髮時，我的兄弟突然衝到我身後嚇唬我，我剛剛燒傷了手指</v>
      </c>
      <c r="G4085" s="4" t="str">
        <f>IFERROR(__xludf.DUMMYFUNCTION("GOOGLETRANSLATE(B4085)"),"燒毀")</f>
        <v>燒毀</v>
      </c>
    </row>
    <row r="4086" ht="15.75" customHeight="1">
      <c r="A4086" s="4">
        <v>1823.0</v>
      </c>
      <c r="B4086" s="4" t="s">
        <v>758</v>
      </c>
      <c r="C4086" s="4" t="s">
        <v>6071</v>
      </c>
      <c r="D4086" s="4" t="s">
        <v>6072</v>
      </c>
      <c r="E4086" s="4">
        <v>0.0</v>
      </c>
      <c r="F4086" s="4" t="str">
        <f>IFERROR(__xludf.DUMMYFUNCTION("GOOGLETRANSLATE(D4086)"),"我可能應該遠離熱膠槍..我把一根手指燒得很厲害")</f>
        <v>我可能應該遠離熱膠槍..我把一根手指燒得很厲害</v>
      </c>
      <c r="G4086" s="4" t="str">
        <f>IFERROR(__xludf.DUMMYFUNCTION("GOOGLETRANSLATE(B4086)"),"燒毀")</f>
        <v>燒毀</v>
      </c>
    </row>
    <row r="4087" ht="15.75" customHeight="1">
      <c r="A4087" s="4">
        <v>1824.0</v>
      </c>
      <c r="B4087" s="4" t="s">
        <v>758</v>
      </c>
      <c r="D4087" s="4" t="s">
        <v>6073</v>
      </c>
      <c r="E4087" s="4">
        <v>0.0</v>
      </c>
      <c r="F4087" s="4" t="str">
        <f>IFERROR(__xludf.DUMMYFUNCTION("GOOGLETRANSLATE(D4087)"),"我們正在取得哪些進展。在中世紀，他們會燒死我。現在他們滿足於燒掉我的書了。 -西格蒙德·弗洛伊德")</f>
        <v>我們正在取得哪些進展。在中世紀，他們會燒死我。現在他們滿足於燒掉我的書了。 -西格蒙德·弗洛伊德</v>
      </c>
      <c r="G4087" s="4" t="str">
        <f>IFERROR(__xludf.DUMMYFUNCTION("GOOGLETRANSLATE(B4087)"),"燒毀")</f>
        <v>燒毀</v>
      </c>
    </row>
    <row r="4088" ht="15.75" customHeight="1">
      <c r="A4088" s="4">
        <v>1826.0</v>
      </c>
      <c r="B4088" s="4" t="s">
        <v>758</v>
      </c>
      <c r="C4088" s="4" t="s">
        <v>2306</v>
      </c>
      <c r="D4088" s="4" t="s">
        <v>6074</v>
      </c>
      <c r="E4088" s="4">
        <v>0.0</v>
      </c>
      <c r="F4088" s="4" t="str">
        <f>IFERROR(__xludf.DUMMYFUNCTION("GOOGLETRANSLATE(D4088)"),"@HGF52611 嗯嗯。你只要被燒過一次就知道火有多痛。羅比·羅斯應該在全明星賽中打出全壘打德比#RedSox")</f>
        <v>@HGF52611 嗯嗯。你只要被燒過一次就知道火有多痛。羅比·羅斯應該在全明星賽中打出全壘打德比#RedSox</v>
      </c>
      <c r="G4088" s="4" t="str">
        <f>IFERROR(__xludf.DUMMYFUNCTION("GOOGLETRANSLATE(B4088)"),"燒毀")</f>
        <v>燒毀</v>
      </c>
    </row>
    <row r="4089" ht="15.75" customHeight="1">
      <c r="A4089" s="4">
        <v>1827.0</v>
      </c>
      <c r="B4089" s="4" t="s">
        <v>758</v>
      </c>
      <c r="C4089" s="4" t="s">
        <v>6075</v>
      </c>
      <c r="D4089" s="4" t="s">
        <v>6076</v>
      </c>
      <c r="E4089" s="4">
        <v>0.0</v>
      </c>
      <c r="F4089" s="4" t="str">
        <f>IFERROR(__xludf.DUMMYFUNCTION("GOOGLETRANSLATE(D4089)"),"我的爆米花燒焦了？？")</f>
        <v>我的爆米花燒焦了？？</v>
      </c>
      <c r="G4089" s="4" t="str">
        <f>IFERROR(__xludf.DUMMYFUNCTION("GOOGLETRANSLATE(B4089)"),"燒毀")</f>
        <v>燒毀</v>
      </c>
    </row>
    <row r="4090" ht="15.75" customHeight="1">
      <c r="A4090" s="4">
        <v>1831.0</v>
      </c>
      <c r="B4090" s="4" t="s">
        <v>758</v>
      </c>
      <c r="C4090" s="4" t="s">
        <v>6077</v>
      </c>
      <c r="D4090" s="4" t="s">
        <v>6078</v>
      </c>
      <c r="E4090" s="4">
        <v>0.0</v>
      </c>
      <c r="F4090" s="4" t="str">
        <f>IFERROR(__xludf.DUMMYFUNCTION("GOOGLETRANSLATE(D4090)"),"@Wild_Lionx3 這樣其他人就不會被燒傷")</f>
        <v>@Wild_Lionx3 這樣其他人就不會被燒傷</v>
      </c>
      <c r="G4090" s="4" t="str">
        <f>IFERROR(__xludf.DUMMYFUNCTION("GOOGLETRANSLATE(B4090)"),"燒毀")</f>
        <v>燒毀</v>
      </c>
    </row>
    <row r="4091" ht="15.75" customHeight="1">
      <c r="A4091" s="4">
        <v>1832.0</v>
      </c>
      <c r="B4091" s="4" t="s">
        <v>758</v>
      </c>
      <c r="D4091" s="4" t="s">
        <v>6079</v>
      </c>
      <c r="E4091" s="4">
        <v>0.0</v>
      </c>
      <c r="F4091" s="4" t="str">
        <f>IFERROR(__xludf.DUMMYFUNCTION("GOOGLETRANSLATE(D4091)"),"當你洗澡時有人沖廁所，你有 0.1 秒的 GTFO 時間，否則你會被燒傷??????????????????????? ????? ???????????????????")</f>
        <v>當你洗澡時有人沖廁所，你有 0.1 秒的 GTFO 時間，否則你會被燒傷??????????????????????? ????? ???????????????????</v>
      </c>
      <c r="G4091" s="4" t="str">
        <f>IFERROR(__xludf.DUMMYFUNCTION("GOOGLETRANSLATE(B4091)"),"燒毀")</f>
        <v>燒毀</v>
      </c>
    </row>
    <row r="4092" ht="15.75" customHeight="1">
      <c r="A4092" s="4">
        <v>1833.0</v>
      </c>
      <c r="B4092" s="4" t="s">
        <v>758</v>
      </c>
      <c r="C4092" s="4" t="s">
        <v>6080</v>
      </c>
      <c r="D4092" s="4" t="s">
        <v>6081</v>
      </c>
      <c r="E4092" s="4">
        <v>0.0</v>
      </c>
      <c r="F4092" s="4" t="str">
        <f>IFERROR(__xludf.DUMMYFUNCTION("GOOGLETRANSLATE(D4092)"),"永遠尋找一線希望！
我的穀倉被燒毀了
我現在可以看到月亮了。
〜水田...http://t.co/Gl4McaX0ny")</f>
        <v>永遠尋找一線希望！
我的穀倉被燒毀了
我現在可以看到月亮了。
〜水田...http://t.co/Gl4McaX0ny</v>
      </c>
      <c r="G4092" s="4" t="str">
        <f>IFERROR(__xludf.DUMMYFUNCTION("GOOGLETRANSLATE(B4092)"),"燒毀")</f>
        <v>燒毀</v>
      </c>
    </row>
    <row r="4093" ht="15.75" customHeight="1">
      <c r="A4093" s="4">
        <v>1834.0</v>
      </c>
      <c r="B4093" s="4" t="s">
        <v>758</v>
      </c>
      <c r="C4093" s="4" t="s">
        <v>6082</v>
      </c>
      <c r="D4093" s="4" t="s">
        <v>6083</v>
      </c>
      <c r="E4093" s="4">
        <v>0.0</v>
      </c>
      <c r="F4093" s="4" t="str">
        <f>IFERROR(__xludf.DUMMYFUNCTION("GOOGLETRANSLATE(D4093)"),"當然，在吃了一大碗通心粉和起司後，我燃燒了大約 100 卡路里，所以我完全賺到了這塊 300 卡路里的克朗代克酒吧。")</f>
        <v>當然，在吃了一大碗通心粉和起司後，我燃燒了大約 100 卡路里，所以我完全賺到了這塊 300 卡路里的克朗代克酒吧。</v>
      </c>
      <c r="G4093" s="4" t="str">
        <f>IFERROR(__xludf.DUMMYFUNCTION("GOOGLETRANSLATE(B4093)"),"燒毀")</f>
        <v>燒毀</v>
      </c>
    </row>
    <row r="4094" ht="15.75" customHeight="1">
      <c r="A4094" s="4">
        <v>1835.0</v>
      </c>
      <c r="B4094" s="4" t="s">
        <v>758</v>
      </c>
      <c r="C4094" s="4" t="s">
        <v>6084</v>
      </c>
      <c r="D4094" s="4" t="s">
        <v>6085</v>
      </c>
      <c r="E4094" s="4">
        <v>0.0</v>
      </c>
      <c r="F4094" s="4" t="str">
        <f>IFERROR(__xludf.DUMMYFUNCTION("GOOGLETRANSLATE(D4094)"),"奧爾頓·布朗剛剛做了一場直播，他燒了黃油，太早接觸了電爐，開了一個堅果玩笑 http://t.co/gvd7fcx8iZ")</f>
        <v>奧爾頓·布朗剛剛做了一場直播，他燒了黃油，太早接觸了電爐，開了一個堅果玩笑 http://t.co/gvd7fcx8iZ</v>
      </c>
      <c r="G4094" s="4" t="str">
        <f>IFERROR(__xludf.DUMMYFUNCTION("GOOGLETRANSLATE(B4094)"),"燒毀")</f>
        <v>燒毀</v>
      </c>
    </row>
    <row r="4095" ht="15.75" customHeight="1">
      <c r="A4095" s="4">
        <v>1837.0</v>
      </c>
      <c r="B4095" s="4" t="s">
        <v>758</v>
      </c>
      <c r="C4095" s="4" t="s">
        <v>6086</v>
      </c>
      <c r="D4095" s="4" t="s">
        <v>6087</v>
      </c>
      <c r="E4095" s="4">
        <v>0.0</v>
      </c>
      <c r="F4095" s="4" t="str">
        <f>IFERROR(__xludf.DUMMYFUNCTION("GOOGLETRANSLATE(D4095)"),"我用 RunKeeper 步行了 17 分鐘。燃燒了 90 卡路里。 ＃失去它")</f>
        <v>我用 RunKeeper 步行了 17 分鐘。燃燒了 90 卡路里。 ＃失去它</v>
      </c>
      <c r="G4095" s="4" t="str">
        <f>IFERROR(__xludf.DUMMYFUNCTION("GOOGLETRANSLATE(B4095)"),"燒毀")</f>
        <v>燒毀</v>
      </c>
    </row>
    <row r="4096" ht="15.75" customHeight="1">
      <c r="A4096" s="4">
        <v>1838.0</v>
      </c>
      <c r="B4096" s="4" t="s">
        <v>758</v>
      </c>
      <c r="C4096" s="4" t="s">
        <v>126</v>
      </c>
      <c r="D4096" s="4" t="s">
        <v>6088</v>
      </c>
      <c r="E4096" s="4">
        <v>0.0</v>
      </c>
      <c r="F4096" s="4" t="str">
        <f>IFERROR(__xludf.DUMMYFUNCTION("GOOGLETRANSLATE(D4096)"),"當然可以——帶他們遠離史蒂夫國王和史蒂夫的救火行動。硬殼要拍照！ http://t.co/epeX4axG4b")</f>
        <v>當然可以——帶他們遠離史蒂夫國王和史蒂夫的救火行動。硬殼要拍照！ http://t.co/epeX4axG4b</v>
      </c>
      <c r="G4096" s="4" t="str">
        <f>IFERROR(__xludf.DUMMYFUNCTION("GOOGLETRANSLATE(B4096)"),"燒毀")</f>
        <v>燒毀</v>
      </c>
    </row>
    <row r="4097" ht="15.75" customHeight="1">
      <c r="A4097" s="4">
        <v>1841.0</v>
      </c>
      <c r="B4097" s="4" t="s">
        <v>758</v>
      </c>
      <c r="D4097" s="4" t="s">
        <v>6089</v>
      </c>
      <c r="E4097" s="4">
        <v>0.0</v>
      </c>
      <c r="F4097" s="4" t="str">
        <f>IFERROR(__xludf.DUMMYFUNCTION("GOOGLETRANSLATE(D4097)"),"不要被同一火焰燒傷兩次。")</f>
        <v>不要被同一火焰燒傷兩次。</v>
      </c>
      <c r="G4097" s="4" t="str">
        <f>IFERROR(__xludf.DUMMYFUNCTION("GOOGLETRANSLATE(B4097)"),"燒毀")</f>
        <v>燒毀</v>
      </c>
    </row>
    <row r="4098" ht="15.75" customHeight="1">
      <c r="A4098" s="4">
        <v>1845.0</v>
      </c>
      <c r="B4098" s="4" t="s">
        <v>758</v>
      </c>
      <c r="C4098" s="4" t="s">
        <v>6090</v>
      </c>
      <c r="D4098" s="4" t="s">
        <v>6091</v>
      </c>
      <c r="E4098" s="4">
        <v>0.0</v>
      </c>
      <c r="F4098" s="4" t="str">
        <f>IFERROR(__xludf.DUMMYFUNCTION("GOOGLETRANSLATE(D4098)"),"我吃東西很痛，因為昨天我被義大利辣香腸燙傷了舌頭！")</f>
        <v>我吃東西很痛，因為昨天我被義大利辣香腸燙傷了舌頭！</v>
      </c>
      <c r="G4098" s="4" t="str">
        <f>IFERROR(__xludf.DUMMYFUNCTION("GOOGLETRANSLATE(B4098)"),"燒毀")</f>
        <v>燒毀</v>
      </c>
    </row>
    <row r="4099" ht="15.75" customHeight="1">
      <c r="A4099" s="4">
        <v>1847.0</v>
      </c>
      <c r="B4099" s="4" t="s">
        <v>758</v>
      </c>
      <c r="C4099" s="4" t="s">
        <v>1452</v>
      </c>
      <c r="D4099" s="4" t="s">
        <v>6092</v>
      </c>
      <c r="E4099" s="4">
        <v>0.0</v>
      </c>
      <c r="F4099" s="4" t="str">
        <f>IFERROR(__xludf.DUMMYFUNCTION("GOOGLETRANSLATE(D4099)"),"我花了15分鐘舉重。燃燒了 43 卡路里。 ＃失去它")</f>
        <v>我花了15分鐘舉重。燃燒了 43 卡路里。 ＃失去它</v>
      </c>
      <c r="G4099" s="4" t="str">
        <f>IFERROR(__xludf.DUMMYFUNCTION("GOOGLETRANSLATE(B4099)"),"燒毀")</f>
        <v>燒毀</v>
      </c>
    </row>
    <row r="4100" ht="15.75" customHeight="1">
      <c r="A4100" s="4">
        <v>1848.0</v>
      </c>
      <c r="B4100" s="4" t="s">
        <v>758</v>
      </c>
      <c r="D4100" s="4" t="s">
        <v>6093</v>
      </c>
      <c r="E4100" s="4">
        <v>0.0</v>
      </c>
      <c r="F4100" s="4" t="str">
        <f>IFERROR(__xludf.DUMMYFUNCTION("GOOGLETRANSLATE(D4100)"),"天哪，QVC 婊子剛剛被燒得很厲害。")</f>
        <v>天哪，QVC 婊子剛剛被燒得很厲害。</v>
      </c>
      <c r="G4100" s="4" t="str">
        <f>IFERROR(__xludf.DUMMYFUNCTION("GOOGLETRANSLATE(B4100)"),"燒毀")</f>
        <v>燒毀</v>
      </c>
    </row>
    <row r="4101" ht="15.75" customHeight="1">
      <c r="A4101" s="4">
        <v>1851.0</v>
      </c>
      <c r="B4101" s="4" t="s">
        <v>758</v>
      </c>
      <c r="C4101" s="4" t="s">
        <v>6094</v>
      </c>
      <c r="D4101" s="4" t="s">
        <v>6095</v>
      </c>
      <c r="E4101" s="4">
        <v>0.0</v>
      </c>
      <c r="F4101" s="4" t="str">
        <f>IFERROR(__xludf.DUMMYFUNCTION("GOOGLETRANSLATE(D4101)"),"我只記得被燒毀的麥當勞曾經有最酷的遊樂場和遊樂場。新的除了視頻遊戲之外什麼都沒有））：")</f>
        <v>我只記得被燒毀的麥當勞曾經有最酷的遊樂場和遊樂場。新的除了視頻遊戲之外什麼都沒有））：</v>
      </c>
      <c r="G4101" s="4" t="str">
        <f>IFERROR(__xludf.DUMMYFUNCTION("GOOGLETRANSLATE(B4101)"),"燒毀")</f>
        <v>燒毀</v>
      </c>
    </row>
    <row r="4102" ht="15.75" customHeight="1">
      <c r="A4102" s="4">
        <v>1852.0</v>
      </c>
      <c r="B4102" s="4" t="s">
        <v>758</v>
      </c>
      <c r="C4102" s="4" t="s">
        <v>1521</v>
      </c>
      <c r="D4102" s="4" t="s">
        <v>6096</v>
      </c>
      <c r="E4102" s="4">
        <v>0.0</v>
      </c>
      <c r="F4102" s="4" t="str">
        <f>IFERROR(__xludf.DUMMYFUNCTION("GOOGLETRANSLATE(D4102)"),"以 4.0 英里/小時的快步步行 30 分鐘，燃燒 202 卡路里#myfitnesspal")</f>
        <v>以 4.0 英里/小時的快步步行 30 分鐘，燃燒 202 卡路里#myfitnesspal</v>
      </c>
      <c r="G4102" s="4" t="str">
        <f>IFERROR(__xludf.DUMMYFUNCTION("GOOGLETRANSLATE(B4102)"),"燒毀")</f>
        <v>燒毀</v>
      </c>
    </row>
    <row r="4103" ht="15.75" customHeight="1">
      <c r="A4103" s="4">
        <v>1853.0</v>
      </c>
      <c r="B4103" s="4" t="s">
        <v>758</v>
      </c>
      <c r="D4103" s="4" t="s">
        <v>6097</v>
      </c>
      <c r="E4103" s="4">
        <v>0.0</v>
      </c>
      <c r="F4103" s="4" t="str">
        <f>IFERROR(__xludf.DUMMYFUNCTION("GOOGLETRANSLATE(D4103)"),"我姐姐 Rl 燒毀了她男朋友的所有衣服並記錄下來發給他了？？？")</f>
        <v>我姐姐 Rl 燒毀了她男朋友的所有衣服並記錄下來發給他了？？？</v>
      </c>
      <c r="G4103" s="4" t="str">
        <f>IFERROR(__xludf.DUMMYFUNCTION("GOOGLETRANSLATE(B4103)"),"燒毀")</f>
        <v>燒毀</v>
      </c>
    </row>
    <row r="4104" ht="15.75" customHeight="1">
      <c r="A4104" s="4">
        <v>1856.0</v>
      </c>
      <c r="B4104" s="4" t="s">
        <v>758</v>
      </c>
      <c r="D4104" s="4" t="s">
        <v>6098</v>
      </c>
      <c r="E4104" s="4">
        <v>0.0</v>
      </c>
      <c r="F4104" s="4" t="str">
        <f>IFERROR(__xludf.DUMMYFUNCTION("GOOGLETRANSLATE(D4104)"),"@kennethbauer_ 更喜歡咖啡和麵條
燒毀")</f>
        <v>@kennethbauer_ 更喜歡咖啡和麵條
燒毀</v>
      </c>
      <c r="G4104" s="4" t="str">
        <f>IFERROR(__xludf.DUMMYFUNCTION("GOOGLETRANSLATE(B4104)"),"燒毀")</f>
        <v>燒毀</v>
      </c>
    </row>
    <row r="4105" ht="15.75" customHeight="1">
      <c r="A4105" s="4">
        <v>1857.0</v>
      </c>
      <c r="B4105" s="4" t="s">
        <v>758</v>
      </c>
      <c r="D4105" s="4" t="s">
        <v>6099</v>
      </c>
      <c r="E4105" s="4">
        <v>0.0</v>
      </c>
      <c r="F4105" s="4" t="str">
        <f>IFERROR(__xludf.DUMMYFUNCTION("GOOGLETRANSLATE(D4105)"),"剛剛把我的烤起司三明治燒掉了。當然希望我現在已經掌握了一些生活技能...")</f>
        <v>剛剛把我的烤起司三明治燒掉了。當然希望我現在已經掌握了一些生活技能...</v>
      </c>
      <c r="G4105" s="4" t="str">
        <f>IFERROR(__xludf.DUMMYFUNCTION("GOOGLETRANSLATE(B4105)"),"燒毀")</f>
        <v>燒毀</v>
      </c>
    </row>
    <row r="4106" ht="15.75" customHeight="1">
      <c r="A4106" s="4">
        <v>1860.0</v>
      </c>
      <c r="B4106" s="4" t="s">
        <v>758</v>
      </c>
      <c r="C4106" s="4" t="s">
        <v>6100</v>
      </c>
      <c r="D4106" s="4" t="s">
        <v>6101</v>
      </c>
      <c r="E4106" s="4">
        <v>0.0</v>
      </c>
      <c r="F4106" s="4" t="str">
        <f>IFERROR(__xludf.DUMMYFUNCTION("GOOGLETRANSLATE(D4106)"),"我開玩笑說，但是伍德必須因為經常打這麼多局而精疲力盡。 #CubsTalk")</f>
        <v>我開玩笑說，但是伍德必須因為經常打這麼多局而精疲力盡。 #CubsTalk</v>
      </c>
      <c r="G4106" s="4" t="str">
        <f>IFERROR(__xludf.DUMMYFUNCTION("GOOGLETRANSLATE(B4106)"),"燒毀")</f>
        <v>燒毀</v>
      </c>
    </row>
    <row r="4107" ht="15.75" customHeight="1">
      <c r="A4107" s="4">
        <v>1863.0</v>
      </c>
      <c r="B4107" s="4" t="s">
        <v>758</v>
      </c>
      <c r="C4107" s="4" t="s">
        <v>6102</v>
      </c>
      <c r="D4107" s="4" t="s">
        <v>6103</v>
      </c>
      <c r="E4107" s="4">
        <v>0.0</v>
      </c>
      <c r="F4107" s="4" t="str">
        <f>IFERROR(__xludf.DUMMYFUNCTION("GOOGLETRANSLATE(D4107)"),"@thomasvissman22 @KeithyyL Keithyy 被燒毀了街區和社交媒體...... http://t.co/dlkuFtLQnF")</f>
        <v>@thomasvissman22 @KeithyyL Keithyy 被燒毀了街區和社交媒體...... http://t.co/dlkuFtLQnF</v>
      </c>
      <c r="G4107" s="4" t="str">
        <f>IFERROR(__xludf.DUMMYFUNCTION("GOOGLETRANSLATE(B4107)"),"燒毀")</f>
        <v>燒毀</v>
      </c>
    </row>
    <row r="4108" ht="15.75" customHeight="1">
      <c r="A4108" s="4">
        <v>1864.0</v>
      </c>
      <c r="B4108" s="4" t="s">
        <v>758</v>
      </c>
      <c r="D4108" s="4" t="s">
        <v>6104</v>
      </c>
      <c r="E4108" s="4">
        <v>0.0</v>
      </c>
      <c r="F4108" s="4" t="str">
        <f>IFERROR(__xludf.DUMMYFUNCTION("GOOGLETRANSLATE(D4108)"),"我今天在烤箱上燒傷了自己？當時溫度是500度？？")</f>
        <v>我今天在烤箱上燒傷了自己？當時溫度是500度？？</v>
      </c>
      <c r="G4108" s="4" t="str">
        <f>IFERROR(__xludf.DUMMYFUNCTION("GOOGLETRANSLATE(B4108)"),"燒毀")</f>
        <v>燒毀</v>
      </c>
    </row>
    <row r="4109" ht="15.75" customHeight="1">
      <c r="A4109" s="4">
        <v>1866.0</v>
      </c>
      <c r="B4109" s="4" t="s">
        <v>758</v>
      </c>
      <c r="D4109" s="4" t="s">
        <v>6105</v>
      </c>
      <c r="E4109" s="4">
        <v>0.0</v>
      </c>
      <c r="F4109" s="4" t="str">
        <f>IFERROR(__xludf.DUMMYFUNCTION("GOOGLETRANSLATE(D4109)"),"我不小心把雞塊放進微波爐裡加熱了 5 分鐘（而不是 1 分鐘），然後它們就燒焦了")</f>
        <v>我不小心把雞塊放進微波爐裡加熱了 5 分鐘（而不是 1 分鐘），然後它們就燒焦了</v>
      </c>
      <c r="G4109" s="4" t="str">
        <f>IFERROR(__xludf.DUMMYFUNCTION("GOOGLETRANSLATE(B4109)"),"燒毀")</f>
        <v>燒毀</v>
      </c>
    </row>
    <row r="4110" ht="15.75" customHeight="1">
      <c r="A4110" s="4">
        <v>1869.0</v>
      </c>
      <c r="B4110" s="4" t="s">
        <v>758</v>
      </c>
      <c r="D4110" s="4" t="s">
        <v>6106</v>
      </c>
      <c r="E4110" s="4">
        <v>0.0</v>
      </c>
      <c r="F4110" s="4" t="str">
        <f>IFERROR(__xludf.DUMMYFUNCTION("GOOGLETRANSLATE(D4110)"),"就在我的越野車上把自己燒得一團糟？")</f>
        <v>就在我的越野車上把自己燒得一團糟？</v>
      </c>
      <c r="G4110" s="4" t="str">
        <f>IFERROR(__xludf.DUMMYFUNCTION("GOOGLETRANSLATE(B4110)"),"燒毀")</f>
        <v>燒毀</v>
      </c>
    </row>
    <row r="4111" ht="15.75" customHeight="1">
      <c r="A4111" s="4">
        <v>1873.0</v>
      </c>
      <c r="B4111" s="4" t="s">
        <v>770</v>
      </c>
      <c r="C4111" s="4" t="s">
        <v>6107</v>
      </c>
      <c r="D4111" s="4" t="s">
        <v>6108</v>
      </c>
      <c r="E4111" s="4">
        <v>0.0</v>
      </c>
      <c r="F4111" s="4" t="str">
        <f>IFERROR(__xludf.DUMMYFUNCTION("GOOGLETRANSLATE(D4111)"),"星星在燃燒我在這裡你的聲音在我腦海裡")</f>
        <v>星星在燃燒我在這裡你的聲音在我腦海裡</v>
      </c>
      <c r="G4111" s="4" t="str">
        <f>IFERROR(__xludf.DUMMYFUNCTION("GOOGLETRANSLATE(B4111)"),"燃燒")</f>
        <v>燃燒</v>
      </c>
    </row>
    <row r="4112" ht="15.75" customHeight="1">
      <c r="A4112" s="4">
        <v>1875.0</v>
      </c>
      <c r="B4112" s="4" t="s">
        <v>770</v>
      </c>
      <c r="D4112" s="4" t="s">
        <v>6109</v>
      </c>
      <c r="E4112" s="4">
        <v>0.0</v>
      </c>
      <c r="F4112" s="4" t="str">
        <f>IFERROR(__xludf.DUMMYFUNCTION("GOOGLETRANSLATE(D4112)"),"你們這些婊子到處走來走去，就像你們這些熱狗一樣。有臭蟲和臭蟲你燃燒？？？")</f>
        <v>你們這些婊子到處走來走去，就像你們這些熱狗一樣。有臭蟲和臭蟲你燃燒？？？</v>
      </c>
      <c r="G4112" s="4" t="str">
        <f>IFERROR(__xludf.DUMMYFUNCTION("GOOGLETRANSLATE(B4112)"),"燃燒")</f>
        <v>燃燒</v>
      </c>
    </row>
    <row r="4113" ht="15.75" customHeight="1">
      <c r="A4113" s="4">
        <v>1877.0</v>
      </c>
      <c r="B4113" s="4" t="s">
        <v>770</v>
      </c>
      <c r="C4113" s="4" t="s">
        <v>6110</v>
      </c>
      <c r="D4113" s="4" t="s">
        <v>6111</v>
      </c>
      <c r="E4113" s="4">
        <v>0.0</v>
      </c>
      <c r="F4113" s="4" t="str">
        <f>IFERROR(__xludf.DUMMYFUNCTION("GOOGLETRANSLATE(D4113)"),"外面下著雨，我正在燃燒我最喜歡的蠟燭，還有熱可可可以喝。午睡時間=真棒醬。")</f>
        <v>外面下著雨，我正在燃燒我最喜歡的蠟燭，還有熱可可可以喝。午睡時間=真棒醬。</v>
      </c>
      <c r="G4113" s="4" t="str">
        <f>IFERROR(__xludf.DUMMYFUNCTION("GOOGLETRANSLATE(B4113)"),"燃燒")</f>
        <v>燃燒</v>
      </c>
    </row>
    <row r="4114" ht="15.75" customHeight="1">
      <c r="A4114" s="4">
        <v>1878.0</v>
      </c>
      <c r="B4114" s="4" t="s">
        <v>770</v>
      </c>
      <c r="C4114" s="4" t="s">
        <v>6112</v>
      </c>
      <c r="D4114" s="4" t="s">
        <v>6113</v>
      </c>
      <c r="E4114" s="4">
        <v>0.0</v>
      </c>
      <c r="F4114" s="4" t="str">
        <f>IFERROR(__xludf.DUMMYFUNCTION("GOOGLETRANSLATE(D4114)"),"Hermancranston：#atk #LetsFootball RT SkanndTyagi：#letsFootball #atk 連線：所有這些大火都在燃燒 Û_ http://t.co/DmTab6g7j7")</f>
        <v>Hermancranston：#atk #LetsFootball RT SkanndTyagi：#letsFootball #atk 連線：所有這些大火都在燃燒 Û_ http://t.co/DmTab6g7j7</v>
      </c>
      <c r="G4114" s="4" t="str">
        <f>IFERROR(__xludf.DUMMYFUNCTION("GOOGLETRANSLATE(B4114)"),"燃燒")</f>
        <v>燃燒</v>
      </c>
    </row>
    <row r="4115" ht="15.75" customHeight="1">
      <c r="A4115" s="4">
        <v>1881.0</v>
      </c>
      <c r="B4115" s="4" t="s">
        <v>770</v>
      </c>
      <c r="D4115" s="4" t="s">
        <v>6114</v>
      </c>
      <c r="E4115" s="4">
        <v>0.0</v>
      </c>
      <c r="F4115" s="4" t="str">
        <f>IFERROR(__xludf.DUMMYFUNCTION("GOOGLETRANSLATE(D4115)"),"@aubilenon @MarkKriegsman 如果你認為你想要燃燒的人，你應該嘗試一下，因為這是唯一知道的方法！")</f>
        <v>@aubilenon @MarkKriegsman 如果你認為你想要燃燒的人，你應該嘗試一下，因為這是唯一知道的方法！</v>
      </c>
      <c r="G4115" s="4" t="str">
        <f>IFERROR(__xludf.DUMMYFUNCTION("GOOGLETRANSLATE(B4115)"),"燃燒")</f>
        <v>燃燒</v>
      </c>
    </row>
    <row r="4116" ht="15.75" customHeight="1">
      <c r="A4116" s="4">
        <v>1882.0</v>
      </c>
      <c r="B4116" s="4" t="s">
        <v>770</v>
      </c>
      <c r="C4116" s="4" t="s">
        <v>6115</v>
      </c>
      <c r="D4116" s="4" t="s">
        <v>6116</v>
      </c>
      <c r="E4116" s="4">
        <v>0.0</v>
      </c>
      <c r="F4116" s="4" t="str">
        <f>IFERROR(__xludf.DUMMYFUNCTION("GOOGLETRANSLATE(D4116)"),"8 分鐘脂肪燃燒程序也很有趣 http://t.co/g2h7xNecD8 #fat Weightless # fatburning #burnfat #skinny #workout")</f>
        <v>8 分鐘脂肪燃燒程序也很有趣 http://t.co/g2h7xNecD8 #fat Weightless # fatburning #burnfat #skinny #workout</v>
      </c>
      <c r="G4116" s="4" t="str">
        <f>IFERROR(__xludf.DUMMYFUNCTION("GOOGLETRANSLATE(B4116)"),"燃燒")</f>
        <v>燃燒</v>
      </c>
    </row>
    <row r="4117" ht="15.75" customHeight="1">
      <c r="A4117" s="4">
        <v>1886.0</v>
      </c>
      <c r="B4117" s="4" t="s">
        <v>770</v>
      </c>
      <c r="D4117" s="4" t="s">
        <v>6117</v>
      </c>
      <c r="E4117" s="4">
        <v>0.0</v>
      </c>
      <c r="F4117" s="4" t="str">
        <f>IFERROR(__xludf.DUMMYFUNCTION("GOOGLETRANSLATE(D4117)"),"@JohnsonTionne 除了不認識他們？真的很火嗎？？？？？？")</f>
        <v>@JohnsonTionne 除了不認識他們？真的很火嗎？？？？？？</v>
      </c>
      <c r="G4117" s="4" t="str">
        <f>IFERROR(__xludf.DUMMYFUNCTION("GOOGLETRANSLATE(B4117)"),"燃燒")</f>
        <v>燃燒</v>
      </c>
    </row>
    <row r="4118" ht="15.75" customHeight="1">
      <c r="A4118" s="4">
        <v>1888.0</v>
      </c>
      <c r="B4118" s="4" t="s">
        <v>770</v>
      </c>
      <c r="D4118" s="4" t="s">
        <v>6118</v>
      </c>
      <c r="E4118" s="4">
        <v>0.0</v>
      </c>
      <c r="F4118" s="4" t="str">
        <f>IFERROR(__xludf.DUMMYFUNCTION("GOOGLETRANSLATE(D4118)"),"康奈爾線圈 - 燒快嗎？通過/r/Vaping101 http://t.co/cykr4XAlUH")</f>
        <v>康奈爾線圈 - 燒快嗎？通過/r/Vaping101 http://t.co/cykr4XAlUH</v>
      </c>
      <c r="G4118" s="4" t="str">
        <f>IFERROR(__xludf.DUMMYFUNCTION("GOOGLETRANSLATE(B4118)"),"燃燒")</f>
        <v>燃燒</v>
      </c>
    </row>
    <row r="4119" ht="15.75" customHeight="1">
      <c r="A4119" s="4">
        <v>1889.0</v>
      </c>
      <c r="B4119" s="4" t="s">
        <v>770</v>
      </c>
      <c r="D4119" s="4" t="s">
        <v>6119</v>
      </c>
      <c r="E4119" s="4">
        <v>0.0</v>
      </c>
      <c r="F4119" s="4" t="str">
        <f>IFERROR(__xludf.DUMMYFUNCTION("GOOGLETRANSLATE(D4119)"),"RT @HuffPostComedy：我們應該建造一堵牆，阻止火人節參與者回家 http://t.co/xwVW1sft4I http://t.co/j7HUKhWmal")</f>
        <v>RT @HuffPostComedy：我們應該建造一堵牆，阻止火人節參與者回家 http://t.co/xwVW1sft4I http://t.co/j7HUKhWmal</v>
      </c>
      <c r="G4119" s="4" t="str">
        <f>IFERROR(__xludf.DUMMYFUNCTION("GOOGLETRANSLATE(B4119)"),"燃燒")</f>
        <v>燃燒</v>
      </c>
    </row>
    <row r="4120" ht="15.75" customHeight="1">
      <c r="A4120" s="4">
        <v>1893.0</v>
      </c>
      <c r="B4120" s="4" t="s">
        <v>770</v>
      </c>
      <c r="D4120" s="4" t="s">
        <v>6120</v>
      </c>
      <c r="E4120" s="4">
        <v>0.0</v>
      </c>
      <c r="F4120" s="4" t="str">
        <f>IFERROR(__xludf.DUMMYFUNCTION("GOOGLETRANSLATE(D4120)"),"別這麼謙虛。你當然... *嗅聞* *sniiiiiiiff* 呃唐尼？有什麼東西在燃燒嗎？")</f>
        <v>別這麼謙虛。你當然... *嗅聞* *sniiiiiiiff* 呃唐尼？有什麼東西在燃燒嗎？</v>
      </c>
      <c r="G4120" s="4" t="str">
        <f>IFERROR(__xludf.DUMMYFUNCTION("GOOGLETRANSLATE(B4120)"),"燃燒")</f>
        <v>燃燒</v>
      </c>
    </row>
    <row r="4121" ht="15.75" customHeight="1">
      <c r="A4121" s="4">
        <v>1895.0</v>
      </c>
      <c r="B4121" s="4" t="s">
        <v>770</v>
      </c>
      <c r="C4121" s="4" t="s">
        <v>3919</v>
      </c>
      <c r="D4121" s="4" t="s">
        <v>6121</v>
      </c>
      <c r="E4121" s="4">
        <v>0.0</v>
      </c>
      <c r="F4121" s="4" t="str">
        <f>IFERROR(__xludf.DUMMYFUNCTION("GOOGLETRANSLATE(D4121)"),"燃燒軍團回來了！ https://t.co/hKsbmijqZ1")</f>
        <v>燃燒軍團回來了！ https://t.co/hKsbmijqZ1</v>
      </c>
      <c r="G4121" s="4" t="str">
        <f>IFERROR(__xludf.DUMMYFUNCTION("GOOGLETRANSLATE(B4121)"),"燃燒")</f>
        <v>燃燒</v>
      </c>
    </row>
    <row r="4122" ht="15.75" customHeight="1">
      <c r="A4122" s="4">
        <v>1897.0</v>
      </c>
      <c r="B4122" s="4" t="s">
        <v>770</v>
      </c>
      <c r="C4122" s="4" t="s">
        <v>6122</v>
      </c>
      <c r="D4122" s="4" t="s">
        <v>6123</v>
      </c>
      <c r="E4122" s="4">
        <v>0.0</v>
      </c>
      <c r="F4122" s="4" t="str">
        <f>IFERROR(__xludf.DUMMYFUNCTION("GOOGLETRANSLATE(D4122)"),"槓鈴法整合了間歇訓練的燃脂方式和肌肉塑形技術 http://t.co/xuzee2BUdv")</f>
        <v>槓鈴法整合了間歇訓練的燃脂方式和肌肉塑形技術 http://t.co/xuzee2BUdv</v>
      </c>
      <c r="G4122" s="4" t="str">
        <f>IFERROR(__xludf.DUMMYFUNCTION("GOOGLETRANSLATE(B4122)"),"燃燒")</f>
        <v>燃燒</v>
      </c>
    </row>
    <row r="4123" ht="15.75" customHeight="1">
      <c r="A4123" s="4">
        <v>1898.0</v>
      </c>
      <c r="B4123" s="4" t="s">
        <v>770</v>
      </c>
      <c r="D4123" s="4" t="s">
        <v>6124</v>
      </c>
      <c r="E4123" s="4">
        <v>0.0</v>
      </c>
      <c r="F4123" s="4" t="str">
        <f>IFERROR(__xludf.DUMMYFUNCTION("GOOGLETRANSLATE(D4123)"),"如果你對生活感到厭倦，如果你每天早上起床時沒有強烈的做事慾望，那麼你就沒有足夠的目標。 -盧·霍爾茨")</f>
        <v>如果你對生活感到厭倦，如果你每天早上起床時沒有強烈的做事慾望，那麼你就沒有足夠的目標。 -盧·霍爾茨</v>
      </c>
      <c r="G4123" s="4" t="str">
        <f>IFERROR(__xludf.DUMMYFUNCTION("GOOGLETRANSLATE(B4123)"),"燃燒")</f>
        <v>燃燒</v>
      </c>
    </row>
    <row r="4124" ht="15.75" customHeight="1">
      <c r="A4124" s="4">
        <v>1900.0</v>
      </c>
      <c r="B4124" s="4" t="s">
        <v>770</v>
      </c>
      <c r="C4124" s="4" t="s">
        <v>6125</v>
      </c>
      <c r="D4124" s="4" t="s">
        <v>6126</v>
      </c>
      <c r="E4124" s="4">
        <v>0.0</v>
      </c>
      <c r="F4124" s="4" t="str">
        <f>IFERROR(__xludf.DUMMYFUNCTION("GOOGLETRANSLATE(D4124)"),"呃呃呃惡魔獵人。但不是整個燃燒遠徵 v 2.0 的事。 https://t.co/oPtpS1lgKC")</f>
        <v>呃呃呃惡魔獵人。但不是整個燃燒遠徵 v 2.0 的事。 https://t.co/oPtpS1lgKC</v>
      </c>
      <c r="G4124" s="4" t="str">
        <f>IFERROR(__xludf.DUMMYFUNCTION("GOOGLETRANSLATE(B4124)"),"燃燒")</f>
        <v>燃燒</v>
      </c>
    </row>
    <row r="4125" ht="15.75" customHeight="1">
      <c r="A4125" s="4">
        <v>1901.0</v>
      </c>
      <c r="B4125" s="4" t="s">
        <v>770</v>
      </c>
      <c r="C4125" s="4" t="s">
        <v>6127</v>
      </c>
      <c r="D4125" s="4" t="s">
        <v>6128</v>
      </c>
      <c r="E4125" s="4">
        <v>0.0</v>
      </c>
      <c r="F4125" s="4" t="str">
        <f>IFERROR(__xludf.DUMMYFUNCTION("GOOGLETRANSLATE(D4125)"),"播放：Boat Club - London Burning Web Radio 的回憶 - http://t.co/umtNNImTbM")</f>
        <v>播放：Boat Club - London Burning Web Radio 的回憶 - http://t.co/umtNNImTbM</v>
      </c>
      <c r="G4125" s="4" t="str">
        <f>IFERROR(__xludf.DUMMYFUNCTION("GOOGLETRANSLATE(B4125)"),"燃燒")</f>
        <v>燃燒</v>
      </c>
    </row>
    <row r="4126" ht="15.75" customHeight="1">
      <c r="A4126" s="4">
        <v>1905.0</v>
      </c>
      <c r="B4126" s="4" t="s">
        <v>770</v>
      </c>
      <c r="D4126" s="4" t="s">
        <v>6129</v>
      </c>
      <c r="E4126" s="4">
        <v>0.0</v>
      </c>
      <c r="F4126" s="4" t="str">
        <f>IFERROR(__xludf.DUMMYFUNCTION("GOOGLETRANSLATE(D4126)"),"@nagel_ashley @Vicken52 @BasedLaRock @goonc1ty 撕裂世界......它在燃燒")</f>
        <v>@nagel_ashley @Vicken52 @BasedLaRock @goonc1ty 撕裂世界......它在燃燒</v>
      </c>
      <c r="G4126" s="4" t="str">
        <f>IFERROR(__xludf.DUMMYFUNCTION("GOOGLETRANSLATE(B4126)"),"燃燒")</f>
        <v>燃燒</v>
      </c>
    </row>
    <row r="4127" ht="15.75" customHeight="1">
      <c r="A4127" s="4">
        <v>1908.0</v>
      </c>
      <c r="B4127" s="4" t="s">
        <v>770</v>
      </c>
      <c r="C4127" s="4" t="s">
        <v>6130</v>
      </c>
      <c r="D4127" s="4" t="s">
        <v>6131</v>
      </c>
      <c r="E4127" s="4">
        <v>0.0</v>
      </c>
      <c r="F4127" s="4" t="str">
        <f>IFERROR(__xludf.DUMMYFUNCTION("GOOGLETRANSLATE(D4127)"),"@Rubi_它應用了多少層燃燒？")</f>
        <v>@Rubi_它應用了多少層燃燒？</v>
      </c>
      <c r="G4127" s="4" t="str">
        <f>IFERROR(__xludf.DUMMYFUNCTION("GOOGLETRANSLATE(B4127)"),"燃燒")</f>
        <v>燃燒</v>
      </c>
    </row>
    <row r="4128" ht="15.75" customHeight="1">
      <c r="A4128" s="4">
        <v>1909.0</v>
      </c>
      <c r="B4128" s="4" t="s">
        <v>770</v>
      </c>
      <c r="C4128" s="4" t="s">
        <v>6132</v>
      </c>
      <c r="D4128" s="4" t="s">
        <v>6133</v>
      </c>
      <c r="E4128" s="4">
        <v>0.0</v>
      </c>
      <c r="F4128" s="4" t="str">
        <f>IFERROR(__xludf.DUMMYFUNCTION("GOOGLETRANSLATE(D4128)"),"父母帶孩子去火人節，一名 11 歲的孩子認為這「比…更好」 http://t.co/wp6V1BHhoQ")</f>
        <v>父母帶孩子去火人節，一名 11 歲的孩子認為這「比…更好」 http://t.co/wp6V1BHhoQ</v>
      </c>
      <c r="G4128" s="4" t="str">
        <f>IFERROR(__xludf.DUMMYFUNCTION("GOOGLETRANSLATE(B4128)"),"燃燒")</f>
        <v>燃燒</v>
      </c>
    </row>
    <row r="4129" ht="15.75" customHeight="1">
      <c r="A4129" s="4">
        <v>1911.0</v>
      </c>
      <c r="B4129" s="4" t="s">
        <v>770</v>
      </c>
      <c r="D4129" s="4" t="s">
        <v>6134</v>
      </c>
      <c r="E4129" s="4">
        <v>0.0</v>
      </c>
      <c r="F4129" s="4" t="str">
        <f>IFERROR(__xludf.DUMMYFUNCTION("GOOGLETRANSLATE(D4129)"),"為什麼要撲滅仍在燃燒的火？")</f>
        <v>為什麼要撲滅仍在燃燒的火？</v>
      </c>
      <c r="G4129" s="4" t="str">
        <f>IFERROR(__xludf.DUMMYFUNCTION("GOOGLETRANSLATE(B4129)"),"燃燒")</f>
        <v>燃燒</v>
      </c>
    </row>
    <row r="4130" ht="15.75" customHeight="1">
      <c r="A4130" s="4">
        <v>1916.0</v>
      </c>
      <c r="B4130" s="4" t="s">
        <v>770</v>
      </c>
      <c r="C4130" s="4" t="s">
        <v>942</v>
      </c>
      <c r="D4130" s="4" t="s">
        <v>6135</v>
      </c>
      <c r="E4130" s="4">
        <v>0.0</v>
      </c>
      <c r="F4130" s="4" t="str">
        <f>IFERROR(__xludf.DUMMYFUNCTION("GOOGLETRANSLATE(D4130)"),"如果你不關注你的影響者，你就在燒錢 |社群時代 http://t.co/Ptc0xcRAGY")</f>
        <v>如果你不關注你的影響者，你就在燒錢 |社群時代 http://t.co/Ptc0xcRAGY</v>
      </c>
      <c r="G4130" s="4" t="str">
        <f>IFERROR(__xludf.DUMMYFUNCTION("GOOGLETRANSLATE(B4130)"),"燃燒")</f>
        <v>燃燒</v>
      </c>
    </row>
    <row r="4131" ht="15.75" customHeight="1">
      <c r="A4131" s="4">
        <v>1917.0</v>
      </c>
      <c r="B4131" s="4" t="s">
        <v>770</v>
      </c>
      <c r="C4131" s="4" t="s">
        <v>6136</v>
      </c>
      <c r="D4131" s="4" t="s">
        <v>6137</v>
      </c>
      <c r="E4131" s="4">
        <v>0.0</v>
      </c>
      <c r="F4131" s="4" t="str">
        <f>IFERROR(__xludf.DUMMYFUNCTION("GOOGLETRANSLATE(D4131)"),"@minsuwoongs 我完全理解，因為我 15 分鐘前才醒來，我正在燃燒")</f>
        <v>@minsuwoongs 我完全理解，因為我 15 分鐘前才醒來，我正在燃燒</v>
      </c>
      <c r="G4131" s="4" t="str">
        <f>IFERROR(__xludf.DUMMYFUNCTION("GOOGLETRANSLATE(B4131)"),"燃燒")</f>
        <v>燃燒</v>
      </c>
    </row>
    <row r="4132" ht="15.75" customHeight="1">
      <c r="A4132" s="4">
        <v>1918.0</v>
      </c>
      <c r="B4132" s="4" t="s">
        <v>770</v>
      </c>
      <c r="D4132" s="4" t="s">
        <v>6138</v>
      </c>
      <c r="E4132" s="4">
        <v>0.0</v>
      </c>
      <c r="F4132" s="4" t="str">
        <f>IFERROR(__xludf.DUMMYFUNCTION("GOOGLETRANSLATE(D4132)"),"#ika #調整湯#飲食食譜|脂肪燃燒湯食譜：http://t.co/8r5vpAoo5z 脂肪燃燒湯飲食食譜http://t.co/JvcxB75DrJ")</f>
        <v>#ika #調整湯#飲食食譜|脂肪燃燒湯食譜：http://t.co/8r5vpAoo5z 脂肪燃燒湯飲食食譜http://t.co/JvcxB75DrJ</v>
      </c>
      <c r="G4132" s="4" t="str">
        <f>IFERROR(__xludf.DUMMYFUNCTION("GOOGLETRANSLATE(B4132)"),"燃燒")</f>
        <v>燃燒</v>
      </c>
    </row>
    <row r="4133" ht="15.75" customHeight="1">
      <c r="A4133" s="4">
        <v>1919.0</v>
      </c>
      <c r="B4133" s="4" t="s">
        <v>770</v>
      </c>
      <c r="C4133" s="4" t="s">
        <v>291</v>
      </c>
      <c r="D4133" s="4" t="s">
        <v>6139</v>
      </c>
      <c r="E4133" s="4">
        <v>0.0</v>
      </c>
      <c r="F4133" s="4" t="str">
        <f>IFERROR(__xludf.DUMMYFUNCTION("GOOGLETRANSLATE(D4133)"),"2 張火人節門票 + 車輛通行證 - eBay 全文閱讀 http://t.co/b0eS3ZIORK http://t.co/juIIt2YFVo")</f>
        <v>2 張火人節門票 + 車輛通行證 - eBay 全文閱讀 http://t.co/b0eS3ZIORK http://t.co/juIIt2YFVo</v>
      </c>
      <c r="G4133" s="4" t="str">
        <f>IFERROR(__xludf.DUMMYFUNCTION("GOOGLETRANSLATE(B4133)"),"燃燒")</f>
        <v>燃燒</v>
      </c>
    </row>
    <row r="4134" ht="15.75" customHeight="1">
      <c r="A4134" s="4">
        <v>1920.0</v>
      </c>
      <c r="B4134" s="4" t="s">
        <v>770</v>
      </c>
      <c r="D4134" s="4" t="s">
        <v>6140</v>
      </c>
      <c r="E4134" s="4">
        <v>0.0</v>
      </c>
      <c r="F4134" s="4" t="str">
        <f>IFERROR(__xludf.DUMMYFUNCTION("GOOGLETRANSLATE(D4134)"),"夏天的最後幾天應該是最有趣的，所以還有什麼比玩打火機時不小心燒到手臂毛更有趣的呢？")</f>
        <v>夏天的最後幾天應該是最有趣的，所以還有什麼比玩打火機時不小心燒到手臂毛更有趣的呢？</v>
      </c>
      <c r="G4134" s="4" t="str">
        <f>IFERROR(__xludf.DUMMYFUNCTION("GOOGLETRANSLATE(B4134)"),"燃燒")</f>
        <v>燃燒</v>
      </c>
    </row>
    <row r="4135" ht="15.75" customHeight="1">
      <c r="A4135" s="4">
        <v>1922.0</v>
      </c>
      <c r="B4135" s="4" t="s">
        <v>789</v>
      </c>
      <c r="C4135" s="4" t="s">
        <v>670</v>
      </c>
      <c r="D4135" s="4" t="s">
        <v>671</v>
      </c>
      <c r="E4135" s="4">
        <v>0.0</v>
      </c>
      <c r="F4135" s="4" t="str">
        <f>IFERROR(__xludf.DUMMYFUNCTION("GOOGLETRANSLATE(D4135)"),"嗯嗯，我正在燃燒......我正在燃燒我正在建造的建築物......哦哦哦哦哦......")</f>
        <v>嗯嗯，我正在燃燒......我正在燃燒我正在建造的建築物......哦哦哦哦哦......</v>
      </c>
      <c r="G4135" s="4" t="str">
        <f>IFERROR(__xludf.DUMMYFUNCTION("GOOGLETRANSLATE(B4135)"),"燃燒%20建築物")</f>
        <v>燃燒%20建築物</v>
      </c>
    </row>
    <row r="4136" ht="15.75" customHeight="1">
      <c r="A4136" s="4">
        <v>1924.0</v>
      </c>
      <c r="B4136" s="4" t="s">
        <v>789</v>
      </c>
      <c r="C4136" s="4" t="s">
        <v>6053</v>
      </c>
      <c r="D4136" s="4" t="s">
        <v>6054</v>
      </c>
      <c r="E4136" s="4">
        <v>0.0</v>
      </c>
      <c r="F4136" s="4" t="str">
        <f>IFERROR(__xludf.DUMMYFUNCTION("GOOGLETRANSLATE(D4136)"),"我正在為一個炸彈屁股學年做好心理準備，如果不是的話我會燒毀建築物？")</f>
        <v>我正在為一個炸彈屁股學年做好心理準備，如果不是的話我會燒毀建築物？</v>
      </c>
      <c r="G4136" s="4" t="str">
        <f>IFERROR(__xludf.DUMMYFUNCTION("GOOGLETRANSLATE(B4136)"),"燃燒%20建築物")</f>
        <v>燃燒%20建築物</v>
      </c>
    </row>
    <row r="4137" ht="15.75" customHeight="1">
      <c r="A4137" s="4">
        <v>1932.0</v>
      </c>
      <c r="B4137" s="4" t="s">
        <v>789</v>
      </c>
      <c r="D4137" s="4" t="s">
        <v>6141</v>
      </c>
      <c r="E4137" s="4">
        <v>0.0</v>
      </c>
      <c r="F4137" s="4" t="str">
        <f>IFERROR(__xludf.DUMMYFUNCTION("GOOGLETRANSLATE(D4137)"),"石山抗議集會？至少他們沒有像某些人“抗議”時那樣燒毀建築物並搶劫商店")</f>
        <v>石山抗議集會？至少他們沒有像某些人“抗議”時那樣燒毀建築物並搶劫商店</v>
      </c>
      <c r="G4137" s="4" t="str">
        <f>IFERROR(__xludf.DUMMYFUNCTION("GOOGLETRANSLATE(B4137)"),"燃燒%20建築物")</f>
        <v>燃燒%20建築物</v>
      </c>
    </row>
    <row r="4138" ht="15.75" customHeight="1">
      <c r="A4138" s="4">
        <v>1933.0</v>
      </c>
      <c r="B4138" s="4" t="s">
        <v>789</v>
      </c>
      <c r="C4138" s="4" t="s">
        <v>6142</v>
      </c>
      <c r="D4138" s="4" t="s">
        <v>6143</v>
      </c>
      <c r="E4138" s="4">
        <v>0.0</v>
      </c>
      <c r="F4138" s="4" t="str">
        <f>IFERROR(__xludf.DUMMYFUNCTION("GOOGLETRANSLATE(D4138)"),"我的男人為了謀生而闖入燃燒的建築物，但不敢打女孩。我不明白。")</f>
        <v>我的男人為了謀生而闖入燃燒的建築物，但不敢打女孩。我不明白。</v>
      </c>
      <c r="G4138" s="4" t="str">
        <f>IFERROR(__xludf.DUMMYFUNCTION("GOOGLETRANSLATE(B4138)"),"燃燒%20建築物")</f>
        <v>燃燒%20建築物</v>
      </c>
    </row>
    <row r="4139" ht="15.75" customHeight="1">
      <c r="A4139" s="4">
        <v>1935.0</v>
      </c>
      <c r="B4139" s="4" t="s">
        <v>789</v>
      </c>
      <c r="C4139" s="4" t="s">
        <v>6144</v>
      </c>
      <c r="D4139" s="4" t="s">
        <v>6145</v>
      </c>
      <c r="E4139" s="4">
        <v>0.0</v>
      </c>
      <c r="F4139" s="4" t="str">
        <f>IFERROR(__xludf.DUMMYFUNCTION("GOOGLETRANSLATE(D4139)"),"這聽起來就像你在電影中聽到的一首歌，電影中他們正在遠離著火的建築物、汽車和垃圾")</f>
        <v>這聽起來就像你在電影中聽到的一首歌，電影中他們正在遠離著火的建築物、汽車和垃圾</v>
      </c>
      <c r="G4139" s="4" t="str">
        <f>IFERROR(__xludf.DUMMYFUNCTION("GOOGLETRANSLATE(B4139)"),"燃燒%20建築物")</f>
        <v>燃燒%20建築物</v>
      </c>
    </row>
    <row r="4140" ht="15.75" customHeight="1">
      <c r="A4140" s="4">
        <v>1939.0</v>
      </c>
      <c r="B4140" s="4" t="s">
        <v>789</v>
      </c>
      <c r="D4140" s="4" t="s">
        <v>6146</v>
      </c>
      <c r="E4140" s="4">
        <v>0.0</v>
      </c>
      <c r="F4140" s="4" t="str">
        <f>IFERROR(__xludf.DUMMYFUNCTION("GOOGLETRANSLATE(D4140)"),"#KCA #VoteJKT48ID DUCKVILLELOL：Burning 翻轉桌子並說“管它，讓我們攻擊一些建築物！”抓住 DR Û_ http://t.co/03L7NwQDje")</f>
        <v>#KCA #VoteJKT48ID DUCKVILLELOL：Burning 翻轉桌子並說“管它，讓我們攻擊一些建築物！”抓住 DR Û_ http://t.co/03L7NwQDje</v>
      </c>
      <c r="G4140" s="4" t="str">
        <f>IFERROR(__xludf.DUMMYFUNCTION("GOOGLETRANSLATE(B4140)"),"燃燒%20建築物")</f>
        <v>燃燒%20建築物</v>
      </c>
    </row>
    <row r="4141" ht="15.75" customHeight="1">
      <c r="A4141" s="4">
        <v>1940.0</v>
      </c>
      <c r="B4141" s="4" t="s">
        <v>789</v>
      </c>
      <c r="D4141" s="4" t="s">
        <v>6147</v>
      </c>
      <c r="E4141" s="4">
        <v>0.0</v>
      </c>
      <c r="F4141" s="4" t="str">
        <f>IFERROR(__xludf.DUMMYFUNCTION("GOOGLETRANSLATE(D4141)"),"英雄打仗，從燃燒的建築物中拯救人們，我很抱歉，但你要做的不僅僅是支付 4 變性 be4 我稱你為英雄")</f>
        <v>英雄打仗，從燃燒的建築物中拯救人們，我很抱歉，但你要做的不僅僅是支付 4 變性 be4 我稱你為英雄</v>
      </c>
      <c r="G4141" s="4" t="str">
        <f>IFERROR(__xludf.DUMMYFUNCTION("GOOGLETRANSLATE(B4141)"),"燃燒%20建築物")</f>
        <v>燃燒%20建築物</v>
      </c>
    </row>
    <row r="4142" ht="15.75" customHeight="1">
      <c r="A4142" s="4">
        <v>1948.0</v>
      </c>
      <c r="B4142" s="4" t="s">
        <v>789</v>
      </c>
      <c r="C4142" s="4" t="s">
        <v>6148</v>
      </c>
      <c r="D4142" s="4" t="s">
        <v>6149</v>
      </c>
      <c r="E4142" s="4">
        <v>0.0</v>
      </c>
      <c r="F4142" s="4" t="str">
        <f>IFERROR(__xludf.DUMMYFUNCTION("GOOGLETRANSLATE(D4142)"),"在紐約酷熱的天氣裡嘗試德拉尼的 Dhalgren。一邊喝著熱咖啡，一邊描述建築物被燒了好幾天卻沒有毀壞。")</f>
        <v>在紐約酷熱的天氣裡嘗試德拉尼的 Dhalgren。一邊喝著熱咖啡，一邊描述建築物被燒了好幾天卻沒有毀壞。</v>
      </c>
      <c r="G4142" s="4" t="str">
        <f>IFERROR(__xludf.DUMMYFUNCTION("GOOGLETRANSLATE(B4142)"),"燃燒%20建築物")</f>
        <v>燃燒%20建築物</v>
      </c>
    </row>
    <row r="4143" ht="15.75" customHeight="1">
      <c r="A4143" s="4">
        <v>1949.0</v>
      </c>
      <c r="B4143" s="4" t="s">
        <v>789</v>
      </c>
      <c r="D4143" s="4" t="s">
        <v>6150</v>
      </c>
      <c r="E4143" s="4">
        <v>0.0</v>
      </c>
      <c r="F4143" s="4" t="str">
        <f>IFERROR(__xludf.DUMMYFUNCTION("GOOGLETRANSLATE(D4143)"),"@莫法農？？你最後的轉發你會認為獅子從燃燒的建築物中救了人們，它並沒有那麼深")</f>
        <v>@莫法農？？你最後的轉發你會認為獅子從燃燒的建築物中救了人們，它並沒有那麼深</v>
      </c>
      <c r="G4143" s="4" t="str">
        <f>IFERROR(__xludf.DUMMYFUNCTION("GOOGLETRANSLATE(B4143)"),"燃燒%20建築物")</f>
        <v>燃燒%20建築物</v>
      </c>
    </row>
    <row r="4144" ht="15.75" customHeight="1">
      <c r="A4144" s="4">
        <v>1950.0</v>
      </c>
      <c r="B4144" s="4" t="s">
        <v>789</v>
      </c>
      <c r="C4144" s="4" t="s">
        <v>700</v>
      </c>
      <c r="D4144" s="4" t="s">
        <v>701</v>
      </c>
      <c r="E4144" s="4">
        <v>0.0</v>
      </c>
      <c r="F4144" s="4" t="str">
        <f>IFERROR(__xludf.DUMMYFUNCTION("GOOGLETRANSLATE(D4144)"),"就像音樂錄影帶一樣，我想要一些真實的動作，例如燃燒的建築物和警察追逐，而不是一些軟弱的本溫斯頓狗屎")</f>
        <v>就像音樂錄影帶一樣，我想要一些真實的動作，例如燃燒的建築物和警察追逐，而不是一些軟弱的本溫斯頓狗屎</v>
      </c>
      <c r="G4144" s="4" t="str">
        <f>IFERROR(__xludf.DUMMYFUNCTION("GOOGLETRANSLATE(B4144)"),"燃燒%20建築物")</f>
        <v>燃燒%20建築物</v>
      </c>
    </row>
    <row r="4145" ht="15.75" customHeight="1">
      <c r="A4145" s="4">
        <v>1951.0</v>
      </c>
      <c r="B4145" s="4" t="s">
        <v>789</v>
      </c>
      <c r="D4145" s="4" t="s">
        <v>6151</v>
      </c>
      <c r="E4145" s="4">
        <v>0.0</v>
      </c>
      <c r="F4145" s="4" t="str">
        <f>IFERROR(__xludf.DUMMYFUNCTION("GOOGLETRANSLATE(D4145)"),"我正在與怪物戰鬥，我正在把你從燃燒的建築物中拉出來，你說我會給你任何東西，但你從來沒有成功過。")</f>
        <v>我正在與怪物戰鬥，我正在把你從燃燒的建築物中拉出來，你說我會給你任何東西，但你從來沒有成功過。</v>
      </c>
      <c r="G4145" s="4" t="str">
        <f>IFERROR(__xludf.DUMMYFUNCTION("GOOGLETRANSLATE(B4145)"),"燃燒%20建築物")</f>
        <v>燃燒%20建築物</v>
      </c>
    </row>
    <row r="4146" ht="15.75" customHeight="1">
      <c r="A4146" s="4">
        <v>1953.0</v>
      </c>
      <c r="B4146" s="4" t="s">
        <v>789</v>
      </c>
      <c r="C4146" s="4" t="s">
        <v>512</v>
      </c>
      <c r="D4146" s="4" t="s">
        <v>6152</v>
      </c>
      <c r="E4146" s="4">
        <v>0.0</v>
      </c>
      <c r="F4146" s="4" t="str">
        <f>IFERROR(__xludf.DUMMYFUNCTION("GOOGLETRANSLATE(D4146)"),"阿里，你開飛機，跑進燃燒的建築物，為什麼要給那個男孩做湯？！ #BooRadleyVanCullen")</f>
        <v>阿里，你開飛機，跑進燃燒的建築物，為什麼要給那個男孩做湯？！ #BooRadleyVanCullen</v>
      </c>
      <c r="G4146" s="4" t="str">
        <f>IFERROR(__xludf.DUMMYFUNCTION("GOOGLETRANSLATE(B4146)"),"燃燒%20建築物")</f>
        <v>燃燒%20建築物</v>
      </c>
    </row>
    <row r="4147" ht="15.75" customHeight="1">
      <c r="A4147" s="4">
        <v>1955.0</v>
      </c>
      <c r="B4147" s="4" t="s">
        <v>789</v>
      </c>
      <c r="C4147" s="4" t="s">
        <v>6153</v>
      </c>
      <c r="D4147" s="4" t="s">
        <v>6154</v>
      </c>
      <c r="E4147" s="4">
        <v>0.0</v>
      </c>
      <c r="F4147" s="4" t="str">
        <f>IFERROR(__xludf.DUMMYFUNCTION("GOOGLETRANSLATE(D4147)"),"德魯·斯托恩可能正在治愈癌症和癌症從著火的建築物中拯救小狗，同時思考自己的所作所為 2 應該受到這種不尊重")</f>
        <v>德魯·斯托恩可能正在治愈癌症和癌症從著火的建築物中拯救小狗，同時思考自己的所作所為 2 應該受到這種不尊重</v>
      </c>
      <c r="G4147" s="4" t="str">
        <f>IFERROR(__xludf.DUMMYFUNCTION("GOOGLETRANSLATE(B4147)"),"燃燒%20建築物")</f>
        <v>燃燒%20建築物</v>
      </c>
    </row>
    <row r="4148" ht="15.75" customHeight="1">
      <c r="A4148" s="4">
        <v>1956.0</v>
      </c>
      <c r="B4148" s="4" t="s">
        <v>789</v>
      </c>
      <c r="D4148" s="4" t="s">
        <v>6155</v>
      </c>
      <c r="E4148" s="4">
        <v>0.0</v>
      </c>
      <c r="F4148" s="4" t="str">
        <f>IFERROR(__xludf.DUMMYFUNCTION("GOOGLETRANSLATE(D4148)"),"啊，是的，同性戀正在徹底摧毀美國。我可以看到建築物在燃燒，流星撞擊學校哇")</f>
        <v>啊，是的，同性戀正在徹底摧毀美國。我可以看到建築物在燃燒，流星撞擊學校哇</v>
      </c>
      <c r="G4148" s="4" t="str">
        <f>IFERROR(__xludf.DUMMYFUNCTION("GOOGLETRANSLATE(B4148)"),"燃燒%20建築物")</f>
        <v>燃燒%20建築物</v>
      </c>
    </row>
    <row r="4149" ht="15.75" customHeight="1">
      <c r="A4149" s="4">
        <v>1960.0</v>
      </c>
      <c r="B4149" s="4" t="s">
        <v>789</v>
      </c>
      <c r="C4149" s="4" t="s">
        <v>6156</v>
      </c>
      <c r="D4149" s="4" t="s">
        <v>6157</v>
      </c>
      <c r="E4149" s="4">
        <v>0.0</v>
      </c>
      <c r="F4149" s="4" t="str">
        <f>IFERROR(__xludf.DUMMYFUNCTION("GOOGLETRANSLATE(D4149)"),"如果消防員表現得像警察，他們會開著火焰噴射器向著火的建築物射擊")</f>
        <v>如果消防員表現得像警察，他們會開著火焰噴射器向著火的建築物射擊</v>
      </c>
      <c r="G4149" s="4" t="str">
        <f>IFERROR(__xludf.DUMMYFUNCTION("GOOGLETRANSLATE(B4149)"),"燃燒%20建築物")</f>
        <v>燃燒%20建築物</v>
      </c>
    </row>
    <row r="4150" ht="15.75" customHeight="1">
      <c r="A4150" s="4">
        <v>1965.0</v>
      </c>
      <c r="B4150" s="4" t="s">
        <v>789</v>
      </c>
      <c r="C4150" s="4" t="s">
        <v>6158</v>
      </c>
      <c r="D4150" s="4" t="s">
        <v>6159</v>
      </c>
      <c r="E4150" s="4">
        <v>0.0</v>
      </c>
      <c r="F4150" s="4" t="str">
        <f>IFERROR(__xludf.DUMMYFUNCTION("GOOGLETRANSLATE(D4150)"),"“我從來不理解那些想衝進燃燒的建築物的人。”
“你追捕兇手。”
“如果它們著火了就不會。”")</f>
        <v>“我從來不理解那些想衝進燃燒的建築物的人。”
“你追捕兇手。”
“如果它們著火了就不會。”</v>
      </c>
      <c r="G4150" s="4" t="str">
        <f>IFERROR(__xludf.DUMMYFUNCTION("GOOGLETRANSLATE(B4150)"),"燃燒%20建築物")</f>
        <v>燃燒%20建築物</v>
      </c>
    </row>
    <row r="4151" ht="15.75" customHeight="1">
      <c r="A4151" s="4">
        <v>1975.0</v>
      </c>
      <c r="B4151" s="4" t="s">
        <v>818</v>
      </c>
      <c r="C4151" s="4" t="s">
        <v>6160</v>
      </c>
      <c r="D4151" s="4" t="s">
        <v>6161</v>
      </c>
      <c r="E4151" s="4">
        <v>0.0</v>
      </c>
      <c r="F4151" s="4" t="str">
        <f>IFERROR(__xludf.DUMMYFUNCTION("GOOGLETRANSLATE(D4151)"),"特德克魯茲 (Ted Cruz) 向傑布 (Jeb) 進行回擊布希：我們輸了，因為像傑布和布希這樣的共和黨人手套。Û [影片] - http://t.co/BFTHaHLCr0")</f>
        <v>特德克魯茲 (Ted Cruz) 向傑布 (Jeb) 進行回擊布希：我們輸了，因為像傑布和布希這樣的共和黨人手套。Û [影片] - http://t.co/BFTHaHLCr0</v>
      </c>
      <c r="G4151" s="4" t="str">
        <f>IFERROR(__xludf.DUMMYFUNCTION("GOOGLETRANSLATE(B4151)"),"叢林%20火災")</f>
        <v>叢林%20火災</v>
      </c>
    </row>
    <row r="4152" ht="15.75" customHeight="1">
      <c r="A4152" s="4">
        <v>1981.0</v>
      </c>
      <c r="B4152" s="4" t="s">
        <v>818</v>
      </c>
      <c r="D4152" s="4" t="s">
        <v>6162</v>
      </c>
      <c r="E4152" s="4">
        <v>0.0</v>
      </c>
      <c r="F4152" s="4" t="str">
        <f>IFERROR(__xludf.DUMMYFUNCTION("GOOGLETRANSLATE(D4152)"),"特德克魯茲 (Ted Cruz) 向傑布 (Jeb) 進行回擊布希：我們輸了，因為像傑布和布希這樣的共和黨人手套。Û [影片] - http://t.co/bFtiaPF35F")</f>
        <v>特德克魯茲 (Ted Cruz) 向傑布 (Jeb) 進行回擊布希：我們輸了，因為像傑布和布希這樣的共和黨人手套。Û [影片] - http://t.co/bFtiaPF35F</v>
      </c>
      <c r="G4152" s="4" t="str">
        <f>IFERROR(__xludf.DUMMYFUNCTION("GOOGLETRANSLATE(B4152)"),"叢林%20火災")</f>
        <v>叢林%20火災</v>
      </c>
    </row>
    <row r="4153" ht="15.75" customHeight="1">
      <c r="A4153" s="4">
        <v>1986.0</v>
      </c>
      <c r="B4153" s="4" t="s">
        <v>818</v>
      </c>
      <c r="C4153" s="4" t="s">
        <v>6163</v>
      </c>
      <c r="D4153" s="4" t="s">
        <v>6164</v>
      </c>
      <c r="E4153" s="4">
        <v>0.0</v>
      </c>
      <c r="F4153" s="4" t="str">
        <f>IFERROR(__xludf.DUMMYFUNCTION("GOOGLETRANSLATE(D4153)"),"“當你攻擊女性健康時，你就攻擊了美國的健康。”希拉蕊·柯林頓展示如何#StandwithPP http://t.co/HXdG254dHO")</f>
        <v>“當你攻擊女性健康時，你就攻擊了美國的健康。”希拉蕊·柯林頓展示如何#StandwithPP http://t.co/HXdG254dHO</v>
      </c>
      <c r="G4153" s="4" t="str">
        <f>IFERROR(__xludf.DUMMYFUNCTION("GOOGLETRANSLATE(B4153)"),"叢林%20火災")</f>
        <v>叢林%20火災</v>
      </c>
    </row>
    <row r="4154" ht="15.75" customHeight="1">
      <c r="A4154" s="4">
        <v>1987.0</v>
      </c>
      <c r="B4154" s="4" t="s">
        <v>818</v>
      </c>
      <c r="C4154" s="4" t="s">
        <v>6165</v>
      </c>
      <c r="D4154" s="4" t="s">
        <v>6166</v>
      </c>
      <c r="E4154" s="4">
        <v>0.0</v>
      </c>
      <c r="F4154" s="4" t="str">
        <f>IFERROR(__xludf.DUMMYFUNCTION("GOOGLETRANSLATE(D4154)"),"度假時放鬆享受日光浴、喝酒…撲滅叢林大火？沒那麼多 ？？ #西班牙 https://t.co/dRno7OKM21")</f>
        <v>度假時放鬆享受日光浴、喝酒…撲滅叢林大火？沒那麼多 ？？ #西班牙 https://t.co/dRno7OKM21</v>
      </c>
      <c r="G4154" s="4" t="str">
        <f>IFERROR(__xludf.DUMMYFUNCTION("GOOGLETRANSLATE(B4154)"),"叢林%20火災")</f>
        <v>叢林%20火災</v>
      </c>
    </row>
    <row r="4155" ht="15.75" customHeight="1">
      <c r="A4155" s="4">
        <v>1994.0</v>
      </c>
      <c r="B4155" s="4" t="s">
        <v>818</v>
      </c>
      <c r="D4155" s="4" t="s">
        <v>6167</v>
      </c>
      <c r="E4155" s="4">
        <v>0.0</v>
      </c>
      <c r="F4155" s="4" t="str">
        <f>IFERROR(__xludf.DUMMYFUNCTION("GOOGLETRANSLATE(D4155)"),"你可以確定一件事。蘇格蘭永遠不會發生叢林火災，因為地面總是濕透的？？？")</f>
        <v>你可以確定一件事。蘇格蘭永遠不會發生叢林火災，因為地面總是濕透的？？？</v>
      </c>
      <c r="G4155" s="4" t="str">
        <f>IFERROR(__xludf.DUMMYFUNCTION("GOOGLETRANSLATE(B4155)"),"叢林%20火災")</f>
        <v>叢林%20火災</v>
      </c>
    </row>
    <row r="4156" ht="15.75" customHeight="1">
      <c r="A4156" s="4">
        <v>1999.0</v>
      </c>
      <c r="B4156" s="4" t="s">
        <v>818</v>
      </c>
      <c r="D4156" s="4" t="s">
        <v>6168</v>
      </c>
      <c r="E4156" s="4">
        <v>0.0</v>
      </c>
      <c r="F4156" s="4" t="str">
        <f>IFERROR(__xludf.DUMMYFUNCTION("GOOGLETRANSLATE(D4156)"),"特德克魯茲 (Ted Cruz) 向傑布 (Jeb) 進行回擊布希：我們輸了，因為像傑布和布希這樣的共和黨人手套。Û [影片] http://t.co/FgDEh56PLO")</f>
        <v>特德克魯茲 (Ted Cruz) 向傑布 (Jeb) 進行回擊布希：我們輸了，因為像傑布和布希這樣的共和黨人手套。Û [影片] http://t.co/FgDEh56PLO</v>
      </c>
      <c r="G4156" s="4" t="str">
        <f>IFERROR(__xludf.DUMMYFUNCTION("GOOGLETRANSLATE(B4156)"),"叢林%20火災")</f>
        <v>叢林%20火災</v>
      </c>
    </row>
    <row r="4157" ht="15.75" customHeight="1">
      <c r="A4157" s="4">
        <v>2006.0</v>
      </c>
      <c r="B4157" s="4" t="s">
        <v>818</v>
      </c>
      <c r="D4157" s="4" t="s">
        <v>6169</v>
      </c>
      <c r="E4157" s="4">
        <v>0.0</v>
      </c>
      <c r="F4157" s="4" t="str">
        <f>IFERROR(__xludf.DUMMYFUNCTION("GOOGLETRANSLATE(D4157)"),"特德克魯茲 (Ted Cruz) 向傑布 (Jeb) 進行回擊布希：我們輸了，因為像傑布和布希這樣的共和黨人手套。Û [影片] - http://t.co/KCofF6BmiE")</f>
        <v>特德克魯茲 (Ted Cruz) 向傑布 (Jeb) 進行回擊布希：我們輸了，因為像傑布和布希這樣的共和黨人手套。Û [影片] - http://t.co/KCofF6BmiE</v>
      </c>
      <c r="G4157" s="4" t="str">
        <f>IFERROR(__xludf.DUMMYFUNCTION("GOOGLETRANSLATE(B4157)"),"叢林%20火災")</f>
        <v>叢林%20火災</v>
      </c>
    </row>
    <row r="4158" ht="15.75" customHeight="1">
      <c r="A4158" s="4">
        <v>2009.0</v>
      </c>
      <c r="B4158" s="4" t="s">
        <v>849</v>
      </c>
      <c r="C4158" s="4" t="s">
        <v>6170</v>
      </c>
      <c r="D4158" s="4" t="s">
        <v>6171</v>
      </c>
      <c r="E4158" s="4">
        <v>0.0</v>
      </c>
      <c r="F4158" s="4" t="str">
        <f>IFERROR(__xludf.DUMMYFUNCTION("GOOGLETRANSLATE(D4158)"),"當你輕鬆煮兩個雞蛋而沒有蛋黃傷亡時的勝利時刻？ http://t.co/fQJ5Aga1pd")</f>
        <v>當你輕鬆煮兩個雞蛋而沒有蛋黃傷亡時的勝利時刻？ http://t.co/fQJ5Aga1pd</v>
      </c>
      <c r="G4158" s="4" t="str">
        <f>IFERROR(__xludf.DUMMYFUNCTION("GOOGLETRANSLATE(B4158)"),"傷亡")</f>
        <v>傷亡</v>
      </c>
    </row>
    <row r="4159" ht="15.75" customHeight="1">
      <c r="A4159" s="4">
        <v>2017.0</v>
      </c>
      <c r="B4159" s="4" t="s">
        <v>849</v>
      </c>
      <c r="C4159" s="4" t="s">
        <v>6172</v>
      </c>
      <c r="D4159" s="4" t="s">
        <v>6173</v>
      </c>
      <c r="E4159" s="4">
        <v>0.0</v>
      </c>
      <c r="F4159" s="4" t="str">
        <f>IFERROR(__xludf.DUMMYFUNCTION("GOOGLETRANSLATE(D4159)"),"@LibertarianLuke 說實話，我完全贊成這一點。如果人們想橫衝直撞，就讓他們用自己的手和腳吧。無人員傷亡。")</f>
        <v>@LibertarianLuke 說實話，我完全贊成這一點。如果人們想橫衝直撞，就讓他們用自己的手和腳吧。無人員傷亡。</v>
      </c>
      <c r="G4159" s="4" t="str">
        <f>IFERROR(__xludf.DUMMYFUNCTION("GOOGLETRANSLATE(B4159)"),"傷亡")</f>
        <v>傷亡</v>
      </c>
    </row>
    <row r="4160" ht="15.75" customHeight="1">
      <c r="A4160" s="4">
        <v>2026.0</v>
      </c>
      <c r="B4160" s="4" t="s">
        <v>849</v>
      </c>
      <c r="C4160" s="4" t="s">
        <v>6174</v>
      </c>
      <c r="D4160" s="4" t="s">
        <v>6175</v>
      </c>
      <c r="E4160" s="4">
        <v>0.0</v>
      </c>
      <c r="F4160" s="4" t="str">
        <f>IFERROR(__xludf.DUMMYFUNCTION("GOOGLETRANSLATE(D4160)"),"@LasVegasLocally @VitalVegas 他們將酒量控制在 2 人每人 3 杯，但只是因為大便墜落造成了太多傷亡！")</f>
        <v>@LasVegasLocally @VitalVegas 他們將酒量控制在 2 人每人 3 杯，但只是因為大便墜落造成了太多傷亡！</v>
      </c>
      <c r="G4160" s="4" t="str">
        <f>IFERROR(__xludf.DUMMYFUNCTION("GOOGLETRANSLATE(B4160)"),"傷亡")</f>
        <v>傷亡</v>
      </c>
    </row>
    <row r="4161" ht="15.75" customHeight="1">
      <c r="A4161" s="4">
        <v>2028.0</v>
      </c>
      <c r="B4161" s="4" t="s">
        <v>849</v>
      </c>
      <c r="C4161" s="4" t="s">
        <v>6176</v>
      </c>
      <c r="D4161" s="4" t="s">
        <v>6177</v>
      </c>
      <c r="E4161" s="4">
        <v>0.0</v>
      </c>
      <c r="F4161" s="4" t="str">
        <f>IFERROR(__xludf.DUMMYFUNCTION("GOOGLETRANSLATE(D4161)"),"我聽得越多，就越相信《Casualties of Cool》是有史以來最好的專輯之一。")</f>
        <v>我聽得越多，就越相信《Casualties of Cool》是有史以來最好的專輯之一。</v>
      </c>
      <c r="G4161" s="4" t="str">
        <f>IFERROR(__xludf.DUMMYFUNCTION("GOOGLETRANSLATE(B4161)"),"傷亡")</f>
        <v>傷亡</v>
      </c>
    </row>
    <row r="4162" ht="15.75" customHeight="1">
      <c r="A4162" s="4">
        <v>2046.0</v>
      </c>
      <c r="B4162" s="4" t="s">
        <v>849</v>
      </c>
      <c r="C4162" s="4" t="s">
        <v>6178</v>
      </c>
      <c r="D4162" s="4" t="s">
        <v>6179</v>
      </c>
      <c r="E4162" s="4">
        <v>0.0</v>
      </c>
      <c r="F4162" s="4" t="str">
        <f>IFERROR(__xludf.DUMMYFUNCTION("GOOGLETRANSLATE(D4162)"),"ÛÏ 通往權力的道路鋪滿了虛偽和傷亡。Û #FrancisUnderwood #HoC https://t.co/zqO6NUvYTu")</f>
        <v>ÛÏ 通往權力的道路鋪滿了虛偽和傷亡。Û #FrancisUnderwood #HoC https://t.co/zqO6NUvYTu</v>
      </c>
      <c r="G4162" s="4" t="str">
        <f>IFERROR(__xludf.DUMMYFUNCTION("GOOGLETRANSLATE(B4162)"),"傷亡")</f>
        <v>傷亡</v>
      </c>
    </row>
    <row r="4163" ht="15.75" customHeight="1">
      <c r="A4163" s="4">
        <v>2050.0</v>
      </c>
      <c r="B4163" s="4" t="s">
        <v>849</v>
      </c>
      <c r="C4163" s="4" t="s">
        <v>6180</v>
      </c>
      <c r="D4163" s="4" t="s">
        <v>6181</v>
      </c>
      <c r="E4163" s="4">
        <v>0.0</v>
      </c>
      <c r="F4163" s="4" t="str">
        <f>IFERROR(__xludf.DUMMYFUNCTION("GOOGLETRANSLATE(D4163)"),"請繼續關注，否則不要 idc #casualties http://t.co/nssjPR6Pdd")</f>
        <v>請繼續關注，否則不要 idc #casualties http://t.co/nssjPR6Pdd</v>
      </c>
      <c r="G4163" s="4" t="str">
        <f>IFERROR(__xludf.DUMMYFUNCTION("GOOGLETRANSLATE(B4163)"),"傷亡")</f>
        <v>傷亡</v>
      </c>
    </row>
    <row r="4164" ht="15.75" customHeight="1">
      <c r="A4164" s="4">
        <v>2058.0</v>
      </c>
      <c r="B4164" s="4" t="s">
        <v>849</v>
      </c>
      <c r="C4164" s="4" t="s">
        <v>6182</v>
      </c>
      <c r="D4164" s="4" t="s">
        <v>6183</v>
      </c>
      <c r="E4164" s="4">
        <v>0.0</v>
      </c>
      <c r="F4164" s="4" t="str">
        <f>IFERROR(__xludf.DUMMYFUNCTION("GOOGLETRANSLATE(D4164)"),"涉及大規模傷亡，這真是異想天開。總是令人印象深刻。")</f>
        <v>涉及大規模傷亡，這真是異想天開。總是令人印象深刻。</v>
      </c>
      <c r="G4164" s="4" t="str">
        <f>IFERROR(__xludf.DUMMYFUNCTION("GOOGLETRANSLATE(B4164)"),"傷亡")</f>
        <v>傷亡</v>
      </c>
    </row>
    <row r="4165" ht="15.75" customHeight="1">
      <c r="A4165" s="4">
        <v>2060.0</v>
      </c>
      <c r="B4165" s="4" t="s">
        <v>891</v>
      </c>
      <c r="C4165" s="4" t="s">
        <v>126</v>
      </c>
      <c r="D4165" s="4" t="s">
        <v>6184</v>
      </c>
      <c r="E4165" s="4">
        <v>0.0</v>
      </c>
      <c r="F4165" s="4" t="str">
        <f>IFERROR(__xludf.DUMMYFUNCTION("GOOGLETRANSLATE(D4165)"),"我們多倫多分公司正在#招募！擔保承保人/高級承保人和傷亡產品負責人。今天申請。 http://t.co/PraMKlrMhz")</f>
        <v>我們多倫多分公司正在#招募！擔保承保人/高級承保人和傷亡產品負責人。今天申請。 http://t.co/PraMKlrMhz</v>
      </c>
      <c r="G4165" s="4" t="str">
        <f>IFERROR(__xludf.DUMMYFUNCTION("GOOGLETRANSLATE(B4165)"),"傷亡")</f>
        <v>傷亡</v>
      </c>
    </row>
    <row r="4166" ht="15.75" customHeight="1">
      <c r="A4166" s="4">
        <v>2061.0</v>
      </c>
      <c r="B4166" s="4" t="s">
        <v>891</v>
      </c>
      <c r="C4166" s="4" t="s">
        <v>6185</v>
      </c>
      <c r="D4166" s="4" t="s">
        <v>6186</v>
      </c>
      <c r="E4166" s="4">
        <v>0.0</v>
      </c>
      <c r="F4166" s="4" t="str">
        <f>IFERROR(__xludf.DUMMYFUNCTION("GOOGLETRANSLATE(D4166)"),"本週能夠不用工作參加財產和傷亡國家的線上課程Û_ https://t.co/jmD7zwKSDM")</f>
        <v>本週能夠不用工作參加財產和傷亡國家的線上課程Û_ https://t.co/jmD7zwKSDM</v>
      </c>
      <c r="G4166" s="4" t="str">
        <f>IFERROR(__xludf.DUMMYFUNCTION("GOOGLETRANSLATE(B4166)"),"傷亡")</f>
        <v>傷亡</v>
      </c>
    </row>
    <row r="4167" ht="15.75" customHeight="1">
      <c r="A4167" s="4">
        <v>2064.0</v>
      </c>
      <c r="B4167" s="4" t="s">
        <v>891</v>
      </c>
      <c r="C4167" s="4" t="s">
        <v>2120</v>
      </c>
      <c r="D4167" s="4" t="s">
        <v>6187</v>
      </c>
      <c r="E4167" s="4">
        <v>0.0</v>
      </c>
      <c r="F4167" s="4" t="str">
        <f>IFERROR(__xludf.DUMMYFUNCTION("GOOGLETRANSLATE(D4167)"),"80 年代的新#Wave 是#AIDS 的#Casualty 嗎？：推文，自從他們看著David 長大後，http://t.co/qBecjli7cx")</f>
        <v>80 年代的新#Wave 是#AIDS 的#Casualty 嗎？：推文，自從他們看著David 長大後，http://t.co/qBecjli7cx</v>
      </c>
      <c r="G4167" s="4" t="str">
        <f>IFERROR(__xludf.DUMMYFUNCTION("GOOGLETRANSLATE(B4167)"),"傷亡")</f>
        <v>傷亡</v>
      </c>
    </row>
    <row r="4168" ht="15.75" customHeight="1">
      <c r="A4168" s="4">
        <v>2070.0</v>
      </c>
      <c r="B4168" s="4" t="s">
        <v>891</v>
      </c>
      <c r="C4168" s="4" t="s">
        <v>6188</v>
      </c>
      <c r="D4168" s="4" t="s">
        <v>6189</v>
      </c>
      <c r="E4168" s="4">
        <v>0.0</v>
      </c>
      <c r="F4168" s="4" t="str">
        <f>IFERROR(__xludf.DUMMYFUNCTION("GOOGLETRANSLATE(D4168)"),"第一品質保險集團正在#僱用有執照的財產和保險傷亡保險代理產品 http://t.co/VMJRtuVmh4 #jobs #Denver")</f>
        <v>第一品質保險集團正在#僱用有執照的財產和保險傷亡保險代理產品 http://t.co/VMJRtuVmh4 #jobs #Denver</v>
      </c>
      <c r="G4168" s="4" t="str">
        <f>IFERROR(__xludf.DUMMYFUNCTION("GOOGLETRANSLATE(B4168)"),"傷亡")</f>
        <v>傷亡</v>
      </c>
    </row>
    <row r="4169" ht="15.75" customHeight="1">
      <c r="A4169" s="4">
        <v>2071.0</v>
      </c>
      <c r="B4169" s="4" t="s">
        <v>891</v>
      </c>
      <c r="D4169" s="4" t="s">
        <v>6190</v>
      </c>
      <c r="E4169" s="4">
        <v>0.0</v>
      </c>
      <c r="F4169" s="4" t="str">
        <f>IFERROR(__xludf.DUMMYFUNCTION("GOOGLETRANSLATE(D4169)"),"“成為社會的另一個受害者”")</f>
        <v>“成為社會的另一個受害者”</v>
      </c>
      <c r="G4169" s="4" t="str">
        <f>IFERROR(__xludf.DUMMYFUNCTION("GOOGLETRANSLATE(B4169)"),"傷亡")</f>
        <v>傷亡</v>
      </c>
    </row>
    <row r="4170" ht="15.75" customHeight="1">
      <c r="A4170" s="4">
        <v>2074.0</v>
      </c>
      <c r="B4170" s="4" t="s">
        <v>891</v>
      </c>
      <c r="C4170" s="4" t="s">
        <v>6191</v>
      </c>
      <c r="D4170" s="4" t="s">
        <v>6192</v>
      </c>
      <c r="E4170" s="4">
        <v>0.0</v>
      </c>
      <c r="F4170" s="4" t="str">
        <f>IFERROR(__xludf.DUMMYFUNCTION("GOOGLETRANSLATE(D4170)"),"想要：週四在 Amico's 吃意大利麵的堅韌而真實的傷亡照片。標記我們或 #amicospizzato #seeyouatamicos... http://t.co/MZ8VQXbKTs")</f>
        <v>想要：週四在 Amico's 吃意大利麵的堅韌而真實的傷亡照片。標記我們或 #amicospizzato #seeyouatamicos... http://t.co/MZ8VQXbKTs</v>
      </c>
      <c r="G4170" s="4" t="str">
        <f>IFERROR(__xludf.DUMMYFUNCTION("GOOGLETRANSLATE(B4170)"),"傷亡")</f>
        <v>傷亡</v>
      </c>
    </row>
    <row r="4171" ht="15.75" customHeight="1">
      <c r="A4171" s="4">
        <v>2075.0</v>
      </c>
      <c r="B4171" s="4" t="s">
        <v>891</v>
      </c>
      <c r="C4171" s="4" t="s">
        <v>6193</v>
      </c>
      <c r="D4171" s="4" t="s">
        <v>6194</v>
      </c>
      <c r="E4171" s="4">
        <v>0.0</v>
      </c>
      <c r="F4171" s="4" t="str">
        <f>IFERROR(__xludf.DUMMYFUNCTION("GOOGLETRANSLATE(D4171)"),"傷亡小組：冰淇淋召回給食品業帶來寒意 http://t.co/6GsAmY6mts")</f>
        <v>傷亡小組：冰淇淋召回給食品業帶來寒意 http://t.co/6GsAmY6mts</v>
      </c>
      <c r="G4171" s="4" t="str">
        <f>IFERROR(__xludf.DUMMYFUNCTION("GOOGLETRANSLATE(B4171)"),"傷亡")</f>
        <v>傷亡</v>
      </c>
    </row>
    <row r="4172" ht="15.75" customHeight="1">
      <c r="A4172" s="4">
        <v>2082.0</v>
      </c>
      <c r="B4172" s="4" t="s">
        <v>891</v>
      </c>
      <c r="C4172" s="4" t="s">
        <v>6195</v>
      </c>
      <c r="D4172" s="4" t="s">
        <v>6196</v>
      </c>
      <c r="E4172" s="4">
        <v>0.0</v>
      </c>
      <c r="F4172" s="4" t="str">
        <f>IFERROR(__xludf.DUMMYFUNCTION("GOOGLETRANSLATE(D4172)"),"不告訴孩子就不能看《小鬼當家2》
「她曾經是傷者」。
#小鬼當家2 #film4")</f>
        <v>不告訴孩子就不能看《小鬼當家2》
「她曾經是傷者」。
#小鬼當家2 #film4</v>
      </c>
      <c r="G4172" s="4" t="str">
        <f>IFERROR(__xludf.DUMMYFUNCTION("GOOGLETRANSLATE(B4172)"),"傷亡")</f>
        <v>傷亡</v>
      </c>
    </row>
    <row r="4173" ht="15.75" customHeight="1">
      <c r="A4173" s="4">
        <v>2083.0</v>
      </c>
      <c r="B4173" s="4" t="s">
        <v>891</v>
      </c>
      <c r="D4173" s="4" t="s">
        <v>6197</v>
      </c>
      <c r="E4173" s="4">
        <v>0.0</v>
      </c>
      <c r="F4173" s="4" t="str">
        <f>IFERROR(__xludf.DUMMYFUNCTION("GOOGLETRANSLATE(D4173)"),"AM Best 特別報告：指標如何與 AM Best 的財產/傷亡相關聯... - MarketWatch http://t.co/mVrsYu2PPK")</f>
        <v>AM Best 特別報告：指標如何與 AM Best 的財產/傷亡相關聯... - MarketWatch http://t.co/mVrsYu2PPK</v>
      </c>
      <c r="G4173" s="4" t="str">
        <f>IFERROR(__xludf.DUMMYFUNCTION("GOOGLETRANSLATE(B4173)"),"傷亡")</f>
        <v>傷亡</v>
      </c>
    </row>
    <row r="4174" ht="15.75" customHeight="1">
      <c r="A4174" s="4">
        <v>2084.0</v>
      </c>
      <c r="B4174" s="4" t="s">
        <v>891</v>
      </c>
      <c r="D4174" s="4" t="s">
        <v>6198</v>
      </c>
      <c r="E4174" s="4">
        <v>0.0</v>
      </c>
      <c r="F4174" s="4" t="str">
        <f>IFERROR(__xludf.DUMMYFUNCTION("GOOGLETRANSLATE(D4174)"),"這花費的時間比我預期的要長")</f>
        <v>這花費的時間比我預期的要長</v>
      </c>
      <c r="G4174" s="4" t="str">
        <f>IFERROR(__xludf.DUMMYFUNCTION("GOOGLETRANSLATE(B4174)"),"傷亡")</f>
        <v>傷亡</v>
      </c>
    </row>
    <row r="4175" ht="15.75" customHeight="1">
      <c r="A4175" s="4">
        <v>2086.0</v>
      </c>
      <c r="B4175" s="4" t="s">
        <v>891</v>
      </c>
      <c r="D4175" s="4" t="s">
        <v>6199</v>
      </c>
      <c r="E4175" s="4">
        <v>0.0</v>
      </c>
      <c r="F4175" s="4" t="str">
        <f>IFERROR(__xludf.DUMMYFUNCTION("GOOGLETRANSLATE(D4175)"),"我仍然不知道為什麼獨立日和社會傷亡不在 rowyso 設置列表中這些歌曲現場會很棒")</f>
        <v>我仍然不知道為什麼獨立日和社會傷亡不在 rowyso 設置列表中這些歌曲現場會很棒</v>
      </c>
      <c r="G4175" s="4" t="str">
        <f>IFERROR(__xludf.DUMMYFUNCTION("GOOGLETRANSLATE(B4175)"),"傷亡")</f>
        <v>傷亡</v>
      </c>
    </row>
    <row r="4176" ht="15.75" customHeight="1">
      <c r="A4176" s="4">
        <v>2087.0</v>
      </c>
      <c r="B4176" s="4" t="s">
        <v>891</v>
      </c>
      <c r="D4176" s="4" t="s">
        <v>6200</v>
      </c>
      <c r="E4176" s="4">
        <v>0.0</v>
      </c>
      <c r="F4176" s="4" t="str">
        <f>IFERROR(__xludf.DUMMYFUNCTION("GOOGLETRANSLATE(D4176)"),"@Calum5SOS 我需要停止對自己這樣做？？？ @s_casualty")</f>
        <v>@Calum5SOS 我需要停止對自己這樣做？？？ @s_casualty</v>
      </c>
      <c r="G4176" s="4" t="str">
        <f>IFERROR(__xludf.DUMMYFUNCTION("GOOGLETRANSLATE(B4176)"),"傷亡")</f>
        <v>傷亡</v>
      </c>
    </row>
    <row r="4177" ht="15.75" customHeight="1">
      <c r="A4177" s="4">
        <v>2091.0</v>
      </c>
      <c r="B4177" s="4" t="s">
        <v>891</v>
      </c>
      <c r="D4177" s="4" t="s">
        <v>6201</v>
      </c>
      <c r="E4177" s="4">
        <v>0.0</v>
      </c>
      <c r="F4177" s="4" t="str">
        <f>IFERROR(__xludf.DUMMYFUNCTION("GOOGLETRANSLATE(D4177)"),"@5SOSFamUpdater 社會傷亡")</f>
        <v>@5SOSFamUpdater 社會傷亡</v>
      </c>
      <c r="G4177" s="4" t="str">
        <f>IFERROR(__xludf.DUMMYFUNCTION("GOOGLETRANSLATE(B4177)"),"傷亡")</f>
        <v>傷亡</v>
      </c>
    </row>
    <row r="4178" ht="15.75" customHeight="1">
      <c r="A4178" s="4">
        <v>2094.0</v>
      </c>
      <c r="B4178" s="4" t="s">
        <v>891</v>
      </c>
      <c r="C4178" s="4" t="s">
        <v>708</v>
      </c>
      <c r="D4178" s="4" t="s">
        <v>6202</v>
      </c>
      <c r="E4178" s="4">
        <v>0.0</v>
      </c>
      <c r="F4178" s="4" t="str">
        <f>IFERROR(__xludf.DUMMYFUNCTION("GOOGLETRANSLATE(D4178)"),"取消兩艘軍艦的交易#法國同意透過@nytimes償還#俄羅斯http://t.co/f2gwxEPrAk")</f>
        <v>取消兩艘軍艦的交易#法國同意透過@nytimes償還#俄羅斯http://t.co/f2gwxEPrAk</v>
      </c>
      <c r="G4178" s="4" t="str">
        <f>IFERROR(__xludf.DUMMYFUNCTION("GOOGLETRANSLATE(B4178)"),"傷亡")</f>
        <v>傷亡</v>
      </c>
    </row>
    <row r="4179" ht="15.75" customHeight="1">
      <c r="A4179" s="4">
        <v>2095.0</v>
      </c>
      <c r="B4179" s="4" t="s">
        <v>891</v>
      </c>
      <c r="C4179" s="4" t="s">
        <v>6203</v>
      </c>
      <c r="D4179" s="4" t="s">
        <v>6204</v>
      </c>
      <c r="E4179" s="4">
        <v>0.0</v>
      </c>
      <c r="F4179" s="4" t="str">
        <f>IFERROR(__xludf.DUMMYFUNCTION("GOOGLETRANSLATE(D4179)"),"社會傷亡#MTVHottest 5SOS")</f>
        <v>社會傷亡#MTVHottest 5SOS</v>
      </c>
      <c r="G4179" s="4" t="str">
        <f>IFERROR(__xludf.DUMMYFUNCTION("GOOGLETRANSLATE(B4179)"),"傷亡")</f>
        <v>傷亡</v>
      </c>
    </row>
    <row r="4180" ht="15.75" customHeight="1">
      <c r="A4180" s="4">
        <v>2096.0</v>
      </c>
      <c r="B4180" s="4" t="s">
        <v>891</v>
      </c>
      <c r="C4180" s="4" t="s">
        <v>6205</v>
      </c>
      <c r="D4180" s="4" t="s">
        <v>6206</v>
      </c>
      <c r="E4180" s="4">
        <v>0.0</v>
      </c>
      <c r="F4180" s="4" t="str">
        <f>IFERROR(__xludf.DUMMYFUNCTION("GOOGLETRANSLATE(D4180)"),"Conning 為財產保險公司的投資組合 #Diversification 建立了強有力的案例 http://t.co/33FbR25t1O")</f>
        <v>Conning 為財產保險公司的投資組合 #Diversification 建立了強有力的案例 http://t.co/33FbR25t1O</v>
      </c>
      <c r="G4180" s="4" t="str">
        <f>IFERROR(__xludf.DUMMYFUNCTION("GOOGLETRANSLATE(B4180)"),"傷亡")</f>
        <v>傷亡</v>
      </c>
    </row>
    <row r="4181" ht="15.75" customHeight="1">
      <c r="A4181" s="4">
        <v>2098.0</v>
      </c>
      <c r="B4181" s="4" t="s">
        <v>891</v>
      </c>
      <c r="D4181" s="4" t="s">
        <v>6207</v>
      </c>
      <c r="E4181" s="4">
        <v>0.0</v>
      </c>
      <c r="F4181" s="4" t="str">
        <f>IFERROR(__xludf.DUMMYFUNCTION("GOOGLETRANSLATE(D4181)"),"請扮演傷亡角色，我很無聊")</f>
        <v>請扮演傷亡角色，我很無聊</v>
      </c>
      <c r="G4181" s="4" t="str">
        <f>IFERROR(__xludf.DUMMYFUNCTION("GOOGLETRANSLATE(B4181)"),"傷亡")</f>
        <v>傷亡</v>
      </c>
    </row>
    <row r="4182" ht="15.75" customHeight="1">
      <c r="A4182" s="4">
        <v>2099.0</v>
      </c>
      <c r="B4182" s="4" t="s">
        <v>891</v>
      </c>
      <c r="D4182" s="4" t="s">
        <v>6208</v>
      </c>
      <c r="E4182" s="4">
        <v>0.0</v>
      </c>
      <c r="F4182" s="4" t="str">
        <f>IFERROR(__xludf.DUMMYFUNCTION("GOOGLETRANSLATE(D4182)"),"傷亡保險工作反對追尋自願進入：RPN http://t.co/pByA7Uv3V5")</f>
        <v>傷亡保險工作反對追尋自願進入：RPN http://t.co/pByA7Uv3V5</v>
      </c>
      <c r="G4182" s="4" t="str">
        <f>IFERROR(__xludf.DUMMYFUNCTION("GOOGLETRANSLATE(B4182)"),"傷亡")</f>
        <v>傷亡</v>
      </c>
    </row>
    <row r="4183" ht="15.75" customHeight="1">
      <c r="A4183" s="4">
        <v>2108.0</v>
      </c>
      <c r="B4183" s="4" t="s">
        <v>891</v>
      </c>
      <c r="D4183" s="4" t="s">
        <v>6209</v>
      </c>
      <c r="E4183" s="4">
        <v>0.0</v>
      </c>
      <c r="F4183" s="4" t="str">
        <f>IFERROR(__xludf.DUMMYFUNCTION("GOOGLETRANSLATE(D4183)"),".@stavernise：法國同意向俄羅斯償還經濟制裁後從未交付的兩艘軍艦 http://t.co/K4H8cq7puo")</f>
        <v>.@stavernise：法國同意向俄羅斯償還經濟制裁後從未交付的兩艘軍艦 http://t.co/K4H8cq7puo</v>
      </c>
      <c r="G4183" s="4" t="str">
        <f>IFERROR(__xludf.DUMMYFUNCTION("GOOGLETRANSLATE(B4183)"),"傷亡")</f>
        <v>傷亡</v>
      </c>
    </row>
    <row r="4184" ht="15.75" customHeight="1">
      <c r="A4184" s="4">
        <v>2110.0</v>
      </c>
      <c r="B4184" s="4" t="s">
        <v>919</v>
      </c>
      <c r="C4184" s="4" t="s">
        <v>6210</v>
      </c>
      <c r="D4184" s="4" t="s">
        <v>6211</v>
      </c>
      <c r="E4184" s="4">
        <v>0.0</v>
      </c>
      <c r="F4184" s="4" t="str">
        <f>IFERROR(__xludf.DUMMYFUNCTION("GOOGLETRANSLATE(D4184)"),"@APPLEOFFIClAL 從 iPhoto 遷移到 Photo 是一場災難。我浪費了好幾天的時間試圖讓它發揮作用。 12 小時完成 8%。")</f>
        <v>@APPLEOFFIClAL 從 iPhoto 遷移到 Photo 是一場災難。我浪費了好幾天的時間試圖讓它發揮作用。 12 小時完成 8%。</v>
      </c>
      <c r="G4184" s="4" t="str">
        <f>IFERROR(__xludf.DUMMYFUNCTION("GOOGLETRANSLATE(B4184)"),"災難")</f>
        <v>災難</v>
      </c>
    </row>
    <row r="4185" ht="15.75" customHeight="1">
      <c r="A4185" s="4">
        <v>2111.0</v>
      </c>
      <c r="B4185" s="4" t="s">
        <v>919</v>
      </c>
      <c r="C4185" s="4" t="s">
        <v>389</v>
      </c>
      <c r="D4185" s="4" t="s">
        <v>6212</v>
      </c>
      <c r="E4185" s="4">
        <v>0.0</v>
      </c>
      <c r="F4185" s="4" t="str">
        <f>IFERROR(__xludf.DUMMYFUNCTION("GOOGLETRANSLATE(D4185)"),"在災難和苦難面前培養喜樂 http://t.co/o0LTQDJbQe #pjnet #tcotåÊ#ccot http://t.co/MO9wpTyqkp")</f>
        <v>在災難和苦難面前培養喜樂 http://t.co/o0LTQDJbQe #pjnet #tcotåÊ#ccot http://t.co/MO9wpTyqkp</v>
      </c>
      <c r="G4185" s="4" t="str">
        <f>IFERROR(__xludf.DUMMYFUNCTION("GOOGLETRANSLATE(B4185)"),"災難")</f>
        <v>災難</v>
      </c>
    </row>
    <row r="4186" ht="15.75" customHeight="1">
      <c r="A4186" s="4">
        <v>2112.0</v>
      </c>
      <c r="B4186" s="4" t="s">
        <v>919</v>
      </c>
      <c r="D4186" s="4" t="s">
        <v>6213</v>
      </c>
      <c r="E4186" s="4">
        <v>0.0</v>
      </c>
      <c r="F4186" s="4" t="str">
        <f>IFERROR(__xludf.DUMMYFUNCTION("GOOGLETRANSLATE(D4186)"),"#借款人擔心#利率可能上升。這可能是一場#catastrophe http://t.co/SBHHkkz01Y")</f>
        <v>#借款人擔心#利率可能上升。這可能是一場#catastrophe http://t.co/SBHHkkz01Y</v>
      </c>
      <c r="G4186" s="4" t="str">
        <f>IFERROR(__xludf.DUMMYFUNCTION("GOOGLETRANSLATE(B4186)"),"災難")</f>
        <v>災難</v>
      </c>
    </row>
    <row r="4187" ht="15.75" customHeight="1">
      <c r="A4187" s="4">
        <v>2113.0</v>
      </c>
      <c r="B4187" s="4" t="s">
        <v>919</v>
      </c>
      <c r="C4187" s="4" t="s">
        <v>6214</v>
      </c>
      <c r="D4187" s="4" t="s">
        <v>6215</v>
      </c>
      <c r="E4187" s="4">
        <v>0.0</v>
      </c>
      <c r="F4187" s="4" t="str">
        <f>IFERROR(__xludf.DUMMYFUNCTION("GOOGLETRANSLATE(D4187)"),".@uriminzok 即將到來的毀滅傀儡共和國的災難半naemolgo繼續堅定支持。伊拉內烏尼和反對")</f>
        <v>.@uriminzok 即將到來的毀滅傀儡共和國的災難半naemolgo繼續堅定支持。伊拉內烏尼和反對</v>
      </c>
      <c r="G4187" s="4" t="str">
        <f>IFERROR(__xludf.DUMMYFUNCTION("GOOGLETRANSLATE(B4187)"),"災難")</f>
        <v>災難</v>
      </c>
    </row>
    <row r="4188" ht="15.75" customHeight="1">
      <c r="A4188" s="4">
        <v>2114.0</v>
      </c>
      <c r="B4188" s="4" t="s">
        <v>919</v>
      </c>
      <c r="D4188" s="4" t="s">
        <v>6216</v>
      </c>
      <c r="E4188" s="4">
        <v>0.0</v>
      </c>
      <c r="F4188" s="4" t="str">
        <f>IFERROR(__xludf.DUMMYFUNCTION("GOOGLETRANSLATE(D4188)"),"失敗是一種不幸，但遺憾是一種災難")</f>
        <v>失敗是一種不幸，但遺憾是一種災難</v>
      </c>
      <c r="G4188" s="4" t="str">
        <f>IFERROR(__xludf.DUMMYFUNCTION("GOOGLETRANSLATE(B4188)"),"災難")</f>
        <v>災難</v>
      </c>
    </row>
    <row r="4189" ht="15.75" customHeight="1">
      <c r="A4189" s="4">
        <v>2115.0</v>
      </c>
      <c r="B4189" s="4" t="s">
        <v>919</v>
      </c>
      <c r="C4189" s="4" t="s">
        <v>2145</v>
      </c>
      <c r="D4189" s="4" t="s">
        <v>6217</v>
      </c>
      <c r="E4189" s="4">
        <v>0.0</v>
      </c>
      <c r="F4189" s="4" t="str">
        <f>IFERROR(__xludf.DUMMYFUNCTION("GOOGLETRANSLATE(D4189)"),"@deb117 7/30 那個災難人與另一個人一起開辦學校，他是一名運動員，而不是一名教師，原則上不履行任何內部文書職責")</f>
        <v>@deb117 7/30 那個災難人與另一個人一起開辦學校，他是一名運動員，而不是一名教師，原則上不履行任何內部文書職責</v>
      </c>
      <c r="G4189" s="4" t="str">
        <f>IFERROR(__xludf.DUMMYFUNCTION("GOOGLETRANSLATE(B4189)"),"災難")</f>
        <v>災難</v>
      </c>
    </row>
    <row r="4190" ht="15.75" customHeight="1">
      <c r="A4190" s="4">
        <v>2116.0</v>
      </c>
      <c r="B4190" s="4" t="s">
        <v>919</v>
      </c>
      <c r="D4190" s="4" t="s">
        <v>6218</v>
      </c>
      <c r="E4190" s="4">
        <v>0.0</v>
      </c>
      <c r="F4190" s="4" t="str">
        <f>IFERROR(__xludf.DUMMYFUNCTION("GOOGLETRANSLATE(D4190)"),"#iphone #twist Ultimate #preparedness 庫：http://t.co/ksgmY0D0Mx 為任何災難做好準備。過http://t.co/MZK0PFogI7")</f>
        <v>#iphone #twist Ultimate #preparedness 庫：http://t.co/ksgmY0D0Mx 為任何災難做好準備。過http://t.co/MZK0PFogI7</v>
      </c>
      <c r="G4190" s="4" t="str">
        <f>IFERROR(__xludf.DUMMYFUNCTION("GOOGLETRANSLATE(B4190)"),"災難")</f>
        <v>災難</v>
      </c>
    </row>
    <row r="4191" ht="15.75" customHeight="1">
      <c r="A4191" s="4">
        <v>2117.0</v>
      </c>
      <c r="B4191" s="4" t="s">
        <v>919</v>
      </c>
      <c r="D4191" s="4" t="s">
        <v>6219</v>
      </c>
      <c r="E4191" s="4">
        <v>0.0</v>
      </c>
      <c r="F4191" s="4" t="str">
        <f>IFERROR(__xludf.DUMMYFUNCTION("GOOGLETRANSLATE(D4191)"),"@gemmahentsch @megynkelly @DLoesch 我無法想像任何災難會阻止婦女將孩子送養。")</f>
        <v>@gemmahentsch @megynkelly @DLoesch 我無法想像任何災難會阻止婦女將孩子送養。</v>
      </c>
      <c r="G4191" s="4" t="str">
        <f>IFERROR(__xludf.DUMMYFUNCTION("GOOGLETRANSLATE(B4191)"),"災難")</f>
        <v>災難</v>
      </c>
    </row>
    <row r="4192" ht="15.75" customHeight="1">
      <c r="A4192" s="4">
        <v>2119.0</v>
      </c>
      <c r="B4192" s="4" t="s">
        <v>919</v>
      </c>
      <c r="C4192" s="4" t="s">
        <v>6220</v>
      </c>
      <c r="D4192" s="4" t="s">
        <v>6221</v>
      </c>
      <c r="E4192" s="4">
        <v>0.0</v>
      </c>
      <c r="F4192" s="4" t="str">
        <f>IFERROR(__xludf.DUMMYFUNCTION("GOOGLETRANSLATE(D4192)"),"然後那位一直保持沉默的造型師說：“亞馬遜 Prime 上有一個很酷的節目，名叫《災難》…”")</f>
        <v>然後那位一直保持沉默的造型師說：“亞馬遜 Prime 上有一個很酷的節目，名叫《災難》…”</v>
      </c>
      <c r="G4192" s="4" t="str">
        <f>IFERROR(__xludf.DUMMYFUNCTION("GOOGLETRANSLATE(B4192)"),"災難")</f>
        <v>災難</v>
      </c>
    </row>
    <row r="4193" ht="15.75" customHeight="1">
      <c r="A4193" s="4">
        <v>2122.0</v>
      </c>
      <c r="B4193" s="4" t="s">
        <v>919</v>
      </c>
      <c r="C4193" s="4" t="s">
        <v>6222</v>
      </c>
      <c r="D4193" s="4" t="s">
        <v>6223</v>
      </c>
      <c r="E4193" s="4">
        <v>0.0</v>
      </c>
      <c r="F4193" s="4" t="str">
        <f>IFERROR(__xludf.DUMMYFUNCTION("GOOGLETRANSLATE(D4193)"),"願上帝保佑災難")</f>
        <v>願上帝保佑災難</v>
      </c>
      <c r="G4193" s="4" t="str">
        <f>IFERROR(__xludf.DUMMYFUNCTION("GOOGLETRANSLATE(B4193)"),"災難")</f>
        <v>災難</v>
      </c>
    </row>
    <row r="4194" ht="15.75" customHeight="1">
      <c r="A4194" s="4">
        <v>2123.0</v>
      </c>
      <c r="B4194" s="4" t="s">
        <v>919</v>
      </c>
      <c r="C4194" s="4" t="s">
        <v>6224</v>
      </c>
      <c r="D4194" s="4" t="s">
        <v>6225</v>
      </c>
      <c r="E4194" s="4">
        <v>0.0</v>
      </c>
      <c r="F4194" s="4" t="str">
        <f>IFERROR(__xludf.DUMMYFUNCTION("GOOGLETRANSLATE(D4194)"),"@MaatMHI 稍微不同的災難和巴里獨自一人跑步，但總體上是一樣的。")</f>
        <v>@MaatMHI 稍微不同的災難和巴里獨自一人跑步，但總體上是一樣的。</v>
      </c>
      <c r="G4194" s="4" t="str">
        <f>IFERROR(__xludf.DUMMYFUNCTION("GOOGLETRANSLATE(B4194)"),"災難")</f>
        <v>災難</v>
      </c>
    </row>
    <row r="4195" ht="15.75" customHeight="1">
      <c r="A4195" s="4">
        <v>2126.0</v>
      </c>
      <c r="B4195" s="4" t="s">
        <v>919</v>
      </c>
      <c r="C4195" s="4" t="s">
        <v>6226</v>
      </c>
      <c r="D4195" s="4" t="s">
        <v>6227</v>
      </c>
      <c r="E4195" s="4">
        <v>0.0</v>
      </c>
      <c r="F4195" s="4" t="str">
        <f>IFERROR(__xludf.DUMMYFUNCTION("GOOGLETRANSLATE(D4195)"),"雙魚座的推文需要變得更好，因為大多數推文讓我聽起來像是一場徹底的情感災難。")</f>
        <v>雙魚座的推文需要變得更好，因為大多數推文讓我聽起來像是一場徹底的情感災難。</v>
      </c>
      <c r="G4195" s="4" t="str">
        <f>IFERROR(__xludf.DUMMYFUNCTION("GOOGLETRANSLATE(B4195)"),"災難")</f>
        <v>災難</v>
      </c>
    </row>
    <row r="4196" ht="15.75" customHeight="1">
      <c r="A4196" s="4">
        <v>2128.0</v>
      </c>
      <c r="B4196" s="4" t="s">
        <v>919</v>
      </c>
      <c r="C4196" s="4" t="s">
        <v>6228</v>
      </c>
      <c r="D4196" s="4" t="s">
        <v>6229</v>
      </c>
      <c r="E4196" s="4">
        <v>0.0</v>
      </c>
      <c r="F4196" s="4" t="str">
        <f>IFERROR(__xludf.DUMMYFUNCTION("GOOGLETRANSLATE(D4196)"),"泰勒和卡拉（又名災難）和查克媽媽是《惡血》幕後的幕後黑手。投票：http://t.co/TF2BkQ0OlX #VMA http://t.co/3fQq7pFjvX")</f>
        <v>泰勒和卡拉（又名災難）和查克媽媽是《惡血》幕後的幕後黑手。投票：http://t.co/TF2BkQ0OlX #VMA http://t.co/3fQq7pFjvX</v>
      </c>
      <c r="G4196" s="4" t="str">
        <f>IFERROR(__xludf.DUMMYFUNCTION("GOOGLETRANSLATE(B4196)"),"災難")</f>
        <v>災難</v>
      </c>
    </row>
    <row r="4197" ht="15.75" customHeight="1">
      <c r="A4197" s="4">
        <v>2129.0</v>
      </c>
      <c r="B4197" s="4" t="s">
        <v>919</v>
      </c>
      <c r="D4197" s="4" t="s">
        <v>6230</v>
      </c>
      <c r="E4197" s="4">
        <v>0.0</v>
      </c>
      <c r="F4197" s="4" t="str">
        <f>IFERROR(__xludf.DUMMYFUNCTION("GOOGLETRANSLATE(D4197)"),"[評論] #PixelsMovie 不是一場災難，也不是一部有趣的電影...我們的評論在這裡：http://t.co/lVbUw01YOH")</f>
        <v>[評論] #PixelsMovie 不是一場災難，也不是一部有趣的電影...我們的評論在這裡：http://t.co/lVbUw01YOH</v>
      </c>
      <c r="G4197" s="4" t="str">
        <f>IFERROR(__xludf.DUMMYFUNCTION("GOOGLETRANSLATE(B4197)"),"災難")</f>
        <v>災難</v>
      </c>
    </row>
    <row r="4198" ht="15.75" customHeight="1">
      <c r="A4198" s="4">
        <v>2131.0</v>
      </c>
      <c r="B4198" s="4" t="s">
        <v>919</v>
      </c>
      <c r="D4198" s="4" t="s">
        <v>6231</v>
      </c>
      <c r="E4198" s="4">
        <v>0.0</v>
      </c>
      <c r="F4198" s="4" t="str">
        <f>IFERROR(__xludf.DUMMYFUNCTION("GOOGLETRANSLATE(D4198)"),"伯福德。真是一場災難！交通和大卡車。市議會沒有像往常一樣採取行動。")</f>
        <v>伯福德。真是一場災難！交通和大卡車。市議會沒有像往常一樣採取行動。</v>
      </c>
      <c r="G4198" s="4" t="str">
        <f>IFERROR(__xludf.DUMMYFUNCTION("GOOGLETRANSLATE(B4198)"),"災難")</f>
        <v>災難</v>
      </c>
    </row>
    <row r="4199" ht="15.75" customHeight="1">
      <c r="A4199" s="4">
        <v>2133.0</v>
      </c>
      <c r="B4199" s="4" t="s">
        <v>919</v>
      </c>
      <c r="C4199" s="4" t="s">
        <v>374</v>
      </c>
      <c r="D4199" s="4" t="s">
        <v>6232</v>
      </c>
      <c r="E4199" s="4">
        <v>0.0</v>
      </c>
      <c r="F4199" s="4" t="str">
        <f>IFERROR(__xludf.DUMMYFUNCTION("GOOGLETRANSLATE(D4199)"),"#Denver CO #Insurance #Job：索賠財產現場理賠員災難 Safeco ÛÒ USA at Liberty Mutual Insurance http://t.co/3k42MJVqCA")</f>
        <v>#Denver CO #Insurance #Job：索賠財產現場理賠員災難 Safeco ÛÒ USA at Liberty Mutual Insurance http://t.co/3k42MJVqCA</v>
      </c>
      <c r="G4199" s="4" t="str">
        <f>IFERROR(__xludf.DUMMYFUNCTION("GOOGLETRANSLATE(B4199)"),"災難")</f>
        <v>災難</v>
      </c>
    </row>
    <row r="4200" ht="15.75" customHeight="1">
      <c r="A4200" s="4">
        <v>2134.0</v>
      </c>
      <c r="B4200" s="4" t="s">
        <v>919</v>
      </c>
      <c r="D4200" s="4" t="s">
        <v>6233</v>
      </c>
      <c r="E4200" s="4">
        <v>0.0</v>
      </c>
      <c r="F4200" s="4" t="str">
        <f>IFERROR(__xludf.DUMMYFUNCTION("GOOGLETRANSLATE(D4200)"),"#spark #song Ultimate #preparedness 庫：http://t.co/VsGqoLr32g 為任何災難做好準備。透過http://t.co/p7UhcB13Qx")</f>
        <v>#spark #song Ultimate #preparedness 庫：http://t.co/VsGqoLr32g 為任何災難做好準備。透過http://t.co/p7UhcB13Qx</v>
      </c>
      <c r="G4200" s="4" t="str">
        <f>IFERROR(__xludf.DUMMYFUNCTION("GOOGLETRANSLATE(B4200)"),"災難")</f>
        <v>災難</v>
      </c>
    </row>
    <row r="4201" ht="15.75" customHeight="1">
      <c r="A4201" s="4">
        <v>2136.0</v>
      </c>
      <c r="B4201" s="4" t="s">
        <v>919</v>
      </c>
      <c r="D4201" s="4" t="s">
        <v>6234</v>
      </c>
      <c r="E4201" s="4">
        <v>0.0</v>
      </c>
      <c r="F4201" s="4" t="str">
        <f>IFERROR(__xludf.DUMMYFUNCTION("GOOGLETRANSLATE(D4201)"),"12 個月發薪日短期巨災貸款 - 促進您的願望融資 lIQd")</f>
        <v>12 個月發薪日短期巨災貸款 - 促進您的願望融資 lIQd</v>
      </c>
      <c r="G4201" s="4" t="str">
        <f>IFERROR(__xludf.DUMMYFUNCTION("GOOGLETRANSLATE(B4201)"),"災難")</f>
        <v>災難</v>
      </c>
    </row>
    <row r="4202" ht="15.75" customHeight="1">
      <c r="A4202" s="4">
        <v>2138.0</v>
      </c>
      <c r="B4202" s="4" t="s">
        <v>919</v>
      </c>
      <c r="C4202" s="4" t="s">
        <v>1593</v>
      </c>
      <c r="D4202" s="4" t="s">
        <v>6235</v>
      </c>
      <c r="E4202" s="4">
        <v>0.0</v>
      </c>
      <c r="F4202" s="4" t="str">
        <f>IFERROR(__xludf.DUMMYFUNCTION("GOOGLETRANSLATE(D4202)"),"我對災難 (2015) 8/10 #IMDb 進行了評分 - 搞笑！ http://t.co/cjrSSRY1RT")</f>
        <v>我對災難 (2015) 8/10 #IMDb 進行了評分 - 搞笑！ http://t.co/cjrSSRY1RT</v>
      </c>
      <c r="G4202" s="4" t="str">
        <f>IFERROR(__xludf.DUMMYFUNCTION("GOOGLETRANSLATE(B4202)"),"災難")</f>
        <v>災難</v>
      </c>
    </row>
    <row r="4203" ht="15.75" customHeight="1">
      <c r="A4203" s="4">
        <v>2139.0</v>
      </c>
      <c r="B4203" s="4" t="s">
        <v>919</v>
      </c>
      <c r="C4203" s="4" t="s">
        <v>283</v>
      </c>
      <c r="D4203" s="4" t="s">
        <v>6236</v>
      </c>
      <c r="E4203" s="4">
        <v>0.0</v>
      </c>
      <c r="F4203" s="4" t="str">
        <f>IFERROR(__xludf.DUMMYFUNCTION("GOOGLETRANSLATE(D4203)"),".@AIGinsurance 執行長：資產剝離和#Catastrophe Losses Temper 第二季度#Results http://t.co/2y2wZk1FrM")</f>
        <v>.@AIGinsurance 執行長：資產剝離和#Catastrophe Losses Temper 第二季度#Results http://t.co/2y2wZk1FrM</v>
      </c>
      <c r="G4203" s="4" t="str">
        <f>IFERROR(__xludf.DUMMYFUNCTION("GOOGLETRANSLATE(B4203)"),"災難")</f>
        <v>災難</v>
      </c>
    </row>
    <row r="4204" ht="15.75" customHeight="1">
      <c r="A4204" s="4">
        <v>2142.0</v>
      </c>
      <c r="B4204" s="4" t="s">
        <v>919</v>
      </c>
      <c r="C4204" s="4" t="s">
        <v>6237</v>
      </c>
      <c r="D4204" s="4" t="s">
        <v>6238</v>
      </c>
      <c r="E4204" s="4">
        <v>0.0</v>
      </c>
      <c r="F4204" s="4" t="str">
        <f>IFERROR(__xludf.DUMMYFUNCTION("GOOGLETRANSLATE(D4204)"),"天哪，這是我見過的最大的 #gbbo 災難。
不是說我看這個節目或根本不喜歡它？")</f>
        <v>天哪，這是我見過的最大的 #gbbo 災難。
不是說我看這個節目或根本不喜歡它？</v>
      </c>
      <c r="G4204" s="4" t="str">
        <f>IFERROR(__xludf.DUMMYFUNCTION("GOOGLETRANSLATE(B4204)"),"災難")</f>
        <v>災難</v>
      </c>
    </row>
    <row r="4205" ht="15.75" customHeight="1">
      <c r="A4205" s="4">
        <v>2145.0</v>
      </c>
      <c r="B4205" s="4" t="s">
        <v>919</v>
      </c>
      <c r="D4205" s="4" t="s">
        <v>6239</v>
      </c>
      <c r="E4205" s="4">
        <v>0.0</v>
      </c>
      <c r="F4205" s="4" t="str">
        <f>IFERROR(__xludf.DUMMYFUNCTION("GOOGLETRANSLATE(D4205)"),"根本不是一場災難，我很滿意。當我被控制時，成為唯一的人就毫無意義。如果你有廢話要說的話給我發短信")</f>
        <v>根本不是一場災難，我很滿意。當我被控制時，成為唯一的人就毫無意義。如果你有廢話要說的話給我發短信</v>
      </c>
      <c r="G4205" s="4" t="str">
        <f>IFERROR(__xludf.DUMMYFUNCTION("GOOGLETRANSLATE(B4205)"),"災難")</f>
        <v>災難</v>
      </c>
    </row>
    <row r="4206" ht="15.75" customHeight="1">
      <c r="A4206" s="4">
        <v>2146.0</v>
      </c>
      <c r="B4206" s="4" t="s">
        <v>919</v>
      </c>
      <c r="C4206" s="4" t="s">
        <v>6240</v>
      </c>
      <c r="D4206" s="4" t="s">
        <v>6241</v>
      </c>
      <c r="E4206" s="4">
        <v>0.0</v>
      </c>
      <c r="F4206" s="4" t="str">
        <f>IFERROR(__xludf.DUMMYFUNCTION("GOOGLETRANSLATE(D4206)"),"@MasochisticMage + 災難！它導致人們變得魯莽，底線是你的至少三個朋友會有+")</f>
        <v>@MasochisticMage + 災難！它導致人們變得魯莽，底線是你的至少三個朋友會有+</v>
      </c>
      <c r="G4206" s="4" t="str">
        <f>IFERROR(__xludf.DUMMYFUNCTION("GOOGLETRANSLATE(B4206)"),"災難")</f>
        <v>災難</v>
      </c>
    </row>
    <row r="4207" ht="15.75" customHeight="1">
      <c r="A4207" s="4">
        <v>2148.0</v>
      </c>
      <c r="B4207" s="4" t="s">
        <v>919</v>
      </c>
      <c r="C4207" s="4" t="s">
        <v>5404</v>
      </c>
      <c r="D4207" s="4" t="s">
        <v>6242</v>
      </c>
      <c r="E4207" s="4">
        <v>0.0</v>
      </c>
      <c r="F4207" s="4" t="str">
        <f>IFERROR(__xludf.DUMMYFUNCTION("GOOGLETRANSLATE(D4207)"),"今天我喝了 2 杯普通咖啡和一杯 Rockstar + 咖啡，但我還是很累。")</f>
        <v>今天我喝了 2 杯普通咖啡和一杯 Rockstar + 咖啡，但我還是很累。</v>
      </c>
      <c r="G4207" s="4" t="str">
        <f>IFERROR(__xludf.DUMMYFUNCTION("GOOGLETRANSLATE(B4207)"),"災難")</f>
        <v>災難</v>
      </c>
    </row>
    <row r="4208" ht="15.75" customHeight="1">
      <c r="A4208" s="4">
        <v>2149.0</v>
      </c>
      <c r="B4208" s="4" t="s">
        <v>919</v>
      </c>
      <c r="C4208" s="4" t="s">
        <v>1848</v>
      </c>
      <c r="D4208" s="4" t="s">
        <v>6243</v>
      </c>
      <c r="E4208" s="4">
        <v>0.0</v>
      </c>
      <c r="F4208" s="4" t="str">
        <f>IFERROR(__xludf.DUMMYFUNCTION("GOOGLETRANSLATE(D4208)"),"阿拉斯加的 #Wolves 面臨災難 Denali Wolves 數量銳減至 48 隻！ #SaveDenaliWolves TWEETSTORM：http://t.co/sywUEL7yYx")</f>
        <v>阿拉斯加的 #Wolves 面臨災難 Denali Wolves 數量銳減至 48 隻！ #SaveDenaliWolves TWEETSTORM：http://t.co/sywUEL7yYx</v>
      </c>
      <c r="G4208" s="4" t="str">
        <f>IFERROR(__xludf.DUMMYFUNCTION("GOOGLETRANSLATE(B4208)"),"災難")</f>
        <v>災難</v>
      </c>
    </row>
    <row r="4209" ht="15.75" customHeight="1">
      <c r="A4209" s="4">
        <v>2150.0</v>
      </c>
      <c r="B4209" s="4" t="s">
        <v>919</v>
      </c>
      <c r="C4209" s="4" t="s">
        <v>6244</v>
      </c>
      <c r="D4209" s="4" t="s">
        <v>6245</v>
      </c>
      <c r="E4209" s="4">
        <v>0.0</v>
      </c>
      <c r="F4209" s="4" t="str">
        <f>IFERROR(__xludf.DUMMYFUNCTION("GOOGLETRANSLATE(D4209)"),"@mark_argent 我還沒看過那部。剛完成《災難》，太棒了")</f>
        <v>@mark_argent 我還沒看過那部。剛完成《災難》，太棒了</v>
      </c>
      <c r="G4209" s="4" t="str">
        <f>IFERROR(__xludf.DUMMYFUNCTION("GOOGLETRANSLATE(B4209)"),"災難")</f>
        <v>災難</v>
      </c>
    </row>
    <row r="4210" ht="15.75" customHeight="1">
      <c r="A4210" s="4">
        <v>2154.0</v>
      </c>
      <c r="B4210" s="4" t="s">
        <v>919</v>
      </c>
      <c r="D4210" s="4" t="s">
        <v>6246</v>
      </c>
      <c r="E4210" s="4">
        <v>0.0</v>
      </c>
      <c r="F4210" s="4" t="str">
        <f>IFERROR(__xludf.DUMMYFUNCTION("GOOGLETRANSLATE(D4210)"),"人類歷史越來越成為一場教育與災難之間的競賽。")</f>
        <v>人類歷史越來越成為一場教育與災難之間的競賽。</v>
      </c>
      <c r="G4210" s="4" t="str">
        <f>IFERROR(__xludf.DUMMYFUNCTION("GOOGLETRANSLATE(B4210)"),"災難")</f>
        <v>災難</v>
      </c>
    </row>
    <row r="4211" ht="15.75" customHeight="1">
      <c r="A4211" s="4">
        <v>2157.0</v>
      </c>
      <c r="B4211" s="4" t="s">
        <v>919</v>
      </c>
      <c r="C4211" s="4" t="s">
        <v>6247</v>
      </c>
      <c r="D4211" s="4" t="s">
        <v>6248</v>
      </c>
      <c r="E4211" s="4">
        <v>0.0</v>
      </c>
      <c r="F4211" s="4" t="str">
        <f>IFERROR(__xludf.DUMMYFUNCTION("GOOGLETRANSLATE(D4211)"),"成功不是建立在成功之上的。它建立在失敗之上。它建立在挫折感之上。它建立在災難之上。 ＃真實的")</f>
        <v>成功不是建立在成功之上的。它建立在失敗之上。它建立在挫折感之上。它建立在災難之上。 ＃真實的</v>
      </c>
      <c r="G4211" s="4" t="str">
        <f>IFERROR(__xludf.DUMMYFUNCTION("GOOGLETRANSLATE(B4211)"),"災難")</f>
        <v>災難</v>
      </c>
    </row>
    <row r="4212" ht="15.75" customHeight="1">
      <c r="A4212" s="4">
        <v>2158.0</v>
      </c>
      <c r="B4212" s="4" t="s">
        <v>919</v>
      </c>
      <c r="C4212" s="4" t="s">
        <v>6249</v>
      </c>
      <c r="D4212" s="4" t="s">
        <v>6250</v>
      </c>
      <c r="E4212" s="4">
        <v>0.0</v>
      </c>
      <c r="F4212" s="4" t="str">
        <f>IFERROR(__xludf.DUMMYFUNCTION("GOOGLETRANSLATE(D4212)"),"布蘭妮斯皮爾斯&gt;維加斯！！我很想你！ ??等不及今晚的演出了嗎？ ＃我的一部分
??災難？？ http://t.co/4mJyW7p7Cf")</f>
        <v>布蘭妮斯皮爾斯&gt;維加斯！！我很想你！ ??等不及今晚的演出了嗎？ ＃我的一部分
??災難？？ http://t.co/4mJyW7p7Cf</v>
      </c>
      <c r="G4212" s="4" t="str">
        <f>IFERROR(__xludf.DUMMYFUNCTION("GOOGLETRANSLATE(B4212)"),"災難")</f>
        <v>災難</v>
      </c>
    </row>
    <row r="4213" ht="15.75" customHeight="1">
      <c r="A4213" s="4">
        <v>2160.0</v>
      </c>
      <c r="B4213" s="4" t="s">
        <v>929</v>
      </c>
      <c r="C4213" s="4" t="s">
        <v>142</v>
      </c>
      <c r="D4213" s="4" t="s">
        <v>6251</v>
      </c>
      <c r="E4213" s="4">
        <v>0.0</v>
      </c>
      <c r="F4213" s="4" t="str">
        <f>IFERROR(__xludf.DUMMYFUNCTION("GOOGLETRANSLATE(D4213)"),"“氣候變遷可能是災難性的——但它確實有一些好處。”真的@weathernetwork嗎？！？！ http://t.co/IBx3cragtt")</f>
        <v>“氣候變遷可能是災難性的——但它確實有一些好處。”真的@weathernetwork嗎？！？！ http://t.co/IBx3cragtt</v>
      </c>
      <c r="G4213" s="4" t="str">
        <f>IFERROR(__xludf.DUMMYFUNCTION("GOOGLETRANSLATE(B4213)"),"災難性的")</f>
        <v>災難性的</v>
      </c>
    </row>
    <row r="4214" ht="15.75" customHeight="1">
      <c r="A4214" s="4">
        <v>2163.0</v>
      </c>
      <c r="B4214" s="4" t="s">
        <v>929</v>
      </c>
      <c r="D4214" s="4" t="s">
        <v>6252</v>
      </c>
      <c r="E4214" s="4">
        <v>0.0</v>
      </c>
      <c r="F4214" s="4" t="str">
        <f>IFERROR(__xludf.DUMMYFUNCTION("GOOGLETRANSLATE(D4214)"),"災難性的墮落天使：reveillertm：macabrelolita：我應該寫Û÷氨基酸Ûª，我幾乎... http://t.co/dIoBzGHFju")</f>
        <v>災難性的墮落天使：reveillertm：macabrelolita：我應該寫Û÷氨基酸Ûª，我幾乎... http://t.co/dIoBzGHFju</v>
      </c>
      <c r="G4214" s="4" t="str">
        <f>IFERROR(__xludf.DUMMYFUNCTION("GOOGLETRANSLATE(B4214)"),"災難性的")</f>
        <v>災難性的</v>
      </c>
    </row>
    <row r="4215" ht="15.75" customHeight="1">
      <c r="A4215" s="4">
        <v>2175.0</v>
      </c>
      <c r="B4215" s="4" t="s">
        <v>929</v>
      </c>
      <c r="D4215" s="4" t="s">
        <v>6253</v>
      </c>
      <c r="E4215" s="4">
        <v>0.0</v>
      </c>
      <c r="F4215" s="4" t="str">
        <f>IFERROR(__xludf.DUMMYFUNCTION("GOOGLETRANSLATE(D4215)"),"@marginoferror 我希望自訂 ROM 不會那麼災難性")</f>
        <v>@marginoferror 我希望自訂 ROM 不會那麼災難性</v>
      </c>
      <c r="G4215" s="4" t="str">
        <f>IFERROR(__xludf.DUMMYFUNCTION("GOOGLETRANSLATE(B4215)"),"災難性的")</f>
        <v>災難性的</v>
      </c>
    </row>
    <row r="4216" ht="15.75" customHeight="1">
      <c r="A4216" s="4">
        <v>2176.0</v>
      </c>
      <c r="B4216" s="4" t="s">
        <v>929</v>
      </c>
      <c r="C4216" s="4" t="s">
        <v>1290</v>
      </c>
      <c r="D4216" s="4" t="s">
        <v>6254</v>
      </c>
      <c r="E4216" s="4">
        <v>0.0</v>
      </c>
      <c r="F4216" s="4" t="str">
        <f>IFERROR(__xludf.DUMMYFUNCTION("GOOGLETRANSLATE(D4216)"),"老棒球經理穿著制服的最大好處是，如果發生災難性的事情，他們會抓住手套。")</f>
        <v>老棒球經理穿著制服的最大好處是，如果發生災難性的事情，他們會抓住手套。</v>
      </c>
      <c r="G4216" s="4" t="str">
        <f>IFERROR(__xludf.DUMMYFUNCTION("GOOGLETRANSLATE(B4216)"),"災難性的")</f>
        <v>災難性的</v>
      </c>
    </row>
    <row r="4217" ht="15.75" customHeight="1">
      <c r="A4217" s="4">
        <v>2181.0</v>
      </c>
      <c r="B4217" s="4" t="s">
        <v>929</v>
      </c>
      <c r="C4217" s="4" t="s">
        <v>291</v>
      </c>
      <c r="D4217" s="4" t="s">
        <v>6255</v>
      </c>
      <c r="E4217" s="4">
        <v>0.0</v>
      </c>
      <c r="F4217" s="4" t="str">
        <f>IFERROR(__xludf.DUMMYFUNCTION("GOOGLETRANSLATE(D4217)"),"@MyVintageSoul ...英國上層階級和他的男僕。養尊處優的英國富人導致了災難性的轉變（逆轉）......")</f>
        <v>@MyVintageSoul ...英國上層階級和他的男僕。養尊處優的英國富人導致了災難性的轉變（逆轉）......</v>
      </c>
      <c r="G4217" s="4" t="str">
        <f>IFERROR(__xludf.DUMMYFUNCTION("GOOGLETRANSLATE(B4217)"),"災難性的")</f>
        <v>災難性的</v>
      </c>
    </row>
    <row r="4218" ht="15.75" customHeight="1">
      <c r="A4218" s="4">
        <v>2186.0</v>
      </c>
      <c r="B4218" s="4" t="s">
        <v>929</v>
      </c>
      <c r="C4218" s="4" t="s">
        <v>6256</v>
      </c>
      <c r="D4218" s="4" t="s">
        <v>6257</v>
      </c>
      <c r="E4218" s="4">
        <v>0.0</v>
      </c>
      <c r="F4218" s="4" t="str">
        <f>IFERROR(__xludf.DUMMYFUNCTION("GOOGLETRANSLATE(D4218)"),"@SenSchumer 這就是你想要內塔尼亞胡領導這些美國陷入災難性宗教世界戰爭的結果嗎？已經足夠！")</f>
        <v>@SenSchumer 這就是你想要內塔尼亞胡領導這些美國陷入災難性宗教世界戰爭的結果嗎？已經足夠！</v>
      </c>
      <c r="G4218" s="4" t="str">
        <f>IFERROR(__xludf.DUMMYFUNCTION("GOOGLETRANSLATE(B4218)"),"災難性的")</f>
        <v>災難性的</v>
      </c>
    </row>
    <row r="4219" ht="15.75" customHeight="1">
      <c r="A4219" s="4">
        <v>2203.0</v>
      </c>
      <c r="B4219" s="4" t="s">
        <v>929</v>
      </c>
      <c r="D4219" s="4" t="s">
        <v>6258</v>
      </c>
      <c r="E4219" s="4">
        <v>0.0</v>
      </c>
      <c r="F4219" s="4" t="str">
        <f>IFERROR(__xludf.DUMMYFUNCTION("GOOGLETRANSLATE(D4219)"),"我不僅對接下來六年的學習和隨之而來的學生債務感到興奮，而且對我一生中災難性的氣候變遷感到興奮
:D ??")</f>
        <v>我不僅對接下來六年的學習和隨之而來的學生債務感到興奮，而且對我一生中災難性的氣候變遷感到興奮
:D ??</v>
      </c>
      <c r="G4219" s="4" t="str">
        <f>IFERROR(__xludf.DUMMYFUNCTION("GOOGLETRANSLATE(B4219)"),"災難性的")</f>
        <v>災難性的</v>
      </c>
    </row>
    <row r="4220" ht="15.75" customHeight="1">
      <c r="A4220" s="4">
        <v>2204.0</v>
      </c>
      <c r="B4220" s="4" t="s">
        <v>929</v>
      </c>
      <c r="C4220" s="4" t="s">
        <v>6259</v>
      </c>
      <c r="D4220" s="4" t="s">
        <v>6260</v>
      </c>
      <c r="E4220" s="4">
        <v>0.0</v>
      </c>
      <c r="F4220" s="4" t="str">
        <f>IFERROR(__xludf.DUMMYFUNCTION("GOOGLETRANSLATE(D4220)"),"幾乎每次棒球比賽的音訊串流中的音訊消失時，我都會假設發生了災難性的核攻擊。")</f>
        <v>幾乎每次棒球比賽的音訊串流中的音訊消失時，我都會假設發生了災難性的核攻擊。</v>
      </c>
      <c r="G4220" s="4" t="str">
        <f>IFERROR(__xludf.DUMMYFUNCTION("GOOGLETRANSLATE(B4220)"),"災難性的")</f>
        <v>災難性的</v>
      </c>
    </row>
    <row r="4221" ht="15.75" customHeight="1">
      <c r="A4221" s="4">
        <v>2205.0</v>
      </c>
      <c r="B4221" s="4" t="s">
        <v>929</v>
      </c>
      <c r="C4221" s="4" t="s">
        <v>6044</v>
      </c>
      <c r="D4221" s="4" t="s">
        <v>6261</v>
      </c>
      <c r="E4221" s="4">
        <v>0.0</v>
      </c>
      <c r="F4221" s="4" t="str">
        <f>IFERROR(__xludf.DUMMYFUNCTION("GOOGLETRANSLATE(D4221)"),"尋找#被告#災難性傷害律師#jobs http://t.co/Gz27aUDyHa http://t.co/P4EKgC9sIG")</f>
        <v>尋找#被告#災難性傷害律師#jobs http://t.co/Gz27aUDyHa http://t.co/P4EKgC9sIG</v>
      </c>
      <c r="G4221" s="4" t="str">
        <f>IFERROR(__xludf.DUMMYFUNCTION("GOOGLETRANSLATE(B4221)"),"災難性的")</f>
        <v>災難性的</v>
      </c>
    </row>
    <row r="4222" ht="15.75" customHeight="1">
      <c r="A4222" s="4">
        <v>2207.0</v>
      </c>
      <c r="B4222" s="4" t="s">
        <v>929</v>
      </c>
      <c r="C4222" s="4" t="s">
        <v>6262</v>
      </c>
      <c r="D4222" s="4" t="s">
        <v>6263</v>
      </c>
      <c r="E4222" s="4">
        <v>0.0</v>
      </c>
      <c r="F4222" s="4" t="str">
        <f>IFERROR(__xludf.DUMMYFUNCTION("GOOGLETRANSLATE(D4222)"),"@SyringeToAnger åÇ 甚至可能更多。但與羅斯將軍的一些分歧以及災難性的事件清楚地表明了一些事情。奧")</f>
        <v>@SyringeToAnger åÇ 甚至可能更多。但與羅斯將軍的一些分歧以及災難性的事件清楚地表明了一些事情。奧</v>
      </c>
      <c r="G4222" s="4" t="str">
        <f>IFERROR(__xludf.DUMMYFUNCTION("GOOGLETRANSLATE(B4222)"),"災難性的")</f>
        <v>災難性的</v>
      </c>
    </row>
    <row r="4223" ht="15.75" customHeight="1">
      <c r="A4223" s="4">
        <v>2209.0</v>
      </c>
      <c r="B4223" s="4" t="s">
        <v>960</v>
      </c>
      <c r="D4223" s="4" t="s">
        <v>6264</v>
      </c>
      <c r="E4223" s="4">
        <v>0.0</v>
      </c>
      <c r="F4223" s="4" t="str">
        <f>IFERROR(__xludf.DUMMYFUNCTION("GOOGLETRANSLATE(D4223)"),"緊急應變與危險化學品管理：原則與實務 http://t.co/4sSuyhkgRB http://t.co/TDerBtgZ2k")</f>
        <v>緊急應變與危險化學品管理：原則與實務 http://t.co/4sSuyhkgRB http://t.co/TDerBtgZ2k</v>
      </c>
      <c r="G4223" s="4" t="str">
        <f>IFERROR(__xludf.DUMMYFUNCTION("GOOGLETRANSLATE(B4223)"),"化學品%20緊急")</f>
        <v>化學品%20緊急</v>
      </c>
    </row>
    <row r="4224" ht="15.75" customHeight="1">
      <c r="A4224" s="4">
        <v>2210.0</v>
      </c>
      <c r="B4224" s="4" t="s">
        <v>960</v>
      </c>
      <c r="C4224" s="4" t="s">
        <v>6265</v>
      </c>
      <c r="D4224" s="4" t="s">
        <v>6266</v>
      </c>
      <c r="E4224" s="4">
        <v>0.0</v>
      </c>
      <c r="F4224" s="4" t="str">
        <f>IFERROR(__xludf.DUMMYFUNCTION("GOOGLETRANSLATE(D4224)"),"THE CHEMICAL BROTHERS 明天晚上將在舊金山玩 The Armoury!：緊急灣區 EDM 公告 ÛÒ THE CHEM... http://t.co/3LN8TrHw6X")</f>
        <v>THE CHEMICAL BROTHERS 明天晚上將在舊金山玩 The Armoury!：緊急灣區 EDM 公告 ÛÒ THE CHEM... http://t.co/3LN8TrHw6X</v>
      </c>
      <c r="G4224" s="4" t="str">
        <f>IFERROR(__xludf.DUMMYFUNCTION("GOOGLETRANSLATE(B4224)"),"化學品%20緊急")</f>
        <v>化學品%20緊急</v>
      </c>
    </row>
    <row r="4225" ht="15.75" customHeight="1">
      <c r="A4225" s="4">
        <v>2214.0</v>
      </c>
      <c r="B4225" s="4" t="s">
        <v>960</v>
      </c>
      <c r="C4225" s="4" t="s">
        <v>183</v>
      </c>
      <c r="D4225" s="4" t="s">
        <v>6267</v>
      </c>
      <c r="E4225" s="4">
        <v>0.0</v>
      </c>
      <c r="F4225" s="4" t="str">
        <f>IFERROR(__xludf.DUMMYFUNCTION("GOOGLETRANSLATE(D4225)"),".@david_cameron 別再惹惱這隻蜜蜂了！傾聽科學而不是化學公司的聲音 #savebees https://t.co/NDJja4D5O8 http://t.co/l7BJSq0Y2o")</f>
        <v>.@david_cameron 別再惹惱這隻蜜蜂了！傾聽科學而不是化學公司的聲音 #savebees https://t.co/NDJja4D5O8 http://t.co/l7BJSq0Y2o</v>
      </c>
      <c r="G4225" s="4" t="str">
        <f>IFERROR(__xludf.DUMMYFUNCTION("GOOGLETRANSLATE(B4225)"),"化學品%20緊急")</f>
        <v>化學品%20緊急</v>
      </c>
    </row>
    <row r="4226" ht="15.75" customHeight="1">
      <c r="A4226" s="4">
        <v>2216.0</v>
      </c>
      <c r="B4226" s="4" t="s">
        <v>960</v>
      </c>
      <c r="D4226" s="4" t="s">
        <v>6268</v>
      </c>
      <c r="E4226" s="4">
        <v>0.0</v>
      </c>
      <c r="F4226" s="4" t="str">
        <f>IFERROR(__xludf.DUMMYFUNCTION("GOOGLETRANSLATE(D4226)"),"THE CHEMICAL BROTHERS 明天晚上將在舊金山玩 The Armoury!：緊急灣區 EDM 公告 ÛÒ THE CHEM... http://t.co/wBoGs8EjSj")</f>
        <v>THE CHEMICAL BROTHERS 明天晚上將在舊金山玩 The Armoury!：緊急灣區 EDM 公告 ÛÒ THE CHEM... http://t.co/wBoGs8EjSj</v>
      </c>
      <c r="G4226" s="4" t="str">
        <f>IFERROR(__xludf.DUMMYFUNCTION("GOOGLETRANSLATE(B4226)"),"化學品%20緊急")</f>
        <v>化學品%20緊急</v>
      </c>
    </row>
    <row r="4227" ht="15.75" customHeight="1">
      <c r="A4227" s="4">
        <v>2217.0</v>
      </c>
      <c r="B4227" s="4" t="s">
        <v>960</v>
      </c>
      <c r="C4227" s="4" t="s">
        <v>6269</v>
      </c>
      <c r="D4227" s="4" t="s">
        <v>6270</v>
      </c>
      <c r="E4227" s="4">
        <v>0.0</v>
      </c>
      <c r="F4227" s="4" t="str">
        <f>IFERROR(__xludf.DUMMYFUNCTION("GOOGLETRANSLATE(D4227)"),"簽署請願書@david_cameron以保護蜜蜂，而不是有毒化學公司想要傷害它們！ #savebees - http://t.co/dB7ft3Yi6d")</f>
        <v>簽署請願書@david_cameron以保護蜜蜂，而不是有毒化學公司想要傷害它們！ #savebees - http://t.co/dB7ft3Yi6d</v>
      </c>
      <c r="G4227" s="4" t="str">
        <f>IFERROR(__xludf.DUMMYFUNCTION("GOOGLETRANSLATE(B4227)"),"化學品%20緊急")</f>
        <v>化學品%20緊急</v>
      </c>
    </row>
    <row r="4228" ht="15.75" customHeight="1">
      <c r="A4228" s="4">
        <v>2220.0</v>
      </c>
      <c r="B4228" s="4" t="s">
        <v>960</v>
      </c>
      <c r="C4228" s="4" t="s">
        <v>6271</v>
      </c>
      <c r="D4228" s="4" t="s">
        <v>6272</v>
      </c>
      <c r="E4228" s="4">
        <v>0.0</v>
      </c>
      <c r="F4228" s="4" t="str">
        <f>IFERROR(__xludf.DUMMYFUNCTION("GOOGLETRANSLATE(D4228)"),"#Seattle 市中心緊急服務中心新開設 #job - #Chemical #Dependency Counselor 或 Intern #jobs http://t.co/BNRdKgXavr")</f>
        <v>#Seattle 市中心緊急服務中心新開設 #job - #Chemical #Dependency Counselor 或 Intern #jobs http://t.co/BNRdKgXavr</v>
      </c>
      <c r="G4228" s="4" t="str">
        <f>IFERROR(__xludf.DUMMYFUNCTION("GOOGLETRANSLATE(B4228)"),"化學品%20緊急")</f>
        <v>化學品%20緊急</v>
      </c>
    </row>
    <row r="4229" ht="15.75" customHeight="1">
      <c r="A4229" s="4">
        <v>2227.0</v>
      </c>
      <c r="B4229" s="4" t="s">
        <v>960</v>
      </c>
      <c r="D4229" s="4" t="s">
        <v>6273</v>
      </c>
      <c r="E4229" s="4">
        <v>0.0</v>
      </c>
      <c r="F4229" s="4" t="str">
        <f>IFERROR(__xludf.DUMMYFUNCTION("GOOGLETRANSLATE(D4229)"),"Google 警報：緊急部隊模擬 NU 的化學爆炸 http://t.co/NDgpWYxu6H")</f>
        <v>Google 警報：緊急部隊模擬 NU 的化學爆炸 http://t.co/NDgpWYxu6H</v>
      </c>
      <c r="G4229" s="4" t="str">
        <f>IFERROR(__xludf.DUMMYFUNCTION("GOOGLETRANSLATE(B4229)"),"化學品%20緊急")</f>
        <v>化學品%20緊急</v>
      </c>
    </row>
    <row r="4230" ht="15.75" customHeight="1">
      <c r="A4230" s="4">
        <v>2229.0</v>
      </c>
      <c r="B4230" s="4" t="s">
        <v>960</v>
      </c>
      <c r="C4230" s="4" t="s">
        <v>6271</v>
      </c>
      <c r="D4230" s="4" t="s">
        <v>6274</v>
      </c>
      <c r="E4230" s="4">
        <v>0.0</v>
      </c>
      <c r="F4230" s="4" t="str">
        <f>IFERROR(__xludf.DUMMYFUNCTION("GOOGLETRANSLATE(D4230)"),"市中心緊急服務中心正在招募！ #Seattle #Chemical #Dependency 顧問或實習生立即申請！ #jobs http://t.co/SKQPWSNOin")</f>
        <v>市中心緊急服務中心正在招募！ #Seattle #Chemical #Dependency 顧問或實習生立即申請！ #jobs http://t.co/SKQPWSNOin</v>
      </c>
      <c r="G4230" s="4" t="str">
        <f>IFERROR(__xludf.DUMMYFUNCTION("GOOGLETRANSLATE(B4230)"),"化學品%20緊急")</f>
        <v>化學品%20緊急</v>
      </c>
    </row>
    <row r="4231" ht="15.75" customHeight="1">
      <c r="A4231" s="4">
        <v>2230.0</v>
      </c>
      <c r="B4231" s="4" t="s">
        <v>960</v>
      </c>
      <c r="C4231" s="4" t="s">
        <v>6275</v>
      </c>
      <c r="D4231" s="4" t="s">
        <v>6276</v>
      </c>
      <c r="E4231" s="4">
        <v>0.0</v>
      </c>
      <c r="F4231" s="4" t="str">
        <f>IFERROR(__xludf.DUMMYFUNCTION("GOOGLETRANSLATE(D4231)"),"您有應對泳池化學品緊急情況的計劃嗎？在這裡了解更多：http://t.co/UePPjwvLcb #watersafety @CDC")</f>
        <v>您有應對泳池化學品緊急情況的計劃嗎？在這裡了解更多：http://t.co/UePPjwvLcb #watersafety @CDC</v>
      </c>
      <c r="G4231" s="4" t="str">
        <f>IFERROR(__xludf.DUMMYFUNCTION("GOOGLETRANSLATE(B4231)"),"化學品%20緊急")</f>
        <v>化學品%20緊急</v>
      </c>
    </row>
    <row r="4232" ht="15.75" customHeight="1">
      <c r="A4232" s="4">
        <v>2231.0</v>
      </c>
      <c r="B4232" s="4" t="s">
        <v>960</v>
      </c>
      <c r="C4232" s="4" t="s">
        <v>6277</v>
      </c>
      <c r="D4232" s="4" t="s">
        <v>6278</v>
      </c>
      <c r="E4232" s="4">
        <v>0.0</v>
      </c>
      <c r="F4232" s="4" t="str">
        <f>IFERROR(__xludf.DUMMYFUNCTION("GOOGLETRANSLATE(D4232)"),"@pjcoyle ...需要納入化工廠的應急計劃中。另請參閱http://t.co/OamqqBNIce")</f>
        <v>@pjcoyle ...需要納入化工廠的應急計劃中。另請參閱http://t.co/OamqqBNIce</v>
      </c>
      <c r="G4232" s="4" t="str">
        <f>IFERROR(__xludf.DUMMYFUNCTION("GOOGLETRANSLATE(B4232)"),"化學品%20緊急")</f>
        <v>化學品%20緊急</v>
      </c>
    </row>
    <row r="4233" ht="15.75" customHeight="1">
      <c r="A4233" s="4">
        <v>2235.0</v>
      </c>
      <c r="B4233" s="4" t="s">
        <v>960</v>
      </c>
      <c r="C4233" s="4" t="s">
        <v>6279</v>
      </c>
      <c r="D4233" s="4" t="s">
        <v>6280</v>
      </c>
      <c r="E4233" s="4">
        <v>0.0</v>
      </c>
      <c r="F4233" s="4" t="str">
        <f>IFERROR(__xludf.DUMMYFUNCTION("GOOGLETRANSLATE(D4233)"),"我們知道這對蜜蜂不利 - 不要屈服於痴迷於短期利潤的化學公司的壓力...... http://t.co/aNuTOopKF4")</f>
        <v>我們知道這對蜜蜂不利 - 不要屈服於痴迷於短期利潤的化學公司的壓力...... http://t.co/aNuTOopKF4</v>
      </c>
      <c r="G4233" s="4" t="str">
        <f>IFERROR(__xludf.DUMMYFUNCTION("GOOGLETRANSLATE(B4233)"),"化學品%20緊急")</f>
        <v>化學品%20緊急</v>
      </c>
    </row>
    <row r="4234" ht="15.75" customHeight="1">
      <c r="A4234" s="4">
        <v>2236.0</v>
      </c>
      <c r="B4234" s="4" t="s">
        <v>960</v>
      </c>
      <c r="C4234" s="4" t="s">
        <v>6281</v>
      </c>
      <c r="D4234" s="4" t="s">
        <v>6282</v>
      </c>
      <c r="E4234" s="4">
        <v>0.0</v>
      </c>
      <c r="F4234" s="4" t="str">
        <f>IFERROR(__xludf.DUMMYFUNCTION("GOOGLETRANSLATE(D4234)"),"最喜歡的新項目：EmergeNCY 壯舉。化學兄弟 / 我的位元 http://t.co/MET4YtZMFB @DeezerColombia")</f>
        <v>最喜歡的新項目：EmergeNCY 壯舉。化學兄弟 / 我的位元 http://t.co/MET4YtZMFB @DeezerColombia</v>
      </c>
      <c r="G4234" s="4" t="str">
        <f>IFERROR(__xludf.DUMMYFUNCTION("GOOGLETRANSLATE(B4234)"),"化學品%20緊急")</f>
        <v>化學品%20緊急</v>
      </c>
    </row>
    <row r="4235" ht="15.75" customHeight="1">
      <c r="A4235" s="4">
        <v>2237.0</v>
      </c>
      <c r="B4235" s="4" t="s">
        <v>960</v>
      </c>
      <c r="C4235" s="4" t="s">
        <v>6271</v>
      </c>
      <c r="D4235" s="4" t="s">
        <v>6283</v>
      </c>
      <c r="E4235" s="4">
        <v>0.0</v>
      </c>
      <c r="F4235" s="4" t="str">
        <f>IFERROR(__xludf.DUMMYFUNCTION("GOOGLETRANSLATE(D4235)"),"市中心緊急服務中心正在招募#Chemical #Dependency 顧問或實習生，立即申請！ #西雅圖#jobs http://t.co/SKQPWSNOin")</f>
        <v>市中心緊急服務中心正在招募#Chemical #Dependency 顧問或實習生，立即申請！ #西雅圖#jobs http://t.co/SKQPWSNOin</v>
      </c>
      <c r="G4235" s="4" t="str">
        <f>IFERROR(__xludf.DUMMYFUNCTION("GOOGLETRANSLATE(B4235)"),"化學品%20緊急")</f>
        <v>化學品%20緊急</v>
      </c>
    </row>
    <row r="4236" ht="15.75" customHeight="1">
      <c r="A4236" s="4">
        <v>2240.0</v>
      </c>
      <c r="B4236" s="4" t="s">
        <v>960</v>
      </c>
      <c r="C4236" s="4" t="s">
        <v>6271</v>
      </c>
      <c r="D4236" s="4" t="s">
        <v>6284</v>
      </c>
      <c r="E4236" s="4">
        <v>0.0</v>
      </c>
      <c r="F4236" s="4" t="str">
        <f>IFERROR(__xludf.DUMMYFUNCTION("GOOGLETRANSLATE(D4236)"),"市中心緊急服務中心正在招募！ #Seattle #Chemical #Dependency 顧問或實習生立即申請！ #jobs http://t.co/HhTwAyT4yo")</f>
        <v>市中心緊急服務中心正在招募！ #Seattle #Chemical #Dependency 顧問或實習生立即申請！ #jobs http://t.co/HhTwAyT4yo</v>
      </c>
      <c r="G4236" s="4" t="str">
        <f>IFERROR(__xludf.DUMMYFUNCTION("GOOGLETRANSLATE(B4236)"),"化學品%20緊急")</f>
        <v>化學品%20緊急</v>
      </c>
    </row>
    <row r="4237" ht="15.75" customHeight="1">
      <c r="A4237" s="4">
        <v>2241.0</v>
      </c>
      <c r="B4237" s="4" t="s">
        <v>960</v>
      </c>
      <c r="C4237" s="4" t="s">
        <v>6285</v>
      </c>
      <c r="D4237" s="4" t="s">
        <v>6286</v>
      </c>
      <c r="E4237" s="4">
        <v>0.0</v>
      </c>
      <c r="F4237" s="4" t="str">
        <f>IFERROR(__xludf.DUMMYFUNCTION("GOOGLETRANSLATE(D4237)"),"第二天。化學物品緊急清理。 #USAR2015 #USAR15 #RUOR #???????????? http://t.co/gGTmDqUdDo")</f>
        <v>第二天。化學物品緊急清理。 #USAR2015 #USAR15 #RUOR #???????????? http://t.co/gGTmDqUdDo</v>
      </c>
      <c r="G4237" s="4" t="str">
        <f>IFERROR(__xludf.DUMMYFUNCTION("GOOGLETRANSLATE(B4237)"),"化學品%20緊急")</f>
        <v>化學品%20緊急</v>
      </c>
    </row>
    <row r="4238" ht="15.75" customHeight="1">
      <c r="A4238" s="4">
        <v>2244.0</v>
      </c>
      <c r="B4238" s="4" t="s">
        <v>960</v>
      </c>
      <c r="D4238" s="4" t="s">
        <v>6287</v>
      </c>
      <c r="E4238" s="4">
        <v>0.0</v>
      </c>
      <c r="F4238" s="4" t="str">
        <f>IFERROR(__xludf.DUMMYFUNCTION("GOOGLETRANSLATE(D4238)"),"請為蜜蜂挺身而出，反對那些渴求利潤的化學公司。保留禁令&amp;amp; #拯救蜜蜂
立即簽署請願書：
https://t.co/4zsXjGV7iT")</f>
        <v>請為蜜蜂挺身而出，反對那些渴求利潤的化學公司。保留禁令&amp;amp; #拯救蜜蜂
立即簽署請願書：
https://t.co/4zsXjGV7iT</v>
      </c>
      <c r="G4238" s="4" t="str">
        <f>IFERROR(__xludf.DUMMYFUNCTION("GOOGLETRANSLATE(B4238)"),"化學品%20緊急")</f>
        <v>化學品%20緊急</v>
      </c>
    </row>
    <row r="4239" ht="15.75" customHeight="1">
      <c r="A4239" s="4">
        <v>2245.0</v>
      </c>
      <c r="B4239" s="4" t="s">
        <v>960</v>
      </c>
      <c r="C4239" s="4" t="s">
        <v>6288</v>
      </c>
      <c r="D4239" s="4" t="s">
        <v>6289</v>
      </c>
      <c r="E4239" s="4">
        <v>0.0</v>
      </c>
      <c r="F4239" s="4" t="str">
        <f>IFERROR(__xludf.DUMMYFUNCTION("GOOGLETRANSLATE(D4239)"),"@laevantine 幸運的是，我重新設計了緊急化學淋浴的管道，以便在這樣的場合從閃光管中抽水")</f>
        <v>@laevantine 幸運的是，我重新設計了緊急化學淋浴的管道，以便在這樣的場合從閃光管中抽水</v>
      </c>
      <c r="G4239" s="4" t="str">
        <f>IFERROR(__xludf.DUMMYFUNCTION("GOOGLETRANSLATE(B4239)"),"化學品%20緊急")</f>
        <v>化學品%20緊急</v>
      </c>
    </row>
    <row r="4240" ht="15.75" customHeight="1">
      <c r="A4240" s="4">
        <v>2246.0</v>
      </c>
      <c r="B4240" s="4" t="s">
        <v>960</v>
      </c>
      <c r="D4240" s="4" t="s">
        <v>6290</v>
      </c>
      <c r="E4240" s="4">
        <v>0.0</v>
      </c>
      <c r="F4240" s="4" t="str">
        <f>IFERROR(__xludf.DUMMYFUNCTION("GOOGLETRANSLATE(D4240)"),"@Chemical_Babe 這是一個家庭緊急情況，所以除非我有機會透過電話進行直播，否則我無法參加。")</f>
        <v>@Chemical_Babe 這是一個家庭緊急情況，所以除非我有機會透過電話進行直播，否則我無法參加。</v>
      </c>
      <c r="G4240" s="4" t="str">
        <f>IFERROR(__xludf.DUMMYFUNCTION("GOOGLETRANSLATE(B4240)"),"化學品%20緊急")</f>
        <v>化學品%20緊急</v>
      </c>
    </row>
    <row r="4241" ht="15.75" customHeight="1">
      <c r="A4241" s="4">
        <v>2254.0</v>
      </c>
      <c r="B4241" s="4" t="s">
        <v>987</v>
      </c>
      <c r="C4241" s="4" t="s">
        <v>6291</v>
      </c>
      <c r="D4241" s="4" t="s">
        <v>6292</v>
      </c>
      <c r="E4241" s="4">
        <v>0.0</v>
      </c>
      <c r="F4241" s="4" t="str">
        <f>IFERROR(__xludf.DUMMYFUNCTION("GOOGLETRANSLATE(D4241)"),"'也去伊維薩流行啊藥丸喝醉了&amp;amp;從懸崖上掉下來’。 （真實的談話）@DannyJohnJules @Spencer_Fearon @ChristieLinford")</f>
        <v>'也去伊維薩流行啊藥丸喝醉了&amp;amp;從懸崖上掉下來’。 （真實的談話）@DannyJohnJules @Spencer_Fearon @ChristieLinford</v>
      </c>
      <c r="G4241" s="4" t="str">
        <f>IFERROR(__xludf.DUMMYFUNCTION("GOOGLETRANSLATE(B4241)"),"懸崖%20跌落")</f>
        <v>懸崖%20跌落</v>
      </c>
    </row>
    <row r="4242" ht="15.75" customHeight="1">
      <c r="A4242" s="4">
        <v>2255.0</v>
      </c>
      <c r="B4242" s="4" t="s">
        <v>987</v>
      </c>
      <c r="D4242" s="4" t="s">
        <v>6293</v>
      </c>
      <c r="E4242" s="4">
        <v>0.0</v>
      </c>
      <c r="F4242" s="4" t="str">
        <f>IFERROR(__xludf.DUMMYFUNCTION("GOOGLETRANSLATE(D4242)"),"@D33munni @JeanNamibian nooooooooo ... *繼續從懸崖上掉下來*")</f>
        <v>@D33munni @JeanNamibian nooooooooo ... *繼續從懸崖上掉下來*</v>
      </c>
      <c r="G4242" s="4" t="str">
        <f>IFERROR(__xludf.DUMMYFUNCTION("GOOGLETRANSLATE(B4242)"),"懸崖%20跌落")</f>
        <v>懸崖%20跌落</v>
      </c>
    </row>
    <row r="4243" ht="15.75" customHeight="1">
      <c r="A4243" s="4">
        <v>2256.0</v>
      </c>
      <c r="B4243" s="4" t="s">
        <v>987</v>
      </c>
      <c r="C4243" s="4" t="s">
        <v>6294</v>
      </c>
      <c r="D4243" s="4" t="s">
        <v>6295</v>
      </c>
      <c r="E4243" s="4">
        <v>0.0</v>
      </c>
      <c r="F4243" s="4" t="str">
        <f>IFERROR(__xludf.DUMMYFUNCTION("GOOGLETRANSLATE(D4243)"),"他媽的尼爾從懸崖上掉下來什麼的......#yr ??????")</f>
        <v>他媽的尼爾從懸崖上掉下來什麼的......#yr ??????</v>
      </c>
      <c r="G4243" s="4" t="str">
        <f>IFERROR(__xludf.DUMMYFUNCTION("GOOGLETRANSLATE(B4243)"),"懸崖%20跌落")</f>
        <v>懸崖%20跌落</v>
      </c>
    </row>
    <row r="4244" ht="15.75" customHeight="1">
      <c r="A4244" s="4">
        <v>2257.0</v>
      </c>
      <c r="B4244" s="4" t="s">
        <v>987</v>
      </c>
      <c r="D4244" s="4" t="s">
        <v>6296</v>
      </c>
      <c r="E4244" s="4">
        <v>0.0</v>
      </c>
      <c r="F4244" s="4" t="str">
        <f>IFERROR(__xludf.DUMMYFUNCTION("GOOGLETRANSLATE(D4244)"),"擊敗#heat。今天殺戮懸崖自由落體僅需 2 美元。今天在 #tough #crossfit 後喝一杯 #cold 飲料... http://t.co/QaMwoJYahq")</f>
        <v>擊敗#heat。今天殺戮懸崖自由落體僅需 2 美元。今天在 #tough #crossfit 後喝一杯 #cold 飲料... http://t.co/QaMwoJYahq</v>
      </c>
      <c r="G4244" s="4" t="str">
        <f>IFERROR(__xludf.DUMMYFUNCTION("GOOGLETRANSLATE(B4244)"),"懸崖%20跌落")</f>
        <v>懸崖%20跌落</v>
      </c>
    </row>
    <row r="4245" ht="15.75" customHeight="1">
      <c r="A4245" s="4">
        <v>2258.0</v>
      </c>
      <c r="B4245" s="4" t="s">
        <v>987</v>
      </c>
      <c r="C4245" s="4" t="s">
        <v>3292</v>
      </c>
      <c r="D4245" s="4" t="s">
        <v>6297</v>
      </c>
      <c r="E4245" s="4">
        <v>0.0</v>
      </c>
      <c r="F4245" s="4" t="str">
        <f>IFERROR(__xludf.DUMMYFUNCTION("GOOGLETRANSLATE(D4245)"),"新聞快訊！有沒有正經的記帳員晉升為「經理」？如果是這樣，請告訴我，因為我想看著你的帳單跌落懸崖。
＃謙遜的")</f>
        <v>新聞快訊！有沒有正經的記帳員晉升為「經理」？如果是這樣，請告訴我，因為我想看著你的帳單跌落懸崖。
＃謙遜的</v>
      </c>
      <c r="G4245" s="4" t="str">
        <f>IFERROR(__xludf.DUMMYFUNCTION("GOOGLETRANSLATE(B4245)"),"懸崖%20跌落")</f>
        <v>懸崖%20跌落</v>
      </c>
    </row>
    <row r="4246" ht="15.75" customHeight="1">
      <c r="A4246" s="4">
        <v>2262.0</v>
      </c>
      <c r="B4246" s="4" t="s">
        <v>987</v>
      </c>
      <c r="C4246" s="4" t="s">
        <v>6298</v>
      </c>
      <c r="D4246" s="4" t="s">
        <v>6299</v>
      </c>
      <c r="E4246" s="4">
        <v>0.0</v>
      </c>
      <c r="F4246" s="4" t="str">
        <f>IFERROR(__xludf.DUMMYFUNCTION("GOOGLETRANSLATE(D4246)"),"我倒退，我滑倒，我從懸崖上掉下來")</f>
        <v>我倒退，我滑倒，我從懸崖上掉下來</v>
      </c>
      <c r="G4246" s="4" t="str">
        <f>IFERROR(__xludf.DUMMYFUNCTION("GOOGLETRANSLATE(B4246)"),"懸崖%20跌落")</f>
        <v>懸崖%20跌落</v>
      </c>
    </row>
    <row r="4247" ht="15.75" customHeight="1">
      <c r="A4247" s="4">
        <v>2265.0</v>
      </c>
      <c r="B4247" s="4" t="s">
        <v>987</v>
      </c>
      <c r="D4247" s="4" t="s">
        <v>6300</v>
      </c>
      <c r="E4247" s="4">
        <v>0.0</v>
      </c>
      <c r="F4247" s="4" t="str">
        <f>IFERROR(__xludf.DUMMYFUNCTION("GOOGLETRANSLATE(D4247)"),"如果你正在閱讀這篇文章，不小心從懸崖上掉下來了，夥計")</f>
        <v>如果你正在閱讀這篇文章，不小心從懸崖上掉下來了，夥計</v>
      </c>
      <c r="G4247" s="4" t="str">
        <f>IFERROR(__xludf.DUMMYFUNCTION("GOOGLETRANSLATE(B4247)"),"懸崖%20跌落")</f>
        <v>懸崖%20跌落</v>
      </c>
    </row>
    <row r="4248" ht="15.75" customHeight="1">
      <c r="A4248" s="4">
        <v>2266.0</v>
      </c>
      <c r="B4248" s="4" t="s">
        <v>987</v>
      </c>
      <c r="C4248" s="4" t="s">
        <v>6301</v>
      </c>
      <c r="D4248" s="4" t="s">
        <v>6302</v>
      </c>
      <c r="E4248" s="4">
        <v>0.0</v>
      </c>
      <c r="F4248" s="4" t="str">
        <f>IFERROR(__xludf.DUMMYFUNCTION("GOOGLETRANSLATE(D4248)"),"如果你喜歡我希望你從懸崖上掉下來？")</f>
        <v>如果你喜歡我希望你從懸崖上掉下來？</v>
      </c>
      <c r="G4248" s="4" t="str">
        <f>IFERROR(__xludf.DUMMYFUNCTION("GOOGLETRANSLATE(B4248)"),"懸崖%20跌落")</f>
        <v>懸崖%20跌落</v>
      </c>
    </row>
    <row r="4249" ht="15.75" customHeight="1">
      <c r="A4249" s="4">
        <v>2271.0</v>
      </c>
      <c r="B4249" s="4" t="s">
        <v>987</v>
      </c>
      <c r="C4249" s="4" t="s">
        <v>656</v>
      </c>
      <c r="D4249" s="4" t="s">
        <v>6303</v>
      </c>
      <c r="E4249" s="4">
        <v>0.0</v>
      </c>
      <c r="F4249" s="4" t="str">
        <f>IFERROR(__xludf.DUMMYFUNCTION("GOOGLETRANSLATE(D4249)"),"攝影師 Brian Ruebs 攀爬 4500 英尺，拍攝新娘和新郎的照片 http://t.co/BmWmpOyDIg")</f>
        <v>攝影師 Brian Ruebs 攀爬 4500 英尺，拍攝新娘和新郎的照片 http://t.co/BmWmpOyDIg</v>
      </c>
      <c r="G4249" s="4" t="str">
        <f>IFERROR(__xludf.DUMMYFUNCTION("GOOGLETRANSLATE(B4249)"),"懸崖%20跌落")</f>
        <v>懸崖%20跌落</v>
      </c>
    </row>
    <row r="4250" ht="15.75" customHeight="1">
      <c r="A4250" s="4">
        <v>2272.0</v>
      </c>
      <c r="B4250" s="4" t="s">
        <v>987</v>
      </c>
      <c r="D4250" s="4" t="s">
        <v>6304</v>
      </c>
      <c r="E4250" s="4">
        <v>0.0</v>
      </c>
      <c r="F4250" s="4" t="str">
        <f>IFERROR(__xludf.DUMMYFUNCTION("GOOGLETRANSLATE(D4250)"),"亞歷克斯讓我看關於小小兵的 107 個事實 我想從懸崖上掉下來 幫助")</f>
        <v>亞歷克斯讓我看關於小小兵的 107 個事實 我想從懸崖上掉下來 幫助</v>
      </c>
      <c r="G4250" s="4" t="str">
        <f>IFERROR(__xludf.DUMMYFUNCTION("GOOGLETRANSLATE(B4250)"),"懸崖%20跌落")</f>
        <v>懸崖%20跌落</v>
      </c>
    </row>
    <row r="4251" ht="15.75" customHeight="1">
      <c r="A4251" s="4">
        <v>2273.0</v>
      </c>
      <c r="B4251" s="4" t="s">
        <v>987</v>
      </c>
      <c r="C4251" s="4" t="s">
        <v>6305</v>
      </c>
      <c r="D4251" s="4" t="s">
        <v>6306</v>
      </c>
      <c r="E4251" s="4">
        <v>0.0</v>
      </c>
      <c r="F4251" s="4" t="str">
        <f>IFERROR(__xludf.DUMMYFUNCTION("GOOGLETRANSLATE(D4251)"),"幫我一個忙然後從懸崖上掉下來")</f>
        <v>幫我一個忙然後從懸崖上掉下來</v>
      </c>
      <c r="G4251" s="4" t="str">
        <f>IFERROR(__xludf.DUMMYFUNCTION("GOOGLETRANSLATE(B4251)"),"懸崖%20跌落")</f>
        <v>懸崖%20跌落</v>
      </c>
    </row>
    <row r="4252" ht="15.75" customHeight="1">
      <c r="A4252" s="4">
        <v>2274.0</v>
      </c>
      <c r="B4252" s="4" t="s">
        <v>987</v>
      </c>
      <c r="C4252" s="4" t="s">
        <v>6307</v>
      </c>
      <c r="D4252" s="4" t="s">
        <v>6308</v>
      </c>
      <c r="E4252" s="4">
        <v>0.0</v>
      </c>
      <c r="F4252" s="4" t="str">
        <f>IFERROR(__xludf.DUMMYFUNCTION("GOOGLETRANSLATE(D4252)"),"@AlexJacobsonPFS 安德烈和戈爾要做的就是不要從懸崖上掉下來，我們是那一邊的精英。")</f>
        <v>@AlexJacobsonPFS 安德烈和戈爾要做的就是不要從懸崖上掉下來，我們是那一邊的精英。</v>
      </c>
      <c r="G4252" s="4" t="str">
        <f>IFERROR(__xludf.DUMMYFUNCTION("GOOGLETRANSLATE(B4252)"),"懸崖%20跌落")</f>
        <v>懸崖%20跌落</v>
      </c>
    </row>
    <row r="4253" ht="15.75" customHeight="1">
      <c r="A4253" s="4">
        <v>2277.0</v>
      </c>
      <c r="B4253" s="4" t="s">
        <v>987</v>
      </c>
      <c r="D4253" s="4" t="s">
        <v>6309</v>
      </c>
      <c r="E4253" s="4">
        <v>0.0</v>
      </c>
      <c r="F4253" s="4" t="str">
        <f>IFERROR(__xludf.DUMMYFUNCTION("GOOGLETRANSLATE(D4253)"),"我希望他們從懸崖上掉下去。")</f>
        <v>我希望他們從懸崖上掉下去。</v>
      </c>
      <c r="G4253" s="4" t="str">
        <f>IFERROR(__xludf.DUMMYFUNCTION("GOOGLETRANSLATE(B4253)"),"懸崖%20跌落")</f>
        <v>懸崖%20跌落</v>
      </c>
    </row>
    <row r="4254" ht="15.75" customHeight="1">
      <c r="A4254" s="4">
        <v>2278.0</v>
      </c>
      <c r="B4254" s="4" t="s">
        <v>987</v>
      </c>
      <c r="C4254" s="4" t="s">
        <v>6310</v>
      </c>
      <c r="D4254" s="4" t="s">
        <v>6311</v>
      </c>
      <c r="E4254" s="4">
        <v>0.0</v>
      </c>
      <c r="F4254" s="4" t="str">
        <f>IFERROR(__xludf.DUMMYFUNCTION("GOOGLETRANSLATE(D4254)"),"今年夏天別讓你的風格失敗！主與懸崖#thinkpink #magichairbump 就是你的答案。添加這個... http://t.co/NmHZTB1ewM")</f>
        <v>今年夏天別讓你的風格失敗！主與懸崖#thinkpink #magichairbump 就是你的答案。添加這個... http://t.co/NmHZTB1ewM</v>
      </c>
      <c r="G4254" s="4" t="str">
        <f>IFERROR(__xludf.DUMMYFUNCTION("GOOGLETRANSLATE(B4254)"),"懸崖%20跌落")</f>
        <v>懸崖%20跌落</v>
      </c>
    </row>
    <row r="4255" ht="15.75" customHeight="1">
      <c r="A4255" s="4">
        <v>2279.0</v>
      </c>
      <c r="B4255" s="4" t="s">
        <v>987</v>
      </c>
      <c r="C4255" s="4" t="s">
        <v>6312</v>
      </c>
      <c r="D4255" s="4" t="s">
        <v>6313</v>
      </c>
      <c r="E4255" s="4">
        <v>0.0</v>
      </c>
      <c r="F4255" s="4" t="str">
        <f>IFERROR(__xludf.DUMMYFUNCTION("GOOGLETRANSLATE(D4255)"),"當你處於深度睡眠狀態時，你會夢見自己要從懸崖上掉下來，然後在努力保持平衡的情況下醒來")</f>
        <v>當你處於深度睡眠狀態時，你會夢見自己要從懸崖上掉下來，然後在努力保持平衡的情況下醒來</v>
      </c>
      <c r="G4255" s="4" t="str">
        <f>IFERROR(__xludf.DUMMYFUNCTION("GOOGLETRANSLATE(B4255)"),"懸崖%20跌落")</f>
        <v>懸崖%20跌落</v>
      </c>
    </row>
    <row r="4256" ht="15.75" customHeight="1">
      <c r="A4256" s="4">
        <v>2280.0</v>
      </c>
      <c r="B4256" s="4" t="s">
        <v>987</v>
      </c>
      <c r="D4256" s="4" t="s">
        <v>6314</v>
      </c>
      <c r="E4256" s="4">
        <v>0.0</v>
      </c>
      <c r="F4256" s="4" t="str">
        <f>IFERROR(__xludf.DUMMYFUNCTION("GOOGLETRANSLATE(D4256)"),"現在想把車開下懸崖摔死。")</f>
        <v>現在想把車開下懸崖摔死。</v>
      </c>
      <c r="G4256" s="4" t="str">
        <f>IFERROR(__xludf.DUMMYFUNCTION("GOOGLETRANSLATE(B4256)"),"懸崖%20跌落")</f>
        <v>懸崖%20跌落</v>
      </c>
    </row>
    <row r="4257" ht="15.75" customHeight="1">
      <c r="A4257" s="4">
        <v>2281.0</v>
      </c>
      <c r="B4257" s="4" t="s">
        <v>987</v>
      </c>
      <c r="C4257" s="4" t="s">
        <v>6315</v>
      </c>
      <c r="D4257" s="4" t="s">
        <v>6316</v>
      </c>
      <c r="E4257" s="4">
        <v>0.0</v>
      </c>
      <c r="F4257" s="4" t="str">
        <f>IFERROR(__xludf.DUMMYFUNCTION("GOOGLETRANSLATE(D4257)"),"我希望你從懸崖上掉下來")</f>
        <v>我希望你從懸崖上掉下來</v>
      </c>
      <c r="G4257" s="4" t="str">
        <f>IFERROR(__xludf.DUMMYFUNCTION("GOOGLETRANSLATE(B4257)"),"懸崖%20跌落")</f>
        <v>懸崖%20跌落</v>
      </c>
    </row>
    <row r="4258" ht="15.75" customHeight="1">
      <c r="A4258" s="4">
        <v>2284.0</v>
      </c>
      <c r="B4258" s="4" t="s">
        <v>987</v>
      </c>
      <c r="C4258" s="4" t="s">
        <v>1034</v>
      </c>
      <c r="D4258" s="4" t="s">
        <v>6317</v>
      </c>
      <c r="E4258" s="4">
        <v>0.0</v>
      </c>
      <c r="F4258" s="4" t="str">
        <f>IFERROR(__xludf.DUMMYFUNCTION("GOOGLETRANSLATE(D4258)"),"@punkblunts @sincereyevelnn 從懸崖上掉進地獄 idc")</f>
        <v>@punkblunts @sincereyevelnn 從懸崖上掉進地獄 idc</v>
      </c>
      <c r="G4258" s="4" t="str">
        <f>IFERROR(__xludf.DUMMYFUNCTION("GOOGLETRANSLATE(B4258)"),"懸崖%20跌落")</f>
        <v>懸崖%20跌落</v>
      </c>
    </row>
    <row r="4259" ht="15.75" customHeight="1">
      <c r="A4259" s="4">
        <v>2285.0</v>
      </c>
      <c r="B4259" s="4" t="s">
        <v>987</v>
      </c>
      <c r="C4259" s="4" t="s">
        <v>6318</v>
      </c>
      <c r="D4259" s="4" t="s">
        <v>6319</v>
      </c>
      <c r="E4259" s="4">
        <v>0.0</v>
      </c>
      <c r="F4259" s="4" t="str">
        <f>IFERROR(__xludf.DUMMYFUNCTION("GOOGLETRANSLATE(D4259)"),"攝影師 Brian Ruebs 攀爬 4500 英尺，拍攝新娘和新郎的照片 http://t.co/JXhAZEBNQK")</f>
        <v>攝影師 Brian Ruebs 攀爬 4500 英尺，拍攝新娘和新郎的照片 http://t.co/JXhAZEBNQK</v>
      </c>
      <c r="G4259" s="4" t="str">
        <f>IFERROR(__xludf.DUMMYFUNCTION("GOOGLETRANSLATE(B4259)"),"懸崖%20跌落")</f>
        <v>懸崖%20跌落</v>
      </c>
    </row>
    <row r="4260" ht="15.75" customHeight="1">
      <c r="A4260" s="4">
        <v>2286.0</v>
      </c>
      <c r="B4260" s="4" t="s">
        <v>987</v>
      </c>
      <c r="D4260" s="4" t="s">
        <v>6320</v>
      </c>
      <c r="E4260" s="4">
        <v>0.0</v>
      </c>
      <c r="F4260" s="4" t="str">
        <f>IFERROR(__xludf.DUMMYFUNCTION("GOOGLETRANSLATE(D4260)"),"@SZMNextDoor 我有這個可愛的小懸崖，你可以從上面掉下來？")</f>
        <v>@SZMNextDoor 我有這個可愛的小懸崖，你可以從上面掉下來？</v>
      </c>
      <c r="G4260" s="4" t="str">
        <f>IFERROR(__xludf.DUMMYFUNCTION("GOOGLETRANSLATE(B4260)"),"懸崖%20跌落")</f>
        <v>懸崖%20跌落</v>
      </c>
    </row>
    <row r="4261" ht="15.75" customHeight="1">
      <c r="A4261" s="4">
        <v>2288.0</v>
      </c>
      <c r="B4261" s="4" t="s">
        <v>987</v>
      </c>
      <c r="C4261" s="4" t="s">
        <v>6321</v>
      </c>
      <c r="D4261" s="4" t="s">
        <v>6322</v>
      </c>
      <c r="E4261" s="4">
        <v>0.0</v>
      </c>
      <c r="F4261" s="4" t="str">
        <f>IFERROR(__xludf.DUMMYFUNCTION("GOOGLETRANSLATE(D4261)"),"我希望你在這條推文之後跌入懸崖 https://t.co/3hoIkDmoCB")</f>
        <v>我希望你在這條推文之後跌入懸崖 https://t.co/3hoIkDmoCB</v>
      </c>
      <c r="G4261" s="4" t="str">
        <f>IFERROR(__xludf.DUMMYFUNCTION("GOOGLETRANSLATE(B4261)"),"懸崖%20跌落")</f>
        <v>懸崖%20跌落</v>
      </c>
    </row>
    <row r="4262" ht="15.75" customHeight="1">
      <c r="A4262" s="4">
        <v>2294.0</v>
      </c>
      <c r="B4262" s="4" t="s">
        <v>987</v>
      </c>
      <c r="C4262" s="4" t="s">
        <v>6323</v>
      </c>
      <c r="D4262" s="4" t="s">
        <v>6324</v>
      </c>
      <c r="E4262" s="4">
        <v>0.0</v>
      </c>
      <c r="F4262" s="4" t="str">
        <f>IFERROR(__xludf.DUMMYFUNCTION("GOOGLETRANSLATE(D4262)"),"有一天，我希望有人跑向渡輪墜落，並把我的臉裂開，因為差點把我撞倒，只是為了上船？？？？？？")</f>
        <v>有一天，我希望有人跑向渡輪墜落，並把我的臉裂開，因為差點把我撞倒，只是為了上船？？？？？？</v>
      </c>
      <c r="G4262" s="4" t="str">
        <f>IFERROR(__xludf.DUMMYFUNCTION("GOOGLETRANSLATE(B4262)"),"懸崖%20跌落")</f>
        <v>懸崖%20跌落</v>
      </c>
    </row>
    <row r="4263" ht="15.75" customHeight="1">
      <c r="A4263" s="4">
        <v>2296.0</v>
      </c>
      <c r="B4263" s="4" t="s">
        <v>987</v>
      </c>
      <c r="C4263" s="4" t="s">
        <v>6325</v>
      </c>
      <c r="D4263" s="4" t="s">
        <v>6326</v>
      </c>
      <c r="E4263" s="4">
        <v>0.0</v>
      </c>
      <c r="F4263" s="4" t="str">
        <f>IFERROR(__xludf.DUMMYFUNCTION("GOOGLETRANSLATE(D4263)"),"格爾夫波特能源 - 全部實現跌落懸崖 http://t.co/CjuiGhBxyn")</f>
        <v>格爾夫波特能源 - 全部實現跌落懸崖 http://t.co/CjuiGhBxyn</v>
      </c>
      <c r="G4263" s="4" t="str">
        <f>IFERROR(__xludf.DUMMYFUNCTION("GOOGLETRANSLATE(B4263)"),"懸崖%20跌落")</f>
        <v>懸崖%20跌落</v>
      </c>
    </row>
    <row r="4264" ht="15.75" customHeight="1">
      <c r="A4264" s="4">
        <v>2297.0</v>
      </c>
      <c r="B4264" s="4" t="s">
        <v>987</v>
      </c>
      <c r="C4264" s="4" t="s">
        <v>6327</v>
      </c>
      <c r="D4264" s="4" t="s">
        <v>6328</v>
      </c>
      <c r="E4264" s="4">
        <v>0.0</v>
      </c>
      <c r="F4264" s="4" t="str">
        <f>IFERROR(__xludf.DUMMYFUNCTION("GOOGLETRANSLATE(D4264)"),"*喝茶時跳崖*
英國人就是這樣掉下懸崖的。")</f>
        <v>*喝茶時跳崖*
英國人就是這樣掉下懸崖的。</v>
      </c>
      <c r="G4264" s="4" t="str">
        <f>IFERROR(__xludf.DUMMYFUNCTION("GOOGLETRANSLATE(B4264)"),"懸崖%20跌落")</f>
        <v>懸崖%20跌落</v>
      </c>
    </row>
    <row r="4265" ht="15.75" customHeight="1">
      <c r="A4265" s="4">
        <v>2299.0</v>
      </c>
      <c r="B4265" s="4" t="s">
        <v>987</v>
      </c>
      <c r="D4265" s="4" t="s">
        <v>6329</v>
      </c>
      <c r="E4265" s="4">
        <v>0.0</v>
      </c>
      <c r="F4265" s="4" t="str">
        <f>IFERROR(__xludf.DUMMYFUNCTION("GOOGLETRANSLATE(D4265)"),"這聽起來真是個糟糕的主意，我喜歡約尼斯，但我覺得他的作品可能會掉下懸崖。")</f>
        <v>這聽起來真是個糟糕的主意，我喜歡約尼斯，但我覺得他的作品可能會掉下懸崖。</v>
      </c>
      <c r="G4265" s="4" t="str">
        <f>IFERROR(__xludf.DUMMYFUNCTION("GOOGLETRANSLATE(B4265)"),"懸崖%20跌落")</f>
        <v>懸崖%20跌落</v>
      </c>
    </row>
    <row r="4266" ht="15.75" customHeight="1">
      <c r="A4266" s="4">
        <v>2300.0</v>
      </c>
      <c r="B4266" s="4" t="s">
        <v>987</v>
      </c>
      <c r="C4266" s="4" t="s">
        <v>231</v>
      </c>
      <c r="D4266" s="4" t="s">
        <v>6330</v>
      </c>
      <c r="E4266" s="4">
        <v>0.0</v>
      </c>
      <c r="F4266" s="4" t="str">
        <f>IFERROR(__xludf.DUMMYFUNCTION("GOOGLETRANSLATE(D4266)"),"'我在那裡！'新娘與新郎在山崖邊。哈哈開玩笑的。我永遠不會在那裡。哈哈 - http://t.co/Io9ry1akON")</f>
        <v>'我在那裡！'新娘與新郎在山崖邊。哈哈開玩笑的。我永遠不會在那裡。哈哈 - http://t.co/Io9ry1akON</v>
      </c>
      <c r="G4266" s="4" t="str">
        <f>IFERROR(__xludf.DUMMYFUNCTION("GOOGLETRANSLATE(B4266)"),"懸崖%20跌落")</f>
        <v>懸崖%20跌落</v>
      </c>
    </row>
    <row r="4267" ht="15.75" customHeight="1">
      <c r="A4267" s="4">
        <v>2301.0</v>
      </c>
      <c r="B4267" s="4" t="s">
        <v>987</v>
      </c>
      <c r="C4267" s="4" t="s">
        <v>6331</v>
      </c>
      <c r="D4267" s="4" t="s">
        <v>6332</v>
      </c>
      <c r="E4267" s="4">
        <v>0.0</v>
      </c>
      <c r="F4267" s="4" t="str">
        <f>IFERROR(__xludf.DUMMYFUNCTION("GOOGLETRANSLATE(D4267)"),"ESN ：西拉布萊克 (Cilla Black) 在西班牙摔倒後死於中風：克利夫爵士透露他接下來將去西班牙看望她Û_ http://t.co/F7a66dIiYK")</f>
        <v>ESN ：西拉布萊克 (Cilla Black) 在西班牙摔倒後死於中風：克利夫爵士透露他接下來將去西班牙看望她Û_ http://t.co/F7a66dIiYK</v>
      </c>
      <c r="G4267" s="4" t="str">
        <f>IFERROR(__xludf.DUMMYFUNCTION("GOOGLETRANSLATE(B4267)"),"懸崖%20跌落")</f>
        <v>懸崖%20跌落</v>
      </c>
    </row>
    <row r="4268" ht="15.75" customHeight="1">
      <c r="A4268" s="4">
        <v>2303.0</v>
      </c>
      <c r="B4268" s="4" t="s">
        <v>987</v>
      </c>
      <c r="C4268" s="4" t="s">
        <v>3329</v>
      </c>
      <c r="D4268" s="4" t="s">
        <v>6333</v>
      </c>
      <c r="E4268" s="4">
        <v>0.0</v>
      </c>
      <c r="F4268" s="4" t="str">
        <f>IFERROR(__xludf.DUMMYFUNCTION("GOOGLETRANSLATE(D4268)"),"#NowPlaying * Cliff Richard - 我可以輕鬆墜入（愛上你）（&amp;amp; Shadows）* #Internet #Nieuws #Radio On http://t.co/8LkMWp9qzw")</f>
        <v>#NowPlaying * Cliff Richard - 我可以輕鬆墜入（愛上你）（&amp;amp; Shadows）* #Internet #Nieuws #Radio On http://t.co/8LkMWp9qzw</v>
      </c>
      <c r="G4268" s="4" t="str">
        <f>IFERROR(__xludf.DUMMYFUNCTION("GOOGLETRANSLATE(B4268)"),"懸崖%20跌落")</f>
        <v>懸崖%20跌落</v>
      </c>
    </row>
    <row r="4269" ht="15.75" customHeight="1">
      <c r="A4269" s="4">
        <v>2306.0</v>
      </c>
      <c r="B4269" s="4" t="s">
        <v>1000</v>
      </c>
      <c r="C4269" s="4" t="s">
        <v>6334</v>
      </c>
      <c r="D4269" s="4" t="s">
        <v>6335</v>
      </c>
      <c r="E4269" s="4">
        <v>0.0</v>
      </c>
      <c r="F4269" s="4" t="str">
        <f>IFERROR(__xludf.DUMMYFUNCTION("GOOGLETRANSLATE(D4269)"),"時間崩潰是一種很酷的視訊技術。 https://t.co/upLFSqMr0C")</f>
        <v>時間崩潰是一種很酷的視訊技術。 https://t.co/upLFSqMr0C</v>
      </c>
      <c r="G4269" s="4" t="str">
        <f>IFERROR(__xludf.DUMMYFUNCTION("GOOGLETRANSLATE(B4269)"),"坍塌")</f>
        <v>坍塌</v>
      </c>
    </row>
    <row r="4270" ht="15.75" customHeight="1">
      <c r="A4270" s="4">
        <v>2308.0</v>
      </c>
      <c r="B4270" s="4" t="s">
        <v>1000</v>
      </c>
      <c r="C4270" s="4" t="s">
        <v>6336</v>
      </c>
      <c r="D4270" s="4" t="s">
        <v>6337</v>
      </c>
      <c r="E4270" s="4">
        <v>0.0</v>
      </c>
      <c r="F4270" s="4" t="str">
        <f>IFERROR(__xludf.DUMMYFUNCTION("GOOGLETRANSLATE(D4270)"),"@GeoffRickly，我沒有看到購買帶有 T 卹套裝的全折疊乙烯基的選項，只是等待？")</f>
        <v>@GeoffRickly，我沒有看到購買帶有 T 卹套裝的全折疊乙烯基的選項，只是等待？</v>
      </c>
      <c r="G4270" s="4" t="str">
        <f>IFERROR(__xludf.DUMMYFUNCTION("GOOGLETRANSLATE(B4270)"),"坍塌")</f>
        <v>坍塌</v>
      </c>
    </row>
    <row r="4271" ht="15.75" customHeight="1">
      <c r="A4271" s="4">
        <v>2309.0</v>
      </c>
      <c r="B4271" s="4" t="s">
        <v>1000</v>
      </c>
      <c r="C4271" s="4" t="s">
        <v>6338</v>
      </c>
      <c r="D4271" s="4" t="s">
        <v>6339</v>
      </c>
      <c r="E4271" s="4">
        <v>0.0</v>
      </c>
      <c r="F4271" s="4" t="str">
        <f>IFERROR(__xludf.DUMMYFUNCTION("GOOGLETRANSLATE(D4271)"),"沃恩龐廷 (Warne Ponting) 對澳大利亞崩潰感到震驚 - 雅虎板球印度 https://t.co/hsgkTeZUCN")</f>
        <v>沃恩龐廷 (Warne Ponting) 對澳大利亞崩潰感到震驚 - 雅虎板球印度 https://t.co/hsgkTeZUCN</v>
      </c>
      <c r="G4271" s="4" t="str">
        <f>IFERROR(__xludf.DUMMYFUNCTION("GOOGLETRANSLATE(B4271)"),"坍塌")</f>
        <v>坍塌</v>
      </c>
    </row>
    <row r="4272" ht="15.75" customHeight="1">
      <c r="A4272" s="4">
        <v>2312.0</v>
      </c>
      <c r="B4272" s="4" t="s">
        <v>1000</v>
      </c>
      <c r="C4272" s="4" t="s">
        <v>6340</v>
      </c>
      <c r="D4272" s="4" t="s">
        <v>6341</v>
      </c>
      <c r="E4272" s="4">
        <v>0.0</v>
      </c>
      <c r="F4272" s="4" t="str">
        <f>IFERROR(__xludf.DUMMYFUNCTION("GOOGLETRANSLATE(D4272)"),"@BasilDudin 正如你所說，「野蠻的沙烏地阿拉伯人」重溫了奧地利經濟。如果我們不再來這裡，許多專案就會崩潰。")</f>
        <v>@BasilDudin 正如你所說，「野蠻的沙烏地阿拉伯人」重溫了奧地利經濟。如果我們不再來這裡，許多專案就會崩潰。</v>
      </c>
      <c r="G4272" s="4" t="str">
        <f>IFERROR(__xludf.DUMMYFUNCTION("GOOGLETRANSLATE(B4272)"),"坍塌")</f>
        <v>坍塌</v>
      </c>
    </row>
    <row r="4273" ht="15.75" customHeight="1">
      <c r="A4273" s="4">
        <v>2317.0</v>
      </c>
      <c r="B4273" s="4" t="s">
        <v>1000</v>
      </c>
      <c r="C4273" s="4" t="s">
        <v>1118</v>
      </c>
      <c r="D4273" s="4" t="s">
        <v>6342</v>
      </c>
      <c r="E4273" s="4">
        <v>0.0</v>
      </c>
      <c r="F4273" s="4" t="str">
        <f>IFERROR(__xludf.DUMMYFUNCTION("GOOGLETRANSLATE(D4273)"),"如果你和一群小丑被困在倒塌的馬戲團帳篷裡，你會怎麼做？ http://t.co/6HKCa1dSna")</f>
        <v>如果你和一群小丑被困在倒塌的馬戲團帳篷裡，你會怎麼做？ http://t.co/6HKCa1dSna</v>
      </c>
      <c r="G4273" s="4" t="str">
        <f>IFERROR(__xludf.DUMMYFUNCTION("GOOGLETRANSLATE(B4273)"),"坍塌")</f>
        <v>坍塌</v>
      </c>
    </row>
    <row r="4274" ht="15.75" customHeight="1">
      <c r="A4274" s="4">
        <v>2318.0</v>
      </c>
      <c r="B4274" s="4" t="s">
        <v>1000</v>
      </c>
      <c r="C4274" s="4" t="s">
        <v>298</v>
      </c>
      <c r="D4274" s="4" t="s">
        <v>6343</v>
      </c>
      <c r="E4274" s="4">
        <v>0.0</v>
      </c>
      <c r="F4274" s="4" t="str">
        <f>IFERROR(__xludf.DUMMYFUNCTION("GOOGLETRANSLATE(D4274)"),"我有這樣的感覺：社會將會崩潰或崩潰。因此，不要成為英雄，發揮自己的作用。")</f>
        <v>我有這樣的感覺：社會將會崩潰或崩潰。因此，不要成為英雄，發揮自己的作用。</v>
      </c>
      <c r="G4274" s="4" t="str">
        <f>IFERROR(__xludf.DUMMYFUNCTION("GOOGLETRANSLATE(B4274)"),"坍塌")</f>
        <v>坍塌</v>
      </c>
    </row>
    <row r="4275" ht="15.75" customHeight="1">
      <c r="A4275" s="4">
        <v>2319.0</v>
      </c>
      <c r="B4275" s="4" t="s">
        <v>1000</v>
      </c>
      <c r="C4275" s="4" t="s">
        <v>6344</v>
      </c>
      <c r="D4275" s="4" t="s">
        <v>6345</v>
      </c>
      <c r="E4275" s="4">
        <v>0.0</v>
      </c>
      <c r="F4275" s="4" t="str">
        <f>IFERROR(__xludf.DUMMYFUNCTION("GOOGLETRANSLATE(D4275)"),"@Marvel @DCComics @ImageComics @DarkHorseComics @IDWPublishing 透過這樣做，您可能會導致該行業的崩潰。")</f>
        <v>@Marvel @DCComics @ImageComics @DarkHorseComics @IDWPublishing 透過這樣做，您可能會導致該行業的崩潰。</v>
      </c>
      <c r="G4275" s="4" t="str">
        <f>IFERROR(__xludf.DUMMYFUNCTION("GOOGLETRANSLATE(B4275)"),"坍塌")</f>
        <v>坍塌</v>
      </c>
    </row>
    <row r="4276" ht="15.75" customHeight="1">
      <c r="A4276" s="4">
        <v>2324.0</v>
      </c>
      <c r="B4276" s="4" t="s">
        <v>1000</v>
      </c>
      <c r="C4276" s="4" t="s">
        <v>4463</v>
      </c>
      <c r="D4276" s="4" t="s">
        <v>6346</v>
      </c>
      <c r="E4276" s="4">
        <v>0.0</v>
      </c>
      <c r="F4276" s="4" t="str">
        <f>IFERROR(__xludf.DUMMYFUNCTION("GOOGLETRANSLATE(D4276)"),"只有一種商品逃過了價格的全面崩潰 http://t.co/4HngTKDQMv #business")</f>
        <v>只有一種商品逃過了價格的全面崩潰 http://t.co/4HngTKDQMv #business</v>
      </c>
      <c r="G4276" s="4" t="str">
        <f>IFERROR(__xludf.DUMMYFUNCTION("GOOGLETRANSLATE(B4276)"),"坍塌")</f>
        <v>坍塌</v>
      </c>
    </row>
    <row r="4277" ht="15.75" customHeight="1">
      <c r="A4277" s="4">
        <v>2325.0</v>
      </c>
      <c r="B4277" s="4" t="s">
        <v>1000</v>
      </c>
      <c r="C4277" s="4" t="s">
        <v>6347</v>
      </c>
      <c r="D4277" s="4" t="s">
        <v>6348</v>
      </c>
      <c r="E4277" s="4">
        <v>0.0</v>
      </c>
      <c r="F4277" s="4" t="str">
        <f>IFERROR(__xludf.DUMMYFUNCTION("GOOGLETRANSLATE(D4277)"),"灰燼2015：澳洲徹底崩潰，網路絕對喜歡它http://t.co/AFzqvotutj")</f>
        <v>灰燼2015：澳洲徹底崩潰，網路絕對喜歡它http://t.co/AFzqvotutj</v>
      </c>
      <c r="G4277" s="4" t="str">
        <f>IFERROR(__xludf.DUMMYFUNCTION("GOOGLETRANSLATE(B4277)"),"坍塌")</f>
        <v>坍塌</v>
      </c>
    </row>
    <row r="4278" ht="15.75" customHeight="1">
      <c r="A4278" s="4">
        <v>2327.0</v>
      </c>
      <c r="B4278" s="4" t="s">
        <v>1000</v>
      </c>
      <c r="D4278" s="4" t="s">
        <v>6349</v>
      </c>
      <c r="E4278" s="4">
        <v>0.0</v>
      </c>
      <c r="F4278" s="4" t="str">
        <f>IFERROR(__xludf.DUMMYFUNCTION("GOOGLETRANSLATE(D4278)"),"我喜歡 @YouTube 影片 http://t.co/BM0QEC7Pja Eminem 的壯舉。內特道格 - 直到我崩潰")</f>
        <v>我喜歡 @YouTube 影片 http://t.co/BM0QEC7Pja Eminem 的壯舉。內特道格 - 直到我崩潰</v>
      </c>
      <c r="G4278" s="4" t="str">
        <f>IFERROR(__xludf.DUMMYFUNCTION("GOOGLETRANSLATE(B4278)"),"坍塌")</f>
        <v>坍塌</v>
      </c>
    </row>
    <row r="4279" ht="15.75" customHeight="1">
      <c r="A4279" s="4">
        <v>2329.0</v>
      </c>
      <c r="B4279" s="4" t="s">
        <v>1000</v>
      </c>
      <c r="C4279" s="4" t="s">
        <v>1280</v>
      </c>
      <c r="D4279" s="4" t="s">
        <v>6350</v>
      </c>
      <c r="E4279" s="4">
        <v>0.0</v>
      </c>
      <c r="F4279" s="4" t="str">
        <f>IFERROR(__xludf.DUMMYFUNCTION("GOOGLETRANSLATE(D4279)"),"Timestack 的照片將整個日落分解成單一迷人的圖像。 http://t.co/Cas8xC2DFE")</f>
        <v>Timestack 的照片將整個日落分解成單一迷人的圖像。 http://t.co/Cas8xC2DFE</v>
      </c>
      <c r="G4279" s="4" t="str">
        <f>IFERROR(__xludf.DUMMYFUNCTION("GOOGLETRANSLATE(B4279)"),"坍塌")</f>
        <v>坍塌</v>
      </c>
    </row>
    <row r="4280" ht="15.75" customHeight="1">
      <c r="A4280" s="4">
        <v>2333.0</v>
      </c>
      <c r="B4280" s="4" t="s">
        <v>1000</v>
      </c>
      <c r="C4280" s="4" t="s">
        <v>6351</v>
      </c>
      <c r="D4280" s="4" t="s">
        <v>6352</v>
      </c>
      <c r="E4280" s="4">
        <v>0.0</v>
      </c>
      <c r="F4280" s="4" t="str">
        <f>IFERROR(__xludf.DUMMYFUNCTION("GOOGLETRANSLATE(D4280)"),"@BehindAShield @Wars_Goddess 甜美的主。 （我的膝蓋彎曲了，我崩潰了）")</f>
        <v>@BehindAShield @Wars_Goddess 甜美的主。 （我的膝蓋彎曲了，我崩潰了）</v>
      </c>
      <c r="G4280" s="4" t="str">
        <f>IFERROR(__xludf.DUMMYFUNCTION("GOOGLETRANSLATE(B4280)"),"坍塌")</f>
        <v>坍塌</v>
      </c>
    </row>
    <row r="4281" ht="15.75" customHeight="1">
      <c r="A4281" s="4">
        <v>2334.0</v>
      </c>
      <c r="B4281" s="4" t="s">
        <v>1000</v>
      </c>
      <c r="C4281" s="4" t="s">
        <v>34</v>
      </c>
      <c r="D4281" s="4" t="s">
        <v>6353</v>
      </c>
      <c r="E4281" s="4">
        <v>0.0</v>
      </c>
      <c r="F4281" s="4" t="str">
        <f>IFERROR(__xludf.DUMMYFUNCTION("GOOGLETRANSLATE(D4281)"),"《灰燼》第四次測試：對澳洲崩潰的 10 個搞笑 Twitter 反應 http://t.co/6DznEjuVD3 by @Absolut_Sumya15")</f>
        <v>《灰燼》第四次測試：對澳洲崩潰的 10 個搞笑 Twitter 反應 http://t.co/6DznEjuVD3 by @Absolut_Sumya15</v>
      </c>
      <c r="G4281" s="4" t="str">
        <f>IFERROR(__xludf.DUMMYFUNCTION("GOOGLETRANSLATE(B4281)"),"坍塌")</f>
        <v>坍塌</v>
      </c>
    </row>
    <row r="4282" ht="15.75" customHeight="1">
      <c r="A4282" s="4">
        <v>2336.0</v>
      </c>
      <c r="B4282" s="4" t="s">
        <v>1000</v>
      </c>
      <c r="C4282" s="4" t="s">
        <v>6354</v>
      </c>
      <c r="D4282" s="4" t="s">
        <v>6355</v>
      </c>
      <c r="E4282" s="4">
        <v>0.0</v>
      </c>
      <c r="F4282" s="4" t="str">
        <f>IFERROR(__xludf.DUMMYFUNCTION("GOOGLETRANSLATE(D4282)"),"南非議員。鋼鐵和鉻鐵工業瀕臨崩潰。你甚至沒有把它列入總統口頭回答的問題清單中")</f>
        <v>南非議員。鋼鐵和鉻鐵工業瀕臨崩潰。你甚至沒有把它列入總統口頭回答的問題清單中</v>
      </c>
      <c r="G4282" s="4" t="str">
        <f>IFERROR(__xludf.DUMMYFUNCTION("GOOGLETRANSLATE(B4282)"),"坍塌")</f>
        <v>坍塌</v>
      </c>
    </row>
    <row r="4283" ht="15.75" customHeight="1">
      <c r="A4283" s="4">
        <v>2339.0</v>
      </c>
      <c r="B4283" s="4" t="s">
        <v>1000</v>
      </c>
      <c r="D4283" s="4" t="s">
        <v>6356</v>
      </c>
      <c r="E4283" s="4">
        <v>0.0</v>
      </c>
      <c r="F4283" s="4" t="str">
        <f>IFERROR(__xludf.DUMMYFUNCTION("GOOGLETRANSLATE(D4283)"),"現場操縱/比賽操縱..有人？？？
或者必須是 Pak SL WI RSA 或 BD 才能這麼說。當這些團隊崩潰時，那些說這些話的人是假的")</f>
        <v>現場操縱/比賽操縱..有人？？？
或者必須是 Pak SL WI RSA 或 BD 才能這麼說。當這些團隊崩潰時，那些說這些話的人是假的</v>
      </c>
      <c r="G4283" s="4" t="str">
        <f>IFERROR(__xludf.DUMMYFUNCTION("GOOGLETRANSLATE(B4283)"),"坍塌")</f>
        <v>坍塌</v>
      </c>
    </row>
    <row r="4284" ht="15.75" customHeight="1">
      <c r="A4284" s="4">
        <v>2342.0</v>
      </c>
      <c r="B4284" s="4" t="s">
        <v>1000</v>
      </c>
      <c r="C4284" s="4" t="s">
        <v>6357</v>
      </c>
      <c r="D4284" s="4" t="s">
        <v>6358</v>
      </c>
      <c r="E4284" s="4">
        <v>0.0</v>
      </c>
      <c r="F4284" s="4" t="str">
        <f>IFERROR(__xludf.DUMMYFUNCTION("GOOGLETRANSLATE(D4284)"),"60全部出局？什麼！' - 世界對澳元崩潰的反應 http://t.co/I6zQlk2Puz")</f>
        <v>60全部出局？什麼！' - 世界對澳元崩潰的反應 http://t.co/I6zQlk2Puz</v>
      </c>
      <c r="G4284" s="4" t="str">
        <f>IFERROR(__xludf.DUMMYFUNCTION("GOOGLETRANSLATE(B4284)"),"坍塌")</f>
        <v>坍塌</v>
      </c>
    </row>
    <row r="4285" ht="15.75" customHeight="1">
      <c r="A4285" s="4">
        <v>2348.0</v>
      </c>
      <c r="B4285" s="4" t="s">
        <v>1000</v>
      </c>
      <c r="C4285" s="4" t="s">
        <v>6359</v>
      </c>
      <c r="D4285" s="4" t="s">
        <v>6360</v>
      </c>
      <c r="E4285" s="4">
        <v>0.0</v>
      </c>
      <c r="F4285" s="4" t="str">
        <f>IFERROR(__xludf.DUMMYFUNCTION("GOOGLETRANSLATE(D4285)"),"由於油價暴跌，必和必拓的成長枯竭 http://t.co/HQoD6v6DnC")</f>
        <v>由於油價暴跌，必和必拓的成長枯竭 http://t.co/HQoD6v6DnC</v>
      </c>
      <c r="G4285" s="4" t="str">
        <f>IFERROR(__xludf.DUMMYFUNCTION("GOOGLETRANSLATE(B4285)"),"坍塌")</f>
        <v>坍塌</v>
      </c>
    </row>
    <row r="4286" ht="15.75" customHeight="1">
      <c r="A4286" s="4">
        <v>2349.0</v>
      </c>
      <c r="B4286" s="4" t="s">
        <v>1000</v>
      </c>
      <c r="C4286" s="4" t="s">
        <v>6361</v>
      </c>
      <c r="D4286" s="4" t="s">
        <v>6362</v>
      </c>
      <c r="E4286" s="4">
        <v>0.0</v>
      </c>
      <c r="F4286" s="4" t="str">
        <f>IFERROR(__xludf.DUMMYFUNCTION("GOOGLETRANSLATE(D4286)"),"#ROH3 #JFB #TFB #alrasyid448ItuRasya 更正：帳篷倒塌故事 http://t.co/iZJToojzKp #US ROH3 SmantiBatam #ROH3SmantiBatam")</f>
        <v>#ROH3 #JFB #TFB #alrasyid448ItuRasya 更正：帳篷倒塌故事 http://t.co/iZJToojzKp #US ROH3 SmantiBatam #ROH3SmantiBatam</v>
      </c>
      <c r="G4286" s="4" t="str">
        <f>IFERROR(__xludf.DUMMYFUNCTION("GOOGLETRANSLATE(B4286)"),"坍塌")</f>
        <v>坍塌</v>
      </c>
    </row>
    <row r="4287" ht="15.75" customHeight="1">
      <c r="A4287" s="4">
        <v>2351.0</v>
      </c>
      <c r="B4287" s="4" t="s">
        <v>1000</v>
      </c>
      <c r="C4287" s="4" t="s">
        <v>6363</v>
      </c>
      <c r="D4287" s="4" t="s">
        <v>6364</v>
      </c>
      <c r="E4287" s="4">
        <v>0.0</v>
      </c>
      <c r="F4287" s="4" t="str">
        <f>IFERROR(__xludf.DUMMYFUNCTION("GOOGLETRANSLATE(D4287)"),"Ø MGN-AFRICA Ø pin：263789F4 Ø 更正：帳篷倒塌故事： 更正：帳篷倒塌故事 Ø http://t.co/fDJUYvZMrv @wizkidayo")</f>
        <v>Ø MGN-AFRICA Ø pin：263789F4 Ø 更正：帳篷倒塌故事： 更正：帳篷倒塌故事 Ø http://t.co/fDJUYvZMrv @wizkidayo</v>
      </c>
      <c r="G4287" s="4" t="str">
        <f>IFERROR(__xludf.DUMMYFUNCTION("GOOGLETRANSLATE(B4287)"),"坍塌")</f>
        <v>坍塌</v>
      </c>
    </row>
    <row r="4288" ht="15.75" customHeight="1">
      <c r="A4288" s="4">
        <v>2354.0</v>
      </c>
      <c r="B4288" s="4" t="s">
        <v>1024</v>
      </c>
      <c r="C4288" s="4" t="s">
        <v>6365</v>
      </c>
      <c r="D4288" s="4" t="s">
        <v>6366</v>
      </c>
      <c r="E4288" s="4">
        <v>0.0</v>
      </c>
      <c r="F4288" s="4" t="str">
        <f>IFERROR(__xludf.DUMMYFUNCTION("GOOGLETRANSLATE(D4288)"),"ÛÏ@TheHighFessions：「我的朋友來到學校時很生氣......我問他是否喝醉了，他說煎餅然後崩潰了」-愛荷華城高中Û")</f>
        <v>ÛÏ@TheHighFessions：「我的朋友來到學校時很生氣......我問他是否喝醉了，他說煎餅然後崩潰了」-愛荷華城高中Û</v>
      </c>
      <c r="G4288" s="4" t="str">
        <f>IFERROR(__xludf.DUMMYFUNCTION("GOOGLETRANSLATE(B4288)"),"崩潰了")</f>
        <v>崩潰了</v>
      </c>
    </row>
    <row r="4289" ht="15.75" customHeight="1">
      <c r="A4289" s="4">
        <v>2356.0</v>
      </c>
      <c r="B4289" s="4" t="s">
        <v>1024</v>
      </c>
      <c r="C4289" s="4" t="s">
        <v>38</v>
      </c>
      <c r="D4289" s="4" t="s">
        <v>6367</v>
      </c>
      <c r="E4289" s="4">
        <v>0.0</v>
      </c>
      <c r="F4289" s="4" t="str">
        <f>IFERROR(__xludf.DUMMYFUNCTION("GOOGLETRANSLATE(D4289)"),"@sholt87 @MtGrotto @Eco11C @carlsbadbugkil1 拯救了我們？布希降低了富人的稅率，經濟崩潰，中產階級 401ks 被摧毀。")</f>
        <v>@sholt87 @MtGrotto @Eco11C @carlsbadbugkil1 拯救了我們？布希降低了富人的稅率，經濟崩潰，中產階級 401ks 被摧毀。</v>
      </c>
      <c r="G4289" s="4" t="str">
        <f>IFERROR(__xludf.DUMMYFUNCTION("GOOGLETRANSLATE(B4289)"),"崩潰了")</f>
        <v>崩潰了</v>
      </c>
    </row>
    <row r="4290" ht="15.75" customHeight="1">
      <c r="A4290" s="4">
        <v>2359.0</v>
      </c>
      <c r="B4290" s="4" t="s">
        <v>1024</v>
      </c>
      <c r="C4290" s="4" t="s">
        <v>6368</v>
      </c>
      <c r="D4290" s="4" t="s">
        <v>6369</v>
      </c>
      <c r="E4290" s="4">
        <v>0.0</v>
      </c>
      <c r="F4290" s="4" t="str">
        <f>IFERROR(__xludf.DUMMYFUNCTION("GOOGLETRANSLATE(D4290)"),"好聽的德國音樂！古老腐朽的君主政體已經崩潰。新的可能會活著。德意志共和國萬歲！ https://t.co/RJjU70rHyu")</f>
        <v>好聽的德國音樂！古老腐朽的君主政體已經崩潰。新的可能會活著。德意志共和國萬歲！ https://t.co/RJjU70rHyu</v>
      </c>
      <c r="G4290" s="4" t="str">
        <f>IFERROR(__xludf.DUMMYFUNCTION("GOOGLETRANSLATE(B4290)"),"崩潰了")</f>
        <v>崩潰了</v>
      </c>
    </row>
    <row r="4291" ht="15.75" customHeight="1">
      <c r="A4291" s="4">
        <v>2361.0</v>
      </c>
      <c r="B4291" s="4" t="s">
        <v>1024</v>
      </c>
      <c r="D4291" s="4" t="s">
        <v>6370</v>
      </c>
      <c r="E4291" s="4">
        <v>0.0</v>
      </c>
      <c r="F4291" s="4" t="str">
        <f>IFERROR(__xludf.DUMMYFUNCTION("GOOGLETRANSLATE(D4291)"),"偉大的英國&amp;lt;b&amp;gt;烘焙&amp;lt;/b&amp;gt;奧夫回來了，多雷特的&amp;lt;b&amp;gt;巧克力&amp;lt;/b&amp;gt;蛋糕崩潰了 - JANÛ_ http://t.co/53LORsrGqf")</f>
        <v>偉大的英國&amp;lt;b&amp;gt;烘焙&amp;lt;/b&amp;gt;奧夫回來了，多雷特的&amp;lt;b&amp;gt;巧克力&amp;lt;/b&amp;gt;蛋糕崩潰了 - JANÛ_ http://t.co/53LORsrGqf</v>
      </c>
      <c r="G4291" s="4" t="str">
        <f>IFERROR(__xludf.DUMMYFUNCTION("GOOGLETRANSLATE(B4291)"),"崩潰了")</f>
        <v>崩潰了</v>
      </c>
    </row>
    <row r="4292" ht="15.75" customHeight="1">
      <c r="A4292" s="4">
        <v>2363.0</v>
      </c>
      <c r="B4292" s="4" t="s">
        <v>1024</v>
      </c>
      <c r="C4292" s="4" t="s">
        <v>6371</v>
      </c>
      <c r="D4292" s="4" t="s">
        <v>6372</v>
      </c>
      <c r="E4292" s="4">
        <v>0.0</v>
      </c>
      <c r="F4292" s="4" t="str">
        <f>IFERROR(__xludf.DUMMYFUNCTION("GOOGLETRANSLATE(D4292)"),"趕上GBBO，天哪，那個女孩蛋糕完全塌陷了，我感覺很糟糕")</f>
        <v>趕上GBBO，天哪，那個女孩蛋糕完全塌陷了，我感覺很糟糕</v>
      </c>
      <c r="G4292" s="4" t="str">
        <f>IFERROR(__xludf.DUMMYFUNCTION("GOOGLETRANSLATE(B4292)"),"崩潰了")</f>
        <v>崩潰了</v>
      </c>
    </row>
    <row r="4293" ht="15.75" customHeight="1">
      <c r="A4293" s="4">
        <v>2366.0</v>
      </c>
      <c r="B4293" s="4" t="s">
        <v>1024</v>
      </c>
      <c r="C4293" s="4" t="s">
        <v>6373</v>
      </c>
      <c r="D4293" s="4" t="s">
        <v>6374</v>
      </c>
      <c r="E4293" s="4">
        <v>0.0</v>
      </c>
      <c r="F4293" s="4" t="str">
        <f>IFERROR(__xludf.DUMMYFUNCTION("GOOGLETRANSLATE(D4293)"),"+ 你對他說過了嗎！！！？！？！？！”菲爾實際上倒在礫石上，不停地哭泣，一群人看著他，困惑，憤怒，瘋狂+")</f>
        <v>+ 你對他說過了嗎！！！？！？！？！”菲爾實際上倒在礫石上，不停地哭泣，一群人看著他，困惑，憤怒，瘋狂+</v>
      </c>
      <c r="G4293" s="4" t="str">
        <f>IFERROR(__xludf.DUMMYFUNCTION("GOOGLETRANSLATE(B4293)"),"崩潰了")</f>
        <v>崩潰了</v>
      </c>
    </row>
    <row r="4294" ht="15.75" customHeight="1">
      <c r="A4294" s="4">
        <v>2372.0</v>
      </c>
      <c r="B4294" s="4" t="s">
        <v>1024</v>
      </c>
      <c r="C4294" s="4" t="s">
        <v>563</v>
      </c>
      <c r="D4294" s="4" t="s">
        <v>6375</v>
      </c>
      <c r="E4294" s="4">
        <v>0.0</v>
      </c>
      <c r="F4294" s="4" t="str">
        <f>IFERROR(__xludf.DUMMYFUNCTION("GOOGLETRANSLATE(D4294)"),"@GorpuaZikinak 當她倒在精液水坑里時伸出了舌頭，她的整個身體都被覆蓋了。")</f>
        <v>@GorpuaZikinak 當她倒在精液水坑里時伸出了舌頭，她的整個身體都被覆蓋了。</v>
      </c>
      <c r="G4294" s="4" t="str">
        <f>IFERROR(__xludf.DUMMYFUNCTION("GOOGLETRANSLATE(B4294)"),"崩潰了")</f>
        <v>崩潰了</v>
      </c>
    </row>
    <row r="4295" ht="15.75" customHeight="1">
      <c r="A4295" s="4">
        <v>2373.0</v>
      </c>
      <c r="B4295" s="4" t="s">
        <v>1024</v>
      </c>
      <c r="C4295" s="4" t="s">
        <v>6376</v>
      </c>
      <c r="D4295" s="4" t="s">
        <v>6377</v>
      </c>
      <c r="E4295" s="4">
        <v>0.0</v>
      </c>
      <c r="F4295" s="4" t="str">
        <f>IFERROR(__xludf.DUMMYFUNCTION("GOOGLETRANSLATE(D4295)"),"@indiepopmom 我無法呼吸，我的肺已經塌陷")</f>
        <v>@indiepopmom 我無法呼吸，我的肺已經塌陷</v>
      </c>
      <c r="G4295" s="4" t="str">
        <f>IFERROR(__xludf.DUMMYFUNCTION("GOOGLETRANSLATE(B4295)"),"崩潰了")</f>
        <v>崩潰了</v>
      </c>
    </row>
    <row r="4296" ht="15.75" customHeight="1">
      <c r="A4296" s="4">
        <v>2374.0</v>
      </c>
      <c r="B4296" s="4" t="s">
        <v>1024</v>
      </c>
      <c r="D4296" s="4" t="s">
        <v>6378</v>
      </c>
      <c r="E4296" s="4">
        <v>0.0</v>
      </c>
      <c r="F4296" s="4" t="str">
        <f>IFERROR(__xludf.DUMMYFUNCTION("GOOGLETRANSLATE(D4296)"),"辛巴威是一個政府崩潰、獨裁者統治的國家，許多人生活在貧窮線以下。")</f>
        <v>辛巴威是一個政府崩潰、獨裁者統治的國家，許多人生活在貧窮線以下。</v>
      </c>
      <c r="G4296" s="4" t="str">
        <f>IFERROR(__xludf.DUMMYFUNCTION("GOOGLETRANSLATE(B4296)"),"崩潰了")</f>
        <v>崩潰了</v>
      </c>
    </row>
    <row r="4297" ht="15.75" customHeight="1">
      <c r="A4297" s="4">
        <v>2376.0</v>
      </c>
      <c r="B4297" s="4" t="s">
        <v>1024</v>
      </c>
      <c r="C4297" s="4" t="s">
        <v>803</v>
      </c>
      <c r="D4297" s="4" t="s">
        <v>6379</v>
      </c>
      <c r="E4297" s="4">
        <v>0.0</v>
      </c>
      <c r="F4297" s="4" t="str">
        <f>IFERROR(__xludf.DUMMYFUNCTION("GOOGLETRANSLATE(D4297)"),"我剛剛倒在床上，我累壞了")</f>
        <v>我剛剛倒在床上，我累壞了</v>
      </c>
      <c r="G4297" s="4" t="str">
        <f>IFERROR(__xludf.DUMMYFUNCTION("GOOGLETRANSLATE(B4297)"),"崩潰了")</f>
        <v>崩潰了</v>
      </c>
    </row>
    <row r="4298" ht="15.75" customHeight="1">
      <c r="A4298" s="4">
        <v>2379.0</v>
      </c>
      <c r="B4298" s="4" t="s">
        <v>1024</v>
      </c>
      <c r="C4298" s="4" t="s">
        <v>38</v>
      </c>
      <c r="D4298" s="4" t="s">
        <v>6380</v>
      </c>
      <c r="E4298" s="4">
        <v>0.0</v>
      </c>
      <c r="F4298" s="4" t="str">
        <f>IFERROR(__xludf.DUMMYFUNCTION("GOOGLETRANSLATE(D4298)"),"請願|無情的主人將馬鞭打至倒下，卻被告知他可以保留他的動物！現在就採取行動吧！ http://t.co/nJRjxqBjr4")</f>
        <v>請願|無情的主人將馬鞭打至倒下，卻被告知他可以保留他的動物！現在就採取行動吧！ http://t.co/nJRjxqBjr4</v>
      </c>
      <c r="G4298" s="4" t="str">
        <f>IFERROR(__xludf.DUMMYFUNCTION("GOOGLETRANSLATE(B4298)"),"崩潰了")</f>
        <v>崩潰了</v>
      </c>
    </row>
    <row r="4299" ht="15.75" customHeight="1">
      <c r="A4299" s="4">
        <v>2382.0</v>
      </c>
      <c r="B4299" s="4" t="s">
        <v>1024</v>
      </c>
      <c r="D4299" s="4" t="s">
        <v>6381</v>
      </c>
      <c r="E4299" s="4">
        <v>0.0</v>
      </c>
      <c r="F4299" s="4" t="str">
        <f>IFERROR(__xludf.DUMMYFUNCTION("GOOGLETRANSLATE(D4299)"),"第二年，俱樂部的管理團隊崩潰了。一些有影響力的成員背叛了每個人的信任，導致社區分裂。")</f>
        <v>第二年，俱樂部的管理團隊崩潰了。一些有影響力的成員背叛了每個人的信任，導致社區分裂。</v>
      </c>
      <c r="G4299" s="4" t="str">
        <f>IFERROR(__xludf.DUMMYFUNCTION("GOOGLETRANSLATE(B4299)"),"崩潰了")</f>
        <v>崩潰了</v>
      </c>
    </row>
    <row r="4300" ht="15.75" customHeight="1">
      <c r="A4300" s="4">
        <v>2385.0</v>
      </c>
      <c r="B4300" s="4" t="s">
        <v>1024</v>
      </c>
      <c r="C4300" s="4" t="s">
        <v>1806</v>
      </c>
      <c r="D4300" s="4" t="s">
        <v>6382</v>
      </c>
      <c r="E4300" s="4">
        <v>0.0</v>
      </c>
      <c r="F4300" s="4" t="str">
        <f>IFERROR(__xludf.DUMMYFUNCTION("GOOGLETRANSLATE(D4300)"),"請願|無情的主人將馬鞭打至倒下，卻被告知他可以保留他的動物！現在就採取行動吧！ http://t.co/ym3cWw28dJ")</f>
        <v>請願|無情的主人將馬鞭打至倒下，卻被告知他可以保留他的動物！現在就採取行動吧！ http://t.co/ym3cWw28dJ</v>
      </c>
      <c r="G4300" s="4" t="str">
        <f>IFERROR(__xludf.DUMMYFUNCTION("GOOGLETRANSLATE(B4300)"),"崩潰了")</f>
        <v>崩潰了</v>
      </c>
    </row>
    <row r="4301" ht="15.75" customHeight="1">
      <c r="A4301" s="4">
        <v>2386.0</v>
      </c>
      <c r="B4301" s="4" t="s">
        <v>1024</v>
      </c>
      <c r="D4301" s="4" t="s">
        <v>6383</v>
      </c>
      <c r="E4301" s="4">
        <v>0.0</v>
      </c>
      <c r="F4301" s="4" t="str">
        <f>IFERROR(__xludf.DUMMYFUNCTION("GOOGLETRANSLATE(D4301)"),"我的便攜式衣櫃已經塌陷了 3 次，最後它壞了，我媽媽說「也許你應該扔掉一些衣服」哈哈，不怎麼樣？")</f>
        <v>我的便攜式衣櫃已經塌陷了 3 次，最後它壞了，我媽媽說「也許你應該扔掉一些衣服」哈哈，不怎麼樣？</v>
      </c>
      <c r="G4301" s="4" t="str">
        <f>IFERROR(__xludf.DUMMYFUNCTION("GOOGLETRANSLATE(B4301)"),"崩潰了")</f>
        <v>崩潰了</v>
      </c>
    </row>
    <row r="4302" ht="15.75" customHeight="1">
      <c r="A4302" s="4">
        <v>2387.0</v>
      </c>
      <c r="B4302" s="4" t="s">
        <v>1024</v>
      </c>
      <c r="C4302" s="4" t="s">
        <v>6384</v>
      </c>
      <c r="D4302" s="4" t="s">
        <v>6385</v>
      </c>
      <c r="E4302" s="4">
        <v>0.0</v>
      </c>
      <c r="F4302" s="4" t="str">
        <f>IFERROR(__xludf.DUMMYFUNCTION("GOOGLETRANSLATE(D4302)"),"@rokiieee_ 遊戲正式崩潰")</f>
        <v>@rokiieee_ 遊戲正式崩潰</v>
      </c>
      <c r="G4302" s="4" t="str">
        <f>IFERROR(__xludf.DUMMYFUNCTION("GOOGLETRANSLATE(B4302)"),"崩潰了")</f>
        <v>崩潰了</v>
      </c>
    </row>
    <row r="4303" ht="15.75" customHeight="1">
      <c r="A4303" s="4">
        <v>2389.0</v>
      </c>
      <c r="B4303" s="4" t="s">
        <v>1024</v>
      </c>
      <c r="C4303" s="4" t="s">
        <v>6386</v>
      </c>
      <c r="D4303" s="4" t="s">
        <v>6387</v>
      </c>
      <c r="E4303" s="4">
        <v>0.0</v>
      </c>
      <c r="F4303" s="4" t="str">
        <f>IFERROR(__xludf.DUMMYFUNCTION("GOOGLETRANSLATE(D4303)"),"仍然感到羞愧的是，當我去羅斯的時候，我摔倒了，臉栽在大家面前，摔壞了我最喜歡的鞋子")</f>
        <v>仍然感到羞愧的是，當我去羅斯的時候，我摔倒了，臉栽在大家面前，摔壞了我最喜歡的鞋子</v>
      </c>
      <c r="G4303" s="4" t="str">
        <f>IFERROR(__xludf.DUMMYFUNCTION("GOOGLETRANSLATE(B4303)"),"崩潰了")</f>
        <v>崩潰了</v>
      </c>
    </row>
    <row r="4304" ht="15.75" customHeight="1">
      <c r="A4304" s="4">
        <v>2390.0</v>
      </c>
      <c r="B4304" s="4" t="s">
        <v>1024</v>
      </c>
      <c r="C4304" s="4" t="s">
        <v>6388</v>
      </c>
      <c r="D4304" s="4" t="s">
        <v>6389</v>
      </c>
      <c r="E4304" s="4">
        <v>0.0</v>
      </c>
      <c r="F4304" s="4" t="str">
        <f>IFERROR(__xludf.DUMMYFUNCTION("GOOGLETRANSLATE(D4304)"),"「它還沒有崩潰，因為希臘人民仍然被齊普拉斯當作傻瓜，他付出了代價。」ÛÓ WallyBaiter http://t.co/gbRNuLp3fH")</f>
        <v>「它還沒有崩潰，因為希臘人民仍然被齊普拉斯當作傻瓜，他付出了代價。」ÛÓ WallyBaiter http://t.co/gbRNuLp3fH</v>
      </c>
      <c r="G4304" s="4" t="str">
        <f>IFERROR(__xludf.DUMMYFUNCTION("GOOGLETRANSLATE(B4304)"),"崩潰了")</f>
        <v>崩潰了</v>
      </c>
    </row>
    <row r="4305" ht="15.75" customHeight="1">
      <c r="A4305" s="4">
        <v>2391.0</v>
      </c>
      <c r="B4305" s="4" t="s">
        <v>1024</v>
      </c>
      <c r="C4305" s="4" t="s">
        <v>2925</v>
      </c>
      <c r="D4305" s="4" t="s">
        <v>6390</v>
      </c>
      <c r="E4305" s="4">
        <v>0.0</v>
      </c>
      <c r="F4305" s="4" t="str">
        <f>IFERROR(__xludf.DUMMYFUNCTION("GOOGLETRANSLATE(D4305)"),"我在 @Quora 上的回答：為什麼我的答案會折疊，而其他人則不會？ http://t.co/IKfmEktPCX")</f>
        <v>我在 @Quora 上的回答：為什麼我的答案會折疊，而其他人則不會？ http://t.co/IKfmEktPCX</v>
      </c>
      <c r="G4305" s="4" t="str">
        <f>IFERROR(__xludf.DUMMYFUNCTION("GOOGLETRANSLATE(B4305)"),"崩潰了")</f>
        <v>崩潰了</v>
      </c>
    </row>
    <row r="4306" ht="15.75" customHeight="1">
      <c r="A4306" s="4">
        <v>2394.0</v>
      </c>
      <c r="B4306" s="4" t="s">
        <v>1024</v>
      </c>
      <c r="C4306" s="4" t="s">
        <v>6391</v>
      </c>
      <c r="D4306" s="4" t="s">
        <v>6392</v>
      </c>
      <c r="E4306" s="4">
        <v>0.0</v>
      </c>
      <c r="F4306" s="4" t="str">
        <f>IFERROR(__xludf.DUMMYFUNCTION("GOOGLETRANSLATE(D4306)"),"他幾乎崩潰了，因為他說他的願望實現了，操")</f>
        <v>他幾乎崩潰了，因為他說他的願望實現了，操</v>
      </c>
      <c r="G4306" s="4" t="str">
        <f>IFERROR(__xludf.DUMMYFUNCTION("GOOGLETRANSLATE(B4306)"),"崩潰了")</f>
        <v>崩潰了</v>
      </c>
    </row>
    <row r="4307" ht="15.75" customHeight="1">
      <c r="A4307" s="4">
        <v>2395.0</v>
      </c>
      <c r="B4307" s="4" t="s">
        <v>1024</v>
      </c>
      <c r="C4307" s="4" t="s">
        <v>6393</v>
      </c>
      <c r="D4307" s="4" t="s">
        <v>6394</v>
      </c>
      <c r="E4307" s="4">
        <v>0.0</v>
      </c>
      <c r="F4307" s="4" t="str">
        <f>IFERROR(__xludf.DUMMYFUNCTION("GOOGLETRANSLATE(D4307)"),"昨晚我一回到家就崩潰了哈哈")</f>
        <v>昨晚我一回到家就崩潰了哈哈</v>
      </c>
      <c r="G4307" s="4" t="str">
        <f>IFERROR(__xludf.DUMMYFUNCTION("GOOGLETRANSLATE(B4307)"),"崩潰了")</f>
        <v>崩潰了</v>
      </c>
    </row>
    <row r="4308" ht="15.75" customHeight="1">
      <c r="A4308" s="4">
        <v>2397.0</v>
      </c>
      <c r="B4308" s="4" t="s">
        <v>1024</v>
      </c>
      <c r="D4308" s="4" t="s">
        <v>6395</v>
      </c>
      <c r="E4308" s="4">
        <v>0.0</v>
      </c>
      <c r="F4308" s="4" t="str">
        <f>IFERROR(__xludf.DUMMYFUNCTION("GOOGLETRANSLATE(D4308)"),"看：#我在嘗試咀嚼瀕臨滅絕的物種後崩潰了。")</f>
        <v>看：#我在嘗試咀嚼瀕臨滅絕的物種後崩潰了。</v>
      </c>
      <c r="G4308" s="4" t="str">
        <f>IFERROR(__xludf.DUMMYFUNCTION("GOOGLETRANSLATE(B4308)"),"崩潰了")</f>
        <v>崩潰了</v>
      </c>
    </row>
    <row r="4309" ht="15.75" customHeight="1">
      <c r="A4309" s="4">
        <v>2402.0</v>
      </c>
      <c r="B4309" s="4" t="s">
        <v>1024</v>
      </c>
      <c r="C4309" s="4" t="s">
        <v>6396</v>
      </c>
      <c r="D4309" s="4" t="s">
        <v>6397</v>
      </c>
      <c r="E4309" s="4">
        <v>0.0</v>
      </c>
      <c r="F4309" s="4" t="str">
        <f>IFERROR(__xludf.DUMMYFUNCTION("GOOGLETRANSLATE(D4309)"),"@崩潰謝謝你")</f>
        <v>@崩潰謝謝你</v>
      </c>
      <c r="G4309" s="4" t="str">
        <f>IFERROR(__xludf.DUMMYFUNCTION("GOOGLETRANSLATE(B4309)"),"崩潰了")</f>
        <v>崩潰了</v>
      </c>
    </row>
    <row r="4310" ht="15.75" customHeight="1">
      <c r="A4310" s="4">
        <v>2406.0</v>
      </c>
      <c r="B4310" s="4" t="s">
        <v>1047</v>
      </c>
      <c r="D4310" s="4" t="s">
        <v>6398</v>
      </c>
      <c r="E4310" s="4">
        <v>0.0</v>
      </c>
      <c r="F4310" s="4" t="str">
        <f>IFERROR(__xludf.DUMMYFUNCTION("GOOGLETRANSLATE(D4310)"),"我喜歡來自 @sqwizzix 的 @YouTube 影片 http://t.co/GGqCz9AB6u 《使命召喚：ÛÏ鋼琴藝人Û 第 1 集》 9 音樂人碰撞！")</f>
        <v>我喜歡來自 @sqwizzix 的 @YouTube 影片 http://t.co/GGqCz9AB6u 《使命召喚：ÛÏ鋼琴藝人Û 第 1 集》 9 音樂人碰撞！</v>
      </c>
      <c r="G4310" s="4" t="str">
        <f>IFERROR(__xludf.DUMMYFUNCTION("GOOGLETRANSLATE(B4310)"),"碰撞")</f>
        <v>碰撞</v>
      </c>
    </row>
    <row r="4311" ht="15.75" customHeight="1">
      <c r="A4311" s="4">
        <v>2408.0</v>
      </c>
      <c r="B4311" s="4" t="s">
        <v>1047</v>
      </c>
      <c r="D4311" s="4" t="s">
        <v>6399</v>
      </c>
      <c r="E4311" s="4">
        <v>0.0</v>
      </c>
      <c r="F4311" s="4" t="str">
        <f>IFERROR(__xludf.DUMMYFUNCTION("GOOGLETRANSLATE(D4311)"),"當這些波浪碰撞時，在你的愛的浪潮中我將生存。 #愛@LesleyChapelle")</f>
        <v>當這些波浪碰撞時，在你的愛的浪潮中我將生存。 #愛@LesleyChapelle</v>
      </c>
      <c r="G4311" s="4" t="str">
        <f>IFERROR(__xludf.DUMMYFUNCTION("GOOGLETRANSLATE(B4311)"),"碰撞")</f>
        <v>碰撞</v>
      </c>
    </row>
    <row r="4312" ht="15.75" customHeight="1">
      <c r="A4312" s="4">
        <v>2409.0</v>
      </c>
      <c r="B4312" s="4" t="s">
        <v>1047</v>
      </c>
      <c r="C4312" s="4" t="s">
        <v>6400</v>
      </c>
      <c r="D4312" s="4" t="s">
        <v>6401</v>
      </c>
      <c r="E4312" s="4">
        <v>0.0</v>
      </c>
      <c r="F4312" s="4" t="str">
        <f>IFERROR(__xludf.DUMMYFUNCTION("GOOGLETRANSLATE(D4312)"),"不知何故發現你跟我碰撞 http://t.co/Ee8RpOahPk")</f>
        <v>不知何故發現你跟我碰撞 http://t.co/Ee8RpOahPk</v>
      </c>
      <c r="G4312" s="4" t="str">
        <f>IFERROR(__xludf.DUMMYFUNCTION("GOOGLETRANSLATE(B4312)"),"碰撞")</f>
        <v>碰撞</v>
      </c>
    </row>
    <row r="4313" ht="15.75" customHeight="1">
      <c r="A4313" s="4">
        <v>2410.0</v>
      </c>
      <c r="B4313" s="4" t="s">
        <v>1047</v>
      </c>
      <c r="D4313" s="4" t="s">
        <v>6402</v>
      </c>
      <c r="E4313" s="4">
        <v>0.0</v>
      </c>
      <c r="F4313" s="4" t="str">
        <f>IFERROR(__xludf.DUMMYFUNCTION("GOOGLETRANSLATE(D4313)"),"但就算星月相撞我也不想你回到我的生活中？？？？？？")</f>
        <v>但就算星月相撞我也不想你回到我的生活中？？？？？？</v>
      </c>
      <c r="G4313" s="4" t="str">
        <f>IFERROR(__xludf.DUMMYFUNCTION("GOOGLETRANSLATE(B4313)"),"碰撞")</f>
        <v>碰撞</v>
      </c>
    </row>
    <row r="4314" ht="15.75" customHeight="1">
      <c r="A4314" s="4">
        <v>2412.0</v>
      </c>
      <c r="B4314" s="4" t="s">
        <v>1047</v>
      </c>
      <c r="C4314" s="4" t="s">
        <v>6403</v>
      </c>
      <c r="D4314" s="4" t="s">
        <v>6404</v>
      </c>
      <c r="E4314" s="4">
        <v>0.0</v>
      </c>
      <c r="F4314" s="4" t="str">
        <f>IFERROR(__xludf.DUMMYFUNCTION("GOOGLETRANSLATE(D4314)"),"拿著飲料和香菸走出去，立即與慢跑者四目相對。世界確實會發生碰撞。")</f>
        <v>拿著飲料和香菸走出去，立即與慢跑者四目相對。世界確實會發生碰撞。</v>
      </c>
      <c r="G4314" s="4" t="str">
        <f>IFERROR(__xludf.DUMMYFUNCTION("GOOGLETRANSLATE(B4314)"),"碰撞")</f>
        <v>碰撞</v>
      </c>
    </row>
    <row r="4315" ht="15.75" customHeight="1">
      <c r="A4315" s="4">
        <v>2413.0</v>
      </c>
      <c r="B4315" s="4" t="s">
        <v>1047</v>
      </c>
      <c r="C4315" s="4" t="s">
        <v>6405</v>
      </c>
      <c r="D4315" s="4" t="s">
        <v>6406</v>
      </c>
      <c r="E4315" s="4">
        <v>0.0</v>
      </c>
      <c r="F4315" s="4" t="str">
        <f>IFERROR(__xludf.DUMMYFUNCTION("GOOGLETRANSLATE(D4315)"),"當世界碰撞時總是超級尷尬")</f>
        <v>當世界碰撞時總是超級尷尬</v>
      </c>
      <c r="G4315" s="4" t="str">
        <f>IFERROR(__xludf.DUMMYFUNCTION("GOOGLETRANSLATE(B4315)"),"碰撞")</f>
        <v>碰撞</v>
      </c>
    </row>
    <row r="4316" ht="15.75" customHeight="1">
      <c r="A4316" s="4">
        <v>2414.0</v>
      </c>
      <c r="B4316" s="4" t="s">
        <v>1047</v>
      </c>
      <c r="D4316" s="4" t="s">
        <v>6407</v>
      </c>
      <c r="E4316" s="4">
        <v>0.0</v>
      </c>
      <c r="F4316" s="4" t="str">
        <f>IFERROR(__xludf.DUMMYFUNCTION("GOOGLETRANSLATE(D4316)"),"http://t.co/QQC0gKbEGs efs300：http://t.co/ZStuvsBQq0「星際大戰」和「星際爭霸戰」在冥王星衛星卡戎#pluto相撞")</f>
        <v>http://t.co/QQC0gKbEGs efs300：http://t.co/ZStuvsBQq0「星際大戰」和「星際爭霸戰」在冥王星衛星卡戎#pluto相撞</v>
      </c>
      <c r="G4316" s="4" t="str">
        <f>IFERROR(__xludf.DUMMYFUNCTION("GOOGLETRANSLATE(B4316)"),"碰撞")</f>
        <v>碰撞</v>
      </c>
    </row>
    <row r="4317" ht="15.75" customHeight="1">
      <c r="A4317" s="4">
        <v>2415.0</v>
      </c>
      <c r="B4317" s="4" t="s">
        <v>1047</v>
      </c>
      <c r="C4317" s="4" t="s">
        <v>38</v>
      </c>
      <c r="D4317" s="4" t="s">
        <v>6408</v>
      </c>
      <c r="E4317" s="4">
        <v>0.0</v>
      </c>
      <c r="F4317" s="4" t="str">
        <f>IFERROR(__xludf.DUMMYFUNCTION("GOOGLETRANSLATE(D4317)"),"當高級時尚與美食碰撞：Gucci 選擇了上海最受歡迎的商業大道之一... http://t.co/MkRxQZeHmY #fashion")</f>
        <v>當高級時尚與美食碰撞：Gucci 選擇了上海最受歡迎的商業大道之一... http://t.co/MkRxQZeHmY #fashion</v>
      </c>
      <c r="G4317" s="4" t="str">
        <f>IFERROR(__xludf.DUMMYFUNCTION("GOOGLETRANSLATE(B4317)"),"碰撞")</f>
        <v>碰撞</v>
      </c>
    </row>
    <row r="4318" ht="15.75" customHeight="1">
      <c r="A4318" s="4">
        <v>2416.0</v>
      </c>
      <c r="B4318" s="4" t="s">
        <v>1047</v>
      </c>
      <c r="C4318" s="4" t="s">
        <v>6409</v>
      </c>
      <c r="D4318" s="4" t="s">
        <v>6410</v>
      </c>
      <c r="E4318" s="4">
        <v>0.0</v>
      </c>
      <c r="F4318" s="4" t="str">
        <f>IFERROR(__xludf.DUMMYFUNCTION("GOOGLETRANSLATE(D4318)"),"聽起來不錯。有一天，當氣團碰撞時，我們的大樓內將會有一場雷雨。 https://t.co/2rTQ9QmGPB")</f>
        <v>聽起來不錯。有一天，當氣團碰撞時，我們的大樓內將會有一場雷雨。 https://t.co/2rTQ9QmGPB</v>
      </c>
      <c r="G4318" s="4" t="str">
        <f>IFERROR(__xludf.DUMMYFUNCTION("GOOGLETRANSLATE(B4318)"),"碰撞")</f>
        <v>碰撞</v>
      </c>
    </row>
    <row r="4319" ht="15.75" customHeight="1">
      <c r="A4319" s="4">
        <v>2417.0</v>
      </c>
      <c r="B4319" s="4" t="s">
        <v>1047</v>
      </c>
      <c r="D4319" s="4" t="s">
        <v>6411</v>
      </c>
      <c r="E4319" s="4">
        <v>0.0</v>
      </c>
      <c r="F4319" s="4" t="str">
        <f>IFERROR(__xludf.DUMMYFUNCTION("GOOGLETRANSLATE(D4319)"),"我只記得我們開車唱歌碰撞在一起")</f>
        <v>我只記得我們開車唱歌碰撞在一起</v>
      </c>
      <c r="G4319" s="4" t="str">
        <f>IFERROR(__xludf.DUMMYFUNCTION("GOOGLETRANSLATE(B4319)"),"碰撞")</f>
        <v>碰撞</v>
      </c>
    </row>
    <row r="4320" ht="15.75" customHeight="1">
      <c r="A4320" s="4">
        <v>2418.0</v>
      </c>
      <c r="B4320" s="4" t="s">
        <v>1047</v>
      </c>
      <c r="C4320" s="4" t="s">
        <v>6412</v>
      </c>
      <c r="D4320" s="4" t="s">
        <v>6413</v>
      </c>
      <c r="E4320" s="4">
        <v>0.0</v>
      </c>
      <c r="F4320" s="4" t="str">
        <f>IFERROR(__xludf.DUMMYFUNCTION("GOOGLETRANSLATE(D4320)"),"讓我們碰撞直到我們填滿空間..??")</f>
        <v>讓我們碰撞直到我們填滿空間..??</v>
      </c>
      <c r="G4320" s="4" t="str">
        <f>IFERROR(__xludf.DUMMYFUNCTION("GOOGLETRANSLATE(B4320)"),"碰撞")</f>
        <v>碰撞</v>
      </c>
    </row>
    <row r="4321" ht="15.75" customHeight="1">
      <c r="A4321" s="4">
        <v>2419.0</v>
      </c>
      <c r="B4321" s="4" t="s">
        <v>1047</v>
      </c>
      <c r="C4321" s="4" t="s">
        <v>6414</v>
      </c>
      <c r="D4321" s="4" t="s">
        <v>6415</v>
      </c>
      <c r="E4321" s="4">
        <v>0.0</v>
      </c>
      <c r="F4321" s="4" t="str">
        <f>IFERROR(__xludf.DUMMYFUNCTION("GOOGLETRANSLATE(D4321)"),"學生在周五/週六發生碰撞 - 註冊 http://t.co/PwjJimRfLy #nlccollide http://t.co/3w0pxFyyri")</f>
        <v>學生在周五/週六發生碰撞 - 註冊 http://t.co/PwjJimRfLy #nlccollide http://t.co/3w0pxFyyri</v>
      </c>
      <c r="G4321" s="4" t="str">
        <f>IFERROR(__xludf.DUMMYFUNCTION("GOOGLETRANSLATE(B4321)"),"碰撞")</f>
        <v>碰撞</v>
      </c>
    </row>
    <row r="4322" ht="15.75" customHeight="1">
      <c r="A4322" s="4">
        <v>2420.0</v>
      </c>
      <c r="B4322" s="4" t="s">
        <v>1047</v>
      </c>
      <c r="C4322" s="4" t="s">
        <v>1727</v>
      </c>
      <c r="D4322" s="4" t="s">
        <v>6416</v>
      </c>
      <c r="E4322" s="4">
        <v>0.0</v>
      </c>
      <c r="F4322" s="4" t="str">
        <f>IFERROR(__xludf.DUMMYFUNCTION("GOOGLETRANSLATE(D4322)"),"我不想著陸只是想讓我們的世界碰撞？")</f>
        <v>我不想著陸只是想讓我們的世界碰撞？</v>
      </c>
      <c r="G4322" s="4" t="str">
        <f>IFERROR(__xludf.DUMMYFUNCTION("GOOGLETRANSLATE(B4322)"),"碰撞")</f>
        <v>碰撞</v>
      </c>
    </row>
    <row r="4323" ht="15.75" customHeight="1">
      <c r="A4323" s="4">
        <v>2421.0</v>
      </c>
      <c r="B4323" s="4" t="s">
        <v>1047</v>
      </c>
      <c r="D4323" s="4" t="s">
        <v>6417</v>
      </c>
      <c r="E4323" s="4">
        <v>0.0</v>
      </c>
      <c r="F4323" s="4" t="str">
        <f>IFERROR(__xludf.DUMMYFUNCTION("GOOGLETRANSLATE(D4323)"),"@madisonpa_ 愛你 &amp;amp;等不及碰撞了！！！？？？")</f>
        <v>@madisonpa_ 愛你 &amp;amp;等不及碰撞了！！！？？？</v>
      </c>
      <c r="G4323" s="4" t="str">
        <f>IFERROR(__xludf.DUMMYFUNCTION("GOOGLETRANSLATE(B4323)"),"碰撞")</f>
        <v>碰撞</v>
      </c>
    </row>
    <row r="4324" ht="15.75" customHeight="1">
      <c r="A4324" s="4">
        <v>2422.0</v>
      </c>
      <c r="B4324" s="4" t="s">
        <v>1047</v>
      </c>
      <c r="C4324" s="4" t="s">
        <v>291</v>
      </c>
      <c r="D4324" s="4" t="s">
        <v>6418</v>
      </c>
      <c r="E4324" s="4">
        <v>0.0</v>
      </c>
      <c r="F4324" s="4" t="str">
        <f>IFERROR(__xludf.DUMMYFUNCTION("GOOGLETRANSLATE(D4324)"),"刺穿面紗橡膠手環腕帶與天空碰撞 - eBay 完整閱讀 http://t.co/6QC8whdiZY http://t.co/ineZZAES5D")</f>
        <v>刺穿面紗橡膠手環腕帶與天空碰撞 - eBay 完整閱讀 http://t.co/6QC8whdiZY http://t.co/ineZZAES5D</v>
      </c>
      <c r="G4324" s="4" t="str">
        <f>IFERROR(__xludf.DUMMYFUNCTION("GOOGLETRANSLATE(B4324)"),"碰撞")</f>
        <v>碰撞</v>
      </c>
    </row>
    <row r="4325" ht="15.75" customHeight="1">
      <c r="A4325" s="4">
        <v>2423.0</v>
      </c>
      <c r="B4325" s="4" t="s">
        <v>1047</v>
      </c>
      <c r="C4325" s="4" t="s">
        <v>6419</v>
      </c>
      <c r="D4325" s="4" t="s">
        <v>6420</v>
      </c>
      <c r="E4325" s="4">
        <v>0.0</v>
      </c>
      <c r="F4325" s="4" t="str">
        <f>IFERROR(__xludf.DUMMYFUNCTION("GOOGLETRANSLATE(D4325)"),"Soultech - 碰撞（俱樂部混合）http://t.co/8xIxBsPOT8")</f>
        <v>Soultech - 碰撞（俱樂部混合）http://t.co/8xIxBsPOT8</v>
      </c>
      <c r="G4325" s="4" t="str">
        <f>IFERROR(__xludf.DUMMYFUNCTION("GOOGLETRANSLATE(B4325)"),"碰撞")</f>
        <v>碰撞</v>
      </c>
    </row>
    <row r="4326" ht="15.75" customHeight="1">
      <c r="A4326" s="4">
        <v>2425.0</v>
      </c>
      <c r="B4326" s="4" t="s">
        <v>1047</v>
      </c>
      <c r="C4326" s="4" t="s">
        <v>6421</v>
      </c>
      <c r="D4326" s="4" t="s">
        <v>6422</v>
      </c>
      <c r="E4326" s="4">
        <v>0.0</v>
      </c>
      <c r="F4326" s="4" t="str">
        <f>IFERROR(__xludf.DUMMYFUNCTION("GOOGLETRANSLATE(D4326)"),"我喜歡來自 @gassymexican http://t.co/lPgFqnpjd3 的 @YouTube 影片《現實碰撞時》！ （《生活很奇怪》搞笑小故障）")</f>
        <v>我喜歡來自 @gassymexican http://t.co/lPgFqnpjd3 的 @YouTube 影片《現實碰撞時》！ （《生活很奇怪》搞笑小故障）</v>
      </c>
      <c r="G4326" s="4" t="str">
        <f>IFERROR(__xludf.DUMMYFUNCTION("GOOGLETRANSLATE(B4326)"),"碰撞")</f>
        <v>碰撞</v>
      </c>
    </row>
    <row r="4327" ht="15.75" customHeight="1">
      <c r="A4327" s="4">
        <v>2427.0</v>
      </c>
      <c r="B4327" s="4" t="s">
        <v>1047</v>
      </c>
      <c r="C4327" s="4" t="s">
        <v>2483</v>
      </c>
      <c r="D4327" s="4" t="s">
        <v>6423</v>
      </c>
      <c r="E4327" s="4">
        <v>0.0</v>
      </c>
      <c r="F4327" s="4" t="str">
        <f>IFERROR(__xludf.DUMMYFUNCTION("GOOGLETRANSLATE(D4327)"),"@mattcohen4fake 伽馬射線 一月世界碰撞 她等待著我 波浪過去 完美重聚 幸運酷 如果我過來炎熱的時間...")</f>
        <v>@mattcohen4fake 伽馬射線 一月世界碰撞 她等待著我 波浪過去 完美重聚 幸運酷 如果我過來炎熱的時間...</v>
      </c>
      <c r="G4327" s="4" t="str">
        <f>IFERROR(__xludf.DUMMYFUNCTION("GOOGLETRANSLATE(B4327)"),"碰撞")</f>
        <v>碰撞</v>
      </c>
    </row>
    <row r="4328" ht="15.75" customHeight="1">
      <c r="A4328" s="4">
        <v>2428.0</v>
      </c>
      <c r="B4328" s="4" t="s">
        <v>1047</v>
      </c>
      <c r="C4328" s="4" t="s">
        <v>6424</v>
      </c>
      <c r="D4328" s="4" t="s">
        <v>6425</v>
      </c>
      <c r="E4328" s="4">
        <v>0.0</v>
      </c>
      <c r="F4328" s="4" t="str">
        <f>IFERROR(__xludf.DUMMYFUNCTION("GOOGLETRANSLATE(D4328)"),"玻璃城堡的魔女們。超自然的你，兄弟姐妹競爭的魔法和愛情碰撞#wogc #kindle http://t.co/IzakNpJeQW")</f>
        <v>玻璃城堡的魔女們。超自然的你，兄弟姐妹競爭的魔法和愛情碰撞#wogc #kindle http://t.co/IzakNpJeQW</v>
      </c>
      <c r="G4328" s="4" t="str">
        <f>IFERROR(__xludf.DUMMYFUNCTION("GOOGLETRANSLATE(B4328)"),"碰撞")</f>
        <v>碰撞</v>
      </c>
    </row>
    <row r="4329" ht="15.75" customHeight="1">
      <c r="A4329" s="4">
        <v>2429.0</v>
      </c>
      <c r="B4329" s="4" t="s">
        <v>1047</v>
      </c>
      <c r="C4329" s="4" t="s">
        <v>6426</v>
      </c>
      <c r="D4329" s="4" t="s">
        <v>6427</v>
      </c>
      <c r="E4329" s="4">
        <v>0.0</v>
      </c>
      <c r="F4329" s="4" t="str">
        <f>IFERROR(__xludf.DUMMYFUNCTION("GOOGLETRANSLATE(D4329)"),"也許如果星星對齊也許如果我們的世界相撞")</f>
        <v>也許如果星星對齊也許如果我們的世界相撞</v>
      </c>
      <c r="G4329" s="4" t="str">
        <f>IFERROR(__xludf.DUMMYFUNCTION("GOOGLETRANSLATE(B4329)"),"碰撞")</f>
        <v>碰撞</v>
      </c>
    </row>
    <row r="4330" ht="15.75" customHeight="1">
      <c r="A4330" s="4">
        <v>2430.0</v>
      </c>
      <c r="B4330" s="4" t="s">
        <v>1047</v>
      </c>
      <c r="C4330" s="4" t="s">
        <v>2294</v>
      </c>
      <c r="D4330" s="4" t="s">
        <v>6428</v>
      </c>
      <c r="E4330" s="4">
        <v>0.0</v>
      </c>
      <c r="F4330" s="4" t="str">
        <f>IFERROR(__xludf.DUMMYFUNCTION("GOOGLETRANSLATE(D4330)"),"在 Bowery Electric 現場欣賞我的新歌“Collide”！ http://t.co/MESgcNGAz0")</f>
        <v>在 Bowery Electric 現場欣賞我的新歌“Collide”！ http://t.co/MESgcNGAz0</v>
      </c>
      <c r="G4330" s="4" t="str">
        <f>IFERROR(__xludf.DUMMYFUNCTION("GOOGLETRANSLATE(B4330)"),"碰撞")</f>
        <v>碰撞</v>
      </c>
    </row>
    <row r="4331" ht="15.75" customHeight="1">
      <c r="A4331" s="4">
        <v>2435.0</v>
      </c>
      <c r="B4331" s="4" t="s">
        <v>1047</v>
      </c>
      <c r="C4331" s="4" t="s">
        <v>6429</v>
      </c>
      <c r="D4331" s="4" t="s">
        <v>6430</v>
      </c>
      <c r="E4331" s="4">
        <v>0.0</v>
      </c>
      <c r="F4331" s="4" t="str">
        <f>IFERROR(__xludf.DUMMYFUNCTION("GOOGLETRANSLATE(D4331)"),"就算星星和月亮相撞，喔！我不想讓你回到我的生活，你可以接受你的話...... http://t.co/4E2gJmVRVI")</f>
        <v>就算星星和月亮相撞，喔！我不想讓你回到我的生活，你可以接受你的話...... http://t.co/4E2gJmVRVI</v>
      </c>
      <c r="G4331" s="4" t="str">
        <f>IFERROR(__xludf.DUMMYFUNCTION("GOOGLETRANSLATE(B4331)"),"碰撞")</f>
        <v>碰撞</v>
      </c>
    </row>
    <row r="4332" ht="15.75" customHeight="1">
      <c r="A4332" s="4">
        <v>2437.0</v>
      </c>
      <c r="B4332" s="4" t="s">
        <v>1047</v>
      </c>
      <c r="C4332" s="4" t="s">
        <v>5061</v>
      </c>
      <c r="D4332" s="4" t="s">
        <v>6431</v>
      </c>
      <c r="E4332" s="4">
        <v>0.0</v>
      </c>
      <c r="F4332" s="4" t="str">
        <f>IFERROR(__xludf.DUMMYFUNCTION("GOOGLETRANSLATE(D4332)"),"#NowPlaying @TIDALHiFi 中的播放清單“當爵士樂和嘻哈音樂碰撞時” http://t.co/mzQq5PAi8G")</f>
        <v>#NowPlaying @TIDALHiFi 中的播放清單“當爵士樂和嘻哈音樂碰撞時” http://t.co/mzQq5PAi8G</v>
      </c>
      <c r="G4332" s="4" t="str">
        <f>IFERROR(__xludf.DUMMYFUNCTION("GOOGLETRANSLATE(B4332)"),"碰撞")</f>
        <v>碰撞</v>
      </c>
    </row>
    <row r="4333" ht="15.75" customHeight="1">
      <c r="A4333" s="4">
        <v>2438.0</v>
      </c>
      <c r="B4333" s="4" t="s">
        <v>1047</v>
      </c>
      <c r="C4333" s="4" t="s">
        <v>2678</v>
      </c>
      <c r="D4333" s="4" t="s">
        <v>6432</v>
      </c>
      <c r="E4333" s="4">
        <v>0.0</v>
      </c>
      <c r="F4333" s="4" t="str">
        <f>IFERROR(__xludf.DUMMYFUNCTION("GOOGLETRANSLATE(D4333)"),"#Vancouver 將舉辦數百場電子藝術活動，包括@MUTEK_Montreal。 http://t.co/vjBhxN9x1O #ISEA2015")</f>
        <v>#Vancouver 將舉辦數百場電子藝術活動，包括@MUTEK_Montreal。 http://t.co/vjBhxN9x1O #ISEA2015</v>
      </c>
      <c r="G4333" s="4" t="str">
        <f>IFERROR(__xludf.DUMMYFUNCTION("GOOGLETRANSLATE(B4333)"),"碰撞")</f>
        <v>碰撞</v>
      </c>
    </row>
    <row r="4334" ht="15.75" customHeight="1">
      <c r="A4334" s="4">
        <v>2440.0</v>
      </c>
      <c r="B4334" s="4" t="s">
        <v>1047</v>
      </c>
      <c r="C4334" s="4" t="s">
        <v>6433</v>
      </c>
      <c r="D4334" s="4" t="s">
        <v>6434</v>
      </c>
      <c r="E4334" s="4">
        <v>0.0</v>
      </c>
      <c r="F4334" s="4" t="str">
        <f>IFERROR(__xludf.DUMMYFUNCTION("GOOGLETRANSLATE(D4334)"),"當一個美國家庭在新的 TLC 節目《突然皇家》中接管英國馬恩島時，世界發生了碰撞 http://t.co/OmB3oS54tN 來自 @People")</f>
        <v>當一個美國家庭在新的 TLC 節目《突然皇家》中接管英國馬恩島時，世界發生了碰撞 http://t.co/OmB3oS54tN 來自 @People</v>
      </c>
      <c r="G4334" s="4" t="str">
        <f>IFERROR(__xludf.DUMMYFUNCTION("GOOGLETRANSLATE(B4334)"),"碰撞")</f>
        <v>碰撞</v>
      </c>
    </row>
    <row r="4335" ht="15.75" customHeight="1">
      <c r="A4335" s="4">
        <v>2442.0</v>
      </c>
      <c r="B4335" s="4" t="s">
        <v>1047</v>
      </c>
      <c r="C4335" s="4" t="s">
        <v>6435</v>
      </c>
      <c r="D4335" s="4" t="s">
        <v>6436</v>
      </c>
      <c r="E4335" s="4">
        <v>0.0</v>
      </c>
      <c r="F4335" s="4" t="str">
        <f>IFERROR(__xludf.DUMMYFUNCTION("GOOGLETRANSLATE(D4335)"),"上週日來自 @collideworship_ 的這份歌單非常強大！你最喜歡哪首歌？ http://t.co/vNzyBFGZcm")</f>
        <v>上週日來自 @collideworship_ 的這份歌單非常強大！你最喜歡哪首歌？ http://t.co/vNzyBFGZcm</v>
      </c>
      <c r="G4335" s="4" t="str">
        <f>IFERROR(__xludf.DUMMYFUNCTION("GOOGLETRANSLATE(B4335)"),"碰撞")</f>
        <v>碰撞</v>
      </c>
    </row>
    <row r="4336" ht="15.75" customHeight="1">
      <c r="A4336" s="4">
        <v>2445.0</v>
      </c>
      <c r="B4336" s="4" t="s">
        <v>1047</v>
      </c>
      <c r="C4336" s="4" t="s">
        <v>215</v>
      </c>
      <c r="D4336" s="4" t="s">
        <v>6437</v>
      </c>
      <c r="E4336" s="4">
        <v>0.0</v>
      </c>
      <c r="F4336" s="4" t="str">
        <f>IFERROR(__xludf.DUMMYFUNCTION("GOOGLETRANSLATE(D4336)"),"即便如此，我們的言語滑落，靈魂重合，比亞原子咒語更精細，就像我們碰撞一樣http://t.co/2WcbrgN62J")</f>
        <v>即便如此，我們的言語滑落，靈魂重合，比亞原子咒語更精細，就像我們碰撞一樣http://t.co/2WcbrgN62J</v>
      </c>
      <c r="G4336" s="4" t="str">
        <f>IFERROR(__xludf.DUMMYFUNCTION("GOOGLETRANSLATE(B4336)"),"碰撞")</f>
        <v>碰撞</v>
      </c>
    </row>
    <row r="4337" ht="15.75" customHeight="1">
      <c r="A4337" s="4">
        <v>2446.0</v>
      </c>
      <c r="B4337" s="4" t="s">
        <v>1047</v>
      </c>
      <c r="D4337" s="4" t="s">
        <v>6438</v>
      </c>
      <c r="E4337" s="4">
        <v>0.0</v>
      </c>
      <c r="F4337" s="4" t="str">
        <f>IFERROR(__xludf.DUMMYFUNCTION("GOOGLETRANSLATE(D4337)"),"Devia ler 'AS WE COLLIDE #wattys2015' no #Wattpad #teenfiction http://t.co/g891m9GH4r http://t.co/Xq92X4bVG3")</f>
        <v>Devia ler 'AS WE COLLIDE #wattys2015' no #Wattpad #teenfiction http://t.co/g891m9GH4r http://t.co/Xq92X4bVG3</v>
      </c>
      <c r="G4337" s="4" t="str">
        <f>IFERROR(__xludf.DUMMYFUNCTION("GOOGLETRANSLATE(B4337)"),"碰撞")</f>
        <v>碰撞</v>
      </c>
    </row>
    <row r="4338" ht="15.75" customHeight="1">
      <c r="A4338" s="4">
        <v>2451.0</v>
      </c>
      <c r="B4338" s="4" t="s">
        <v>1047</v>
      </c>
      <c r="D4338" s="4" t="s">
        <v>6439</v>
      </c>
      <c r="E4338" s="4">
        <v>0.0</v>
      </c>
      <c r="F4338" s="4" t="str">
        <f>IFERROR(__xludf.DUMMYFUNCTION("GOOGLETRANSLATE(D4338)"),"世界的秘密碰撞但我把過去拋在腦後
已經過去這麼久了，我不能沒有")</f>
        <v>世界的秘密碰撞但我把過去拋在腦後
已經過去這麼久了，我不能沒有</v>
      </c>
      <c r="G4338" s="4" t="str">
        <f>IFERROR(__xludf.DUMMYFUNCTION("GOOGLETRANSLATE(B4338)"),"碰撞")</f>
        <v>碰撞</v>
      </c>
    </row>
    <row r="4339" ht="15.75" customHeight="1">
      <c r="A4339" s="4">
        <v>2452.0</v>
      </c>
      <c r="B4339" s="4" t="s">
        <v>1047</v>
      </c>
      <c r="C4339" s="4" t="s">
        <v>2900</v>
      </c>
      <c r="D4339" s="4" t="s">
        <v>6440</v>
      </c>
      <c r="E4339" s="4">
        <v>0.0</v>
      </c>
      <c r="F4339" s="4" t="str">
        <f>IFERROR(__xludf.DUMMYFUNCTION("GOOGLETRANSLATE(D4339)"),"當高級時裝與美食碰撞http://t.co/qDhxto57EM")</f>
        <v>當高級時裝與美食碰撞http://t.co/qDhxto57EM</v>
      </c>
      <c r="G4339" s="4" t="str">
        <f>IFERROR(__xludf.DUMMYFUNCTION("GOOGLETRANSLATE(B4339)"),"碰撞")</f>
        <v>碰撞</v>
      </c>
    </row>
    <row r="4340" ht="15.75" customHeight="1">
      <c r="A4340" s="4">
        <v>2453.0</v>
      </c>
      <c r="B4340" s="4" t="s">
        <v>1047</v>
      </c>
      <c r="C4340" s="4" t="s">
        <v>6441</v>
      </c>
      <c r="D4340" s="4" t="s">
        <v>6442</v>
      </c>
      <c r="E4340" s="4">
        <v>0.0</v>
      </c>
      <c r="F4340" s="4" t="str">
        <f>IFERROR(__xludf.DUMMYFUNCTION("GOOGLETRANSLATE(D4340)"),"你要么與我們同行，要么與我們相撞。對我和我的兄弟們來說，這就是這麼簡單。")</f>
        <v>你要么與我們同行，要么與我們相撞。對我和我的兄弟們來說，這就是這麼簡單。</v>
      </c>
      <c r="G4340" s="4" t="str">
        <f>IFERROR(__xludf.DUMMYFUNCTION("GOOGLETRANSLATE(B4340)"),"碰撞")</f>
        <v>碰撞</v>
      </c>
    </row>
    <row r="4341" ht="15.75" customHeight="1">
      <c r="A4341" s="4">
        <v>2454.0</v>
      </c>
      <c r="B4341" s="4" t="s">
        <v>1054</v>
      </c>
      <c r="C4341" s="4" t="s">
        <v>6443</v>
      </c>
      <c r="D4341" s="4" t="s">
        <v>6444</v>
      </c>
      <c r="E4341" s="4">
        <v>0.0</v>
      </c>
      <c r="F4341" s="4" t="str">
        <f>IFERROR(__xludf.DUMMYFUNCTION("GOOGLETRANSLATE(D4341)"),"在羅阿諾克綠道上與跑步者相撞的自行車手贏得了 300000 美元的民事判決 http://t.co/WgasoeNCwc via @roanoketimes")</f>
        <v>在羅阿諾克綠道上與跑步者相撞的自行車手贏得了 300000 美元的民事判決 http://t.co/WgasoeNCwc via @roanoketimes</v>
      </c>
      <c r="G4341" s="4" t="str">
        <f>IFERROR(__xludf.DUMMYFUNCTION("GOOGLETRANSLATE(B4341)"),"相撞")</f>
        <v>相撞</v>
      </c>
    </row>
    <row r="4342" ht="15.75" customHeight="1">
      <c r="A4342" s="4">
        <v>2455.0</v>
      </c>
      <c r="B4342" s="4" t="s">
        <v>1054</v>
      </c>
      <c r="D4342" s="4" t="s">
        <v>6445</v>
      </c>
      <c r="E4342" s="4">
        <v>0.0</v>
      </c>
      <c r="F4342" s="4" t="str">
        <f>IFERROR(__xludf.DUMMYFUNCTION("GOOGLETRANSLATE(D4342)"),"我最喜歡的兩個世界發生了碰撞！感謝@lennonparham @Jessica_StClair 我找到了@GilmoreGuysShow 播客！ #ihave44episodesofGG #nojoke")</f>
        <v>我最喜歡的兩個世界發生了碰撞！感謝@lennonparham @Jessica_StClair 我找到了@GilmoreGuysShow 播客！ #ihave44episodesofGG #nojoke</v>
      </c>
      <c r="G4342" s="4" t="str">
        <f>IFERROR(__xludf.DUMMYFUNCTION("GOOGLETRANSLATE(B4342)"),"相撞")</f>
        <v>相撞</v>
      </c>
    </row>
    <row r="4343" ht="15.75" customHeight="1">
      <c r="A4343" s="4">
        <v>2456.0</v>
      </c>
      <c r="B4343" s="4" t="s">
        <v>1054</v>
      </c>
      <c r="C4343" s="4" t="s">
        <v>6446</v>
      </c>
      <c r="D4343" s="4" t="s">
        <v>6447</v>
      </c>
      <c r="E4343" s="4">
        <v>0.0</v>
      </c>
      <c r="F4343" s="4" t="str">
        <f>IFERROR(__xludf.DUMMYFUNCTION("GOOGLETRANSLATE(D4343)"),"@RedCoatJackpot *這對他們來說是典型的情況，他們的子彈相撞，沒有人能夠擊中目標；這就是一個——")</f>
        <v>@RedCoatJackpot *這對他們來說是典型的情況，他們的子彈相撞，沒有人能夠擊中目標；這就是一個——</v>
      </c>
      <c r="G4343" s="4" t="str">
        <f>IFERROR(__xludf.DUMMYFUNCTION("GOOGLETRANSLATE(B4343)"),"相撞")</f>
        <v>相撞</v>
      </c>
    </row>
    <row r="4344" ht="15.75" customHeight="1">
      <c r="A4344" s="4">
        <v>2457.0</v>
      </c>
      <c r="B4344" s="4" t="s">
        <v>1054</v>
      </c>
      <c r="D4344" s="4" t="s">
        <v>6448</v>
      </c>
      <c r="E4344" s="4">
        <v>0.0</v>
      </c>
      <c r="F4344" s="4" t="str">
        <f>IFERROR(__xludf.DUMMYFUNCTION("GOOGLETRANSLATE(D4344)"),"第一條推文與一張自拍照相撞。如果你問我的話，我很「甜蜜」？？？ http://t.co/knmg9pfiz")</f>
        <v>第一條推文與一張自拍照相撞。如果你問我的話，我很「甜蜜」？？？ http://t.co/knmg9pfiz</v>
      </c>
      <c r="G4344" s="4" t="str">
        <f>IFERROR(__xludf.DUMMYFUNCTION("GOOGLETRANSLATE(B4344)"),"相撞")</f>
        <v>相撞</v>
      </c>
    </row>
    <row r="4345" ht="15.75" customHeight="1">
      <c r="A4345" s="4">
        <v>2460.0</v>
      </c>
      <c r="B4345" s="4" t="s">
        <v>1054</v>
      </c>
      <c r="C4345" s="4" t="s">
        <v>6449</v>
      </c>
      <c r="D4345" s="4" t="s">
        <v>6450</v>
      </c>
      <c r="E4345" s="4">
        <v>0.0</v>
      </c>
      <c r="F4345" s="4" t="str">
        <f>IFERROR(__xludf.DUMMYFUNCTION("GOOGLETRANSLATE(D4345)"),"當愛與恨碰撞第二部
繼續在家...
#yagitudeh - Jake（在 Rumah Cipinang）ÛÓ https://t.co/yiLt1Bb68k")</f>
        <v>當愛與恨碰撞第二部
繼續在家...
#yagitudeh - Jake（在 Rumah Cipinang）ÛÓ https://t.co/yiLt1Bb68k</v>
      </c>
      <c r="G4345" s="4" t="str">
        <f>IFERROR(__xludf.DUMMYFUNCTION("GOOGLETRANSLATE(B4345)"),"相撞")</f>
        <v>相撞</v>
      </c>
    </row>
    <row r="4346" ht="15.75" customHeight="1">
      <c r="A4346" s="4">
        <v>2462.0</v>
      </c>
      <c r="B4346" s="4" t="s">
        <v>1054</v>
      </c>
      <c r="C4346" s="4" t="s">
        <v>6451</v>
      </c>
      <c r="D4346" s="4" t="s">
        <v>6452</v>
      </c>
      <c r="E4346" s="4">
        <v>0.0</v>
      </c>
      <c r="F4346" s="4" t="str">
        <f>IFERROR(__xludf.DUMMYFUNCTION("GOOGLETRANSLATE(D4346)"),"——從而使@FemaleGilgamesh的攻擊變得毫無用處。
長槍與黑暗之力碰撞，卻沒有穿透。
由於天黑——")</f>
        <v>——從而使@FemaleGilgamesh的攻擊變得毫無用處。
長槍與黑暗之力碰撞，卻沒有穿透。
由於天黑——</v>
      </c>
      <c r="G4346" s="4" t="str">
        <f>IFERROR(__xludf.DUMMYFUNCTION("GOOGLETRANSLATE(B4346)"),"相撞")</f>
        <v>相撞</v>
      </c>
    </row>
    <row r="4347" ht="15.75" customHeight="1">
      <c r="A4347" s="4">
        <v>2464.0</v>
      </c>
      <c r="B4347" s="4" t="s">
        <v>1054</v>
      </c>
      <c r="C4347" s="4" t="s">
        <v>1105</v>
      </c>
      <c r="D4347" s="4" t="s">
        <v>6453</v>
      </c>
      <c r="E4347" s="4">
        <v>0.0</v>
      </c>
      <c r="F4347" s="4" t="str">
        <f>IFERROR(__xludf.DUMMYFUNCTION("GOOGLETRANSLATE(D4347)"),"工作閱讀與娛樂閱讀發生了衝突。萬歲。不要錯過 @molly_the_tanz 的 Vermilion！ http://t.co/83bMprwH7W")</f>
        <v>工作閱讀與娛樂閱讀發生了衝突。萬歲。不要錯過 @molly_the_tanz 的 Vermilion！ http://t.co/83bMprwH7W</v>
      </c>
      <c r="G4347" s="4" t="str">
        <f>IFERROR(__xludf.DUMMYFUNCTION("GOOGLETRANSLATE(B4347)"),"相撞")</f>
        <v>相撞</v>
      </c>
    </row>
    <row r="4348" ht="15.75" customHeight="1">
      <c r="A4348" s="4">
        <v>2465.0</v>
      </c>
      <c r="B4348" s="4" t="s">
        <v>1054</v>
      </c>
      <c r="C4348" s="4" t="s">
        <v>1749</v>
      </c>
      <c r="D4348" s="4" t="s">
        <v>6454</v>
      </c>
      <c r="E4348" s="4">
        <v>0.0</v>
      </c>
      <c r="F4348" s="4" t="str">
        <f>IFERROR(__xludf.DUMMYFUNCTION("GOOGLETRANSLATE(D4348)"),"被@GlassAnimals 滑行的黏性金礦震撼了（Yeah Yeah Yeahs + Erykah Badu 的封面）Û_ http://t.co/7Zb9gm5z0h")</f>
        <v>被@GlassAnimals 滑行的黏性金礦震撼了（Yeah Yeah Yeahs + Erykah Badu 的封面）Û_ http://t.co/7Zb9gm5z0h</v>
      </c>
      <c r="G4348" s="4" t="str">
        <f>IFERROR(__xludf.DUMMYFUNCTION("GOOGLETRANSLATE(B4348)"),"相撞")</f>
        <v>相撞</v>
      </c>
    </row>
    <row r="4349" ht="15.75" customHeight="1">
      <c r="A4349" s="4">
        <v>2475.0</v>
      </c>
      <c r="B4349" s="4" t="s">
        <v>1054</v>
      </c>
      <c r="C4349" s="4" t="s">
        <v>1276</v>
      </c>
      <c r="D4349" s="4" t="s">
        <v>6455</v>
      </c>
      <c r="E4349" s="4">
        <v>0.0</v>
      </c>
      <c r="F4349" s="4" t="str">
        <f>IFERROR(__xludf.DUMMYFUNCTION("GOOGLETRANSLATE(D4349)"),"Anna Todd 的《After We Collided》第 500 頁，共 688 頁 http://t.co/Y7PetO0DX2")</f>
        <v>Anna Todd 的《After We Collided》第 500 頁，共 688 頁 http://t.co/Y7PetO0DX2</v>
      </c>
      <c r="G4349" s="4" t="str">
        <f>IFERROR(__xludf.DUMMYFUNCTION("GOOGLETRANSLATE(B4349)"),"相撞")</f>
        <v>相撞</v>
      </c>
    </row>
    <row r="4350" ht="15.75" customHeight="1">
      <c r="A4350" s="4">
        <v>2479.0</v>
      </c>
      <c r="B4350" s="4" t="s">
        <v>1054</v>
      </c>
      <c r="D4350" s="4" t="s">
        <v>6456</v>
      </c>
      <c r="E4350" s="4">
        <v>0.0</v>
      </c>
      <c r="F4350" s="4" t="str">
        <f>IFERROR(__xludf.DUMMYFUNCTION("GOOGLETRANSLATE(D4350)"),"我的@MLG 和食物世界在這個@ijustine 鮭魚影片中發生了碰撞。 #simple #Alaskaseafood #askforalaska https://t.co/2SnyGHaiVs")</f>
        <v>我的@MLG 和食物世界在這個@ijustine 鮭魚影片中發生了碰撞。 #simple #Alaskaseafood #askforalaska https://t.co/2SnyGHaiVs</v>
      </c>
      <c r="G4350" s="4" t="str">
        <f>IFERROR(__xludf.DUMMYFUNCTION("GOOGLETRANSLATE(B4350)"),"相撞")</f>
        <v>相撞</v>
      </c>
    </row>
    <row r="4351" ht="15.75" customHeight="1">
      <c r="A4351" s="4">
        <v>2485.0</v>
      </c>
      <c r="B4351" s="4" t="s">
        <v>1054</v>
      </c>
      <c r="C4351" s="4" t="s">
        <v>6457</v>
      </c>
      <c r="D4351" s="4" t="s">
        <v>6458</v>
      </c>
      <c r="E4351" s="4">
        <v>0.0</v>
      </c>
      <c r="F4351" s="4" t="str">
        <f>IFERROR(__xludf.DUMMYFUNCTION("GOOGLETRANSLATE(D4351)"),"她回頭一看，她的女兒和說“每個人都喜歡我發布的你的照片”&amp;amp;就像撞到另一輛車一樣")</f>
        <v>她回頭一看，她的女兒和說“每個人都喜歡我發布的你的照片”&amp;amp;就像撞到另一輛車一樣</v>
      </c>
      <c r="G4351" s="4" t="str">
        <f>IFERROR(__xludf.DUMMYFUNCTION("GOOGLETRANSLATE(B4351)"),"相撞")</f>
        <v>相撞</v>
      </c>
    </row>
    <row r="4352" ht="15.75" customHeight="1">
      <c r="A4352" s="4">
        <v>2486.0</v>
      </c>
      <c r="B4352" s="4" t="s">
        <v>1054</v>
      </c>
      <c r="D4352" s="4" t="s">
        <v>6459</v>
      </c>
      <c r="E4352" s="4">
        <v>0.0</v>
      </c>
      <c r="F4352" s="4" t="str">
        <f>IFERROR(__xludf.DUMMYFUNCTION("GOOGLETRANSLATE(D4352)"),"我們很高興地碰撞了:)")</f>
        <v>我們很高興地碰撞了:)</v>
      </c>
      <c r="G4352" s="4" t="str">
        <f>IFERROR(__xludf.DUMMYFUNCTION("GOOGLETRANSLATE(B4352)"),"相撞")</f>
        <v>相撞</v>
      </c>
    </row>
    <row r="4353" ht="15.75" customHeight="1">
      <c r="A4353" s="4">
        <v>2487.0</v>
      </c>
      <c r="B4353" s="4" t="s">
        <v>1054</v>
      </c>
      <c r="C4353" s="4" t="s">
        <v>6460</v>
      </c>
      <c r="D4353" s="4" t="s">
        <v>6461</v>
      </c>
      <c r="E4353" s="4">
        <v>0.0</v>
      </c>
      <c r="F4353" s="4" t="str">
        <f>IFERROR(__xludf.DUMMYFUNCTION("GOOGLETRANSLATE(D4353)"),"猴子剛剛和我們的忍者撞到了頭。開始流淚了:(")</f>
        <v>猴子剛剛和我們的忍者撞到了頭。開始流淚了:(</v>
      </c>
      <c r="G4353" s="4" t="str">
        <f>IFERROR(__xludf.DUMMYFUNCTION("GOOGLETRANSLATE(B4353)"),"相撞")</f>
        <v>相撞</v>
      </c>
    </row>
    <row r="4354" ht="15.75" customHeight="1">
      <c r="A4354" s="4">
        <v>2490.0</v>
      </c>
      <c r="B4354" s="4" t="s">
        <v>1054</v>
      </c>
      <c r="C4354" s="4" t="s">
        <v>6462</v>
      </c>
      <c r="D4354" s="4" t="s">
        <v>6463</v>
      </c>
      <c r="E4354" s="4">
        <v>0.0</v>
      </c>
      <c r="F4354" s="4" t="str">
        <f>IFERROR(__xludf.DUMMYFUNCTION("GOOGLETRANSLATE(D4354)"),"當丹·休斯追球時，德羅布撞到了她。看起來他倒在椅子上時背部受傷了。希望他沒事！")</f>
        <v>當丹·休斯追球時，德羅布撞到了她。看起來他倒在椅子上時背部受傷了。希望他沒事！</v>
      </c>
      <c r="G4354" s="4" t="str">
        <f>IFERROR(__xludf.DUMMYFUNCTION("GOOGLETRANSLATE(B4354)"),"相撞")</f>
        <v>相撞</v>
      </c>
    </row>
    <row r="4355" ht="15.75" customHeight="1">
      <c r="A4355" s="4">
        <v>2492.0</v>
      </c>
      <c r="B4355" s="4" t="s">
        <v>1054</v>
      </c>
      <c r="D4355" s="4" t="s">
        <v>6464</v>
      </c>
      <c r="E4355" s="4">
        <v>0.0</v>
      </c>
      <c r="F4355" s="4" t="str">
        <f>IFERROR(__xludf.DUMMYFUNCTION("GOOGLETRANSLATE(D4355)"),"聖安東尼奧明星隊主教練丹休斯在一名後衛與...相撞後被送往更衣室...http://t.co/4dbhOnO3Rk")</f>
        <v>聖安東尼奧明星隊主教練丹休斯在一名後衛與...相撞後被送往更衣室...http://t.co/4dbhOnO3Rk</v>
      </c>
      <c r="G4355" s="4" t="str">
        <f>IFERROR(__xludf.DUMMYFUNCTION("GOOGLETRANSLATE(B4355)"),"相撞")</f>
        <v>相撞</v>
      </c>
    </row>
    <row r="4356" ht="15.75" customHeight="1">
      <c r="A4356" s="4">
        <v>2494.0</v>
      </c>
      <c r="B4356" s="4" t="s">
        <v>1054</v>
      </c>
      <c r="D4356" s="4" t="s">
        <v>6465</v>
      </c>
      <c r="E4356" s="4">
        <v>0.0</v>
      </c>
      <c r="F4356" s="4" t="str">
        <f>IFERROR(__xludf.DUMMYFUNCTION("GOOGLETRANSLATE(D4356)"),"它比看起來更糟：美國憲法制度如何與新政治衝突Û_ http://t.co/Gfa3SOw9zn")</f>
        <v>它比看起來更糟：美國憲法制度如何與新政治衝突Û_ http://t.co/Gfa3SOw9zn</v>
      </c>
      <c r="G4356" s="4" t="str">
        <f>IFERROR(__xludf.DUMMYFUNCTION("GOOGLETRANSLATE(B4356)"),"相撞")</f>
        <v>相撞</v>
      </c>
    </row>
    <row r="4357" ht="15.75" customHeight="1">
      <c r="A4357" s="4">
        <v>2496.0</v>
      </c>
      <c r="B4357" s="4" t="s">
        <v>1054</v>
      </c>
      <c r="C4357" s="4" t="s">
        <v>6466</v>
      </c>
      <c r="D4357" s="4" t="s">
        <v>6467</v>
      </c>
      <c r="E4357" s="4">
        <v>0.0</v>
      </c>
      <c r="F4357" s="4" t="str">
        <f>IFERROR(__xludf.DUMMYFUNCTION("GOOGLETRANSLATE(D4357)"),"天啊天啊天啊#JustinBieber 和 #HarryStyles 在 #Cern 的核事故中相撞 ^oo^
#HarryBeCareful http://t.co/p4huQUNDQi")</f>
        <v>天啊天啊天啊#JustinBieber 和 #HarryStyles 在 #Cern 的核事故中相撞 ^oo^
#HarryBeCareful http://t.co/p4huQUNDQi</v>
      </c>
      <c r="G4357" s="4" t="str">
        <f>IFERROR(__xludf.DUMMYFUNCTION("GOOGLETRANSLATE(B4357)"),"相撞")</f>
        <v>相撞</v>
      </c>
    </row>
    <row r="4358" ht="15.75" customHeight="1">
      <c r="A4358" s="4">
        <v>2513.0</v>
      </c>
      <c r="B4358" s="4" t="s">
        <v>1091</v>
      </c>
      <c r="C4358" s="4" t="s">
        <v>1118</v>
      </c>
      <c r="D4358" s="4" t="s">
        <v>6468</v>
      </c>
      <c r="E4358" s="4">
        <v>0.0</v>
      </c>
      <c r="F4358" s="4" t="str">
        <f>IFERROR(__xludf.DUMMYFUNCTION("GOOGLETRANSLATE(D4358)"),"聖塔菲斯普林斯 Studebaker 路 / 南街 **Trfc 碰撞 - 無 Inj** http://t.co/6uHih9pbrU")</f>
        <v>聖塔菲斯普林斯 Studebaker 路 / 南街 **Trfc 碰撞 - 無 Inj** http://t.co/6uHih9pbrU</v>
      </c>
      <c r="G4358" s="4" t="str">
        <f>IFERROR(__xludf.DUMMYFUNCTION("GOOGLETRANSLATE(B4358)"),"碰撞")</f>
        <v>碰撞</v>
      </c>
    </row>
    <row r="4359" ht="15.75" customHeight="1">
      <c r="A4359" s="4">
        <v>2514.0</v>
      </c>
      <c r="B4359" s="4" t="s">
        <v>1091</v>
      </c>
      <c r="C4359" s="4" t="s">
        <v>6469</v>
      </c>
      <c r="D4359" s="4" t="s">
        <v>6470</v>
      </c>
      <c r="E4359" s="4">
        <v>0.0</v>
      </c>
      <c r="F4359" s="4" t="str">
        <f>IFERROR(__xludf.DUMMYFUNCTION("GOOGLETRANSLATE(D4359)"),"後防撞- #technology #cool http://t.co/hK6nQrGedb")</f>
        <v>後防撞- #technology #cool http://t.co/hK6nQrGedb</v>
      </c>
      <c r="G4359" s="4" t="str">
        <f>IFERROR(__xludf.DUMMYFUNCTION("GOOGLETRANSLATE(B4359)"),"碰撞")</f>
        <v>碰撞</v>
      </c>
    </row>
    <row r="4360" ht="15.75" customHeight="1">
      <c r="A4360" s="4">
        <v>2520.0</v>
      </c>
      <c r="B4360" s="4" t="s">
        <v>1091</v>
      </c>
      <c r="C4360" s="4" t="s">
        <v>6471</v>
      </c>
      <c r="D4360" s="4" t="s">
        <v>6472</v>
      </c>
      <c r="E4360" s="4">
        <v>0.0</v>
      </c>
      <c r="F4360" s="4" t="str">
        <f>IFERROR(__xludf.DUMMYFUNCTION("GOOGLETRANSLATE(D4360)"),"立即申請為 Dilawri 工作，擔任 #Vancouver #jobs 的 #BODY #SHOP/COLLISION CENTER MANAGER http://t.co/Vg7jnaH0iW http://t.co/ksHsgWGhfJ")</f>
        <v>立即申請為 Dilawri 工作，擔任 #Vancouver #jobs 的 #BODY #SHOP/COLLISION CENTER MANAGER http://t.co/Vg7jnaH0iW http://t.co/ksHsgWGhfJ</v>
      </c>
      <c r="G4360" s="4" t="str">
        <f>IFERROR(__xludf.DUMMYFUNCTION("GOOGLETRANSLATE(B4360)"),"碰撞")</f>
        <v>碰撞</v>
      </c>
    </row>
    <row r="4361" ht="15.75" customHeight="1">
      <c r="A4361" s="4">
        <v>2521.0</v>
      </c>
      <c r="B4361" s="4" t="s">
        <v>1091</v>
      </c>
      <c r="C4361" s="4" t="s">
        <v>323</v>
      </c>
      <c r="D4361" s="4" t="s">
        <v>6473</v>
      </c>
      <c r="E4361" s="4">
        <v>0.0</v>
      </c>
      <c r="F4361" s="4" t="str">
        <f>IFERROR(__xludf.DUMMYFUNCTION("GOOGLETRANSLATE(D4361)"),"ThisIsFaz：後防碰撞 - #technology #cool http://t.co/KEfxTjTAKB 透過 Techesback #Tech")</f>
        <v>ThisIsFaz：後防碰撞 - #technology #cool http://t.co/KEfxTjTAKB 透過 Techesback #Tech</v>
      </c>
      <c r="G4361" s="4" t="str">
        <f>IFERROR(__xludf.DUMMYFUNCTION("GOOGLETRANSLATE(B4361)"),"碰撞")</f>
        <v>碰撞</v>
      </c>
    </row>
    <row r="4362" ht="15.75" customHeight="1">
      <c r="A4362" s="4">
        <v>2523.0</v>
      </c>
      <c r="B4362" s="4" t="s">
        <v>1091</v>
      </c>
      <c r="C4362" s="4" t="s">
        <v>6474</v>
      </c>
      <c r="D4362" s="4" t="s">
        <v>6475</v>
      </c>
      <c r="E4362" s="4">
        <v>0.0</v>
      </c>
      <c r="F4362" s="4" t="str">
        <f>IFERROR(__xludf.DUMMYFUNCTION("GOOGLETRANSLATE(D4362)"),"後防碰撞 - #technology #cool http://t.co/vpvJ5hRc1i 透過 Techesback #Tech")</f>
        <v>後防碰撞 - #technology #cool http://t.co/vpvJ5hRc1i 透過 Techesback #Tech</v>
      </c>
      <c r="G4362" s="4" t="str">
        <f>IFERROR(__xludf.DUMMYFUNCTION("GOOGLETRANSLATE(B4362)"),"碰撞")</f>
        <v>碰撞</v>
      </c>
    </row>
    <row r="4363" ht="15.75" customHeight="1">
      <c r="A4363" s="4">
        <v>2524.0</v>
      </c>
      <c r="B4363" s="4" t="s">
        <v>1091</v>
      </c>
      <c r="C4363" s="4" t="s">
        <v>6476</v>
      </c>
      <c r="D4363" s="4" t="s">
        <v>6477</v>
      </c>
      <c r="E4363" s="4">
        <v>0.0</v>
      </c>
      <c r="F4363" s="4" t="str">
        <f>IFERROR(__xludf.DUMMYFUNCTION("GOOGLETRANSLATE(D4363)"),"聖貝納迪諾 I10 W Eo / Redlands Blvd **Trfc 碰撞 - 無注入** http://t.co/FT9KIGmIgh")</f>
        <v>聖貝納迪諾 I10 W Eo / Redlands Blvd **Trfc 碰撞 - 無注入** http://t.co/FT9KIGmIgh</v>
      </c>
      <c r="G4363" s="4" t="str">
        <f>IFERROR(__xludf.DUMMYFUNCTION("GOOGLETRANSLATE(B4363)"),"碰撞")</f>
        <v>碰撞</v>
      </c>
    </row>
    <row r="4364" ht="15.75" customHeight="1">
      <c r="A4364" s="4">
        <v>2531.0</v>
      </c>
      <c r="B4364" s="4" t="s">
        <v>1091</v>
      </c>
      <c r="C4364" s="4" t="s">
        <v>6478</v>
      </c>
      <c r="D4364" s="4" t="s">
        <v>6479</v>
      </c>
      <c r="E4364" s="4">
        <v>0.0</v>
      </c>
      <c r="F4364" s="4" t="str">
        <f>IFERROR(__xludf.DUMMYFUNCTION("GOOGLETRANSLATE(D4364)"),"後防碰撞 - #innovation #gadgets http://t.co/SXQTydUvUL")</f>
        <v>後防碰撞 - #innovation #gadgets http://t.co/SXQTydUvUL</v>
      </c>
      <c r="G4364" s="4" t="str">
        <f>IFERROR(__xludf.DUMMYFUNCTION("GOOGLETRANSLATE(B4364)"),"碰撞")</f>
        <v>碰撞</v>
      </c>
    </row>
    <row r="4365" ht="15.75" customHeight="1">
      <c r="A4365" s="4">
        <v>2542.0</v>
      </c>
      <c r="B4365" s="4" t="s">
        <v>1091</v>
      </c>
      <c r="C4365" s="4" t="s">
        <v>6480</v>
      </c>
      <c r="D4365" s="4" t="s">
        <v>6481</v>
      </c>
      <c r="E4365" s="4">
        <v>0.0</v>
      </c>
      <c r="F4365" s="4" t="str">
        <f>IFERROR(__xludf.DUMMYFUNCTION("GOOGLETRANSLATE(D4365)"),"頭對頭碰撞我是一個問題，沒有人能解決長除法上的問題")</f>
        <v>頭對頭碰撞我是一個問題，沒有人能解決長除法上的問題</v>
      </c>
      <c r="G4365" s="4" t="str">
        <f>IFERROR(__xludf.DUMMYFUNCTION("GOOGLETRANSLATE(B4365)"),"碰撞")</f>
        <v>碰撞</v>
      </c>
    </row>
    <row r="4366" ht="15.75" customHeight="1">
      <c r="A4366" s="4">
        <v>2550.0</v>
      </c>
      <c r="B4366" s="4" t="s">
        <v>1091</v>
      </c>
      <c r="C4366" s="4" t="s">
        <v>6482</v>
      </c>
      <c r="D4366" s="4" t="s">
        <v>6483</v>
      </c>
      <c r="E4366" s="4">
        <v>0.0</v>
      </c>
      <c r="F4366" s="4" t="str">
        <f>IFERROR(__xludf.DUMMYFUNCTION("GOOGLETRANSLATE(D4366)"),"後防碰撞 - #gadget #technology http://t.co/Jtxji7YGrl")</f>
        <v>後防碰撞 - #gadget #technology http://t.co/Jtxji7YGrl</v>
      </c>
      <c r="G4366" s="4" t="str">
        <f>IFERROR(__xludf.DUMMYFUNCTION("GOOGLETRANSLATE(B4366)"),"碰撞")</f>
        <v>碰撞</v>
      </c>
    </row>
    <row r="4367" ht="15.75" customHeight="1">
      <c r="A4367" s="4">
        <v>2552.0</v>
      </c>
      <c r="B4367" s="4" t="s">
        <v>1091</v>
      </c>
      <c r="C4367" s="4" t="s">
        <v>6484</v>
      </c>
      <c r="D4367" s="4" t="s">
        <v>6485</v>
      </c>
      <c r="E4367" s="4">
        <v>0.0</v>
      </c>
      <c r="F4367" s="4" t="str">
        <f>IFERROR(__xludf.DUMMYFUNCTION("GOOGLETRANSLATE(D4367)"),"有時，在太空中，具有相互交織的獨立軌蹟的天體會發現自己處於舞蹈而不是碰撞。")</f>
        <v>有時，在太空中，具有相互交織的獨立軌蹟的天體會發現自己處於舞蹈而不是碰撞。</v>
      </c>
      <c r="G4367" s="4" t="str">
        <f>IFERROR(__xludf.DUMMYFUNCTION("GOOGLETRANSLATE(B4367)"),"碰撞")</f>
        <v>碰撞</v>
      </c>
    </row>
    <row r="4368" ht="15.75" customHeight="1">
      <c r="A4368" s="4">
        <v>2553.0</v>
      </c>
      <c r="B4368" s="4" t="s">
        <v>1137</v>
      </c>
      <c r="D4368" s="4" t="s">
        <v>6486</v>
      </c>
      <c r="E4368" s="4">
        <v>0.0</v>
      </c>
      <c r="F4368" s="4" t="str">
        <f>IFERROR(__xludf.DUMMYFUNCTION("GOOGLETRANSLATE(D4368)"),"下一次金融危機。牆上的文字。不要說你沒有受到警告 https://t.co/4PQCMQchnG via @grtvnews")</f>
        <v>下一次金融危機。牆上的文字。不要說你沒有受到警告 https://t.co/4PQCMQchnG via @grtvnews</v>
      </c>
      <c r="G4368" s="4" t="str">
        <f>IFERROR(__xludf.DUMMYFUNCTION("GOOGLETRANSLATE(B4368)"),"碰撞")</f>
        <v>碰撞</v>
      </c>
    </row>
    <row r="4369" ht="15.75" customHeight="1">
      <c r="A4369" s="4">
        <v>2554.0</v>
      </c>
      <c r="B4369" s="4" t="s">
        <v>1137</v>
      </c>
      <c r="D4369" s="4" t="s">
        <v>6487</v>
      </c>
      <c r="E4369" s="4">
        <v>0.0</v>
      </c>
      <c r="F4369" s="4" t="str">
        <f>IFERROR(__xludf.DUMMYFUNCTION("GOOGLETRANSLATE(D4369)"),"我確實感受到托馬斯瑞德的《崩潰與燃燒》")</f>
        <v>我確實感受到托馬斯瑞德的《崩潰與燃燒》</v>
      </c>
      <c r="G4369" s="4" t="str">
        <f>IFERROR(__xludf.DUMMYFUNCTION("GOOGLETRANSLATE(B4369)"),"碰撞")</f>
        <v>碰撞</v>
      </c>
    </row>
    <row r="4370" ht="15.75" customHeight="1">
      <c r="A4370" s="4">
        <v>2555.0</v>
      </c>
      <c r="B4370" s="4" t="s">
        <v>1137</v>
      </c>
      <c r="D4370" s="4" t="s">
        <v>6488</v>
      </c>
      <c r="E4370" s="4">
        <v>0.0</v>
      </c>
      <c r="F4370" s="4" t="str">
        <f>IFERROR(__xludf.DUMMYFUNCTION("GOOGLETRANSLATE(D4370)"),"MotoGP 印第安納波利斯：Espargaro：佈局“讓我有點擔心” - http://t.co/RNy4l3sr7a http://t.co/igX8XFz8Ko")</f>
        <v>MotoGP 印第安納波利斯：Espargaro：佈局“讓我有點擔心” - http://t.co/RNy4l3sr7a http://t.co/igX8XFz8Ko</v>
      </c>
      <c r="G4370" s="4" t="str">
        <f>IFERROR(__xludf.DUMMYFUNCTION("GOOGLETRANSLATE(B4370)"),"碰撞")</f>
        <v>碰撞</v>
      </c>
    </row>
    <row r="4371" ht="15.75" customHeight="1">
      <c r="A4371" s="4">
        <v>2556.0</v>
      </c>
      <c r="B4371" s="4" t="s">
        <v>1137</v>
      </c>
      <c r="C4371" s="4" t="s">
        <v>1276</v>
      </c>
      <c r="D4371" s="4" t="s">
        <v>6489</v>
      </c>
      <c r="E4371" s="4">
        <v>0.0</v>
      </c>
      <c r="F4371" s="4" t="str">
        <f>IFERROR(__xludf.DUMMYFUNCTION("GOOGLETRANSLATE(D4371)"),"剛剛又買了一個 @meinlcymbals 18' 中度崩潰！！嘿@meinlcymbals 認可怎麼樣？開始變貴了！")</f>
        <v>剛剛又買了一個 @meinlcymbals 18' 中度崩潰！！嘿@meinlcymbals 認可怎麼樣？開始變貴了！</v>
      </c>
      <c r="G4371" s="4" t="str">
        <f>IFERROR(__xludf.DUMMYFUNCTION("GOOGLETRANSLATE(B4371)"),"碰撞")</f>
        <v>碰撞</v>
      </c>
    </row>
    <row r="4372" ht="15.75" customHeight="1">
      <c r="A4372" s="4">
        <v>2559.0</v>
      </c>
      <c r="B4372" s="4" t="s">
        <v>1137</v>
      </c>
      <c r="D4372" s="4" t="s">
        <v>6490</v>
      </c>
      <c r="E4372" s="4">
        <v>0.0</v>
      </c>
      <c r="F4372" s="4" t="str">
        <f>IFERROR(__xludf.DUMMYFUNCTION("GOOGLETRANSLATE(D4372)"),"「一聲關上的門和一個教訓……我讓另一個情人崩潰並燃燒」？")</f>
        <v>「一聲關上的門和一個教訓……我讓另一個情人崩潰並燃燒」？</v>
      </c>
      <c r="G4372" s="4" t="str">
        <f>IFERROR(__xludf.DUMMYFUNCTION("GOOGLETRANSLATE(B4372)"),"碰撞")</f>
        <v>碰撞</v>
      </c>
    </row>
    <row r="4373" ht="15.75" customHeight="1">
      <c r="A4373" s="4">
        <v>2560.0</v>
      </c>
      <c r="B4373" s="4" t="s">
        <v>1137</v>
      </c>
      <c r="D4373" s="4" t="s">
        <v>6491</v>
      </c>
      <c r="E4373" s="4">
        <v>0.0</v>
      </c>
      <c r="F4373" s="4" t="str">
        <f>IFERROR(__xludf.DUMMYFUNCTION("GOOGLETRANSLATE(D4373)"),"@SterlingKnight 誰出了車禍sterling！車裡開的是誰Mel 還是 JoeySterling Knight？？？？？？")</f>
        <v>@SterlingKnight 誰出了車禍sterling！車裡開的是誰Mel 還是 JoeySterling Knight？？？？？？</v>
      </c>
      <c r="G4373" s="4" t="str">
        <f>IFERROR(__xludf.DUMMYFUNCTION("GOOGLETRANSLATE(B4373)"),"碰撞")</f>
        <v>碰撞</v>
      </c>
    </row>
    <row r="4374" ht="15.75" customHeight="1">
      <c r="A4374" s="4">
        <v>2561.0</v>
      </c>
      <c r="B4374" s="4" t="s">
        <v>1137</v>
      </c>
      <c r="C4374" s="4" t="s">
        <v>6492</v>
      </c>
      <c r="D4374" s="4" t="s">
        <v>6493</v>
      </c>
      <c r="E4374" s="4">
        <v>0.0</v>
      </c>
      <c r="F4374" s="4" t="str">
        <f>IFERROR(__xludf.DUMMYFUNCTION("GOOGLETRANSLATE(D4374)"),"@daewony0406 好吧，現在我要崩潰了，我太累了")</f>
        <v>@daewony0406 好吧，現在我要崩潰了，我太累了</v>
      </c>
      <c r="G4374" s="4" t="str">
        <f>IFERROR(__xludf.DUMMYFUNCTION("GOOGLETRANSLATE(B4374)"),"碰撞")</f>
        <v>碰撞</v>
      </c>
    </row>
    <row r="4375" ht="15.75" customHeight="1">
      <c r="A4375" s="4">
        <v>2568.0</v>
      </c>
      <c r="B4375" s="4" t="s">
        <v>1137</v>
      </c>
      <c r="C4375" s="4" t="s">
        <v>2623</v>
      </c>
      <c r="D4375" s="4" t="s">
        <v>6494</v>
      </c>
      <c r="E4375" s="4">
        <v>0.0</v>
      </c>
      <c r="F4375" s="4" t="str">
        <f>IFERROR(__xludf.DUMMYFUNCTION("GOOGLETRANSLATE(D4375)"),"下一次金融危機。 「不祥之兆」。不要說「沒有警告你」http://t.co/H7lDx29aba")</f>
        <v>下一次金融危機。 「不祥之兆」。不要說「沒有警告你」http://t.co/H7lDx29aba</v>
      </c>
      <c r="G4375" s="4" t="str">
        <f>IFERROR(__xludf.DUMMYFUNCTION("GOOGLETRANSLATE(B4375)"),"碰撞")</f>
        <v>碰撞</v>
      </c>
    </row>
    <row r="4376" ht="15.75" customHeight="1">
      <c r="A4376" s="4">
        <v>2569.0</v>
      </c>
      <c r="B4376" s="4" t="s">
        <v>1137</v>
      </c>
      <c r="C4376" s="4" t="s">
        <v>2952</v>
      </c>
      <c r="D4376" s="4" t="s">
        <v>6495</v>
      </c>
      <c r="E4376" s="4">
        <v>0.0</v>
      </c>
      <c r="F4376" s="4" t="str">
        <f>IFERROR(__xludf.DUMMYFUNCTION("GOOGLETRANSLATE(D4376)"),"我是男生@Crash_______ https://t.co/f5Ylp7pfN7")</f>
        <v>我是男生@Crash_______ https://t.co/f5Ylp7pfN7</v>
      </c>
      <c r="G4376" s="4" t="str">
        <f>IFERROR(__xludf.DUMMYFUNCTION("GOOGLETRANSLATE(B4376)"),"碰撞")</f>
        <v>碰撞</v>
      </c>
    </row>
    <row r="4377" ht="15.75" customHeight="1">
      <c r="A4377" s="4">
        <v>2572.0</v>
      </c>
      <c r="B4377" s="4" t="s">
        <v>1137</v>
      </c>
      <c r="D4377" s="4" t="s">
        <v>6496</v>
      </c>
      <c r="E4377" s="4">
        <v>0.0</v>
      </c>
      <c r="F4377" s="4" t="str">
        <f>IFERROR(__xludf.DUMMYFUNCTION("GOOGLETRANSLATE(D4377)"),"我讓另一個愛崩潰並燃燒")</f>
        <v>我讓另一個愛崩潰並燃燒</v>
      </c>
      <c r="G4377" s="4" t="str">
        <f>IFERROR(__xludf.DUMMYFUNCTION("GOOGLETRANSLATE(B4377)"),"碰撞")</f>
        <v>碰撞</v>
      </c>
    </row>
    <row r="4378" ht="15.75" customHeight="1">
      <c r="A4378" s="4">
        <v>2573.0</v>
      </c>
      <c r="B4378" s="4" t="s">
        <v>1137</v>
      </c>
      <c r="C4378" s="4" t="s">
        <v>6497</v>
      </c>
      <c r="D4378" s="4" t="s">
        <v>6498</v>
      </c>
      <c r="E4378" s="4">
        <v>0.0</v>
      </c>
      <c r="F4378" s="4" t="str">
        <f>IFERROR(__xludf.DUMMYFUNCTION("GOOGLETRANSLATE(D4378)"),"如果你在 Snapchat 上對你的粉絲咆哮，而你有大約 8000 名粉絲，我希望你在火車相撞事故中 xoxo")</f>
        <v>如果你在 Snapchat 上對你的粉絲咆哮，而你有大約 8000 名粉絲，我希望你在火車相撞事故中 xoxo</v>
      </c>
      <c r="G4378" s="4" t="str">
        <f>IFERROR(__xludf.DUMMYFUNCTION("GOOGLETRANSLATE(B4378)"),"碰撞")</f>
        <v>碰撞</v>
      </c>
    </row>
    <row r="4379" ht="15.75" customHeight="1">
      <c r="A4379" s="4">
        <v>2576.0</v>
      </c>
      <c r="B4379" s="4" t="s">
        <v>1137</v>
      </c>
      <c r="D4379" s="4" t="s">
        <v>6499</v>
      </c>
      <c r="E4379" s="4">
        <v>0.0</v>
      </c>
      <c r="F4379" s="4" t="str">
        <f>IFERROR(__xludf.DUMMYFUNCTION("GOOGLETRANSLATE(D4379)"),"cPanel 速成課程 http://t.co/bIRKbje23e #course http://t.co/buZWJmW49e")</f>
        <v>cPanel 速成課程 http://t.co/bIRKbje23e #course http://t.co/buZWJmW49e</v>
      </c>
      <c r="G4379" s="4" t="str">
        <f>IFERROR(__xludf.DUMMYFUNCTION("GOOGLETRANSLATE(B4379)"),"碰撞")</f>
        <v>碰撞</v>
      </c>
    </row>
    <row r="4380" ht="15.75" customHeight="1">
      <c r="A4380" s="4">
        <v>2579.0</v>
      </c>
      <c r="B4380" s="4" t="s">
        <v>1137</v>
      </c>
      <c r="C4380" s="4" t="s">
        <v>6500</v>
      </c>
      <c r="D4380" s="4" t="s">
        <v>6501</v>
      </c>
      <c r="E4380" s="4">
        <v>0.0</v>
      </c>
      <c r="F4380" s="4" t="str">
        <f>IFERROR(__xludf.DUMMYFUNCTION("GOOGLETRANSLATE(D4380)"),"@DestinyTheGame @Bungie @PlayStation 被那次崩潰踢出是我玩電子遊戲以來最糟糕的經歷之一。")</f>
        <v>@DestinyTheGame @Bungie @PlayStation 被那次崩潰踢出是我玩電子遊戲以來最糟糕的經歷之一。</v>
      </c>
      <c r="G4380" s="4" t="str">
        <f>IFERROR(__xludf.DUMMYFUNCTION("GOOGLETRANSLATE(B4380)"),"碰撞")</f>
        <v>碰撞</v>
      </c>
    </row>
    <row r="4381" ht="15.75" customHeight="1">
      <c r="A4381" s="4">
        <v>2585.0</v>
      </c>
      <c r="B4381" s="4" t="s">
        <v>1137</v>
      </c>
      <c r="C4381" s="4" t="s">
        <v>6502</v>
      </c>
      <c r="D4381" s="4" t="s">
        <v>6503</v>
      </c>
      <c r="E4381" s="4">
        <v>0.0</v>
      </c>
      <c r="F4381" s="4" t="str">
        <f>IFERROR(__xludf.DUMMYFUNCTION("GOOGLETRANSLATE(D4381)"),"請保留喬許·薩利爾斯/布萊爾/霍爾家族和為珍娜的朋友祈禱。她很快就被帶走了。安息吧 http://t.co/bDN2FDPdAz")</f>
        <v>請保留喬許·薩利爾斯/布萊爾/霍爾家族和為珍娜的朋友祈禱。她很快就被帶走了。安息吧 http://t.co/bDN2FDPdAz</v>
      </c>
      <c r="G4381" s="4" t="str">
        <f>IFERROR(__xludf.DUMMYFUNCTION("GOOGLETRANSLATE(B4381)"),"碰撞")</f>
        <v>碰撞</v>
      </c>
    </row>
    <row r="4382" ht="15.75" customHeight="1">
      <c r="A4382" s="4">
        <v>2587.0</v>
      </c>
      <c r="B4382" s="4" t="s">
        <v>1137</v>
      </c>
      <c r="D4382" s="4" t="s">
        <v>6504</v>
      </c>
      <c r="E4382" s="4">
        <v>0.0</v>
      </c>
      <c r="F4382" s="4" t="str">
        <f>IFERROR(__xludf.DUMMYFUNCTION("GOOGLETRANSLATE(D4382)"),"??有一天晚上，我們會來參加聚會
沒有被邀請，但我們感覺如此Û_ https://t.co/9hKXxBB82O")</f>
        <v>??有一天晚上，我們會來參加聚會
沒有被邀請，但我們感覺如此Û_ https://t.co/9hKXxBB82O</v>
      </c>
      <c r="G4382" s="4" t="str">
        <f>IFERROR(__xludf.DUMMYFUNCTION("GOOGLETRANSLATE(B4382)"),"碰撞")</f>
        <v>碰撞</v>
      </c>
    </row>
    <row r="4383" ht="15.75" customHeight="1">
      <c r="A4383" s="4">
        <v>2590.0</v>
      </c>
      <c r="B4383" s="4" t="s">
        <v>1137</v>
      </c>
      <c r="D4383" s="4" t="s">
        <v>6505</v>
      </c>
      <c r="E4383" s="4">
        <v>0.0</v>
      </c>
      <c r="F4383" s="4" t="str">
        <f>IFERROR(__xludf.DUMMYFUNCTION("GOOGLETRANSLATE(D4383)"),"Photoshop 工具速成課程 - 完整的 Photoshop 工具指南 http://t.co/DunMvj7ITl #course http://t.co/RgdrJv63hF")</f>
        <v>Photoshop 工具速成課程 - 完整的 Photoshop 工具指南 http://t.co/DunMvj7ITl #course http://t.co/RgdrJv63hF</v>
      </c>
      <c r="G4383" s="4" t="str">
        <f>IFERROR(__xludf.DUMMYFUNCTION("GOOGLETRANSLATE(B4383)"),"碰撞")</f>
        <v>碰撞</v>
      </c>
    </row>
    <row r="4384" ht="15.75" customHeight="1">
      <c r="A4384" s="4">
        <v>2591.0</v>
      </c>
      <c r="B4384" s="4" t="s">
        <v>1137</v>
      </c>
      <c r="D4384" s="4" t="s">
        <v>6506</v>
      </c>
      <c r="E4384" s="4">
        <v>0.0</v>
      </c>
      <c r="F4384" s="4" t="str">
        <f>IFERROR(__xludf.DUMMYFUNCTION("GOOGLETRANSLATE(D4384)"),"Photoshop CS6 速成課程 http://t.co/cVGJFPBtrn #course http://t.co/UgYeGkFs4x")</f>
        <v>Photoshop CS6 速成課程 http://t.co/cVGJFPBtrn #course http://t.co/UgYeGkFs4x</v>
      </c>
      <c r="G4384" s="4" t="str">
        <f>IFERROR(__xludf.DUMMYFUNCTION("GOOGLETRANSLATE(B4384)"),"碰撞")</f>
        <v>碰撞</v>
      </c>
    </row>
    <row r="4385" ht="15.75" customHeight="1">
      <c r="A4385" s="4">
        <v>2592.0</v>
      </c>
      <c r="B4385" s="4" t="s">
        <v>1137</v>
      </c>
      <c r="D4385" s="4" t="s">
        <v>6507</v>
      </c>
      <c r="E4385" s="4">
        <v>0.0</v>
      </c>
      <c r="F4385" s="4" t="str">
        <f>IFERROR(__xludf.DUMMYFUNCTION("GOOGLETRANSLATE(D4385)"),"動力學排版速成課程（After Effects）（影片）http://t.co/fL8gCi84Aj #course http://t.co/dVONWIv3l1")</f>
        <v>動力學排版速成課程（After Effects）（影片）http://t.co/fL8gCi84Aj #course http://t.co/dVONWIv3l1</v>
      </c>
      <c r="G4385" s="4" t="str">
        <f>IFERROR(__xludf.DUMMYFUNCTION("GOOGLETRANSLATE(B4385)"),"碰撞")</f>
        <v>碰撞</v>
      </c>
    </row>
    <row r="4386" ht="15.75" customHeight="1">
      <c r="A4386" s="4">
        <v>2594.0</v>
      </c>
      <c r="B4386" s="4" t="s">
        <v>1137</v>
      </c>
      <c r="D4386" s="4" t="s">
        <v>6508</v>
      </c>
      <c r="E4386" s="4">
        <v>0.0</v>
      </c>
      <c r="F4386" s="4" t="str">
        <f>IFERROR(__xludf.DUMMYFUNCTION("GOOGLETRANSLATE(D4386)"),"我發現我們很容易搞砸並崩潰？？？")</f>
        <v>我發現我們很容易搞砸並崩潰？？？</v>
      </c>
      <c r="G4386" s="4" t="str">
        <f>IFERROR(__xludf.DUMMYFUNCTION("GOOGLETRANSLATE(B4386)"),"碰撞")</f>
        <v>碰撞</v>
      </c>
    </row>
    <row r="4387" ht="15.75" customHeight="1">
      <c r="A4387" s="4">
        <v>2599.0</v>
      </c>
      <c r="B4387" s="4" t="s">
        <v>1137</v>
      </c>
      <c r="D4387" s="4" t="s">
        <v>6509</v>
      </c>
      <c r="E4387" s="4">
        <v>0.0</v>
      </c>
      <c r="F4387" s="4" t="str">
        <f>IFERROR(__xludf.DUMMYFUNCTION("GOOGLETRANSLATE(D4387)"),"防撞頭盔銀色地板 karnal 脂肪射擊採樣 33：PBCaNPCx")</f>
        <v>防撞頭盔銀色地板 karnal 脂肪射擊採樣 33：PBCaNPCx</v>
      </c>
      <c r="G4387" s="4" t="str">
        <f>IFERROR(__xludf.DUMMYFUNCTION("GOOGLETRANSLATE(B4387)"),"碰撞")</f>
        <v>碰撞</v>
      </c>
    </row>
    <row r="4388" ht="15.75" customHeight="1">
      <c r="A4388" s="4">
        <v>2602.0</v>
      </c>
      <c r="B4388" s="4" t="s">
        <v>1137</v>
      </c>
      <c r="C4388" s="4" t="s">
        <v>351</v>
      </c>
      <c r="D4388" s="4" t="s">
        <v>6510</v>
      </c>
      <c r="E4388" s="4">
        <v>0.0</v>
      </c>
      <c r="F4388" s="4" t="str">
        <f>IFERROR(__xludf.DUMMYFUNCTION("GOOGLETRANSLATE(D4388)"),"《碰撞測試》預告片：保羅·謝爾和保羅·謝爾Rob Huebel 的喜劇特別錄製於 ... http://t.co/flSa8mlDSn")</f>
        <v>《碰撞測試》預告片：保羅·謝爾和保羅·謝爾Rob Huebel 的喜劇特別錄製於 ... http://t.co/flSa8mlDSn</v>
      </c>
      <c r="G4388" s="4" t="str">
        <f>IFERROR(__xludf.DUMMYFUNCTION("GOOGLETRANSLATE(B4388)"),"碰撞")</f>
        <v>碰撞</v>
      </c>
    </row>
    <row r="4389" ht="15.75" customHeight="1">
      <c r="A4389" s="4">
        <v>2603.0</v>
      </c>
      <c r="B4389" s="4" t="s">
        <v>1157</v>
      </c>
      <c r="C4389" s="4" t="s">
        <v>6511</v>
      </c>
      <c r="D4389" s="4" t="s">
        <v>6512</v>
      </c>
      <c r="E4389" s="4">
        <v>0.0</v>
      </c>
      <c r="F4389" s="4" t="str">
        <f>IFERROR(__xludf.DUMMYFUNCTION("GOOGLETRANSLATE(D4389)"),"@spicybreads @coxytown 我嘗試下載它，但在教程結束後它崩潰了")</f>
        <v>@spicybreads @coxytown 我嘗試下載它，但在教程結束後它崩潰了</v>
      </c>
      <c r="G4389" s="4" t="str">
        <f>IFERROR(__xludf.DUMMYFUNCTION("GOOGLETRANSLATE(B4389)"),"墜毀")</f>
        <v>墜毀</v>
      </c>
    </row>
    <row r="4390" ht="15.75" customHeight="1">
      <c r="A4390" s="4">
        <v>2606.0</v>
      </c>
      <c r="B4390" s="4" t="s">
        <v>1157</v>
      </c>
      <c r="D4390" s="4" t="s">
        <v>6513</v>
      </c>
      <c r="E4390" s="4">
        <v>0.0</v>
      </c>
      <c r="F4390" s="4" t="str">
        <f>IFERROR(__xludf.DUMMYFUNCTION("GOOGLETRANSLATE(D4390)"),"我兒子一晚沒睡！ ??所以最後凌晨 4 點我把他放在我床上，他就摔倒了？？？")</f>
        <v>我兒子一晚沒睡！ ??所以最後凌晨 4 點我把他放在我床上，他就摔倒了？？？</v>
      </c>
      <c r="G4390" s="4" t="str">
        <f>IFERROR(__xludf.DUMMYFUNCTION("GOOGLETRANSLATE(B4390)"),"墜毀")</f>
        <v>墜毀</v>
      </c>
    </row>
    <row r="4391" ht="15.75" customHeight="1">
      <c r="A4391" s="4">
        <v>2616.0</v>
      </c>
      <c r="B4391" s="4" t="s">
        <v>1157</v>
      </c>
      <c r="C4391" s="4" t="s">
        <v>6514</v>
      </c>
      <c r="D4391" s="4" t="s">
        <v>6515</v>
      </c>
      <c r="E4391" s="4">
        <v>0.0</v>
      </c>
      <c r="F4391" s="4" t="str">
        <f>IFERROR(__xludf.DUMMYFUNCTION("GOOGLETRANSLATE(D4391)"),"@_rosewell 在過去的幾個小時裡它已經崩潰了很多次")</f>
        <v>@_rosewell 在過去的幾個小時裡它已經崩潰了很多次</v>
      </c>
      <c r="G4391" s="4" t="str">
        <f>IFERROR(__xludf.DUMMYFUNCTION("GOOGLETRANSLATE(B4391)"),"墜毀")</f>
        <v>墜毀</v>
      </c>
    </row>
    <row r="4392" ht="15.75" customHeight="1">
      <c r="A4392" s="4">
        <v>2621.0</v>
      </c>
      <c r="B4392" s="4" t="s">
        <v>1157</v>
      </c>
      <c r="C4392" s="4" t="s">
        <v>6516</v>
      </c>
      <c r="D4392" s="4" t="s">
        <v>6517</v>
      </c>
      <c r="E4392" s="4">
        <v>0.0</v>
      </c>
      <c r="F4392" s="4" t="str">
        <f>IFERROR(__xludf.DUMMYFUNCTION("GOOGLETRANSLATE(D4392)"),"@johndcgow 幾天前在開車時聽到這個消息，差點把車撞壞了")</f>
        <v>@johndcgow 幾天前在開車時聽到這個消息，差點把車撞壞了</v>
      </c>
      <c r="G4392" s="4" t="str">
        <f>IFERROR(__xludf.DUMMYFUNCTION("GOOGLETRANSLATE(B4392)"),"墜毀")</f>
        <v>墜毀</v>
      </c>
    </row>
    <row r="4393" ht="15.75" customHeight="1">
      <c r="A4393" s="4">
        <v>2622.0</v>
      </c>
      <c r="B4393" s="4" t="s">
        <v>1157</v>
      </c>
      <c r="C4393" s="4" t="s">
        <v>6518</v>
      </c>
      <c r="D4393" s="4" t="s">
        <v>6519</v>
      </c>
      <c r="E4393" s="4">
        <v>0.0</v>
      </c>
      <c r="F4393" s="4" t="str">
        <f>IFERROR(__xludf.DUMMYFUNCTION("GOOGLETRANSLATE(D4393)"),"@olliebailey11 你沒摔過嗎？ ??")</f>
        <v>@olliebailey11 你沒摔過嗎？ ??</v>
      </c>
      <c r="G4393" s="4" t="str">
        <f>IFERROR(__xludf.DUMMYFUNCTION("GOOGLETRANSLATE(B4393)"),"墜毀")</f>
        <v>墜毀</v>
      </c>
    </row>
    <row r="4394" ht="15.75" customHeight="1">
      <c r="A4394" s="4">
        <v>2624.0</v>
      </c>
      <c r="B4394" s="4" t="s">
        <v>1157</v>
      </c>
      <c r="D4394" s="4" t="s">
        <v>6520</v>
      </c>
      <c r="E4394" s="4">
        <v>0.0</v>
      </c>
      <c r="F4394" s="4" t="str">
        <f>IFERROR(__xludf.DUMMYFUNCTION("GOOGLETRANSLATE(D4394)"),"誰能告訴我這裡已經崩潰了或只是花了很長時間#Windows10 請！ http://t.co/3FZIDHQrK3")</f>
        <v>誰能告訴我這裡已經崩潰了或只是花了很長時間#Windows10 請！ http://t.co/3FZIDHQrK3</v>
      </c>
      <c r="G4394" s="4" t="str">
        <f>IFERROR(__xludf.DUMMYFUNCTION("GOOGLETRANSLATE(B4394)"),"墜毀")</f>
        <v>墜毀</v>
      </c>
    </row>
    <row r="4395" ht="15.75" customHeight="1">
      <c r="A4395" s="4">
        <v>2635.0</v>
      </c>
      <c r="B4395" s="4" t="s">
        <v>1157</v>
      </c>
      <c r="C4395" s="4" t="s">
        <v>6521</v>
      </c>
      <c r="D4395" s="4" t="s">
        <v>6522</v>
      </c>
      <c r="E4395" s="4">
        <v>0.0</v>
      </c>
      <c r="F4395" s="4" t="str">
        <f>IFERROR(__xludf.DUMMYFUNCTION("GOOGLETRANSLATE(D4395)"),"小偷打破希克斯維爾商店前窗偷走了 50 支手機；逃亡撞入... http://t.co/6odNBttPSq")</f>
        <v>小偷打破希克斯維爾商店前窗偷走了 50 支手機；逃亡撞入... http://t.co/6odNBttPSq</v>
      </c>
      <c r="G4395" s="4" t="str">
        <f>IFERROR(__xludf.DUMMYFUNCTION("GOOGLETRANSLATE(B4395)"),"墜毀")</f>
        <v>墜毀</v>
      </c>
    </row>
    <row r="4396" ht="15.75" customHeight="1">
      <c r="A4396" s="4">
        <v>2640.0</v>
      </c>
      <c r="B4396" s="4" t="s">
        <v>1157</v>
      </c>
      <c r="C4396" s="4" t="s">
        <v>6523</v>
      </c>
      <c r="D4396" s="4" t="s">
        <v>6524</v>
      </c>
      <c r="E4396" s="4">
        <v>0.0</v>
      </c>
      <c r="F4396" s="4" t="str">
        <f>IFERROR(__xludf.DUMMYFUNCTION("GOOGLETRANSLATE(D4396)"),"@SmusX16475 Skype 剛剛讓你的主機崩潰了")</f>
        <v>@SmusX16475 Skype 剛剛讓你的主機崩潰了</v>
      </c>
      <c r="G4396" s="4" t="str">
        <f>IFERROR(__xludf.DUMMYFUNCTION("GOOGLETRANSLATE(B4396)"),"墜毀")</f>
        <v>墜毀</v>
      </c>
    </row>
    <row r="4397" ht="15.75" customHeight="1">
      <c r="A4397" s="4">
        <v>2641.0</v>
      </c>
      <c r="B4397" s="4" t="s">
        <v>1157</v>
      </c>
      <c r="D4397" s="4" t="s">
        <v>6525</v>
      </c>
      <c r="E4397" s="4">
        <v>0.0</v>
      </c>
      <c r="F4397" s="4" t="str">
        <f>IFERROR(__xludf.DUMMYFUNCTION("GOOGLETRANSLATE(D4397)"),"我的手機已經更新到 8.4，不知何故我的手機崩潰了，我必須恢復它，但他們不讓我恢復它")</f>
        <v>我的手機已經更新到 8.4，不知何故我的手機崩潰了，我必須恢復它，但他們不讓我恢復它</v>
      </c>
      <c r="G4397" s="4" t="str">
        <f>IFERROR(__xludf.DUMMYFUNCTION("GOOGLETRANSLATE(B4397)"),"墜毀")</f>
        <v>墜毀</v>
      </c>
    </row>
    <row r="4398" ht="15.75" customHeight="1">
      <c r="A4398" s="4">
        <v>2642.0</v>
      </c>
      <c r="B4398" s="4" t="s">
        <v>1157</v>
      </c>
      <c r="C4398" s="4" t="s">
        <v>6526</v>
      </c>
      <c r="D4398" s="4" t="s">
        <v>6527</v>
      </c>
      <c r="E4398" s="4">
        <v>0.0</v>
      </c>
      <c r="F4398" s="4" t="str">
        <f>IFERROR(__xludf.DUMMYFUNCTION("GOOGLETRANSLATE(D4398)"),"他只比我快 0.4 秒，我兩次超越他（然後墜毀） tru luv &lt;3 &lt;3")</f>
        <v>他只比我快 0.4 秒，我兩次超越他（然後墜毀） tru luv &lt;3 &lt;3</v>
      </c>
      <c r="G4398" s="4" t="str">
        <f>IFERROR(__xludf.DUMMYFUNCTION("GOOGLETRANSLATE(B4398)"),"墜毀")</f>
        <v>墜毀</v>
      </c>
    </row>
    <row r="4399" ht="15.75" customHeight="1">
      <c r="A4399" s="4">
        <v>2643.0</v>
      </c>
      <c r="B4399" s="4" t="s">
        <v>1157</v>
      </c>
      <c r="C4399" s="4" t="s">
        <v>6528</v>
      </c>
      <c r="D4399" s="4" t="s">
        <v>6529</v>
      </c>
      <c r="E4399" s="4">
        <v>0.0</v>
      </c>
      <c r="F4399" s="4" t="str">
        <f>IFERROR(__xludf.DUMMYFUNCTION("GOOGLETRANSLATE(D4399)"),"我剛剛在手機上寫下“保羅路德被飛蟻攻擊”，差點撞壞了我的車。")</f>
        <v>我剛剛在手機上寫下“保羅路德被飛蟻攻擊”，差點撞壞了我的車。</v>
      </c>
      <c r="G4399" s="4" t="str">
        <f>IFERROR(__xludf.DUMMYFUNCTION("GOOGLETRANSLATE(B4399)"),"墜毀")</f>
        <v>墜毀</v>
      </c>
    </row>
    <row r="4400" ht="15.75" customHeight="1">
      <c r="A4400" s="4">
        <v>2644.0</v>
      </c>
      <c r="B4400" s="4" t="s">
        <v>1157</v>
      </c>
      <c r="C4400" s="4" t="s">
        <v>6530</v>
      </c>
      <c r="D4400" s="4" t="s">
        <v>6531</v>
      </c>
      <c r="E4400" s="4">
        <v>0.0</v>
      </c>
      <c r="F4400" s="4" t="str">
        <f>IFERROR(__xludf.DUMMYFUNCTION("GOOGLETRANSLATE(D4400)"),"老實說是惡夢。上帝開車去新的地方總是像狗屎一樣充滿壓力。我非常討厭它。啊。好幾次都差點崩潰")</f>
        <v>老實說是惡夢。上帝開車去新的地方總是像狗屎一樣充滿壓力。我非常討厭它。啊。好幾次都差點崩潰</v>
      </c>
      <c r="G4400" s="4" t="str">
        <f>IFERROR(__xludf.DUMMYFUNCTION("GOOGLETRANSLATE(B4400)"),"墜毀")</f>
        <v>墜毀</v>
      </c>
    </row>
    <row r="4401" ht="15.75" customHeight="1">
      <c r="A4401" s="4">
        <v>2645.0</v>
      </c>
      <c r="B4401" s="4" t="s">
        <v>1157</v>
      </c>
      <c r="D4401" s="4" t="s">
        <v>6532</v>
      </c>
      <c r="E4401" s="4">
        <v>0.0</v>
      </c>
      <c r="F4401" s="4" t="str">
        <f>IFERROR(__xludf.DUMMYFUNCTION("GOOGLETRANSLATE(D4401)"),"前幾天我的車撞上了一輛停著的車...#modestmouseremix #truestory")</f>
        <v>前幾天我的車撞上了一輛停著的車...#modestmouseremix #truestory</v>
      </c>
      <c r="G4401" s="4" t="str">
        <f>IFERROR(__xludf.DUMMYFUNCTION("GOOGLETRANSLATE(B4401)"),"墜毀")</f>
        <v>墜毀</v>
      </c>
    </row>
    <row r="4402" ht="15.75" customHeight="1">
      <c r="A4402" s="4">
        <v>2655.0</v>
      </c>
      <c r="B4402" s="4" t="s">
        <v>1189</v>
      </c>
      <c r="C4402" s="4" t="s">
        <v>6533</v>
      </c>
      <c r="D4402" s="4" t="s">
        <v>6534</v>
      </c>
      <c r="E4402" s="4">
        <v>0.0</v>
      </c>
      <c r="F4402" s="4" t="str">
        <f>IFERROR(__xludf.DUMMYFUNCTION("GOOGLETRANSLATE(D4402)"),"@kuualohax 更像是你愛你的丈夫，但你為你的男人暗戀星期一發布了另一個男人，哈哈")</f>
        <v>@kuualohax 更像是你愛你的丈夫，但你為你的男人暗戀星期一發布了另一個男人，哈哈</v>
      </c>
      <c r="G4402" s="4" t="str">
        <f>IFERROR(__xludf.DUMMYFUNCTION("GOOGLETRANSLATE(B4402)"),"壓碎")</f>
        <v>壓碎</v>
      </c>
    </row>
    <row r="4403" ht="15.75" customHeight="1">
      <c r="A4403" s="4">
        <v>2656.0</v>
      </c>
      <c r="B4403" s="4" t="s">
        <v>1189</v>
      </c>
      <c r="C4403" s="4" t="s">
        <v>6535</v>
      </c>
      <c r="D4403" s="4" t="s">
        <v>6536</v>
      </c>
      <c r="E4403" s="4">
        <v>0.0</v>
      </c>
      <c r="F4403" s="4" t="str">
        <f>IFERROR(__xludf.DUMMYFUNCTION("GOOGLETRANSLATE(D4403)"),"週三女性粉碎?????????????????? @媽媽炸彈")</f>
        <v>週三女性粉碎?????????????????? @媽媽炸彈</v>
      </c>
      <c r="G4403" s="4" t="str">
        <f>IFERROR(__xludf.DUMMYFUNCTION("GOOGLETRANSLATE(B4403)"),"壓碎")</f>
        <v>壓碎</v>
      </c>
    </row>
    <row r="4404" ht="15.75" customHeight="1">
      <c r="A4404" s="4">
        <v>2658.0</v>
      </c>
      <c r="B4404" s="4" t="s">
        <v>1189</v>
      </c>
      <c r="D4404" s="4" t="s">
        <v>6537</v>
      </c>
      <c r="E4404" s="4">
        <v>0.0</v>
      </c>
      <c r="F4404" s="4" t="str">
        <f>IFERROR(__xludf.DUMMYFUNCTION("GOOGLETRANSLATE(D4404)"),"這傢伙簡直讓我迷上了他的女人？？有史以來第一個？")</f>
        <v>這傢伙簡直讓我迷上了他的女人？？有史以來第一個？</v>
      </c>
      <c r="G4404" s="4" t="str">
        <f>IFERROR(__xludf.DUMMYFUNCTION("GOOGLETRANSLATE(B4404)"),"壓碎")</f>
        <v>壓碎</v>
      </c>
    </row>
    <row r="4405" ht="15.75" customHeight="1">
      <c r="A4405" s="4">
        <v>2659.0</v>
      </c>
      <c r="B4405" s="4" t="s">
        <v>1189</v>
      </c>
      <c r="C4405" s="4" t="s">
        <v>6538</v>
      </c>
      <c r="D4405" s="4" t="s">
        <v>6539</v>
      </c>
      <c r="E4405" s="4">
        <v>0.0</v>
      </c>
      <c r="F4405" s="4" t="str">
        <f>IFERROR(__xludf.DUMMYFUNCTION("GOOGLETRANSLATE(D4405)"),"WCE 我甚至不能撒謊，即使我無法忍受她，她仍然永遠是我的迷戀？ @_explicitpretty")</f>
        <v>WCE 我甚至不能撒謊，即使我無法忍受她，她仍然永遠是我的迷戀？ @_explicitpretty</v>
      </c>
      <c r="G4405" s="4" t="str">
        <f>IFERROR(__xludf.DUMMYFUNCTION("GOOGLETRANSLATE(B4405)"),"壓碎")</f>
        <v>壓碎</v>
      </c>
    </row>
    <row r="4406" ht="15.75" customHeight="1">
      <c r="A4406" s="4">
        <v>2660.0</v>
      </c>
      <c r="B4406" s="4" t="s">
        <v>1189</v>
      </c>
      <c r="C4406" s="4" t="s">
        <v>4394</v>
      </c>
      <c r="D4406" s="4" t="s">
        <v>6540</v>
      </c>
      <c r="E4406" s="4">
        <v>0.0</v>
      </c>
      <c r="F4406" s="4" t="str">
        <f>IFERROR(__xludf.DUMMYFUNCTION("GOOGLETRANSLATE(D4406)"),"女人暗戀？？？ http://t.co/CFXhQHvbVB")</f>
        <v>女人暗戀？？？ http://t.co/CFXhQHvbVB</v>
      </c>
      <c r="G4406" s="4" t="str">
        <f>IFERROR(__xludf.DUMMYFUNCTION("GOOGLETRANSLATE(B4406)"),"壓碎")</f>
        <v>壓碎</v>
      </c>
    </row>
    <row r="4407" ht="15.75" customHeight="1">
      <c r="A4407" s="4">
        <v>2661.0</v>
      </c>
      <c r="B4407" s="4" t="s">
        <v>1189</v>
      </c>
      <c r="C4407" s="4" t="s">
        <v>6541</v>
      </c>
      <c r="D4407" s="4" t="s">
        <v>6542</v>
      </c>
      <c r="E4407" s="4">
        <v>0.0</v>
      </c>
      <c r="F4407" s="4" t="str">
        <f>IFERROR(__xludf.DUMMYFUNCTION("GOOGLETRANSLATE(D4407)"),"我的女人迷戀星期三去了美麗的@taykreidler #loveyouuuu #aintsheperty https://t.co/WeMwdtFwiC")</f>
        <v>我的女人迷戀星期三去了美麗的@taykreidler #loveyouuuu #aintsheperty https://t.co/WeMwdtFwiC</v>
      </c>
      <c r="G4407" s="4" t="str">
        <f>IFERROR(__xludf.DUMMYFUNCTION("GOOGLETRANSLATE(B4407)"),"壓碎")</f>
        <v>壓碎</v>
      </c>
    </row>
    <row r="4408" ht="15.75" customHeight="1">
      <c r="A4408" s="4">
        <v>2663.0</v>
      </c>
      <c r="B4408" s="4" t="s">
        <v>1189</v>
      </c>
      <c r="D4408" s="4" t="s">
        <v>6543</v>
      </c>
      <c r="E4408" s="4">
        <v>0.0</v>
      </c>
      <c r="F4408" s="4" t="str">
        <f>IFERROR(__xludf.DUMMYFUNCTION("GOOGLETRANSLATE(D4408)"),"和你高中暗戀的人成為最好的朋友？？？ @你的男孩肖恩")</f>
        <v>和你高中暗戀的人成為最好的朋友？？？ @你的男孩肖恩</v>
      </c>
      <c r="G4408" s="4" t="str">
        <f>IFERROR(__xludf.DUMMYFUNCTION("GOOGLETRANSLATE(B4408)"),"壓碎")</f>
        <v>壓碎</v>
      </c>
    </row>
    <row r="4409" ht="15.75" customHeight="1">
      <c r="A4409" s="4">
        <v>2666.0</v>
      </c>
      <c r="B4409" s="4" t="s">
        <v>1189</v>
      </c>
      <c r="C4409" s="4" t="s">
        <v>1193</v>
      </c>
      <c r="D4409" s="4" t="s">
        <v>6544</v>
      </c>
      <c r="E4409" s="4">
        <v>0.0</v>
      </c>
      <c r="F4409" s="4" t="str">
        <f>IFERROR(__xludf.DUMMYFUNCTION("GOOGLETRANSLATE(D4409)"),"Samel_samel 迷戀：http://t.co/tBsTk5VqU0")</f>
        <v>Samel_samel 迷戀：http://t.co/tBsTk5VqU0</v>
      </c>
      <c r="G4409" s="4" t="str">
        <f>IFERROR(__xludf.DUMMYFUNCTION("GOOGLETRANSLATE(B4409)"),"壓碎")</f>
        <v>壓碎</v>
      </c>
    </row>
    <row r="4410" ht="15.75" customHeight="1">
      <c r="A4410" s="4">
        <v>2667.0</v>
      </c>
      <c r="B4410" s="4" t="s">
        <v>1189</v>
      </c>
      <c r="D4410" s="4" t="s">
        <v>6545</v>
      </c>
      <c r="E4410" s="4">
        <v>0.0</v>
      </c>
      <c r="F4410" s="4" t="str">
        <f>IFERROR(__xludf.DUMMYFUNCTION("GOOGLETRANSLATE(D4410)"),"我是我自己暗戀的女人？？？")</f>
        <v>我是我自己暗戀的女人？？？</v>
      </c>
      <c r="G4410" s="4" t="str">
        <f>IFERROR(__xludf.DUMMYFUNCTION("GOOGLETRANSLATE(B4410)"),"壓碎")</f>
        <v>壓碎</v>
      </c>
    </row>
    <row r="4411" ht="15.75" customHeight="1">
      <c r="A4411" s="4">
        <v>2668.0</v>
      </c>
      <c r="B4411" s="4" t="s">
        <v>1189</v>
      </c>
      <c r="C4411" s="4" t="s">
        <v>6546</v>
      </c>
      <c r="D4411" s="4" t="s">
        <v>6547</v>
      </c>
      <c r="E4411" s="4">
        <v>0.0</v>
      </c>
      <c r="F4411" s="4" t="str">
        <f>IFERROR(__xludf.DUMMYFUNCTION("GOOGLETRANSLATE(D4411)"),"愛愛愛你還記得你的初戀嗎？ ??")</f>
        <v>愛愛愛你還記得你的初戀嗎？ ??</v>
      </c>
      <c r="G4411" s="4" t="str">
        <f>IFERROR(__xludf.DUMMYFUNCTION("GOOGLETRANSLATE(B4411)"),"壓碎")</f>
        <v>壓碎</v>
      </c>
    </row>
    <row r="4412" ht="15.75" customHeight="1">
      <c r="A4412" s="4">
        <v>2670.0</v>
      </c>
      <c r="B4412" s="4" t="s">
        <v>1189</v>
      </c>
      <c r="C4412" s="4" t="s">
        <v>4102</v>
      </c>
      <c r="D4412" s="4" t="s">
        <v>6548</v>
      </c>
      <c r="E4412" s="4">
        <v>0.0</v>
      </c>
      <c r="F4412" s="4" t="str">
        <f>IFERROR(__xludf.DUMMYFUNCTION("GOOGLETRANSLATE(D4412)"),"和我喜歡的人獨處一分鐘??...這是一次被高估的經驗...smh")</f>
        <v>和我喜歡的人獨處一分鐘??...這是一次被高估的經驗...smh</v>
      </c>
      <c r="G4412" s="4" t="str">
        <f>IFERROR(__xludf.DUMMYFUNCTION("GOOGLETRANSLATE(B4412)"),"壓碎")</f>
        <v>壓碎</v>
      </c>
    </row>
    <row r="4413" ht="15.75" customHeight="1">
      <c r="A4413" s="4">
        <v>2671.0</v>
      </c>
      <c r="B4413" s="4" t="s">
        <v>1189</v>
      </c>
      <c r="C4413" s="4" t="s">
        <v>6549</v>
      </c>
      <c r="D4413" s="4" t="s">
        <v>6550</v>
      </c>
      <c r="E4413" s="4">
        <v>0.0</v>
      </c>
      <c r="F4413" s="4" t="str">
        <f>IFERROR(__xludf.DUMMYFUNCTION("GOOGLETRANSLATE(D4413)"),"@PYDisney que 迷戀？#MTVHottest 賈斯汀比伯")</f>
        <v>@PYDisney que 迷戀？#MTVHottest 賈斯汀比伯</v>
      </c>
      <c r="G4413" s="4" t="str">
        <f>IFERROR(__xludf.DUMMYFUNCTION("GOOGLETRANSLATE(B4413)"),"壓碎")</f>
        <v>壓碎</v>
      </c>
    </row>
    <row r="4414" ht="15.75" customHeight="1">
      <c r="A4414" s="4">
        <v>2672.0</v>
      </c>
      <c r="B4414" s="4" t="s">
        <v>1189</v>
      </c>
      <c r="C4414" s="4" t="s">
        <v>1193</v>
      </c>
      <c r="D4414" s="4" t="s">
        <v>6551</v>
      </c>
      <c r="E4414" s="4">
        <v>0.0</v>
      </c>
      <c r="F4414" s="4" t="str">
        <f>IFERROR(__xludf.DUMMYFUNCTION("GOOGLETRANSLATE(D4414)"),"master0fsloths 迷戀：http://t.co/SZX6v0bbjF")</f>
        <v>master0fsloths 迷戀：http://t.co/SZX6v0bbjF</v>
      </c>
      <c r="G4414" s="4" t="str">
        <f>IFERROR(__xludf.DUMMYFUNCTION("GOOGLETRANSLATE(B4414)"),"壓碎")</f>
        <v>壓碎</v>
      </c>
    </row>
    <row r="4415" ht="15.75" customHeight="1">
      <c r="A4415" s="4">
        <v>2673.0</v>
      </c>
      <c r="B4415" s="4" t="s">
        <v>1189</v>
      </c>
      <c r="D4415" s="4" t="s">
        <v>6552</v>
      </c>
      <c r="E4415" s="4">
        <v>0.0</v>
      </c>
      <c r="F4415" s="4" t="str">
        <f>IFERROR(__xludf.DUMMYFUNCTION("GOOGLETRANSLATE(D4415)"),"我的小兄弟迷戀瑪麗亞？？？？？？")</f>
        <v>我的小兄弟迷戀瑪麗亞？？？？？？</v>
      </c>
      <c r="G4415" s="4" t="str">
        <f>IFERROR(__xludf.DUMMYFUNCTION("GOOGLETRANSLATE(B4415)"),"壓碎")</f>
        <v>壓碎</v>
      </c>
    </row>
    <row r="4416" ht="15.75" customHeight="1">
      <c r="A4416" s="4">
        <v>2676.0</v>
      </c>
      <c r="B4416" s="4" t="s">
        <v>1189</v>
      </c>
      <c r="C4416" s="4" t="s">
        <v>6553</v>
      </c>
      <c r="D4416" s="4" t="s">
        <v>6554</v>
      </c>
      <c r="E4416" s="4">
        <v>0.0</v>
      </c>
      <c r="F4416" s="4" t="str">
        <f>IFERROR(__xludf.DUMMYFUNCTION("GOOGLETRANSLATE(D4416)"),"當你女朋友的時候真是太漂亮了？？？ @女人迷戀&amp;amp;東西 https://t.co/ycwAULQz3U")</f>
        <v>當你女朋友的時候真是太漂亮了？？？ @女人迷戀&amp;amp;東西 https://t.co/ycwAULQz3U</v>
      </c>
      <c r="G4416" s="4" t="str">
        <f>IFERROR(__xludf.DUMMYFUNCTION("GOOGLETRANSLATE(B4416)"),"壓碎")</f>
        <v>壓碎</v>
      </c>
    </row>
    <row r="4417" ht="15.75" customHeight="1">
      <c r="A4417" s="4">
        <v>2677.0</v>
      </c>
      <c r="B4417" s="4" t="s">
        <v>1189</v>
      </c>
      <c r="C4417" s="4" t="s">
        <v>6555</v>
      </c>
      <c r="D4417" s="4" t="s">
        <v>6556</v>
      </c>
      <c r="E4417" s="4">
        <v>0.0</v>
      </c>
      <c r="F4417" s="4" t="str">
        <f>IFERROR(__xludf.DUMMYFUNCTION("GOOGLETRANSLATE(D4417)"),"我太嗨了，這個星期五我很迷戀")</f>
        <v>我太嗨了，這個星期五我很迷戀</v>
      </c>
      <c r="G4417" s="4" t="str">
        <f>IFERROR(__xludf.DUMMYFUNCTION("GOOGLETRANSLATE(B4417)"),"壓碎")</f>
        <v>壓碎</v>
      </c>
    </row>
    <row r="4418" ht="15.75" customHeight="1">
      <c r="A4418" s="4">
        <v>2679.0</v>
      </c>
      <c r="B4418" s="4" t="s">
        <v>1189</v>
      </c>
      <c r="C4418" s="4" t="s">
        <v>6557</v>
      </c>
      <c r="D4418" s="4" t="s">
        <v>6558</v>
      </c>
      <c r="E4418" s="4">
        <v>0.0</v>
      </c>
      <c r="F4418" s="4" t="str">
        <f>IFERROR(__xludf.DUMMYFUNCTION("GOOGLETRANSLATE(D4418)"),"我最迷戀你&amp;amp;不知道你以後會不會知道呢？？")</f>
        <v>我最迷戀你&amp;amp;不知道你以後會不會知道呢？？</v>
      </c>
      <c r="G4418" s="4" t="str">
        <f>IFERROR(__xludf.DUMMYFUNCTION("GOOGLETRANSLATE(B4418)"),"壓碎")</f>
        <v>壓碎</v>
      </c>
    </row>
    <row r="4419" ht="15.75" customHeight="1">
      <c r="A4419" s="4">
        <v>2680.0</v>
      </c>
      <c r="B4419" s="4" t="s">
        <v>1189</v>
      </c>
      <c r="C4419" s="4" t="s">
        <v>6559</v>
      </c>
      <c r="D4419" s="4" t="s">
        <v>6560</v>
      </c>
      <c r="E4419" s="4">
        <v>0.0</v>
      </c>
      <c r="F4419" s="4" t="str">
        <f>IFERROR(__xludf.DUMMYFUNCTION("GOOGLETRANSLATE(D4419)"),"#MrRobinson 給了我#TheSteveHarveyShow 氛圍。音樂老師照顧學生，他暗戀和他一起高中的女孩。 ??")</f>
        <v>#MrRobinson 給了我#TheSteveHarveyShow 氛圍。音樂老師照顧學生，他暗戀和他一起高中的女孩。 ??</v>
      </c>
      <c r="G4419" s="4" t="str">
        <f>IFERROR(__xludf.DUMMYFUNCTION("GOOGLETRANSLATE(B4419)"),"壓碎")</f>
        <v>壓碎</v>
      </c>
    </row>
    <row r="4420" ht="15.75" customHeight="1">
      <c r="A4420" s="4">
        <v>2682.0</v>
      </c>
      <c r="B4420" s="4" t="s">
        <v>1189</v>
      </c>
      <c r="D4420" s="4" t="s">
        <v>6561</v>
      </c>
      <c r="E4420" s="4">
        <v>0.0</v>
      </c>
      <c r="F4420" s="4" t="str">
        <f>IFERROR(__xludf.DUMMYFUNCTION("GOOGLETRANSLATE(D4420)"),"真的對布蕾克萊芙莉 (Blake Lively) 有著有史以來最大的女孩迷戀")</f>
        <v>真的對布蕾克萊芙莉 (Blake Lively) 有著有史以來最大的女孩迷戀</v>
      </c>
      <c r="G4420" s="4" t="str">
        <f>IFERROR(__xludf.DUMMYFUNCTION("GOOGLETRANSLATE(B4420)"),"壓碎")</f>
        <v>壓碎</v>
      </c>
    </row>
    <row r="4421" ht="15.75" customHeight="1">
      <c r="A4421" s="4">
        <v>2683.0</v>
      </c>
      <c r="B4421" s="4" t="s">
        <v>1189</v>
      </c>
      <c r="D4421" s="4" t="s">
        <v>6562</v>
      </c>
      <c r="E4421" s="4">
        <v>0.0</v>
      </c>
      <c r="F4421" s="4" t="str">
        <f>IFERROR(__xludf.DUMMYFUNCTION("GOOGLETRANSLATE(D4421)"),"當你在看台上看到你喜歡的人。 （Vine 作者：@KhadiDon）https://t.co/aSooPcYgwn")</f>
        <v>當你在看台上看到你喜歡的人。 （Vine 作者：@KhadiDon）https://t.co/aSooPcYgwn</v>
      </c>
      <c r="G4421" s="4" t="str">
        <f>IFERROR(__xludf.DUMMYFUNCTION("GOOGLETRANSLATE(B4421)"),"壓碎")</f>
        <v>壓碎</v>
      </c>
    </row>
    <row r="4422" ht="15.75" customHeight="1">
      <c r="A4422" s="4">
        <v>2684.0</v>
      </c>
      <c r="B4422" s="4" t="s">
        <v>1189</v>
      </c>
      <c r="C4422" s="4" t="s">
        <v>1193</v>
      </c>
      <c r="D4422" s="4" t="s">
        <v>6563</v>
      </c>
      <c r="E4422" s="4">
        <v>0.0</v>
      </c>
      <c r="F4422" s="4" t="str">
        <f>IFERROR(__xludf.DUMMYFUNCTION("GOOGLETRANSLATE(D4422)"),"yhngsjlg 剛剛在推特上講述了他們的秘密暗戀：http://t.co/IoqM5bm1Dg")</f>
        <v>yhngsjlg 剛剛在推特上講述了他們的秘密暗戀：http://t.co/IoqM5bm1Dg</v>
      </c>
      <c r="G4422" s="4" t="str">
        <f>IFERROR(__xludf.DUMMYFUNCTION("GOOGLETRANSLATE(B4422)"),"壓碎")</f>
        <v>壓碎</v>
      </c>
    </row>
    <row r="4423" ht="15.75" customHeight="1">
      <c r="A4423" s="4">
        <v>2687.0</v>
      </c>
      <c r="B4423" s="4" t="s">
        <v>1189</v>
      </c>
      <c r="C4423" s="4" t="s">
        <v>6564</v>
      </c>
      <c r="D4423" s="4" t="s">
        <v>6565</v>
      </c>
      <c r="E4423" s="4">
        <v>0.0</v>
      </c>
      <c r="F4423" s="4" t="str">
        <f>IFERROR(__xludf.DUMMYFUNCTION("GOOGLETRANSLATE(D4423)"),"@Starflame_girl 是的，我迷戀她")</f>
        <v>@Starflame_girl 是的，我迷戀她</v>
      </c>
      <c r="G4423" s="4" t="str">
        <f>IFERROR(__xludf.DUMMYFUNCTION("GOOGLETRANSLATE(B4423)"),"壓碎")</f>
        <v>壓碎</v>
      </c>
    </row>
    <row r="4424" ht="15.75" customHeight="1">
      <c r="A4424" s="4">
        <v>2688.0</v>
      </c>
      <c r="B4424" s="4" t="s">
        <v>1189</v>
      </c>
      <c r="D4424" s="4" t="s">
        <v>6566</v>
      </c>
      <c r="E4424" s="4">
        <v>0.0</v>
      </c>
      <c r="F4424" s="4" t="str">
        <f>IFERROR(__xludf.DUMMYFUNCTION("GOOGLETRANSLATE(D4424)"),"我試著看起來很可愛，但暗戀的人正路過...... http://t.co/Z87zMi3Ozs")</f>
        <v>我試著看起來很可愛，但暗戀的人正路過...... http://t.co/Z87zMi3Ozs</v>
      </c>
      <c r="G4424" s="4" t="str">
        <f>IFERROR(__xludf.DUMMYFUNCTION("GOOGLETRANSLATE(B4424)"),"壓碎")</f>
        <v>壓碎</v>
      </c>
    </row>
    <row r="4425" ht="15.75" customHeight="1">
      <c r="A4425" s="4">
        <v>2689.0</v>
      </c>
      <c r="B4425" s="4" t="s">
        <v>1189</v>
      </c>
      <c r="C4425" s="4" t="s">
        <v>5402</v>
      </c>
      <c r="D4425" s="4" t="s">
        <v>6567</v>
      </c>
      <c r="E4425" s="4">
        <v>0.0</v>
      </c>
      <c r="F4425" s="4" t="str">
        <f>IFERROR(__xludf.DUMMYFUNCTION("GOOGLETRANSLATE(D4425)"),"粉碎內容行銷平庸 http://t.co/IlQ0wQj0Xs http://t.co/aW1NYTpWJr")</f>
        <v>粉碎內容行銷平庸 http://t.co/IlQ0wQj0Xs http://t.co/aW1NYTpWJr</v>
      </c>
      <c r="G4425" s="4" t="str">
        <f>IFERROR(__xludf.DUMMYFUNCTION("GOOGLETRANSLATE(B4425)"),"壓碎")</f>
        <v>壓碎</v>
      </c>
    </row>
    <row r="4426" ht="15.75" customHeight="1">
      <c r="A4426" s="4">
        <v>2691.0</v>
      </c>
      <c r="B4426" s="4" t="s">
        <v>1189</v>
      </c>
      <c r="D4426" s="4" t="s">
        <v>6568</v>
      </c>
      <c r="E4426" s="4">
        <v>0.0</v>
      </c>
      <c r="F4426" s="4" t="str">
        <f>IFERROR(__xludf.DUMMYFUNCTION("GOOGLETRANSLATE(D4426)"),"高中時只喜歡過一個女孩，她自己都沒有意識到，哈哈")</f>
        <v>高中時只喜歡過一個女孩，她自己都沒有意識到，哈哈</v>
      </c>
      <c r="G4426" s="4" t="str">
        <f>IFERROR(__xludf.DUMMYFUNCTION("GOOGLETRANSLATE(B4426)"),"壓碎")</f>
        <v>壓碎</v>
      </c>
    </row>
    <row r="4427" ht="15.75" customHeight="1">
      <c r="A4427" s="4">
        <v>2693.0</v>
      </c>
      <c r="B4427" s="4" t="s">
        <v>1189</v>
      </c>
      <c r="D4427" s="4" t="s">
        <v>6569</v>
      </c>
      <c r="E4427" s="4">
        <v>0.0</v>
      </c>
      <c r="F4427" s="4" t="str">
        <f>IFERROR(__xludf.DUMMYFUNCTION("GOOGLETRANSLATE(D4427)"),"男人他媽的每天都在暗戀？？？？？？？？？？？？？？？？？？？？？？？？？ http://t.co/Fs4y1c9mNf")</f>
        <v>男人他媽的每天都在暗戀？？？？？？？？？？？？？？？？？？？？？？？？？ http://t.co/Fs4y1c9mNf</v>
      </c>
      <c r="G4427" s="4" t="str">
        <f>IFERROR(__xludf.DUMMYFUNCTION("GOOGLETRANSLATE(B4427)"),"壓碎")</f>
        <v>壓碎</v>
      </c>
    </row>
    <row r="4428" ht="15.75" customHeight="1">
      <c r="A4428" s="4">
        <v>2694.0</v>
      </c>
      <c r="B4428" s="4" t="s">
        <v>1189</v>
      </c>
      <c r="C4428" s="4" t="s">
        <v>1193</v>
      </c>
      <c r="D4428" s="4" t="s">
        <v>6570</v>
      </c>
      <c r="E4428" s="4">
        <v>0.0</v>
      </c>
      <c r="F4428" s="4" t="str">
        <f>IFERROR(__xludf.DUMMYFUNCTION("GOOGLETRANSLATE(D4428)"),"tiffanyfrizzell 迷戀：http://t.co/RaF732vRtt")</f>
        <v>tiffanyfrizzell 迷戀：http://t.co/RaF732vRtt</v>
      </c>
      <c r="G4428" s="4" t="str">
        <f>IFERROR(__xludf.DUMMYFUNCTION("GOOGLETRANSLATE(B4428)"),"壓碎")</f>
        <v>壓碎</v>
      </c>
    </row>
    <row r="4429" ht="15.75" customHeight="1">
      <c r="A4429" s="4">
        <v>2695.0</v>
      </c>
      <c r="B4429" s="4" t="s">
        <v>1189</v>
      </c>
      <c r="C4429" s="4" t="s">
        <v>6571</v>
      </c>
      <c r="D4429" s="4" t="s">
        <v>6572</v>
      </c>
      <c r="E4429" s="4">
        <v>0.0</v>
      </c>
      <c r="F4429" s="4" t="str">
        <f>IFERROR(__xludf.DUMMYFUNCTION("GOOGLETRANSLATE(D4429)"),"比暗戀還多？？？？？？？？？？ WCE @nykaeD_ ????????? http://t.co/mkJO8x2dKo")</f>
        <v>比暗戀還多？？？？？？？？？？ WCE @nykaeD_ ????????? http://t.co/mkJO8x2dKo</v>
      </c>
      <c r="G4429" s="4" t="str">
        <f>IFERROR(__xludf.DUMMYFUNCTION("GOOGLETRANSLATE(B4429)"),"壓碎")</f>
        <v>壓碎</v>
      </c>
    </row>
    <row r="4430" ht="15.75" customHeight="1">
      <c r="A4430" s="4">
        <v>2696.0</v>
      </c>
      <c r="B4430" s="4" t="s">
        <v>1189</v>
      </c>
      <c r="C4430" s="4" t="s">
        <v>6573</v>
      </c>
      <c r="D4430" s="4" t="s">
        <v>6574</v>
      </c>
      <c r="E4430" s="4">
        <v>0.0</v>
      </c>
      <c r="F4430" s="4" t="str">
        <f>IFERROR(__xludf.DUMMYFUNCTION("GOOGLETRANSLATE(D4430)"),"@jaureguiswisdom lmao 好吧，我只知道一個，我只迷戀這個。")</f>
        <v>@jaureguiswisdom lmao 好吧，我只知道一個，我只迷戀這個。</v>
      </c>
      <c r="G4430" s="4" t="str">
        <f>IFERROR(__xludf.DUMMYFUNCTION("GOOGLETRANSLATE(B4430)"),"壓碎")</f>
        <v>壓碎</v>
      </c>
    </row>
    <row r="4431" ht="15.75" customHeight="1">
      <c r="A4431" s="4">
        <v>2698.0</v>
      </c>
      <c r="B4431" s="4" t="s">
        <v>1189</v>
      </c>
      <c r="C4431" s="4" t="s">
        <v>6575</v>
      </c>
      <c r="D4431" s="4" t="s">
        <v>6576</v>
      </c>
      <c r="E4431" s="4">
        <v>0.0</v>
      </c>
      <c r="F4431" s="4" t="str">
        <f>IFERROR(__xludf.DUMMYFUNCTION("GOOGLETRANSLATE(D4431)"),"#NowPlaying Fitz And The Tantrums - Out of My League on #Crush #Listen http://t.co/Pwd5L0GLkV #NowPlaying")</f>
        <v>#NowPlaying Fitz And The Tantrums - Out of My League on #Crush #Listen http://t.co/Pwd5L0GLkV #NowPlaying</v>
      </c>
      <c r="G4431" s="4" t="str">
        <f>IFERROR(__xludf.DUMMYFUNCTION("GOOGLETRANSLATE(B4431)"),"壓碎")</f>
        <v>壓碎</v>
      </c>
    </row>
    <row r="4432" ht="15.75" customHeight="1">
      <c r="A4432" s="4">
        <v>2700.0</v>
      </c>
      <c r="B4432" s="4" t="s">
        <v>1189</v>
      </c>
      <c r="D4432" s="4" t="s">
        <v>6577</v>
      </c>
      <c r="E4432" s="4">
        <v>0.0</v>
      </c>
      <c r="F4432" s="4" t="str">
        <f>IFERROR(__xludf.DUMMYFUNCTION("GOOGLETRANSLATE(D4432)"),"男人天天暗戀？？？ @CristianInspire http://t.co/iXjQG1sx6u")</f>
        <v>男人天天暗戀？？？ @CristianInspire http://t.co/iXjQG1sx6u</v>
      </c>
      <c r="G4432" s="4" t="str">
        <f>IFERROR(__xludf.DUMMYFUNCTION("GOOGLETRANSLATE(B4432)"),"壓碎")</f>
        <v>壓碎</v>
      </c>
    </row>
    <row r="4433" ht="15.75" customHeight="1">
      <c r="A4433" s="4">
        <v>2701.0</v>
      </c>
      <c r="B4433" s="4" t="s">
        <v>1189</v>
      </c>
      <c r="D4433" s="4" t="s">
        <v>6578</v>
      </c>
      <c r="E4433" s="4">
        <v>0.0</v>
      </c>
      <c r="F4433" s="4" t="str">
        <f>IFERROR(__xludf.DUMMYFUNCTION("GOOGLETRANSLATE(D4433)"),"他愛我嗎？他愛我嗎？我不是普拉亞，我只是很迷戀")</f>
        <v>他愛我嗎？他愛我嗎？我不是普拉亞，我只是很迷戀</v>
      </c>
      <c r="G4433" s="4" t="str">
        <f>IFERROR(__xludf.DUMMYFUNCTION("GOOGLETRANSLATE(B4433)"),"壓碎")</f>
        <v>壓碎</v>
      </c>
    </row>
    <row r="4434" ht="15.75" customHeight="1">
      <c r="A4434" s="4">
        <v>2702.0</v>
      </c>
      <c r="B4434" s="4" t="s">
        <v>1189</v>
      </c>
      <c r="D4434" s="4" t="s">
        <v>6579</v>
      </c>
      <c r="E4434" s="4">
        <v>0.0</v>
      </c>
      <c r="F4434" s="4" t="str">
        <f>IFERROR(__xludf.DUMMYFUNCTION("GOOGLETRANSLATE(D4434)"),"肯尼霍蘭德 生活的迷戀")</f>
        <v>肯尼霍蘭德 生活的迷戀</v>
      </c>
      <c r="G4434" s="4" t="str">
        <f>IFERROR(__xludf.DUMMYFUNCTION("GOOGLETRANSLATE(B4434)"),"壓碎")</f>
        <v>壓碎</v>
      </c>
    </row>
    <row r="4435" ht="15.75" customHeight="1">
      <c r="A4435" s="4">
        <v>2703.0</v>
      </c>
      <c r="B4435" s="4" t="s">
        <v>1195</v>
      </c>
      <c r="D4435" s="4" t="s">
        <v>6580</v>
      </c>
      <c r="E4435" s="4">
        <v>0.0</v>
      </c>
      <c r="F4435" s="4" t="str">
        <f>IFERROR(__xludf.DUMMYFUNCTION("GOOGLETRANSLATE(D4435)"),"碎")</f>
        <v>碎</v>
      </c>
      <c r="G4435" s="4" t="str">
        <f>IFERROR(__xludf.DUMMYFUNCTION("GOOGLETRANSLATE(B4435)"),"碎")</f>
        <v>碎</v>
      </c>
    </row>
    <row r="4436" ht="15.75" customHeight="1">
      <c r="A4436" s="4">
        <v>2706.0</v>
      </c>
      <c r="B4436" s="4" t="s">
        <v>1195</v>
      </c>
      <c r="D4436" s="4" t="s">
        <v>6581</v>
      </c>
      <c r="E4436" s="4">
        <v>0.0</v>
      </c>
      <c r="F4436" s="4" t="str">
        <f>IFERROR(__xludf.DUMMYFUNCTION("GOOGLETRANSLATE(D4436)"),"這個大力水手即將被壓碎？")</f>
        <v>這個大力水手即將被壓碎？</v>
      </c>
      <c r="G4436" s="4" t="str">
        <f>IFERROR(__xludf.DUMMYFUNCTION("GOOGLETRANSLATE(B4436)"),"碎")</f>
        <v>碎</v>
      </c>
    </row>
    <row r="4437" ht="15.75" customHeight="1">
      <c r="A4437" s="4">
        <v>2707.0</v>
      </c>
      <c r="B4437" s="4" t="s">
        <v>1195</v>
      </c>
      <c r="C4437" s="4" t="s">
        <v>6582</v>
      </c>
      <c r="D4437" s="4" t="s">
        <v>6583</v>
      </c>
      <c r="E4437" s="4">
        <v>0.0</v>
      </c>
      <c r="F4437" s="4" t="str">
        <f>IFERROR(__xludf.DUMMYFUNCTION("GOOGLETRANSLATE(D4437)"),"那是被壓碎的天哪")</f>
        <v>那是被壓碎的天哪</v>
      </c>
      <c r="G4437" s="4" t="str">
        <f>IFERROR(__xludf.DUMMYFUNCTION("GOOGLETRANSLATE(B4437)"),"碎")</f>
        <v>碎</v>
      </c>
    </row>
    <row r="4438" ht="15.75" customHeight="1">
      <c r="A4438" s="4">
        <v>2708.0</v>
      </c>
      <c r="B4438" s="4" t="s">
        <v>1195</v>
      </c>
      <c r="C4438" s="4" t="s">
        <v>6584</v>
      </c>
      <c r="D4438" s="4" t="s">
        <v>6585</v>
      </c>
      <c r="E4438" s="4">
        <v>0.0</v>
      </c>
      <c r="F4438" s="4" t="str">
        <f>IFERROR(__xludf.DUMMYFUNCTION("GOOGLETRANSLATE(D4438)"),"BHAVANA 的媽媽粉碎了每個人的靈魂")</f>
        <v>BHAVANA 的媽媽粉碎了每個人的靈魂</v>
      </c>
      <c r="G4438" s="4" t="str">
        <f>IFERROR(__xludf.DUMMYFUNCTION("GOOGLETRANSLATE(B4438)"),"碎")</f>
        <v>碎</v>
      </c>
    </row>
    <row r="4439" ht="15.75" customHeight="1">
      <c r="A4439" s="4">
        <v>2709.0</v>
      </c>
      <c r="B4439" s="4" t="s">
        <v>1195</v>
      </c>
      <c r="D4439" s="4" t="s">
        <v>6586</v>
      </c>
      <c r="E4439" s="4">
        <v>0.0</v>
      </c>
      <c r="F4439" s="4" t="str">
        <f>IFERROR(__xludf.DUMMYFUNCTION("GOOGLETRANSLATE(D4439)"),"碾碎了它！ https://t.co/EWnUnp8Hdo")</f>
        <v>碾碎了它！ https://t.co/EWnUnp8Hdo</v>
      </c>
      <c r="G4439" s="4" t="str">
        <f>IFERROR(__xludf.DUMMYFUNCTION("GOOGLETRANSLATE(B4439)"),"碎")</f>
        <v>碎</v>
      </c>
    </row>
    <row r="4440" ht="15.75" customHeight="1">
      <c r="A4440" s="4">
        <v>2711.0</v>
      </c>
      <c r="B4440" s="4" t="s">
        <v>1195</v>
      </c>
      <c r="D4440" s="4" t="s">
        <v>6587</v>
      </c>
      <c r="E4440" s="4">
        <v>0.0</v>
      </c>
      <c r="F4440" s="4" t="str">
        <f>IFERROR(__xludf.DUMMYFUNCTION("GOOGLETRANSLATE(D4440)"),"http://t.co/kG5pLkeDhr 總結 2-美國迪士尼令人失望後，有線電視公司股價暴跌 http://t.co/QeIhvn3DNQ")</f>
        <v>http://t.co/kG5pLkeDhr 總結 2-美國迪士尼令人失望後，有線電視公司股價暴跌 http://t.co/QeIhvn3DNQ</v>
      </c>
      <c r="G4440" s="4" t="str">
        <f>IFERROR(__xludf.DUMMYFUNCTION("GOOGLETRANSLATE(B4440)"),"碎")</f>
        <v>碎</v>
      </c>
    </row>
    <row r="4441" ht="15.75" customHeight="1">
      <c r="A4441" s="4">
        <v>2714.0</v>
      </c>
      <c r="B4441" s="4" t="s">
        <v>1195</v>
      </c>
      <c r="C4441" s="4" t="s">
        <v>1205</v>
      </c>
      <c r="D4441" s="4" t="s">
        <v>6588</v>
      </c>
      <c r="E4441" s="4">
        <v>0.0</v>
      </c>
      <c r="F4441" s="4" t="str">
        <f>IFERROR(__xludf.DUMMYFUNCTION("GOOGLETRANSLATE(D4441)"),".@jimmyfallon 我用研缽和杵為學校的生物系碾碎了松鼠骨頭。不太清楚為什麼#WorstSummerJob")</f>
        <v>.@jimmyfallon 我用研缽和杵為學校的生物系碾碎了松鼠骨頭。不太清楚為什麼#WorstSummerJob</v>
      </c>
      <c r="G4441" s="4" t="str">
        <f>IFERROR(__xludf.DUMMYFUNCTION("GOOGLETRANSLATE(B4441)"),"碎")</f>
        <v>碎</v>
      </c>
    </row>
    <row r="4442" ht="15.75" customHeight="1">
      <c r="A4442" s="4">
        <v>2715.0</v>
      </c>
      <c r="B4442" s="4" t="s">
        <v>1195</v>
      </c>
      <c r="C4442" s="4" t="s">
        <v>6589</v>
      </c>
      <c r="D4442" s="4" t="s">
        <v>6590</v>
      </c>
      <c r="E4442" s="4">
        <v>0.0</v>
      </c>
      <c r="F4442" s="4" t="str">
        <f>IFERROR(__xludf.DUMMYFUNCTION("GOOGLETRANSLATE(D4442)"),"埃德溫哇。碎。")</f>
        <v>埃德溫哇。碎。</v>
      </c>
      <c r="G4442" s="4" t="str">
        <f>IFERROR(__xludf.DUMMYFUNCTION("GOOGLETRANSLATE(B4442)"),"碎")</f>
        <v>碎</v>
      </c>
    </row>
    <row r="4443" ht="15.75" customHeight="1">
      <c r="A4443" s="4">
        <v>2719.0</v>
      </c>
      <c r="B4443" s="4" t="s">
        <v>1195</v>
      </c>
      <c r="D4443" s="4" t="s">
        <v>6591</v>
      </c>
      <c r="E4443" s="4">
        <v>0.0</v>
      </c>
      <c r="F4443" s="4" t="str">
        <f>IFERROR(__xludf.DUMMYFUNCTION("GOOGLETRANSLATE(D4443)"),"芒果汁加碎冰&gt;&gt;&gt;&gt;&gt;??")</f>
        <v>芒果汁加碎冰&gt;&gt;&gt;&gt;&gt;??</v>
      </c>
      <c r="G4443" s="4" t="str">
        <f>IFERROR(__xludf.DUMMYFUNCTION("GOOGLETRANSLATE(B4443)"),"碎")</f>
        <v>碎</v>
      </c>
    </row>
    <row r="4444" ht="15.75" customHeight="1">
      <c r="A4444" s="4">
        <v>2724.0</v>
      </c>
      <c r="B4444" s="4" t="s">
        <v>1195</v>
      </c>
      <c r="D4444" s="4" t="s">
        <v>6592</v>
      </c>
      <c r="E4444" s="4">
        <v>0.0</v>
      </c>
      <c r="F4444" s="4" t="str">
        <f>IFERROR(__xludf.DUMMYFUNCTION("GOOGLETRANSLATE(D4444)"),"哇！他粉碎了那個！ #EDWING #BlueJays")</f>
        <v>哇！他粉碎了那個！ #EDWING #BlueJays</v>
      </c>
      <c r="G4444" s="4" t="str">
        <f>IFERROR(__xludf.DUMMYFUNCTION("GOOGLETRANSLATE(B4444)"),"碎")</f>
        <v>碎</v>
      </c>
    </row>
    <row r="4445" ht="15.75" customHeight="1">
      <c r="A4445" s="4">
        <v>2725.0</v>
      </c>
      <c r="B4445" s="4" t="s">
        <v>1195</v>
      </c>
      <c r="D4445" s="4" t="s">
        <v>6593</v>
      </c>
      <c r="E4445" s="4">
        <v>0.0</v>
      </c>
      <c r="F4445" s="4" t="str">
        <f>IFERROR(__xludf.DUMMYFUNCTION("GOOGLETRANSLATE(D4445)"),"粉碎了健身房然後粉碎了手指亂舞顯然我的優先事項是直接的？")</f>
        <v>粉碎了健身房然後粉碎了手指亂舞顯然我的優先事項是直接的？</v>
      </c>
      <c r="G4445" s="4" t="str">
        <f>IFERROR(__xludf.DUMMYFUNCTION("GOOGLETRANSLATE(B4445)"),"碎")</f>
        <v>碎</v>
      </c>
    </row>
    <row r="4446" ht="15.75" customHeight="1">
      <c r="A4446" s="4">
        <v>2726.0</v>
      </c>
      <c r="B4446" s="4" t="s">
        <v>1195</v>
      </c>
      <c r="C4446" s="4" t="s">
        <v>3618</v>
      </c>
      <c r="D4446" s="4" t="s">
        <v>6594</v>
      </c>
      <c r="E4446" s="4">
        <v>0.0</v>
      </c>
      <c r="F4446" s="4" t="str">
        <f>IFERROR(__xludf.DUMMYFUNCTION("GOOGLETRANSLATE(D4446)"),"總結 2-美國迪士尼令人失望後，有線電視公司股價暴跌 http://t.co/wWFACu6NFt")</f>
        <v>總結 2-美國迪士尼令人失望後，有線電視公司股價暴跌 http://t.co/wWFACu6NFt</v>
      </c>
      <c r="G4446" s="4" t="str">
        <f>IFERROR(__xludf.DUMMYFUNCTION("GOOGLETRANSLATE(B4446)"),"碎")</f>
        <v>碎</v>
      </c>
    </row>
    <row r="4447" ht="15.75" customHeight="1">
      <c r="A4447" s="4">
        <v>2727.0</v>
      </c>
      <c r="B4447" s="4" t="s">
        <v>1195</v>
      </c>
      <c r="D4447" s="4" t="s">
        <v>6595</v>
      </c>
      <c r="E4447" s="4">
        <v>0.0</v>
      </c>
      <c r="F4447" s="4" t="str">
        <f>IFERROR(__xludf.DUMMYFUNCTION("GOOGLETRANSLATE(D4447)"),"@JMastrodonato 所以問題是：你會像你的運動寫作前輩碾壓威廉斯一樣碾壓奧爾蒂斯的彩旗嗎？")</f>
        <v>@JMastrodonato 所以問題是：你會像你的運動寫作前輩碾壓威廉斯一樣碾壓奧爾蒂斯的彩旗嗎？</v>
      </c>
      <c r="G4447" s="4" t="str">
        <f>IFERROR(__xludf.DUMMYFUNCTION("GOOGLETRANSLATE(B4447)"),"碎")</f>
        <v>碎</v>
      </c>
    </row>
    <row r="4448" ht="15.75" customHeight="1">
      <c r="A4448" s="4">
        <v>2728.0</v>
      </c>
      <c r="B4448" s="4" t="s">
        <v>1195</v>
      </c>
      <c r="C4448" s="4" t="s">
        <v>6596</v>
      </c>
      <c r="D4448" s="4" t="s">
        <v>6597</v>
      </c>
      <c r="E4448" s="4">
        <v>0.0</v>
      </c>
      <c r="F4448" s="4" t="str">
        <f>IFERROR(__xludf.DUMMYFUNCTION("GOOGLETRANSLATE(D4448)"),"@CBSBigBrother ouch Clelli...你幾乎可以聽到他們的希望和夢想被粉碎！")</f>
        <v>@CBSBigBrother ouch Clelli...你幾乎可以聽到他們的希望和夢想被粉碎！</v>
      </c>
      <c r="G4448" s="4" t="str">
        <f>IFERROR(__xludf.DUMMYFUNCTION("GOOGLETRANSLATE(B4448)"),"碎")</f>
        <v>碎</v>
      </c>
    </row>
    <row r="4449" ht="15.75" customHeight="1">
      <c r="A4449" s="4">
        <v>2729.0</v>
      </c>
      <c r="B4449" s="4" t="s">
        <v>1195</v>
      </c>
      <c r="C4449" s="4" t="s">
        <v>6598</v>
      </c>
      <c r="D4449" s="4" t="s">
        <v>6599</v>
      </c>
      <c r="E4449" s="4">
        <v>0.0</v>
      </c>
      <c r="F4449" s="4" t="str">
        <f>IFERROR(__xludf.DUMMYFUNCTION("GOOGLETRANSLATE(D4449)"),"天哪，那顆球他媽的被壓碎了！！ ＃藍鳥")</f>
        <v>天哪，那顆球他媽的被壓碎了！！ ＃藍鳥</v>
      </c>
      <c r="G4449" s="4" t="str">
        <f>IFERROR(__xludf.DUMMYFUNCTION("GOOGLETRANSLATE(B4449)"),"碎")</f>
        <v>碎</v>
      </c>
    </row>
    <row r="4450" ht="15.75" customHeight="1">
      <c r="A4450" s="4">
        <v>2730.0</v>
      </c>
      <c r="B4450" s="4" t="s">
        <v>1195</v>
      </c>
      <c r="C4450" s="4" t="s">
        <v>6600</v>
      </c>
      <c r="D4450" s="4" t="s">
        <v>6601</v>
      </c>
      <c r="E4450" s="4">
        <v>0.0</v>
      </c>
      <c r="F4450" s="4" t="str">
        <f>IFERROR(__xludf.DUMMYFUNCTION("GOOGLETRANSLATE(D4450)"),"我使用 Nike+ SportWatch GPS 以 5 英尺 41 英尺的速度跑完了 3.1 公里。 #nikeplus：http://t.co/A3dSmbqkwu")</f>
        <v>我使用 Nike+ SportWatch GPS 以 5 英尺 41 英尺的速度跑完了 3.1 公里。 #nikeplus：http://t.co/A3dSmbqkwu</v>
      </c>
      <c r="G4450" s="4" t="str">
        <f>IFERROR(__xludf.DUMMYFUNCTION("GOOGLETRANSLATE(B4450)"),"碎")</f>
        <v>碎</v>
      </c>
    </row>
    <row r="4451" ht="15.75" customHeight="1">
      <c r="A4451" s="4">
        <v>2731.0</v>
      </c>
      <c r="B4451" s="4" t="s">
        <v>1195</v>
      </c>
      <c r="C4451" s="4" t="s">
        <v>6602</v>
      </c>
      <c r="D4451" s="4" t="s">
        <v>6603</v>
      </c>
      <c r="E4451" s="4">
        <v>0.0</v>
      </c>
      <c r="F4451" s="4" t="str">
        <f>IFERROR(__xludf.DUMMYFUNCTION("GOOGLETRANSLATE(D4451)"),"Papi徹底擊碎了那顆球")</f>
        <v>Papi徹底擊碎了那顆球</v>
      </c>
      <c r="G4451" s="4" t="str">
        <f>IFERROR(__xludf.DUMMYFUNCTION("GOOGLETRANSLATE(B4451)"),"碎")</f>
        <v>碎</v>
      </c>
    </row>
    <row r="4452" ht="15.75" customHeight="1">
      <c r="A4452" s="4">
        <v>2732.0</v>
      </c>
      <c r="B4452" s="4" t="s">
        <v>1195</v>
      </c>
      <c r="C4452" s="4" t="s">
        <v>6604</v>
      </c>
      <c r="D4452" s="4" t="s">
        <v>6605</v>
      </c>
      <c r="E4452" s="4">
        <v>0.0</v>
      </c>
      <c r="F4452" s="4" t="str">
        <f>IFERROR(__xludf.DUMMYFUNCTION("GOOGLETRANSLATE(D4452)"),"今晚跑了6英哩。驚人的")</f>
        <v>今晚跑了6英哩。驚人的</v>
      </c>
      <c r="G4452" s="4" t="str">
        <f>IFERROR(__xludf.DUMMYFUNCTION("GOOGLETRANSLATE(B4452)"),"碎")</f>
        <v>碎</v>
      </c>
    </row>
    <row r="4453" ht="15.75" customHeight="1">
      <c r="A4453" s="4">
        <v>2733.0</v>
      </c>
      <c r="B4453" s="4" t="s">
        <v>1195</v>
      </c>
      <c r="C4453" s="4" t="s">
        <v>6606</v>
      </c>
      <c r="D4453" s="4" t="s">
        <v>6607</v>
      </c>
      <c r="E4453" s="4">
        <v>0.0</v>
      </c>
      <c r="F4453" s="4" t="str">
        <f>IFERROR(__xludf.DUMMYFUNCTION("GOOGLETRANSLATE(D4453)"),"總結 2-美國迪士尼令人失望後，有線電視公司股價暴跌 http://t.co/jFJLbF40To")</f>
        <v>總結 2-美國迪士尼令人失望後，有線電視公司股價暴跌 http://t.co/jFJLbF40To</v>
      </c>
      <c r="G4453" s="4" t="str">
        <f>IFERROR(__xludf.DUMMYFUNCTION("GOOGLETRANSLATE(B4453)"),"碎")</f>
        <v>碎</v>
      </c>
    </row>
    <row r="4454" ht="15.75" customHeight="1">
      <c r="A4454" s="4">
        <v>2734.0</v>
      </c>
      <c r="B4454" s="4" t="s">
        <v>1195</v>
      </c>
      <c r="C4454" s="4" t="s">
        <v>6608</v>
      </c>
      <c r="D4454" s="4" t="s">
        <v>6609</v>
      </c>
      <c r="E4454" s="4">
        <v>0.0</v>
      </c>
      <c r="F4454" s="4" t="str">
        <f>IFERROR(__xludf.DUMMYFUNCTION("GOOGLETRANSLATE(D4454)"),"油價下跌，但司機可以獲得好處 http://t.co/QlTwhoJqYA")</f>
        <v>油價下跌，但司機可以獲得好處 http://t.co/QlTwhoJqYA</v>
      </c>
      <c r="G4454" s="4" t="str">
        <f>IFERROR(__xludf.DUMMYFUNCTION("GOOGLETRANSLATE(B4454)"),"碎")</f>
        <v>碎</v>
      </c>
    </row>
    <row r="4455" ht="15.75" customHeight="1">
      <c r="A4455" s="4">
        <v>2736.0</v>
      </c>
      <c r="B4455" s="4" t="s">
        <v>1195</v>
      </c>
      <c r="C4455" s="4" t="s">
        <v>6610</v>
      </c>
      <c r="D4455" s="4" t="s">
        <v>6611</v>
      </c>
      <c r="E4455" s="4">
        <v>0.0</v>
      </c>
      <c r="F4455" s="4" t="str">
        <f>IFERROR(__xludf.DUMMYFUNCTION("GOOGLETRANSLATE(D4455)"),"我使用 Nike+ SportWatch GPS 以 7 英尺 46 英尺的速度跑完了 11.2 公里。 #nikeplus：http://t.co/7d7VweQ3eS")</f>
        <v>我使用 Nike+ SportWatch GPS 以 7 英尺 46 英尺的速度跑完了 11.2 公里。 #nikeplus：http://t.co/7d7VweQ3eS</v>
      </c>
      <c r="G4455" s="4" t="str">
        <f>IFERROR(__xludf.DUMMYFUNCTION("GOOGLETRANSLATE(B4455)"),"碎")</f>
        <v>碎</v>
      </c>
    </row>
    <row r="4456" ht="15.75" customHeight="1">
      <c r="A4456" s="4">
        <v>2739.0</v>
      </c>
      <c r="B4456" s="4" t="s">
        <v>1195</v>
      </c>
      <c r="C4456" s="4" t="s">
        <v>94</v>
      </c>
      <c r="D4456" s="4" t="s">
        <v>6612</v>
      </c>
      <c r="E4456" s="4">
        <v>0.0</v>
      </c>
      <c r="F4456" s="4" t="str">
        <f>IFERROR(__xludf.DUMMYFUNCTION("GOOGLETRANSLATE(D4456)"),"尼克威廉斯剛剛又擊中了一枚炸彈。剛剛壓碎了它")</f>
        <v>尼克威廉斯剛剛又擊中了一枚炸彈。剛剛壓碎了它</v>
      </c>
      <c r="G4456" s="4" t="str">
        <f>IFERROR(__xludf.DUMMYFUNCTION("GOOGLETRANSLATE(B4456)"),"碎")</f>
        <v>碎</v>
      </c>
    </row>
    <row r="4457" ht="15.75" customHeight="1">
      <c r="A4457" s="4">
        <v>2741.0</v>
      </c>
      <c r="B4457" s="4" t="s">
        <v>1195</v>
      </c>
      <c r="D4457" s="4" t="s">
        <v>6613</v>
      </c>
      <c r="E4457" s="4">
        <v>0.0</v>
      </c>
      <c r="F4457" s="4" t="str">
        <f>IFERROR(__xludf.DUMMYFUNCTION("GOOGLETRANSLATE(D4457)"),"#AyekoRadio 玩 Brasswork Agency - Crushed and Shaken http://t.co/Qh5axvhWH5 #Radio #NetLabel #ElectronicMusic #listen #CCMusic")</f>
        <v>#AyekoRadio 玩 Brasswork Agency - Crushed and Shaken http://t.co/Qh5axvhWH5 #Radio #NetLabel #ElectronicMusic #listen #CCMusic</v>
      </c>
      <c r="G4457" s="4" t="str">
        <f>IFERROR(__xludf.DUMMYFUNCTION("GOOGLETRANSLATE(B4457)"),"碎")</f>
        <v>碎</v>
      </c>
    </row>
    <row r="4458" ht="15.75" customHeight="1">
      <c r="A4458" s="4">
        <v>2744.0</v>
      </c>
      <c r="B4458" s="4" t="s">
        <v>1195</v>
      </c>
      <c r="C4458" s="4" t="s">
        <v>3702</v>
      </c>
      <c r="D4458" s="4" t="s">
        <v>6614</v>
      </c>
      <c r="E4458" s="4">
        <v>0.0</v>
      </c>
      <c r="F4458" s="4" t="str">
        <f>IFERROR(__xludf.DUMMYFUNCTION("GOOGLETRANSLATE(D4458)"),"主角幻想破滅
查看
快樂，幸運，自由精神的女孩
查看
夢想生活破滅
查看
好聽的音樂
查看
所有克勞比喻都完好無損")</f>
        <v>主角幻想破滅
查看
快樂，幸運，自由精神的女孩
查看
夢想生活破滅
查看
好聽的音樂
查看
所有克勞比喻都完好無損</v>
      </c>
      <c r="G4458" s="4" t="str">
        <f>IFERROR(__xludf.DUMMYFUNCTION("GOOGLETRANSLATE(B4458)"),"碎")</f>
        <v>碎</v>
      </c>
    </row>
    <row r="4459" ht="15.75" customHeight="1">
      <c r="A4459" s="4">
        <v>2748.0</v>
      </c>
      <c r="B4459" s="4" t="s">
        <v>1195</v>
      </c>
      <c r="C4459" s="4" t="s">
        <v>6615</v>
      </c>
      <c r="D4459" s="4" t="s">
        <v>6616</v>
      </c>
      <c r="E4459" s="4">
        <v>0.0</v>
      </c>
      <c r="F4459" s="4" t="str">
        <f>IFERROR(__xludf.DUMMYFUNCTION("GOOGLETRANSLATE(D4459)"),"還記得諾拉瓊斯如何在兩週通知中粉碎它嗎？")</f>
        <v>還記得諾拉瓊斯如何在兩週通知中粉碎它嗎？</v>
      </c>
      <c r="G4459" s="4" t="str">
        <f>IFERROR(__xludf.DUMMYFUNCTION("GOOGLETRANSLATE(B4459)"),"碎")</f>
        <v>碎</v>
      </c>
    </row>
    <row r="4460" ht="15.75" customHeight="1">
      <c r="A4460" s="4">
        <v>2749.0</v>
      </c>
      <c r="B4460" s="4" t="s">
        <v>1195</v>
      </c>
      <c r="C4460" s="4" t="s">
        <v>3704</v>
      </c>
      <c r="D4460" s="4" t="s">
        <v>6617</v>
      </c>
      <c r="E4460" s="4">
        <v>0.0</v>
      </c>
      <c r="F4460" s="4" t="str">
        <f>IFERROR(__xludf.DUMMYFUNCTION("GOOGLETRANSLATE(D4460)"),"帝國大道如何粉碎我的靈魂 http://t.co/X9OFV1kMv7 來自 @markwschaefer")</f>
        <v>帝國大道如何粉碎我的靈魂 http://t.co/X9OFV1kMv7 來自 @markwschaefer</v>
      </c>
      <c r="G4460" s="4" t="str">
        <f>IFERROR(__xludf.DUMMYFUNCTION("GOOGLETRANSLATE(B4460)"),"碎")</f>
        <v>碎</v>
      </c>
    </row>
    <row r="4461" ht="15.75" customHeight="1">
      <c r="A4461" s="4">
        <v>2752.0</v>
      </c>
      <c r="B4461" s="4" t="s">
        <v>1195</v>
      </c>
      <c r="C4461" s="4" t="s">
        <v>6618</v>
      </c>
      <c r="D4461" s="4" t="s">
        <v>6619</v>
      </c>
      <c r="E4461" s="4">
        <v>0.0</v>
      </c>
      <c r="F4461" s="4" t="str">
        <f>IFERROR(__xludf.DUMMYFUNCTION("GOOGLETRANSLATE(D4461)"),"'13 M. Chapoutier Crozes Hermitage 這麼多紫色紫羅蘭石板碎礫石白胡椒。百勝#france #wine #DC http://t.co/skvWN38HZ7")</f>
        <v>'13 M. Chapoutier Crozes Hermitage 這麼多紫色紫羅蘭石板碎礫石白胡椒。百勝#france #wine #DC http://t.co/skvWN38HZ7</v>
      </c>
      <c r="G4461" s="4" t="str">
        <f>IFERROR(__xludf.DUMMYFUNCTION("GOOGLETRANSLATE(B4461)"),"碎")</f>
        <v>碎</v>
      </c>
    </row>
    <row r="4462" ht="15.75" customHeight="1">
      <c r="A4462" s="4">
        <v>2753.0</v>
      </c>
      <c r="B4462" s="4" t="s">
        <v>1202</v>
      </c>
      <c r="D4462" s="4" t="s">
        <v>6620</v>
      </c>
      <c r="E4462" s="4">
        <v>0.0</v>
      </c>
      <c r="F4462" s="4" t="str">
        <f>IFERROR(__xludf.DUMMYFUNCTION("GOOGLETRANSLATE(D4462)"),"@TheComedyQuote @50ShadezOfGrey 口渴沒有宵禁???????????? @P45佩雷斯")</f>
        <v>@TheComedyQuote @50ShadezOfGrey 口渴沒有宵禁???????????? @P45佩雷斯</v>
      </c>
      <c r="G4462" s="4" t="str">
        <f>IFERROR(__xludf.DUMMYFUNCTION("GOOGLETRANSLATE(B4462)"),"宵禁")</f>
        <v>宵禁</v>
      </c>
    </row>
    <row r="4463" ht="15.75" customHeight="1">
      <c r="A4463" s="4">
        <v>2756.0</v>
      </c>
      <c r="B4463" s="4" t="s">
        <v>1202</v>
      </c>
      <c r="D4463" s="4" t="s">
        <v>6621</v>
      </c>
      <c r="E4463" s="4">
        <v>0.0</v>
      </c>
      <c r="F4463" s="4" t="str">
        <f>IFERROR(__xludf.DUMMYFUNCTION("GOOGLETRANSLATE(D4463)"),"@keampurley 口渴沒有宵禁")</f>
        <v>@keampurley 口渴沒有宵禁</v>
      </c>
      <c r="G4463" s="4" t="str">
        <f>IFERROR(__xludf.DUMMYFUNCTION("GOOGLETRANSLATE(B4463)"),"宵禁")</f>
        <v>宵禁</v>
      </c>
    </row>
    <row r="4464" ht="15.75" customHeight="1">
      <c r="A4464" s="4">
        <v>2757.0</v>
      </c>
      <c r="B4464" s="4" t="s">
        <v>1202</v>
      </c>
      <c r="D4464" s="4" t="s">
        <v>6622</v>
      </c>
      <c r="E4464" s="4">
        <v>0.0</v>
      </c>
      <c r="F4464" s="4" t="str">
        <f>IFERROR(__xludf.DUMMYFUNCTION("GOOGLETRANSLATE(D4464)"),"事實上我有宵禁")</f>
        <v>事實上我有宵禁</v>
      </c>
      <c r="G4464" s="4" t="str">
        <f>IFERROR(__xludf.DUMMYFUNCTION("GOOGLETRANSLATE(B4464)"),"宵禁")</f>
        <v>宵禁</v>
      </c>
    </row>
    <row r="4465" ht="15.75" customHeight="1">
      <c r="A4465" s="4">
        <v>2758.0</v>
      </c>
      <c r="B4465" s="4" t="s">
        <v>1202</v>
      </c>
      <c r="C4465" s="4" t="s">
        <v>6623</v>
      </c>
      <c r="D4465" s="4" t="s">
        <v>6624</v>
      </c>
      <c r="E4465" s="4">
        <v>0.0</v>
      </c>
      <c r="F4465" s="4" t="str">
        <f>IFERROR(__xludf.DUMMYFUNCTION("GOOGLETRANSLATE(D4465)"),"@米歇爾？？閉嘴，新生，你的宵禁已經過去了。你需要睡覺！你花了太多時間看電視而不是出去？")</f>
        <v>@米歇爾？？閉嘴，新生，你的宵禁已經過去了。你需要睡覺！你花了太多時間看電視而不是出去？</v>
      </c>
      <c r="G4465" s="4" t="str">
        <f>IFERROR(__xludf.DUMMYFUNCTION("GOOGLETRANSLATE(B4465)"),"宵禁")</f>
        <v>宵禁</v>
      </c>
    </row>
    <row r="4466" ht="15.75" customHeight="1">
      <c r="A4466" s="4">
        <v>2759.0</v>
      </c>
      <c r="B4466" s="4" t="s">
        <v>1202</v>
      </c>
      <c r="C4466" s="4" t="s">
        <v>2811</v>
      </c>
      <c r="D4466" s="4" t="s">
        <v>6625</v>
      </c>
      <c r="E4466" s="4">
        <v>0.0</v>
      </c>
      <c r="F4466" s="4" t="str">
        <f>IFERROR(__xludf.DUMMYFUNCTION("GOOGLETRANSLATE(D4466)"),"校園裡有宵禁嗎？
在這裡找到：https://t.co/y8OrqaPwrk http://t.co/eJRme49rkD")</f>
        <v>校園裡有宵禁嗎？
在這裡找到：https://t.co/y8OrqaPwrk http://t.co/eJRme49rkD</v>
      </c>
      <c r="G4466" s="4" t="str">
        <f>IFERROR(__xludf.DUMMYFUNCTION("GOOGLETRANSLATE(B4466)"),"宵禁")</f>
        <v>宵禁</v>
      </c>
    </row>
    <row r="4467" ht="15.75" customHeight="1">
      <c r="A4467" s="4">
        <v>2761.0</v>
      </c>
      <c r="B4467" s="4" t="s">
        <v>1202</v>
      </c>
      <c r="D4467" s="4" t="s">
        <v>6626</v>
      </c>
      <c r="E4467" s="4">
        <v>0.0</v>
      </c>
      <c r="F4467" s="4" t="str">
        <f>IFERROR(__xludf.DUMMYFUNCTION("GOOGLETRANSLATE(D4467)"),"由於某種原因，我一遍又一遍地聽著宵禁加班，並被困在柯達中")</f>
        <v>由於某種原因，我一遍又一遍地聽著宵禁加班，並被困在柯達中</v>
      </c>
      <c r="G4467" s="4" t="str">
        <f>IFERROR(__xludf.DUMMYFUNCTION("GOOGLETRANSLATE(B4467)"),"宵禁")</f>
        <v>宵禁</v>
      </c>
    </row>
    <row r="4468" ht="15.75" customHeight="1">
      <c r="A4468" s="4">
        <v>2763.0</v>
      </c>
      <c r="B4468" s="4" t="s">
        <v>1202</v>
      </c>
      <c r="C4468" s="4" t="s">
        <v>6627</v>
      </c>
      <c r="D4468" s="4" t="s">
        <v>6628</v>
      </c>
      <c r="E4468" s="4">
        <v>0.0</v>
      </c>
      <c r="F4468" s="4" t="str">
        <f>IFERROR(__xludf.DUMMYFUNCTION("GOOGLETRANSLATE(D4468)"),"@BOBBYXFISHER 我應該給他宵禁")</f>
        <v>@BOBBYXFISHER 我應該給他宵禁</v>
      </c>
      <c r="G4468" s="4" t="str">
        <f>IFERROR(__xludf.DUMMYFUNCTION("GOOGLETRANSLATE(B4468)"),"宵禁")</f>
        <v>宵禁</v>
      </c>
    </row>
    <row r="4469" ht="15.75" customHeight="1">
      <c r="A4469" s="4">
        <v>2765.0</v>
      </c>
      <c r="B4469" s="4" t="s">
        <v>1202</v>
      </c>
      <c r="C4469" s="4" t="s">
        <v>6629</v>
      </c>
      <c r="D4469" s="4" t="s">
        <v>6630</v>
      </c>
      <c r="E4469" s="4">
        <v>0.0</v>
      </c>
      <c r="F4469" s="4" t="str">
        <f>IFERROR(__xludf.DUMMYFUNCTION("GOOGLETRANSLATE(D4469)"),"宵禁確實有幫助如果你想想...#BC")</f>
        <v>宵禁確實有幫助如果你想想...#BC</v>
      </c>
      <c r="G4469" s="4" t="str">
        <f>IFERROR(__xludf.DUMMYFUNCTION("GOOGLETRANSLATE(B4469)"),"宵禁")</f>
        <v>宵禁</v>
      </c>
    </row>
    <row r="4470" ht="15.75" customHeight="1">
      <c r="A4470" s="4">
        <v>2766.0</v>
      </c>
      <c r="B4470" s="4" t="s">
        <v>1202</v>
      </c>
      <c r="C4470" s="4" t="s">
        <v>6631</v>
      </c>
      <c r="D4470" s="4" t="s">
        <v>6632</v>
      </c>
      <c r="E4470" s="4">
        <v>0.0</v>
      </c>
      <c r="F4470" s="4" t="str">
        <f>IFERROR(__xludf.DUMMYFUNCTION("GOOGLETRANSLATE(D4470)"),"ExOfficio 男士平角內褲 Curfew 大號 http://t.co/acb0ryeNuo")</f>
        <v>ExOfficio 男士平角內褲 Curfew 大號 http://t.co/acb0ryeNuo</v>
      </c>
      <c r="G4470" s="4" t="str">
        <f>IFERROR(__xludf.DUMMYFUNCTION("GOOGLETRANSLATE(B4470)"),"宵禁")</f>
        <v>宵禁</v>
      </c>
    </row>
    <row r="4471" ht="15.75" customHeight="1">
      <c r="A4471" s="4">
        <v>2767.0</v>
      </c>
      <c r="B4471" s="4" t="s">
        <v>1202</v>
      </c>
      <c r="C4471" s="4" t="s">
        <v>6633</v>
      </c>
      <c r="D4471" s="4" t="s">
        <v>6634</v>
      </c>
      <c r="E4471" s="4">
        <v>0.0</v>
      </c>
      <c r="F4471" s="4" t="str">
        <f>IFERROR(__xludf.DUMMYFUNCTION("GOOGLETRANSLATE(D4471)"),"資訊 S.WND：030/6。 CLD：SCT014 BKN032。 EXP 安裝 APCH。 RWY 05. 2030 年之前實施宵禁 Z. 滑行道 FOXTROT 5 和 RWY 05。狐步 6 導航。 TMP：10。")</f>
        <v>資訊 S.WND：030/6。 CLD：SCT014 BKN032。 EXP 安裝 APCH。 RWY 05. 2030 年之前實施宵禁 Z. 滑行道 FOXTROT 5 和 RWY 05。狐步 6 導航。 TMP：10。</v>
      </c>
      <c r="G4471" s="4" t="str">
        <f>IFERROR(__xludf.DUMMYFUNCTION("GOOGLETRANSLATE(B4471)"),"宵禁")</f>
        <v>宵禁</v>
      </c>
    </row>
    <row r="4472" ht="15.75" customHeight="1">
      <c r="A4472" s="4">
        <v>2768.0</v>
      </c>
      <c r="B4472" s="4" t="s">
        <v>1202</v>
      </c>
      <c r="D4472" s="4" t="s">
        <v>6635</v>
      </c>
      <c r="E4472" s="4">
        <v>0.0</v>
      </c>
      <c r="F4472" s="4" t="str">
        <f>IFERROR(__xludf.DUMMYFUNCTION("GOOGLETRANSLATE(D4472)"),"@emaaalay 謝謝。 ??現在我沒有全市範圍的宵禁。 ????")</f>
        <v>@emaaalay 謝謝。 ??現在我沒有全市範圍的宵禁。 ????</v>
      </c>
      <c r="G4472" s="4" t="str">
        <f>IFERROR(__xludf.DUMMYFUNCTION("GOOGLETRANSLATE(B4472)"),"宵禁")</f>
        <v>宵禁</v>
      </c>
    </row>
    <row r="4473" ht="15.75" customHeight="1">
      <c r="A4473" s="4">
        <v>2769.0</v>
      </c>
      <c r="B4473" s="4" t="s">
        <v>1202</v>
      </c>
      <c r="D4473" s="4" t="s">
        <v>6636</v>
      </c>
      <c r="E4473" s="4">
        <v>0.0</v>
      </c>
      <c r="F4473" s="4" t="str">
        <f>IFERROR(__xludf.DUMMYFUNCTION("GOOGLETRANSLATE(D4473)"),"她只是說他有宵禁「沒有」？")</f>
        <v>她只是說他有宵禁「沒有」？</v>
      </c>
      <c r="G4473" s="4" t="str">
        <f>IFERROR(__xludf.DUMMYFUNCTION("GOOGLETRANSLATE(B4473)"),"宵禁")</f>
        <v>宵禁</v>
      </c>
    </row>
    <row r="4474" ht="15.75" customHeight="1">
      <c r="A4474" s="4">
        <v>2770.0</v>
      </c>
      <c r="B4474" s="4" t="s">
        <v>1202</v>
      </c>
      <c r="C4474" s="4" t="s">
        <v>6637</v>
      </c>
      <c r="D4474" s="4" t="s">
        <v>6638</v>
      </c>
      <c r="E4474" s="4">
        <v>0.0</v>
      </c>
      <c r="F4474" s="4" t="str">
        <f>IFERROR(__xludf.DUMMYFUNCTION("GOOGLETRANSLATE(D4474)"),"她的宵禁將在她的私人課程結束後立即開始。導師必須是女性，最好是50歲以上。")</f>
        <v>她的宵禁將在她的私人課程結束後立即開始。導師必須是女性，最好是50歲以上。</v>
      </c>
      <c r="G4474" s="4" t="str">
        <f>IFERROR(__xludf.DUMMYFUNCTION("GOOGLETRANSLATE(B4474)"),"宵禁")</f>
        <v>宵禁</v>
      </c>
    </row>
    <row r="4475" ht="15.75" customHeight="1">
      <c r="A4475" s="4">
        <v>2771.0</v>
      </c>
      <c r="B4475" s="4" t="s">
        <v>1202</v>
      </c>
      <c r="D4475" s="4" t="s">
        <v>6639</v>
      </c>
      <c r="E4475" s="4">
        <v>0.0</v>
      </c>
      <c r="F4475" s="4" t="str">
        <f>IFERROR(__xludf.DUMMYFUNCTION("GOOGLETRANSLATE(D4475)"),"@aptly_engineerd 沒有這樣的宵禁。")</f>
        <v>@aptly_engineerd 沒有這樣的宵禁。</v>
      </c>
      <c r="G4475" s="4" t="str">
        <f>IFERROR(__xludf.DUMMYFUNCTION("GOOGLETRANSLATE(B4475)"),"宵禁")</f>
        <v>宵禁</v>
      </c>
    </row>
    <row r="4476" ht="15.75" customHeight="1">
      <c r="A4476" s="4">
        <v>2773.0</v>
      </c>
      <c r="B4476" s="4" t="s">
        <v>1202</v>
      </c>
      <c r="C4476" s="4" t="s">
        <v>6640</v>
      </c>
      <c r="D4476" s="4" t="s">
        <v>6641</v>
      </c>
      <c r="E4476" s="4">
        <v>0.0</v>
      </c>
      <c r="F4476" s="4" t="str">
        <f>IFERROR(__xludf.DUMMYFUNCTION("GOOGLETRANSLATE(D4476)"),"已經過了宵禁時間
我們在格羅夫")</f>
        <v>已經過了宵禁時間
我們在格羅夫</v>
      </c>
      <c r="G4476" s="4" t="str">
        <f>IFERROR(__xludf.DUMMYFUNCTION("GOOGLETRANSLATE(B4476)"),"宵禁")</f>
        <v>宵禁</v>
      </c>
    </row>
    <row r="4477" ht="15.75" customHeight="1">
      <c r="A4477" s="4">
        <v>2777.0</v>
      </c>
      <c r="B4477" s="4" t="s">
        <v>1202</v>
      </c>
      <c r="C4477" s="4" t="s">
        <v>6642</v>
      </c>
      <c r="D4477" s="4" t="s">
        <v>6643</v>
      </c>
      <c r="E4477" s="4">
        <v>0.0</v>
      </c>
      <c r="F4477" s="4" t="str">
        <f>IFERROR(__xludf.DUMMYFUNCTION("GOOGLETRANSLATE(D4477)"),"@Reddakushgodd 她說幾個月。但我有外出時間的宵禁 smfh")</f>
        <v>@Reddakushgodd 她說幾個月。但我有外出時間的宵禁 smfh</v>
      </c>
      <c r="G4477" s="4" t="str">
        <f>IFERROR(__xludf.DUMMYFUNCTION("GOOGLETRANSLATE(B4477)"),"宵禁")</f>
        <v>宵禁</v>
      </c>
    </row>
    <row r="4478" ht="15.75" customHeight="1">
      <c r="A4478" s="4">
        <v>2778.0</v>
      </c>
      <c r="B4478" s="4" t="s">
        <v>1202</v>
      </c>
      <c r="C4478" s="4" t="s">
        <v>6644</v>
      </c>
      <c r="D4478" s="4" t="s">
        <v>6645</v>
      </c>
      <c r="E4478" s="4">
        <v>0.0</v>
      </c>
      <c r="F4478" s="4" t="str">
        <f>IFERROR(__xludf.DUMMYFUNCTION("GOOGLETRANSLATE(D4478)"),"球沒有宵禁 https://t.co/SG1FTKaEgq")</f>
        <v>球沒有宵禁 https://t.co/SG1FTKaEgq</v>
      </c>
      <c r="G4478" s="4" t="str">
        <f>IFERROR(__xludf.DUMMYFUNCTION("GOOGLETRANSLATE(B4478)"),"宵禁")</f>
        <v>宵禁</v>
      </c>
    </row>
    <row r="4479" ht="15.75" customHeight="1">
      <c r="A4479" s="4">
        <v>2783.0</v>
      </c>
      <c r="B4479" s="4" t="s">
        <v>1202</v>
      </c>
      <c r="C4479" s="4" t="s">
        <v>6646</v>
      </c>
      <c r="D4479" s="4" t="s">
        <v>6647</v>
      </c>
      <c r="E4479" s="4">
        <v>0.0</v>
      </c>
      <c r="F4479" s="4" t="str">
        <f>IFERROR(__xludf.DUMMYFUNCTION("GOOGLETRANSLATE(D4479)"),"@DavisKawalya 我知道@Mauryn143 將會向爺爺做最後的告別，正如新聞中所見，《RiP Me》？始終對想法持開放態度，但可能會實施宵禁")</f>
        <v>@DavisKawalya 我知道@Mauryn143 將會向爺爺做最後的告別，正如新聞中所見，《RiP Me》？始終對想法持開放態度，但可能會實施宵禁</v>
      </c>
      <c r="G4479" s="4" t="str">
        <f>IFERROR(__xludf.DUMMYFUNCTION("GOOGLETRANSLATE(B4479)"),"宵禁")</f>
        <v>宵禁</v>
      </c>
    </row>
    <row r="4480" ht="15.75" customHeight="1">
      <c r="A4480" s="4">
        <v>2784.0</v>
      </c>
      <c r="B4480" s="4" t="s">
        <v>1202</v>
      </c>
      <c r="D4480" s="4" t="s">
        <v>6648</v>
      </c>
      <c r="E4480" s="4">
        <v>0.0</v>
      </c>
      <c r="F4480" s="4" t="str">
        <f>IFERROR(__xludf.DUMMYFUNCTION("GOOGLETRANSLATE(D4480)"),"人們確實仍然在實施宵禁，即使他們已經 18 或 18 歲了。高中畢業了？？")</f>
        <v>人們確實仍然在實施宵禁，即使他們已經 18 或 18 歲了。高中畢業了？？</v>
      </c>
      <c r="G4480" s="4" t="str">
        <f>IFERROR(__xludf.DUMMYFUNCTION("GOOGLETRANSLATE(B4480)"),"宵禁")</f>
        <v>宵禁</v>
      </c>
    </row>
    <row r="4481" ht="15.75" customHeight="1">
      <c r="A4481" s="4">
        <v>2785.0</v>
      </c>
      <c r="B4481" s="4" t="s">
        <v>1202</v>
      </c>
      <c r="C4481" s="4" t="s">
        <v>6649</v>
      </c>
      <c r="D4481" s="4" t="s">
        <v>6650</v>
      </c>
      <c r="E4481" s="4">
        <v>0.0</v>
      </c>
      <c r="F4481" s="4" t="str">
        <f>IFERROR(__xludf.DUMMYFUNCTION("GOOGLETRANSLATE(D4481)"),"@stupid_niggr 我要告訴你媽媽你已經過了宵禁了")</f>
        <v>@stupid_niggr 我要告訴你媽媽你已經過了宵禁了</v>
      </c>
      <c r="G4481" s="4" t="str">
        <f>IFERROR(__xludf.DUMMYFUNCTION("GOOGLETRANSLATE(B4481)"),"宵禁")</f>
        <v>宵禁</v>
      </c>
    </row>
    <row r="4482" ht="15.75" customHeight="1">
      <c r="A4482" s="4">
        <v>2786.0</v>
      </c>
      <c r="B4482" s="4" t="s">
        <v>1202</v>
      </c>
      <c r="C4482" s="4" t="s">
        <v>6651</v>
      </c>
      <c r="D4482" s="4" t="s">
        <v>6652</v>
      </c>
      <c r="E4482" s="4">
        <v>0.0</v>
      </c>
      <c r="F4482" s="4" t="str">
        <f>IFERROR(__xludf.DUMMYFUNCTION("GOOGLETRANSLATE(D4482)"),"不得不取消我的貓醫生預約，因為她決定出去玩，不在宵禁前回家...")</f>
        <v>不得不取消我的貓醫生預約，因為她決定出去玩，不在宵禁前回家...</v>
      </c>
      <c r="G4482" s="4" t="str">
        <f>IFERROR(__xludf.DUMMYFUNCTION("GOOGLETRANSLATE(B4482)"),"宵禁")</f>
        <v>宵禁</v>
      </c>
    </row>
    <row r="4483" ht="15.75" customHeight="1">
      <c r="A4483" s="4">
        <v>2787.0</v>
      </c>
      <c r="B4483" s="4" t="s">
        <v>1202</v>
      </c>
      <c r="C4483" s="4" t="s">
        <v>6633</v>
      </c>
      <c r="D4483" s="4" t="s">
        <v>6653</v>
      </c>
      <c r="E4483" s="4">
        <v>0.0</v>
      </c>
      <c r="F4483" s="4" t="str">
        <f>IFERROR(__xludf.DUMMYFUNCTION("GOOGLETRANSLATE(D4483)"),"資訊 R. 2030 年之前實施宵禁 Z. 滑行道 FOXTROT 5 和 FOXTROT 5狐步 6 導航。 WND：060/5。 EXP 安裝 APCH。 RWY 05. 潮濕。 TMP：10。QNH：1028。")</f>
        <v>資訊 R. 2030 年之前實施宵禁 Z. 滑行道 FOXTROT 5 和 FOXTROT 5狐步 6 導航。 WND：060/5。 EXP 安裝 APCH。 RWY 05. 潮濕。 TMP：10。QNH：1028。</v>
      </c>
      <c r="G4483" s="4" t="str">
        <f>IFERROR(__xludf.DUMMYFUNCTION("GOOGLETRANSLATE(B4483)"),"宵禁")</f>
        <v>宵禁</v>
      </c>
    </row>
    <row r="4484" ht="15.75" customHeight="1">
      <c r="A4484" s="4">
        <v>2788.0</v>
      </c>
      <c r="B4484" s="4" t="s">
        <v>1202</v>
      </c>
      <c r="C4484" s="4" t="s">
        <v>289</v>
      </c>
      <c r="D4484" s="4" t="s">
        <v>6654</v>
      </c>
      <c r="E4484" s="4">
        <v>0.0</v>
      </c>
      <c r="F4484" s="4" t="str">
        <f>IFERROR(__xludf.DUMMYFUNCTION("GOOGLETRANSLATE(D4484)"),"但沒有謊言。有時成為最年長的人是值得的。就像第一個拿到車並且沒有宵禁一樣。 #自由#donthate")</f>
        <v>但沒有謊言。有時成為最年長的人是值得的。就像第一個拿到車並且沒有宵禁一樣。 #自由#donthate</v>
      </c>
      <c r="G4484" s="4" t="str">
        <f>IFERROR(__xludf.DUMMYFUNCTION("GOOGLETRANSLATE(B4484)"),"宵禁")</f>
        <v>宵禁</v>
      </c>
    </row>
    <row r="4485" ht="15.75" customHeight="1">
      <c r="A4485" s="4">
        <v>2792.0</v>
      </c>
      <c r="B4485" s="4" t="s">
        <v>1202</v>
      </c>
      <c r="C4485" s="4" t="s">
        <v>6633</v>
      </c>
      <c r="D4485" s="4" t="s">
        <v>6655</v>
      </c>
      <c r="E4485" s="4">
        <v>0.0</v>
      </c>
      <c r="F4485" s="4" t="str">
        <f>IFERROR(__xludf.DUMMYFUNCTION("GOOGLETRANSLATE(D4485)"),"資訊 U.CLD：SCT012 BKN025。 EXP 安裝 APCH。 RWY 05. 2030 年之前實施宵禁 Z. 滑行道 FOXTROT 5 和 RWY 05。狐步 6 導航。 TMP：10。WND：030/6。")</f>
        <v>資訊 U.CLD：SCT012 BKN025。 EXP 安裝 APCH。 RWY 05. 2030 年之前實施宵禁 Z. 滑行道 FOXTROT 5 和 RWY 05。狐步 6 導航。 TMP：10。WND：030/6。</v>
      </c>
      <c r="G4485" s="4" t="str">
        <f>IFERROR(__xludf.DUMMYFUNCTION("GOOGLETRANSLATE(B4485)"),"宵禁")</f>
        <v>宵禁</v>
      </c>
    </row>
    <row r="4486" ht="15.75" customHeight="1">
      <c r="A4486" s="4">
        <v>2793.0</v>
      </c>
      <c r="B4486" s="4" t="s">
        <v>1202</v>
      </c>
      <c r="C4486" s="4" t="s">
        <v>6656</v>
      </c>
      <c r="D4486" s="4" t="s">
        <v>6657</v>
      </c>
      <c r="E4486" s="4">
        <v>0.0</v>
      </c>
      <c r="F4486" s="4" t="str">
        <f>IFERROR(__xludf.DUMMYFUNCTION("GOOGLETRANSLATE(D4486)"),"現在就舉行儀式吧，夥計，沒有宵禁長邊，又名暨偷迪表演，它是一個橡膠迪整個一個他們知道...聽起來*音樂*")</f>
        <v>現在就舉行儀式吧，夥計，沒有宵禁長邊，又名暨偷迪表演，它是一個橡膠迪整個一個他們知道...聽起來*音樂*</v>
      </c>
      <c r="G4486" s="4" t="str">
        <f>IFERROR(__xludf.DUMMYFUNCTION("GOOGLETRANSLATE(B4486)"),"宵禁")</f>
        <v>宵禁</v>
      </c>
    </row>
    <row r="4487" ht="15.75" customHeight="1">
      <c r="A4487" s="4">
        <v>2794.0</v>
      </c>
      <c r="B4487" s="4" t="s">
        <v>1202</v>
      </c>
      <c r="C4487" s="4" t="s">
        <v>6658</v>
      </c>
      <c r="D4487" s="4" t="s">
        <v>6659</v>
      </c>
      <c r="E4487" s="4">
        <v>0.0</v>
      </c>
      <c r="F4487" s="4" t="str">
        <f>IFERROR(__xludf.DUMMYFUNCTION("GOOGLETRANSLATE(D4487)"),"如果您擔心宵禁，就不要來#BC19")</f>
        <v>如果您擔心宵禁，就不要來#BC19</v>
      </c>
      <c r="G4487" s="4" t="str">
        <f>IFERROR(__xludf.DUMMYFUNCTION("GOOGLETRANSLATE(B4487)"),"宵禁")</f>
        <v>宵禁</v>
      </c>
    </row>
    <row r="4488" ht="15.75" customHeight="1">
      <c r="A4488" s="4">
        <v>2795.0</v>
      </c>
      <c r="B4488" s="4" t="s">
        <v>1202</v>
      </c>
      <c r="C4488" s="4" t="s">
        <v>6660</v>
      </c>
      <c r="D4488" s="4" t="s">
        <v>6661</v>
      </c>
      <c r="E4488" s="4">
        <v>0.0</v>
      </c>
      <c r="F4488" s="4" t="str">
        <f>IFERROR(__xludf.DUMMYFUNCTION("GOOGLETRANSLATE(D4488)"),"你有整個宵禁嗎？")</f>
        <v>你有整個宵禁嗎？</v>
      </c>
      <c r="G4488" s="4" t="str">
        <f>IFERROR(__xludf.DUMMYFUNCTION("GOOGLETRANSLATE(B4488)"),"宵禁")</f>
        <v>宵禁</v>
      </c>
    </row>
    <row r="4489" ht="15.75" customHeight="1">
      <c r="A4489" s="4">
        <v>2796.0</v>
      </c>
      <c r="B4489" s="4" t="s">
        <v>1202</v>
      </c>
      <c r="D4489" s="4" t="s">
        <v>6662</v>
      </c>
      <c r="E4489" s="4">
        <v>0.0</v>
      </c>
      <c r="F4489" s="4" t="str">
        <f>IFERROR(__xludf.DUMMYFUNCTION("GOOGLETRANSLATE(D4489)"),"當你因宵禁遲到了 5 個小時並且不得不祈禱你的狗在開門時不要吠叫")</f>
        <v>當你因宵禁遲到了 5 個小時並且不得不祈禱你的狗在開門時不要吠叫</v>
      </c>
      <c r="G4489" s="4" t="str">
        <f>IFERROR(__xludf.DUMMYFUNCTION("GOOGLETRANSLATE(B4489)"),"宵禁")</f>
        <v>宵禁</v>
      </c>
    </row>
    <row r="4490" ht="15.75" customHeight="1">
      <c r="A4490" s="4">
        <v>2797.0</v>
      </c>
      <c r="B4490" s="4" t="s">
        <v>1202</v>
      </c>
      <c r="C4490" s="4" t="s">
        <v>6663</v>
      </c>
      <c r="D4490" s="4" t="s">
        <v>6664</v>
      </c>
      <c r="E4490" s="4">
        <v>0.0</v>
      </c>
      <c r="F4490" s="4" t="str">
        <f>IFERROR(__xludf.DUMMYFUNCTION("GOOGLETRANSLATE(D4490)"),"法官給 Dis Girl 實施下午 5 點宵禁??????")</f>
        <v>法官給 Dis Girl 實施下午 5 點宵禁??????</v>
      </c>
      <c r="G4490" s="4" t="str">
        <f>IFERROR(__xludf.DUMMYFUNCTION("GOOGLETRANSLATE(B4490)"),"宵禁")</f>
        <v>宵禁</v>
      </c>
    </row>
    <row r="4491" ht="15.75" customHeight="1">
      <c r="A4491" s="4">
        <v>2799.0</v>
      </c>
      <c r="B4491" s="4" t="s">
        <v>1202</v>
      </c>
      <c r="C4491" s="4" t="s">
        <v>6665</v>
      </c>
      <c r="D4491" s="4" t="s">
        <v>6666</v>
      </c>
      <c r="E4491" s="4">
        <v>0.0</v>
      </c>
      <c r="F4491" s="4" t="str">
        <f>IFERROR(__xludf.DUMMYFUNCTION("GOOGLETRANSLATE(D4491)"),"初夏時，我媽媽給我規定了宵禁 1，現在又回到 12 點，我永遠不能出去，她想知道為什麼我總是待在家裡")</f>
        <v>初夏時，我媽媽給我規定了宵禁 1，現在又回到 12 點，我永遠不能出去，她想知道為什麼我總是待在家裡</v>
      </c>
      <c r="G4491" s="4" t="str">
        <f>IFERROR(__xludf.DUMMYFUNCTION("GOOGLETRANSLATE(B4491)"),"宵禁")</f>
        <v>宵禁</v>
      </c>
    </row>
    <row r="4492" ht="15.75" customHeight="1">
      <c r="A4492" s="4">
        <v>2801.0</v>
      </c>
      <c r="B4492" s="4" t="s">
        <v>1202</v>
      </c>
      <c r="D4492" s="4" t="s">
        <v>6667</v>
      </c>
      <c r="E4492" s="4">
        <v>0.0</v>
      </c>
      <c r="F4492" s="4" t="str">
        <f>IFERROR(__xludf.DUMMYFUNCTION("GOOGLETRANSLATE(D4492)"),"為什麼 Charlie Lim 這個週日晚上 9 點開始......我有宵禁 leh :-(")</f>
        <v>為什麼 Charlie Lim 這個週日晚上 9 點開始......我有宵禁 leh :-(</v>
      </c>
      <c r="G4492" s="4" t="str">
        <f>IFERROR(__xludf.DUMMYFUNCTION("GOOGLETRANSLATE(B4492)"),"宵禁")</f>
        <v>宵禁</v>
      </c>
    </row>
    <row r="4493" ht="15.75" customHeight="1">
      <c r="A4493" s="4">
        <v>2802.0</v>
      </c>
      <c r="B4493" s="4" t="s">
        <v>1202</v>
      </c>
      <c r="C4493" s="4" t="s">
        <v>6668</v>
      </c>
      <c r="D4493" s="4" t="s">
        <v>6669</v>
      </c>
      <c r="E4493" s="4">
        <v>0.0</v>
      </c>
      <c r="F4493" s="4" t="str">
        <f>IFERROR(__xludf.DUMMYFUNCTION("GOOGLETRANSLATE(D4493)"),"當你被轟炸並嘗試回家實施宵禁時 http://t.co/oi6CmAGASi")</f>
        <v>當你被轟炸並嘗試回家實施宵禁時 http://t.co/oi6CmAGASi</v>
      </c>
      <c r="G4493" s="4" t="str">
        <f>IFERROR(__xludf.DUMMYFUNCTION("GOOGLETRANSLATE(B4493)"),"宵禁")</f>
        <v>宵禁</v>
      </c>
    </row>
    <row r="4494" ht="15.75" customHeight="1">
      <c r="A4494" s="4">
        <v>2803.0</v>
      </c>
      <c r="B4494" s="4" t="s">
        <v>1212</v>
      </c>
      <c r="C4494" s="4" t="s">
        <v>1019</v>
      </c>
      <c r="D4494" s="4" t="s">
        <v>6670</v>
      </c>
      <c r="E4494" s="4">
        <v>0.0</v>
      </c>
      <c r="F4494" s="4" t="str">
        <f>IFERROR(__xludf.DUMMYFUNCTION("GOOGLETRANSLATE(D4494)"),"哇哦寶貝沃爾特#rewatchingthepilot #TeamScorpion #Cyclone")</f>
        <v>哇哦寶貝沃爾特#rewatchingthepilot #TeamScorpion #Cyclone</v>
      </c>
      <c r="G4494" s="4" t="str">
        <f>IFERROR(__xludf.DUMMYFUNCTION("GOOGLETRANSLATE(B4494)"),"氣旋")</f>
        <v>氣旋</v>
      </c>
    </row>
    <row r="4495" ht="15.75" customHeight="1">
      <c r="A4495" s="4">
        <v>2808.0</v>
      </c>
      <c r="B4495" s="4" t="s">
        <v>1212</v>
      </c>
      <c r="C4495" s="4" t="s">
        <v>38</v>
      </c>
      <c r="D4495" s="4" t="s">
        <v>6671</v>
      </c>
      <c r="E4495" s="4">
        <v>0.0</v>
      </c>
      <c r="F4495" s="4" t="str">
        <f>IFERROR(__xludf.DUMMYFUNCTION("GOOGLETRANSLATE(D4495)"),"#Camera #Art #Photography http://t.co/TJGxDc3D5p #0215 全新 BoltåÊCyclone DR PP-400DR 雙插座電源組åÊ適用於外部相機閃光燈
$30¤Û_")</f>
        <v>#Camera #Art #Photography http://t.co/TJGxDc3D5p #0215 全新 BoltåÊCyclone DR PP-400DR 雙插座電源組åÊ適用於外部相機閃光燈
$30¤Û_</v>
      </c>
      <c r="G4495" s="4" t="str">
        <f>IFERROR(__xludf.DUMMYFUNCTION("GOOGLETRANSLATE(B4495)"),"氣旋")</f>
        <v>氣旋</v>
      </c>
    </row>
    <row r="4496" ht="15.75" customHeight="1">
      <c r="A4496" s="4">
        <v>2811.0</v>
      </c>
      <c r="B4496" s="4" t="s">
        <v>1212</v>
      </c>
      <c r="C4496" s="4" t="s">
        <v>6672</v>
      </c>
      <c r="D4496" s="4" t="s">
        <v>6673</v>
      </c>
      <c r="E4496" s="4">
        <v>0.0</v>
      </c>
      <c r="F4496" s="4" t="str">
        <f>IFERROR(__xludf.DUMMYFUNCTION("GOOGLETRANSLATE(D4496)"),"@mccauleysdesign @abysmaljoiner @DyamiPlotke 它適合我的目的。如果有大旋風就更好了。我只是沒有 4K 美元。這是 500 美元")</f>
        <v>@mccauleysdesign @abysmaljoiner @DyamiPlotke 它適合我的目的。如果有大旋風就更好了。我只是沒有 4K 美元。這是 500 美元</v>
      </c>
      <c r="G4496" s="4" t="str">
        <f>IFERROR(__xludf.DUMMYFUNCTION("GOOGLETRANSLATE(B4496)"),"氣旋")</f>
        <v>氣旋</v>
      </c>
    </row>
    <row r="4497" ht="15.75" customHeight="1">
      <c r="A4497" s="4">
        <v>2815.0</v>
      </c>
      <c r="B4497" s="4" t="s">
        <v>1212</v>
      </c>
      <c r="D4497" s="4" t="s">
        <v>6674</v>
      </c>
      <c r="E4497" s="4">
        <v>0.0</v>
      </c>
      <c r="F4497" s="4" t="str">
        <f>IFERROR(__xludf.DUMMYFUNCTION("GOOGLETRANSLATE(D4497)"),"影片：新 DE Jhaustin Thomas 談成為旋風者 - 艾姆斯論壇報：艾姆斯論壇報 影片：新 DE Jhaustin Thomas 談Û_ http://t.co/sTW3Pg3T0o")</f>
        <v>影片：新 DE Jhaustin Thomas 談成為旋風者 - 艾姆斯論壇報：艾姆斯論壇報 影片：新 DE Jhaustin Thomas 談Û_ http://t.co/sTW3Pg3T0o</v>
      </c>
      <c r="G4497" s="4" t="str">
        <f>IFERROR(__xludf.DUMMYFUNCTION("GOOGLETRANSLATE(B4497)"),"氣旋")</f>
        <v>氣旋</v>
      </c>
    </row>
    <row r="4498" ht="15.75" customHeight="1">
      <c r="A4498" s="4">
        <v>2829.0</v>
      </c>
      <c r="B4498" s="4" t="s">
        <v>1212</v>
      </c>
      <c r="C4498" s="4" t="s">
        <v>6675</v>
      </c>
      <c r="D4498" s="4" t="s">
        <v>6676</v>
      </c>
      <c r="E4498" s="4">
        <v>0.0</v>
      </c>
      <c r="F4498" s="4" t="str">
        <f>IFERROR(__xludf.DUMMYFUNCTION("GOOGLETRANSLATE(D4498)"),"銀行經理在採訪中問湯姆：“什麼是旋風​​”
湯姆：“這是購買自行車的貸款”")</f>
        <v>銀行經理在採訪中問湯姆：“什麼是旋風​​”
湯姆：“這是購買自行車的貸款”</v>
      </c>
      <c r="G4498" s="4" t="str">
        <f>IFERROR(__xludf.DUMMYFUNCTION("GOOGLETRANSLATE(B4498)"),"氣旋")</f>
        <v>氣旋</v>
      </c>
    </row>
    <row r="4499" ht="15.75" customHeight="1">
      <c r="A4499" s="4">
        <v>2830.0</v>
      </c>
      <c r="B4499" s="4" t="s">
        <v>1212</v>
      </c>
      <c r="C4499" s="4" t="s">
        <v>6677</v>
      </c>
      <c r="D4499" s="4" t="s">
        <v>6678</v>
      </c>
      <c r="E4499" s="4">
        <v>0.0</v>
      </c>
      <c r="F4499" s="4" t="str">
        <f>IFERROR(__xludf.DUMMYFUNCTION("GOOGLETRANSLATE(D4499)"),"對旋風足球感到興奮 https://t.co/Xqv6gzZMmN")</f>
        <v>對旋風足球感到興奮 https://t.co/Xqv6gzZMmN</v>
      </c>
      <c r="G4499" s="4" t="str">
        <f>IFERROR(__xludf.DUMMYFUNCTION("GOOGLETRANSLATE(B4499)"),"氣旋")</f>
        <v>氣旋</v>
      </c>
    </row>
    <row r="4500" ht="15.75" customHeight="1">
      <c r="A4500" s="4">
        <v>2836.0</v>
      </c>
      <c r="B4500" s="4" t="s">
        <v>1212</v>
      </c>
      <c r="D4500" s="4" t="s">
        <v>6679</v>
      </c>
      <c r="E4500" s="4">
        <v>0.0</v>
      </c>
      <c r="F4500" s="4" t="str">
        <f>IFERROR(__xludf.DUMMYFUNCTION("GOOGLETRANSLATE(D4500)"),"1970 Mercury Cyclone GT 引擎蓋成型非常漂亮的核心 Cobra Jet 429CJ GT http://t.co/jOBVBvKFnZ http://t.co/C8zPmZhTDE")</f>
        <v>1970 Mercury Cyclone GT 引擎蓋成型非常漂亮的核心 Cobra Jet 429CJ GT http://t.co/jOBVBvKFnZ http://t.co/C8zPmZhTDE</v>
      </c>
      <c r="G4500" s="4" t="str">
        <f>IFERROR(__xludf.DUMMYFUNCTION("GOOGLETRANSLATE(B4500)"),"氣旋")</f>
        <v>氣旋</v>
      </c>
    </row>
    <row r="4501" ht="15.75" customHeight="1">
      <c r="A4501" s="4">
        <v>2838.0</v>
      </c>
      <c r="B4501" s="4" t="s">
        <v>1212</v>
      </c>
      <c r="D4501" s="4" t="s">
        <v>6680</v>
      </c>
      <c r="E4501" s="4">
        <v>0.0</v>
      </c>
      <c r="F4501" s="4" t="str">
        <f>IFERROR(__xludf.DUMMYFUNCTION("GOOGLETRANSLATE(D4501)"),"「我的旋風熱情被誇大了」 https://t.co/MmZgpHNKNP")</f>
        <v>「我的旋風熱情被誇大了」 https://t.co/MmZgpHNKNP</v>
      </c>
      <c r="G4501" s="4" t="str">
        <f>IFERROR(__xludf.DUMMYFUNCTION("GOOGLETRANSLATE(B4501)"),"氣旋")</f>
        <v>氣旋</v>
      </c>
    </row>
    <row r="4502" ht="15.75" customHeight="1">
      <c r="A4502" s="4">
        <v>2839.0</v>
      </c>
      <c r="B4502" s="4" t="s">
        <v>1212</v>
      </c>
      <c r="D4502" s="4" t="s">
        <v>6681</v>
      </c>
      <c r="E4502" s="4">
        <v>0.0</v>
      </c>
      <c r="F4502" s="4" t="str">
        <f>IFERROR(__xludf.DUMMYFUNCTION("GOOGLETRANSLATE(D4502)"),"薩爾曼汗皇帝陛下不可阻擋的人文娛樂旋風
BAJRANGI BHAIJAAN 無所不在創造歷史
跨越 300 CR")</f>
        <v>薩爾曼汗皇帝陛下不可阻擋的人文娛樂旋風
BAJRANGI BHAIJAAN 無所不在創造歷史
跨越 300 CR</v>
      </c>
      <c r="G4502" s="4" t="str">
        <f>IFERROR(__xludf.DUMMYFUNCTION("GOOGLETRANSLATE(B4502)"),"氣旋")</f>
        <v>氣旋</v>
      </c>
    </row>
    <row r="4503" ht="15.75" customHeight="1">
      <c r="A4503" s="4">
        <v>2843.0</v>
      </c>
      <c r="B4503" s="4" t="s">
        <v>1212</v>
      </c>
      <c r="C4503" s="4" t="s">
        <v>1868</v>
      </c>
      <c r="D4503" s="4" t="s">
        <v>6682</v>
      </c>
      <c r="E4503" s="4">
        <v>0.0</v>
      </c>
      <c r="F4503" s="4" t="str">
        <f>IFERROR(__xludf.DUMMYFUNCTION("GOOGLETRANSLATE(D4503)"),"@cyclone_reizei 請問Cyclone大人你讀過Rindou的《Jailed Fate》嗎？")</f>
        <v>@cyclone_reizei 請問Cyclone大人你讀過Rindou的《Jailed Fate》嗎？</v>
      </c>
      <c r="G4503" s="4" t="str">
        <f>IFERROR(__xludf.DUMMYFUNCTION("GOOGLETRANSLATE(B4503)"),"氣旋")</f>
        <v>氣旋</v>
      </c>
    </row>
    <row r="4504" ht="15.75" customHeight="1">
      <c r="A4504" s="4">
        <v>2844.0</v>
      </c>
      <c r="B4504" s="4" t="s">
        <v>1212</v>
      </c>
      <c r="C4504" s="4" t="s">
        <v>6683</v>
      </c>
      <c r="D4504" s="4" t="s">
        <v>6684</v>
      </c>
      <c r="E4504" s="4">
        <v>0.0</v>
      </c>
      <c r="F4504" s="4" t="str">
        <f>IFERROR(__xludf.DUMMYFUNCTION("GOOGLETRANSLATE(D4504)"),"傑克遜·弗羅曼家裡有一些毒品和酒精。
http://t.co/5OQhQ8QUQV")</f>
        <v>傑克遜·弗羅曼家裡有一些毒品和酒精。
http://t.co/5OQhQ8QUQV</v>
      </c>
      <c r="G4504" s="4" t="str">
        <f>IFERROR(__xludf.DUMMYFUNCTION("GOOGLETRANSLATE(B4504)"),"氣旋")</f>
        <v>氣旋</v>
      </c>
    </row>
    <row r="4505" ht="15.75" customHeight="1">
      <c r="A4505" s="4">
        <v>2846.0</v>
      </c>
      <c r="B4505" s="4" t="s">
        <v>1212</v>
      </c>
      <c r="C4505" s="4" t="s">
        <v>1229</v>
      </c>
      <c r="D4505" s="4" t="s">
        <v>6685</v>
      </c>
      <c r="E4505" s="4">
        <v>0.0</v>
      </c>
      <c r="F4505" s="4" t="str">
        <f>IFERROR(__xludf.DUMMYFUNCTION("GOOGLETRANSLATE(D4505)"),"#Vanuatu 將新舊融合，為未來的緊急情況做好準備：
http://t.co/aFMKcFn1TL http://t.co/8QqzYZIAqf")</f>
        <v>#Vanuatu 將新舊融合，為未來的緊急情況做好準備：
http://t.co/aFMKcFn1TL http://t.co/8QqzYZIAqf</v>
      </c>
      <c r="G4505" s="4" t="str">
        <f>IFERROR(__xludf.DUMMYFUNCTION("GOOGLETRANSLATE(B4505)"),"氣旋")</f>
        <v>氣旋</v>
      </c>
    </row>
    <row r="4506" ht="15.75" customHeight="1">
      <c r="A4506" s="4">
        <v>2852.0</v>
      </c>
      <c r="B4506" s="4" t="s">
        <v>1212</v>
      </c>
      <c r="C4506" s="4" t="s">
        <v>6686</v>
      </c>
      <c r="D4506" s="4" t="s">
        <v>6687</v>
      </c>
      <c r="E4506" s="4">
        <v>0.0</v>
      </c>
      <c r="F4506" s="4" t="str">
        <f>IFERROR(__xludf.DUMMYFUNCTION("GOOGLETRANSLATE(D4506)"),"Double G 的 Cyclone 將是這套服裝的亮點！ #OOTD #DoubleGhats http://t.co/JSuHuPz6Vp http://t.co/N5vrFFRbo3")</f>
        <v>Double G 的 Cyclone 將是這套服裝的亮點！ #OOTD #DoubleGhats http://t.co/JSuHuPz6Vp http://t.co/N5vrFFRbo3</v>
      </c>
      <c r="G4506" s="4" t="str">
        <f>IFERROR(__xludf.DUMMYFUNCTION("GOOGLETRANSLATE(B4506)"),"氣旋")</f>
        <v>氣旋</v>
      </c>
    </row>
    <row r="4507" ht="15.75" customHeight="1">
      <c r="A4507" s="4">
        <v>2853.0</v>
      </c>
      <c r="B4507" s="4" t="s">
        <v>1243</v>
      </c>
      <c r="C4507" s="4" t="s">
        <v>6688</v>
      </c>
      <c r="D4507" s="4" t="s">
        <v>6689</v>
      </c>
      <c r="E4507" s="4">
        <v>0.0</v>
      </c>
      <c r="F4507" s="4" t="str">
        <f>IFERROR(__xludf.DUMMYFUNCTION("GOOGLETRANSLATE(D4507)"),"@TheLegendBlue @Cozmo23 他們可能會允許我們提升它們，但不會讓它們達到傷害最大值")</f>
        <v>@TheLegendBlue @Cozmo23 他們可能會允許我們提升它們，但不會讓它們達到傷害最大值</v>
      </c>
      <c r="G4507" s="4" t="str">
        <f>IFERROR(__xludf.DUMMYFUNCTION("GOOGLETRANSLATE(B4507)"),"損害")</f>
        <v>損害</v>
      </c>
    </row>
    <row r="4508" ht="15.75" customHeight="1">
      <c r="A4508" s="4">
        <v>2854.0</v>
      </c>
      <c r="B4508" s="4" t="s">
        <v>1243</v>
      </c>
      <c r="D4508" s="4" t="s">
        <v>6690</v>
      </c>
      <c r="E4508" s="4">
        <v>0.0</v>
      </c>
      <c r="F4508" s="4" t="str">
        <f>IFERROR(__xludf.DUMMYFUNCTION("GOOGLETRANSLATE(D4508)"),"把它丟到黑鬼身上造成傷害！ ??")</f>
        <v>把它丟到黑鬼身上造成傷害！ ??</v>
      </c>
      <c r="G4508" s="4" t="str">
        <f>IFERROR(__xludf.DUMMYFUNCTION("GOOGLETRANSLATE(B4508)"),"損害")</f>
        <v>損害</v>
      </c>
    </row>
    <row r="4509" ht="15.75" customHeight="1">
      <c r="A4509" s="4">
        <v>2855.0</v>
      </c>
      <c r="B4509" s="4" t="s">
        <v>1243</v>
      </c>
      <c r="C4509" s="4" t="s">
        <v>6691</v>
      </c>
      <c r="D4509" s="4" t="s">
        <v>6692</v>
      </c>
      <c r="E4509" s="4">
        <v>0.0</v>
      </c>
      <c r="F4509" s="4" t="str">
        <f>IFERROR(__xludf.DUMMYFUNCTION("GOOGLETRANSLATE(D4509)"),"工會表示他們支持“倫敦”，但又準備在經濟上對其造成損害？ （上次 3 億英鎊）https://t.co/lW2FGlrgxB")</f>
        <v>工會表示他們支持“倫敦”，但又準備在經濟上對其造成損害？ （上次 3 億英鎊）https://t.co/lW2FGlrgxB</v>
      </c>
      <c r="G4509" s="4" t="str">
        <f>IFERROR(__xludf.DUMMYFUNCTION("GOOGLETRANSLATE(B4509)"),"損害")</f>
        <v>損害</v>
      </c>
    </row>
    <row r="4510" ht="15.75" customHeight="1">
      <c r="A4510" s="4">
        <v>2856.0</v>
      </c>
      <c r="B4510" s="4" t="s">
        <v>1243</v>
      </c>
      <c r="C4510" s="4" t="s">
        <v>5328</v>
      </c>
      <c r="D4510" s="4" t="s">
        <v>6693</v>
      </c>
      <c r="E4510" s="4">
        <v>0.0</v>
      </c>
      <c r="F4510" s="4" t="str">
        <f>IFERROR(__xludf.DUMMYFUNCTION("GOOGLETRANSLATE(D4510)"),"我喜歡 @YouTube 影片 http://t.co/tBX8cAKdrw GTA 5 Online - 附帶損害！ （俠盜獵車手 V 線上 PC）")</f>
        <v>我喜歡 @YouTube 影片 http://t.co/tBX8cAKdrw GTA 5 Online - 附帶損害！ （俠盜獵車手 V 線上 PC）</v>
      </c>
      <c r="G4510" s="4" t="str">
        <f>IFERROR(__xludf.DUMMYFUNCTION("GOOGLETRANSLATE(B4510)"),"損害")</f>
        <v>損害</v>
      </c>
    </row>
    <row r="4511" ht="15.75" customHeight="1">
      <c r="A4511" s="4">
        <v>2858.0</v>
      </c>
      <c r="B4511" s="4" t="s">
        <v>1243</v>
      </c>
      <c r="C4511" s="4" t="s">
        <v>6694</v>
      </c>
      <c r="D4511" s="4" t="s">
        <v>6695</v>
      </c>
      <c r="E4511" s="4">
        <v>0.0</v>
      </c>
      <c r="F4511" s="4" t="str">
        <f>IFERROR(__xludf.DUMMYFUNCTION("GOOGLETRANSLATE(D4511)"),"#fitness 膝蓋損傷解決方案 http://t.co/pUMbrNeBJE")</f>
        <v>#fitness 膝蓋損傷解決方案 http://t.co/pUMbrNeBJE</v>
      </c>
      <c r="G4511" s="4" t="str">
        <f>IFERROR(__xludf.DUMMYFUNCTION("GOOGLETRANSLATE(B4511)"),"損害")</f>
        <v>損害</v>
      </c>
    </row>
    <row r="4512" ht="15.75" customHeight="1">
      <c r="A4512" s="4">
        <v>2860.0</v>
      </c>
      <c r="B4512" s="4" t="s">
        <v>1243</v>
      </c>
      <c r="C4512" s="4" t="s">
        <v>6696</v>
      </c>
      <c r="D4512" s="4" t="s">
        <v>6697</v>
      </c>
      <c r="E4512" s="4">
        <v>0.0</v>
      </c>
      <c r="F4512" s="4" t="str">
        <f>IFERROR(__xludf.DUMMYFUNCTION("GOOGLETRANSLATE(D4512)"),"我在這裡抱怨《火焰之紋章》中的鳳凰模式。事實證明，雷·巨人會有一個「困難」選項，讓你受到 0 點傷害。")</f>
        <v>我在這裡抱怨《火焰之紋章》中的鳳凰模式。事實證明，雷·巨人會有一個「困難」選項，讓你受到 0 點傷害。</v>
      </c>
      <c r="G4512" s="4" t="str">
        <f>IFERROR(__xludf.DUMMYFUNCTION("GOOGLETRANSLATE(B4512)"),"損害")</f>
        <v>損害</v>
      </c>
    </row>
    <row r="4513" ht="15.75" customHeight="1">
      <c r="A4513" s="4">
        <v>2861.0</v>
      </c>
      <c r="B4513" s="4" t="s">
        <v>1243</v>
      </c>
      <c r="D4513" s="4" t="s">
        <v>6698</v>
      </c>
      <c r="E4513" s="4">
        <v>0.0</v>
      </c>
      <c r="F4513" s="4" t="str">
        <f>IFERROR(__xludf.DUMMYFUNCTION("GOOGLETRANSLATE(D4513)"),"@capicapricapri @Brento_Bento 這對孩子們造成了什麼傷害")</f>
        <v>@capicapricapri @Brento_Bento 這對孩子們造成了什麼傷害</v>
      </c>
      <c r="G4513" s="4" t="str">
        <f>IFERROR(__xludf.DUMMYFUNCTION("GOOGLETRANSLATE(B4513)"),"損害")</f>
        <v>損害</v>
      </c>
    </row>
    <row r="4514" ht="15.75" customHeight="1">
      <c r="A4514" s="4">
        <v>2864.0</v>
      </c>
      <c r="B4514" s="4" t="s">
        <v>1243</v>
      </c>
      <c r="D4514" s="4" t="s">
        <v>6699</v>
      </c>
      <c r="E4514" s="4">
        <v>0.0</v>
      </c>
      <c r="F4514" s="4" t="str">
        <f>IFERROR(__xludf.DUMMYFUNCTION("GOOGLETRANSLATE(D4514)"),"手機對人造成如此大的傷害真是太瘋狂了")</f>
        <v>手機對人造成如此大的傷害真是太瘋狂了</v>
      </c>
      <c r="G4514" s="4" t="str">
        <f>IFERROR(__xludf.DUMMYFUNCTION("GOOGLETRANSLATE(B4514)"),"損害")</f>
        <v>損害</v>
      </c>
    </row>
    <row r="4515" ht="15.75" customHeight="1">
      <c r="A4515" s="4">
        <v>2865.0</v>
      </c>
      <c r="B4515" s="4" t="s">
        <v>1243</v>
      </c>
      <c r="C4515" s="4" t="s">
        <v>4622</v>
      </c>
      <c r="D4515" s="4" t="s">
        <v>6700</v>
      </c>
      <c r="E4515" s="4">
        <v>0.0</v>
      </c>
      <c r="F4515" s="4" t="str">
        <f>IFERROR(__xludf.DUMMYFUNCTION("GOOGLETRANSLATE(D4515)"),"@writebothfists 這裡風也很大......但沒有損壞。")</f>
        <v>@writebothfists 這裡風也很大......但沒有損壞。</v>
      </c>
      <c r="G4515" s="4" t="str">
        <f>IFERROR(__xludf.DUMMYFUNCTION("GOOGLETRANSLATE(B4515)"),"損害")</f>
        <v>損害</v>
      </c>
    </row>
    <row r="4516" ht="15.75" customHeight="1">
      <c r="A4516" s="4">
        <v>2866.0</v>
      </c>
      <c r="B4516" s="4" t="s">
        <v>1243</v>
      </c>
      <c r="D4516" s="4" t="s">
        <v>6701</v>
      </c>
      <c r="E4516" s="4">
        <v>0.0</v>
      </c>
      <c r="F4516" s="4" t="str">
        <f>IFERROR(__xludf.DUMMYFUNCTION("GOOGLETRANSLATE(D4516)"),"重複利用運輸過程中先進的生活設備來消除損壞：FdbDP")</f>
        <v>重複利用運輸過程中先進的生活設備來消除損壞：FdbDP</v>
      </c>
      <c r="G4516" s="4" t="str">
        <f>IFERROR(__xludf.DUMMYFUNCTION("GOOGLETRANSLATE(B4516)"),"損害")</f>
        <v>損害</v>
      </c>
    </row>
    <row r="4517" ht="15.75" customHeight="1">
      <c r="A4517" s="4">
        <v>2867.0</v>
      </c>
      <c r="B4517" s="4" t="s">
        <v>1243</v>
      </c>
      <c r="C4517" s="4" t="s">
        <v>6702</v>
      </c>
      <c r="D4517" s="4" t="s">
        <v>6703</v>
      </c>
      <c r="E4517" s="4">
        <v>0.0</v>
      </c>
      <c r="F4517" s="4" t="str">
        <f>IFERROR(__xludf.DUMMYFUNCTION("GOOGLETRANSLATE(D4517)"),"@IndiGo6E 但是，如果您在@辦理登機手續時很小心地發現損壞，為什麼不@在贈送行李時呢？！這都是我的損失")</f>
        <v>@IndiGo6E 但是，如果您在@辦理登機手續時很小心地發現損壞，為什麼不@在贈送行李時呢？！這都是我的損失</v>
      </c>
      <c r="G4517" s="4" t="str">
        <f>IFERROR(__xludf.DUMMYFUNCTION("GOOGLETRANSLATE(B4517)"),"損害")</f>
        <v>損害</v>
      </c>
    </row>
    <row r="4518" ht="15.75" customHeight="1">
      <c r="A4518" s="4">
        <v>2872.0</v>
      </c>
      <c r="B4518" s="4" t="s">
        <v>1243</v>
      </c>
      <c r="C4518" s="4" t="s">
        <v>112</v>
      </c>
      <c r="D4518" s="4" t="s">
        <v>6704</v>
      </c>
      <c r="E4518" s="4">
        <v>0.0</v>
      </c>
      <c r="F4518" s="4" t="str">
        <f>IFERROR(__xludf.DUMMYFUNCTION("GOOGLETRANSLATE(D4518)"),"「妖精尾巴的魔導士…專門從事財產損失！」 ——納茲‧多拉格尼爾")</f>
        <v>「妖精尾巴的魔導士…專門從事財產損失！」 ——納茲‧多拉格尼爾</v>
      </c>
      <c r="G4518" s="4" t="str">
        <f>IFERROR(__xludf.DUMMYFUNCTION("GOOGLETRANSLATE(B4518)"),"損害")</f>
        <v>損害</v>
      </c>
    </row>
    <row r="4519" ht="15.75" customHeight="1">
      <c r="A4519" s="4">
        <v>2875.0</v>
      </c>
      <c r="B4519" s="4" t="s">
        <v>1243</v>
      </c>
      <c r="C4519" s="4" t="s">
        <v>1254</v>
      </c>
      <c r="D4519" s="4" t="s">
        <v>6705</v>
      </c>
      <c r="E4519" s="4">
        <v>0.0</v>
      </c>
      <c r="F4519" s="4" t="str">
        <f>IFERROR(__xludf.DUMMYFUNCTION("GOOGLETRANSLATE(D4519)"),"@BradleyBrad47 鋸子的自動對焦速度很快，而且造成的傷害很大，我把它升級了，並在整個遊戲中專門使用它")</f>
        <v>@BradleyBrad47 鋸子的自動對焦速度很快，而且造成的傷害很大，我把它升級了，並在整個遊戲中專門使用它</v>
      </c>
      <c r="G4519" s="4" t="str">
        <f>IFERROR(__xludf.DUMMYFUNCTION("GOOGLETRANSLATE(B4519)"),"損害")</f>
        <v>損害</v>
      </c>
    </row>
    <row r="4520" ht="15.75" customHeight="1">
      <c r="A4520" s="4">
        <v>2877.0</v>
      </c>
      <c r="B4520" s="4" t="s">
        <v>1243</v>
      </c>
      <c r="C4520" s="4" t="s">
        <v>6706</v>
      </c>
      <c r="D4520" s="4" t="s">
        <v>6707</v>
      </c>
      <c r="E4520" s="4">
        <v>0.0</v>
      </c>
      <c r="F4520" s="4" t="str">
        <f>IFERROR(__xludf.DUMMYFUNCTION("GOOGLETRANSLATE(D4520)"),"假設一棵樹倒在你的柵欄上。您知道您的房屋保險有何幫助嗎？ http://t.co/VLaIuvToMM http://t.co/AJpnEBG803")</f>
        <v>假設一棵樹倒在你的柵欄上。您知道您的房屋保險有何幫助嗎？ http://t.co/VLaIuvToMM http://t.co/AJpnEBG803</v>
      </c>
      <c r="G4520" s="4" t="str">
        <f>IFERROR(__xludf.DUMMYFUNCTION("GOOGLETRANSLATE(B4520)"),"損害")</f>
        <v>損害</v>
      </c>
    </row>
    <row r="4521" ht="15.75" customHeight="1">
      <c r="A4521" s="4">
        <v>2880.0</v>
      </c>
      <c r="B4521" s="4" t="s">
        <v>1243</v>
      </c>
      <c r="C4521" s="4" t="s">
        <v>6708</v>
      </c>
      <c r="D4521" s="4" t="s">
        <v>6709</v>
      </c>
      <c r="E4521" s="4">
        <v>0.0</v>
      </c>
      <c r="F4521" s="4" t="str">
        <f>IFERROR(__xludf.DUMMYFUNCTION("GOOGLETRANSLATE(D4521)"),"@swb1192 如果保密協議的編寫是為了損害您將來提供服務的能力，那麼您可能無論如何都不想接受這項工作")</f>
        <v>@swb1192 如果保密協議的編寫是為了損害您將來提供服務的能力，那麼您可能無論如何都不想接受這項工作</v>
      </c>
      <c r="G4521" s="4" t="str">
        <f>IFERROR(__xludf.DUMMYFUNCTION("GOOGLETRANSLATE(B4521)"),"損害")</f>
        <v>損害</v>
      </c>
    </row>
    <row r="4522" ht="15.75" customHeight="1">
      <c r="A4522" s="4">
        <v>2882.0</v>
      </c>
      <c r="B4522" s="4" t="s">
        <v>1243</v>
      </c>
      <c r="C4522" s="4" t="s">
        <v>6710</v>
      </c>
      <c r="D4522" s="4" t="s">
        <v>6711</v>
      </c>
      <c r="E4522" s="4">
        <v>0.0</v>
      </c>
      <c r="F4522" s="4" t="str">
        <f>IFERROR(__xludf.DUMMYFUNCTION("GOOGLETRANSLATE(D4522)"),"#NP Metallica - Damage Inc")</f>
        <v>#NP Metallica - Damage Inc</v>
      </c>
      <c r="G4522" s="4" t="str">
        <f>IFERROR(__xludf.DUMMYFUNCTION("GOOGLETRANSLATE(B4522)"),"損害")</f>
        <v>損害</v>
      </c>
    </row>
    <row r="4523" ht="15.75" customHeight="1">
      <c r="A4523" s="4">
        <v>2887.0</v>
      </c>
      <c r="B4523" s="4" t="s">
        <v>1243</v>
      </c>
      <c r="D4523" s="4" t="s">
        <v>6712</v>
      </c>
      <c r="E4523" s="4">
        <v>0.0</v>
      </c>
      <c r="F4523" s="4" t="str">
        <f>IFERROR(__xludf.DUMMYFUNCTION("GOOGLETRANSLATE(D4523)"),"@WonderousAllure 雙臂交叉，以防止雙手受到更多傷害。 「哈、哈嘍…”")</f>
        <v>@WonderousAllure 雙臂交叉，以防止雙手受到更多傷害。 「哈、哈嘍…”</v>
      </c>
      <c r="G4523" s="4" t="str">
        <f>IFERROR(__xludf.DUMMYFUNCTION("GOOGLETRANSLATE(B4523)"),"損害")</f>
        <v>損害</v>
      </c>
    </row>
    <row r="4524" ht="15.75" customHeight="1">
      <c r="A4524" s="4">
        <v>2888.0</v>
      </c>
      <c r="B4524" s="4" t="s">
        <v>1243</v>
      </c>
      <c r="D4524" s="4" t="s">
        <v>6713</v>
      </c>
      <c r="E4524" s="4">
        <v>0.0</v>
      </c>
      <c r="F4524" s="4" t="str">
        <f>IFERROR(__xludf.DUMMYFUNCTION("GOOGLETRANSLATE(D4524)"),"我的部落格上的新貼文：http://t.co/Avu9b4k2rv
感性之眼：
型號： 凸輪損壞
多倫多 2014 年 4 月
#nsfw #pussy #ass #boobs #asian #nude #Û_")</f>
        <v>我的部落格上的新貼文：http://t.co/Avu9b4k2rv
感性之眼：
型號： 凸輪損壞
多倫多 2014 年 4 月
#nsfw #pussy #ass #boobs #asian #nude #Û_</v>
      </c>
      <c r="G4524" s="4" t="str">
        <f>IFERROR(__xludf.DUMMYFUNCTION("GOOGLETRANSLATE(B4524)"),"損害")</f>
        <v>損害</v>
      </c>
    </row>
    <row r="4525" ht="15.75" customHeight="1">
      <c r="A4525" s="4">
        <v>2890.0</v>
      </c>
      <c r="B4525" s="4" t="s">
        <v>1243</v>
      </c>
      <c r="D4525" s="4" t="s">
        <v>6714</v>
      </c>
      <c r="E4525" s="4">
        <v>0.0</v>
      </c>
      <c r="F4525" s="4" t="str">
        <f>IFERROR(__xludf.DUMMYFUNCTION("GOOGLETRANSLATE(D4525)"),"Devil May Cry 4 特別版 Vergil Vs Agnus [Window] 任務 6 - DMD - No Damage 作者：LeedStraiF
https://t.co/ZhRTcVU0Ff")</f>
        <v>Devil May Cry 4 特別版 Vergil Vs Agnus [Window] 任務 6 - DMD - No Damage 作者：LeedStraiF
https://t.co/ZhRTcVU0Ff</v>
      </c>
      <c r="G4525" s="4" t="str">
        <f>IFERROR(__xludf.DUMMYFUNCTION("GOOGLETRANSLATE(B4525)"),"損害")</f>
        <v>損害</v>
      </c>
    </row>
    <row r="4526" ht="15.75" customHeight="1">
      <c r="A4526" s="4">
        <v>2896.0</v>
      </c>
      <c r="B4526" s="4" t="s">
        <v>1243</v>
      </c>
      <c r="C4526" s="4" t="s">
        <v>54</v>
      </c>
      <c r="D4526" s="4" t="s">
        <v>6715</v>
      </c>
      <c r="E4526" s="4">
        <v>0.0</v>
      </c>
      <c r="F4526" s="4" t="str">
        <f>IFERROR(__xludf.DUMMYFUNCTION("GOOGLETRANSLATE(D4526)"),"感謝@RicharkKirkArch @AusInstArchitect 透過@FinancialReview 對 #QueensWharf #Brisbane http://t.co/jMkYWhv7mP 發出的警告")</f>
        <v>感謝@RicharkKirkArch @AusInstArchitect 透過@FinancialReview 對 #QueensWharf #Brisbane http://t.co/jMkYWhv7mP 發出的警告</v>
      </c>
      <c r="G4526" s="4" t="str">
        <f>IFERROR(__xludf.DUMMYFUNCTION("GOOGLETRANSLATE(B4526)"),"損害")</f>
        <v>損害</v>
      </c>
    </row>
    <row r="4527" ht="15.75" customHeight="1">
      <c r="A4527" s="4">
        <v>2898.0</v>
      </c>
      <c r="B4527" s="4" t="s">
        <v>1243</v>
      </c>
      <c r="C4527" s="4" t="s">
        <v>6716</v>
      </c>
      <c r="D4527" s="4" t="s">
        <v>6717</v>
      </c>
      <c r="E4527" s="4">
        <v>0.0</v>
      </c>
      <c r="F4527" s="4" t="str">
        <f>IFERROR(__xludf.DUMMYFUNCTION("GOOGLETRANSLATE(D4527)"),"這真正的狗屎會傷害一個婊子")</f>
        <v>這真正的狗屎會傷害一個婊子</v>
      </c>
      <c r="G4527" s="4" t="str">
        <f>IFERROR(__xludf.DUMMYFUNCTION("GOOGLETRANSLATE(B4527)"),"損害")</f>
        <v>損害</v>
      </c>
    </row>
    <row r="4528" ht="15.75" customHeight="1">
      <c r="A4528" s="4">
        <v>2899.0</v>
      </c>
      <c r="B4528" s="4" t="s">
        <v>1243</v>
      </c>
      <c r="C4528" s="4" t="s">
        <v>6718</v>
      </c>
      <c r="D4528" s="4" t="s">
        <v>6719</v>
      </c>
      <c r="E4528" s="4">
        <v>0.0</v>
      </c>
      <c r="F4528" s="4" t="str">
        <f>IFERROR(__xludf.DUMMYFUNCTION("GOOGLETRANSLATE(D4528)"),"lmao 混蛋為了控制損害而改變了他的@
@偽juuzo")</f>
        <v>lmao 混蛋為了控制損害而改變了他的@
@偽juuzo</v>
      </c>
      <c r="G4528" s="4" t="str">
        <f>IFERROR(__xludf.DUMMYFUNCTION("GOOGLETRANSLATE(B4528)"),"損害")</f>
        <v>損害</v>
      </c>
    </row>
    <row r="4529" ht="15.75" customHeight="1">
      <c r="A4529" s="4">
        <v>2905.0</v>
      </c>
      <c r="B4529" s="4" t="s">
        <v>1278</v>
      </c>
      <c r="D4529" s="4" t="s">
        <v>6720</v>
      </c>
      <c r="E4529" s="4">
        <v>0.0</v>
      </c>
      <c r="F4529" s="4" t="str">
        <f>IFERROR(__xludf.DUMMYFUNCTION("GOOGLETRANSLATE(D4529)"),"@BlizzHeroes @DustinBrowder 爸爸。我不會一直追你&amp;amp;一直但經常。存在很大的危險和乾擾&lt;3")</f>
        <v>@BlizzHeroes @DustinBrowder 爸爸。我不會一直追你&amp;amp;一直但經常。存在很大的危險和乾擾&lt;3</v>
      </c>
      <c r="G4529" s="4" t="str">
        <f>IFERROR(__xludf.DUMMYFUNCTION("GOOGLETRANSLATE(B4529)"),"危險")</f>
        <v>危險</v>
      </c>
    </row>
    <row r="4530" ht="15.75" customHeight="1">
      <c r="A4530" s="4">
        <v>2907.0</v>
      </c>
      <c r="B4530" s="4" t="s">
        <v>1278</v>
      </c>
      <c r="C4530" s="4" t="s">
        <v>6721</v>
      </c>
      <c r="D4530" s="4" t="s">
        <v>6722</v>
      </c>
      <c r="E4530" s="4">
        <v>0.0</v>
      </c>
      <c r="F4530" s="4" t="str">
        <f>IFERROR(__xludf.DUMMYFUNCTION("GOOGLETRANSLATE(D4530)"),"我相信現在有一家襯衫公司為每一種曾經處於危險之中的動物提供服務。我最好開始觀察野生動物的一些變化。")</f>
        <v>我相信現在有一家襯衫公司為每一種曾經處於危險之中的動物提供服務。我最好開始觀察野生動物的一些變化。</v>
      </c>
      <c r="G4530" s="4" t="str">
        <f>IFERROR(__xludf.DUMMYFUNCTION("GOOGLETRANSLATE(B4530)"),"危險")</f>
        <v>危險</v>
      </c>
    </row>
    <row r="4531" ht="15.75" customHeight="1">
      <c r="A4531" s="4">
        <v>2908.0</v>
      </c>
      <c r="B4531" s="4" t="s">
        <v>1278</v>
      </c>
      <c r="C4531" s="4" t="s">
        <v>6723</v>
      </c>
      <c r="D4531" s="4" t="s">
        <v>6724</v>
      </c>
      <c r="E4531" s="4">
        <v>0.0</v>
      </c>
      <c r="F4531" s="4" t="str">
        <f>IFERROR(__xludf.DUMMYFUNCTION("GOOGLETRANSLATE(D4531)"),"工會熊的危險 http://t.co/lhdcpNZx6A")</f>
        <v>工會熊的危險 http://t.co/lhdcpNZx6A</v>
      </c>
      <c r="G4531" s="4" t="str">
        <f>IFERROR(__xludf.DUMMYFUNCTION("GOOGLETRANSLATE(B4531)"),"危險")</f>
        <v>危險</v>
      </c>
    </row>
    <row r="4532" ht="15.75" customHeight="1">
      <c r="A4532" s="4">
        <v>2910.0</v>
      </c>
      <c r="B4532" s="4" t="s">
        <v>1278</v>
      </c>
      <c r="C4532" s="4" t="s">
        <v>283</v>
      </c>
      <c r="D4532" s="4" t="s">
        <v>6725</v>
      </c>
      <c r="E4532" s="4">
        <v>0.0</v>
      </c>
      <c r="F4532" s="4" t="str">
        <f>IFERROR(__xludf.DUMMYFUNCTION("GOOGLETRANSLATE(D4532)"),"@DyannBridges @yeshayad 看看 @ClaytonBryant 危險區域的#rockin 預覽即將推出！ https://t.co/IpGMF4TtDX #ArtistsUnited")</f>
        <v>@DyannBridges @yeshayad 看看 @ClaytonBryant 危險區域的#rockin 預覽即將推出！ https://t.co/IpGMF4TtDX #ArtistsUnited</v>
      </c>
      <c r="G4532" s="4" t="str">
        <f>IFERROR(__xludf.DUMMYFUNCTION("GOOGLETRANSLATE(B4532)"),"危險")</f>
        <v>危險</v>
      </c>
    </row>
    <row r="4533" ht="15.75" customHeight="1">
      <c r="A4533" s="4">
        <v>2912.0</v>
      </c>
      <c r="B4533" s="4" t="s">
        <v>1278</v>
      </c>
      <c r="C4533" s="4" t="s">
        <v>283</v>
      </c>
      <c r="D4533" s="4" t="s">
        <v>6726</v>
      </c>
      <c r="E4533" s="4">
        <v>0.0</v>
      </c>
      <c r="F4533" s="4" t="str">
        <f>IFERROR(__xludf.DUMMYFUNCTION("GOOGLETRANSLATE(D4533)"),"@CarsonRex @SpaceAngelSeven 看看@ClaytonBryant 危險區域的#rockin 預覽即將推出！ https://t.co/P0fiZxmN5r #ArtistsUnited")</f>
        <v>@CarsonRex @SpaceAngelSeven 看看@ClaytonBryant 危險區域的#rockin 預覽即將推出！ https://t.co/P0fiZxmN5r #ArtistsUnited</v>
      </c>
      <c r="G4533" s="4" t="str">
        <f>IFERROR(__xludf.DUMMYFUNCTION("GOOGLETRANSLATE(B4533)"),"危險")</f>
        <v>危險</v>
      </c>
    </row>
    <row r="4534" ht="15.75" customHeight="1">
      <c r="A4534" s="4">
        <v>2915.0</v>
      </c>
      <c r="B4534" s="4" t="s">
        <v>1278</v>
      </c>
      <c r="C4534" s="4" t="s">
        <v>6727</v>
      </c>
      <c r="D4534" s="4" t="s">
        <v>6728</v>
      </c>
      <c r="E4534" s="4">
        <v>0.0</v>
      </c>
      <c r="F4534" s="4" t="str">
        <f>IFERROR(__xludf.DUMMYFUNCTION("GOOGLETRANSLATE(D4534)"),"當最後一棵樹被砍倒，最後一條魚被吃掉，最後一條溪流中毒時，你會意識到你... http://t.co/hskl0Vq2D2")</f>
        <v>當最後一棵樹被砍倒，最後一條魚被吃掉，最後一條溪流中毒時，你會意識到你... http://t.co/hskl0Vq2D2</v>
      </c>
      <c r="G4534" s="4" t="str">
        <f>IFERROR(__xludf.DUMMYFUNCTION("GOOGLETRANSLATE(B4534)"),"危險")</f>
        <v>危險</v>
      </c>
    </row>
    <row r="4535" ht="15.75" customHeight="1">
      <c r="A4535" s="4">
        <v>2916.0</v>
      </c>
      <c r="B4535" s="4" t="s">
        <v>1278</v>
      </c>
      <c r="C4535" s="4" t="s">
        <v>923</v>
      </c>
      <c r="D4535" s="4" t="s">
        <v>6729</v>
      </c>
      <c r="E4535" s="4">
        <v>0.0</v>
      </c>
      <c r="F4535" s="4" t="str">
        <f>IFERROR(__xludf.DUMMYFUNCTION("GOOGLETRANSLATE(D4535)"),"我的收穫：保護公園實施強制徵收和強制徵收。對非洲人民構成危險。我萬萬沒想到！ https://t.co/Gi2P9TUVBI")</f>
        <v>我的收穫：保護公園實施強制徵收和強制徵收。對非洲人民構成危險。我萬萬沒想到！ https://t.co/Gi2P9TUVBI</v>
      </c>
      <c r="G4535" s="4" t="str">
        <f>IFERROR(__xludf.DUMMYFUNCTION("GOOGLETRANSLATE(B4535)"),"危險")</f>
        <v>危險</v>
      </c>
    </row>
    <row r="4536" ht="15.75" customHeight="1">
      <c r="A4536" s="4">
        <v>2920.0</v>
      </c>
      <c r="B4536" s="4" t="s">
        <v>1278</v>
      </c>
      <c r="C4536" s="4" t="s">
        <v>5822</v>
      </c>
      <c r="D4536" s="4" t="s">
        <v>6730</v>
      </c>
      <c r="E4536" s="4">
        <v>0.0</v>
      </c>
      <c r="F4536" s="4" t="str">
        <f>IFERROR(__xludf.DUMMYFUNCTION("GOOGLETRANSLATE(D4536)"),"在他們憤怒的八月炎熱中將麥粒訓練成裸露的金子我不會侵犯，以免你尋求危險。")</f>
        <v>在他們憤怒的八月炎熱中將麥粒訓練成裸露的金子我不會侵犯，以免你尋求危險。</v>
      </c>
      <c r="G4536" s="4" t="str">
        <f>IFERROR(__xludf.DUMMYFUNCTION("GOOGLETRANSLATE(B4536)"),"危險")</f>
        <v>危險</v>
      </c>
    </row>
    <row r="4537" ht="15.75" customHeight="1">
      <c r="A4537" s="4">
        <v>2921.0</v>
      </c>
      <c r="B4537" s="4" t="s">
        <v>1278</v>
      </c>
      <c r="C4537" s="4" t="s">
        <v>1286</v>
      </c>
      <c r="D4537" s="4" t="s">
        <v>6731</v>
      </c>
      <c r="E4537" s="4">
        <v>0.0</v>
      </c>
      <c r="F4537" s="4" t="str">
        <f>IFERROR(__xludf.DUMMYFUNCTION("GOOGLETRANSLATE(D4537)"),"@therealRITTZ #FETTILOOTCH 是 #SLANGLUCCI OPPRESSIONS 專輯即將推出的最大危險
https://t.co/moLL5vd8yD")</f>
        <v>@therealRITTZ #FETTILOOTCH 是 #SLANGLUCCI OPPRESSIONS 專輯即將推出的最大危險
https://t.co/moLL5vd8yD</v>
      </c>
      <c r="G4537" s="4" t="str">
        <f>IFERROR(__xludf.DUMMYFUNCTION("GOOGLETRANSLATE(B4537)"),"危險")</f>
        <v>危險</v>
      </c>
    </row>
    <row r="4538" ht="15.75" customHeight="1">
      <c r="A4538" s="4">
        <v>2922.0</v>
      </c>
      <c r="B4538" s="4" t="s">
        <v>1278</v>
      </c>
      <c r="D4538" s="4" t="s">
        <v>6732</v>
      </c>
      <c r="E4538" s="4">
        <v>0.0</v>
      </c>
      <c r="F4538" s="4" t="str">
        <f>IFERROR(__xludf.DUMMYFUNCTION("GOOGLETRANSLATE(D4538)"),"@morehouse64 看來我們的#Govt 已經失去了#Ethical 和/或道德相關性。這意味著#USA 全體人民都面臨著他們的危險。")</f>
        <v>@morehouse64 看來我們的#Govt 已經失去了#Ethical 和/或道德相關性。這意味著#USA 全體人民都面臨著他們的危險。</v>
      </c>
      <c r="G4538" s="4" t="str">
        <f>IFERROR(__xludf.DUMMYFUNCTION("GOOGLETRANSLATE(B4538)"),"危險")</f>
        <v>危險</v>
      </c>
    </row>
    <row r="4539" ht="15.75" customHeight="1">
      <c r="A4539" s="4">
        <v>2924.0</v>
      </c>
      <c r="B4539" s="4" t="s">
        <v>1278</v>
      </c>
      <c r="C4539" s="4" t="s">
        <v>6733</v>
      </c>
      <c r="D4539" s="4" t="s">
        <v>6734</v>
      </c>
      <c r="E4539" s="4">
        <v>0.0</v>
      </c>
      <c r="F4539" s="4" t="str">
        <f>IFERROR(__xludf.DUMMYFUNCTION("GOOGLETRANSLATE(D4539)"),"不喜歡那些從頭到尾的幻燈片。尤其是進了家！！ ＃危險")</f>
        <v>不喜歡那些從頭到尾的幻燈片。尤其是進了家！！ ＃危險</v>
      </c>
      <c r="G4539" s="4" t="str">
        <f>IFERROR(__xludf.DUMMYFUNCTION("GOOGLETRANSLATE(B4539)"),"危險")</f>
        <v>危險</v>
      </c>
    </row>
    <row r="4540" ht="15.75" customHeight="1">
      <c r="A4540" s="4">
        <v>2925.0</v>
      </c>
      <c r="B4540" s="4" t="s">
        <v>1278</v>
      </c>
      <c r="C4540" s="4" t="s">
        <v>376</v>
      </c>
      <c r="D4540" s="4" t="s">
        <v>6735</v>
      </c>
      <c r="E4540" s="4">
        <v>0.0</v>
      </c>
      <c r="F4540" s="4" t="str">
        <f>IFERROR(__xludf.DUMMYFUNCTION("GOOGLETRANSLATE(D4540)"),"狩獵熊的許可證面臨著數量超過實際熊數量的危險：佛羅裡達州第一隻熊的許可證... http://t.co/FP64YOSJwx #st petersburg")</f>
        <v>狩獵熊的許可證面臨著數量超過實際熊數量的危險：佛羅裡達州第一隻熊的許可證... http://t.co/FP64YOSJwx #st petersburg</v>
      </c>
      <c r="G4540" s="4" t="str">
        <f>IFERROR(__xludf.DUMMYFUNCTION("GOOGLETRANSLATE(B4540)"),"危險")</f>
        <v>危險</v>
      </c>
    </row>
    <row r="4541" ht="15.75" customHeight="1">
      <c r="A4541" s="4">
        <v>2927.0</v>
      </c>
      <c r="B4541" s="4" t="s">
        <v>1278</v>
      </c>
      <c r="C4541" s="4" t="s">
        <v>6736</v>
      </c>
      <c r="D4541" s="4" t="s">
        <v>6737</v>
      </c>
      <c r="E4541" s="4">
        <v>0.0</v>
      </c>
      <c r="F4541" s="4" t="str">
        <f>IFERROR(__xludf.DUMMYFUNCTION("GOOGLETRANSLATE(D4541)"),"@riverroaming “請不要有太多危險。”")</f>
        <v>@riverroaming “請不要有太多危險。”</v>
      </c>
      <c r="G4541" s="4" t="str">
        <f>IFERROR(__xludf.DUMMYFUNCTION("GOOGLETRANSLATE(B4541)"),"危險")</f>
        <v>危險</v>
      </c>
    </row>
    <row r="4542" ht="15.75" customHeight="1">
      <c r="A4542" s="4">
        <v>2931.0</v>
      </c>
      <c r="B4542" s="4" t="s">
        <v>1278</v>
      </c>
      <c r="C4542" s="4" t="s">
        <v>752</v>
      </c>
      <c r="D4542" s="4" t="s">
        <v>6738</v>
      </c>
      <c r="E4542" s="4">
        <v>0.0</v>
      </c>
      <c r="F4542" s="4" t="str">
        <f>IFERROR(__xludf.DUMMYFUNCTION("GOOGLETRANSLATE(D4542)"),".@Uber 正在尋求與一些#nonprofit 合作夥伴關係來修復其最近的壞名聲：http://t.co/h1xch54Kd3")</f>
        <v>.@Uber 正在尋求與一些#nonprofit 合作夥伴關係來修復其最近的壞名聲：http://t.co/h1xch54Kd3</v>
      </c>
      <c r="G4542" s="4" t="str">
        <f>IFERROR(__xludf.DUMMYFUNCTION("GOOGLETRANSLATE(B4542)"),"危險")</f>
        <v>危險</v>
      </c>
    </row>
    <row r="4543" ht="15.75" customHeight="1">
      <c r="A4543" s="4">
        <v>2932.0</v>
      </c>
      <c r="B4543" s="4" t="s">
        <v>1278</v>
      </c>
      <c r="C4543" s="4" t="s">
        <v>6739</v>
      </c>
      <c r="D4543" s="4" t="s">
        <v>6740</v>
      </c>
      <c r="E4543" s="4">
        <v>0.0</v>
      </c>
      <c r="F4543" s="4" t="str">
        <f>IFERROR(__xludf.DUMMYFUNCTION("GOOGLETRANSLATE(D4543)"),"我希望我能把維多利亞的秘密放在前面。我很擅長。")</f>
        <v>我希望我能把維多利亞的秘密放在前面。我很擅長。</v>
      </c>
      <c r="G4543" s="4" t="str">
        <f>IFERROR(__xludf.DUMMYFUNCTION("GOOGLETRANSLATE(B4543)"),"危險")</f>
        <v>危險</v>
      </c>
    </row>
    <row r="4544" ht="15.75" customHeight="1">
      <c r="A4544" s="4">
        <v>2933.0</v>
      </c>
      <c r="B4544" s="4" t="s">
        <v>1278</v>
      </c>
      <c r="C4544" s="4" t="s">
        <v>283</v>
      </c>
      <c r="D4544" s="4" t="s">
        <v>6741</v>
      </c>
      <c r="E4544" s="4">
        <v>0.0</v>
      </c>
      <c r="F4544" s="4" t="str">
        <f>IFERROR(__xludf.DUMMYFUNCTION("GOOGLETRANSLATE(D4544)"),"@TurnedonFetaboo @HSjb215 看看 @ClaytonBryant 危險區域的#rockin 預覽即將推出！ https://t.co/E1wrVyZFKV #ArtistsUnited")</f>
        <v>@TurnedonFetaboo @HSjb215 看看 @ClaytonBryant 危險區域的#rockin 預覽即將推出！ https://t.co/E1wrVyZFKV #ArtistsUnited</v>
      </c>
      <c r="G4544" s="4" t="str">
        <f>IFERROR(__xludf.DUMMYFUNCTION("GOOGLETRANSLATE(B4544)"),"危險")</f>
        <v>危險</v>
      </c>
    </row>
    <row r="4545" ht="15.75" customHeight="1">
      <c r="A4545" s="4">
        <v>2934.0</v>
      </c>
      <c r="B4545" s="4" t="s">
        <v>1278</v>
      </c>
      <c r="C4545" s="4" t="s">
        <v>6742</v>
      </c>
      <c r="D4545" s="4" t="s">
        <v>6743</v>
      </c>
      <c r="E4545" s="4">
        <v>0.0</v>
      </c>
      <c r="F4545" s="4" t="str">
        <f>IFERROR(__xludf.DUMMYFUNCTION("GOOGLETRANSLATE(D4545)"),"@TheTXI @GunnersFan89 為什麼阿森納球迷會想要這個？西漢姆聯本季將陷入保級大戰。 #AFC 陽光下沒有危險")</f>
        <v>@TheTXI @GunnersFan89 為什麼阿森納球迷會想要這個？西漢姆聯本季將陷入保級大戰。 #AFC 陽光下沒有危險</v>
      </c>
      <c r="G4545" s="4" t="str">
        <f>IFERROR(__xludf.DUMMYFUNCTION("GOOGLETRANSLATE(B4545)"),"危險")</f>
        <v>危險</v>
      </c>
    </row>
    <row r="4546" ht="15.75" customHeight="1">
      <c r="A4546" s="4">
        <v>2935.0</v>
      </c>
      <c r="B4546" s="4" t="s">
        <v>1278</v>
      </c>
      <c r="C4546" s="4" t="s">
        <v>1286</v>
      </c>
      <c r="D4546" s="4" t="s">
        <v>6744</v>
      </c>
      <c r="E4546" s="4">
        <v>0.0</v>
      </c>
      <c r="F4546" s="4" t="str">
        <f>IFERROR(__xludf.DUMMYFUNCTION("GOOGLETRANSLATE(D4546)"),"@RemainOnTop #FETTILOOTCH 是 #SLANGLUCCI OPPRESSIONS 專輯即將推出的最大危險
https://t.co/moLL5vd8yD")</f>
        <v>@RemainOnTop #FETTILOOTCH 是 #SLANGLUCCI OPPRESSIONS 專輯即將推出的最大危險
https://t.co/moLL5vd8yD</v>
      </c>
      <c r="G4546" s="4" t="str">
        <f>IFERROR(__xludf.DUMMYFUNCTION("GOOGLETRANSLATE(B4546)"),"危險")</f>
        <v>危險</v>
      </c>
    </row>
    <row r="4547" ht="15.75" customHeight="1">
      <c r="A4547" s="4">
        <v>2936.0</v>
      </c>
      <c r="B4547" s="4" t="s">
        <v>1278</v>
      </c>
      <c r="C4547" s="4" t="s">
        <v>1286</v>
      </c>
      <c r="D4547" s="4" t="s">
        <v>6745</v>
      </c>
      <c r="E4547" s="4">
        <v>0.0</v>
      </c>
      <c r="F4547" s="4" t="str">
        <f>IFERROR(__xludf.DUMMYFUNCTION("GOOGLETRANSLATE(D4547)"),"@nuggets #FETTILOOTCH 是 #SLANGLUCCI OPPRESSIONS 專輯即將推出的最大危險
https://t.co/moLL5vd8yD")</f>
        <v>@nuggets #FETTILOOTCH 是 #SLANGLUCCI OPPRESSIONS 專輯即將推出的最大危險
https://t.co/moLL5vd8yD</v>
      </c>
      <c r="G4547" s="4" t="str">
        <f>IFERROR(__xludf.DUMMYFUNCTION("GOOGLETRANSLATE(B4547)"),"危險")</f>
        <v>危險</v>
      </c>
    </row>
    <row r="4548" ht="15.75" customHeight="1">
      <c r="A4548" s="4">
        <v>2937.0</v>
      </c>
      <c r="B4548" s="4" t="s">
        <v>1278</v>
      </c>
      <c r="D4548" s="4" t="s">
        <v>6746</v>
      </c>
      <c r="E4548" s="4">
        <v>0.0</v>
      </c>
      <c r="F4548" s="4" t="str">
        <f>IFERROR(__xludf.DUMMYFUNCTION("GOOGLETRANSLATE(D4548)"),"水下洞穴潛水的危險與刺激 http://t.co/8c3fPloxcr http://t.co/cBGZ9xuN2k")</f>
        <v>水下洞穴潛水的危險與刺激 http://t.co/8c3fPloxcr http://t.co/cBGZ9xuN2k</v>
      </c>
      <c r="G4548" s="4" t="str">
        <f>IFERROR(__xludf.DUMMYFUNCTION("GOOGLETRANSLATE(B4548)"),"危險")</f>
        <v>危險</v>
      </c>
    </row>
    <row r="4549" ht="15.75" customHeight="1">
      <c r="A4549" s="4">
        <v>2939.0</v>
      </c>
      <c r="B4549" s="4" t="s">
        <v>1278</v>
      </c>
      <c r="D4549" s="4" t="s">
        <v>6747</v>
      </c>
      <c r="E4549" s="4">
        <v>0.0</v>
      </c>
      <c r="F4549" s="4" t="str">
        <f>IFERROR(__xludf.DUMMYFUNCTION("GOOGLETRANSLATE(D4549)"),"我想拯救的女孩就像對我的健康構成威脅，試著和一個想成為別人的人在一起。")</f>
        <v>我想拯救的女孩就像對我的健康構成威脅，試著和一個想成為別人的人在一起。</v>
      </c>
      <c r="G4549" s="4" t="str">
        <f>IFERROR(__xludf.DUMMYFUNCTION("GOOGLETRANSLATE(B4549)"),"危險")</f>
        <v>危險</v>
      </c>
    </row>
    <row r="4550" ht="15.75" customHeight="1">
      <c r="A4550" s="4">
        <v>2941.0</v>
      </c>
      <c r="B4550" s="4" t="s">
        <v>1278</v>
      </c>
      <c r="C4550" s="4" t="s">
        <v>6748</v>
      </c>
      <c r="D4550" s="4" t="s">
        <v>6749</v>
      </c>
      <c r="E4550" s="4">
        <v>0.0</v>
      </c>
      <c r="F4550" s="4" t="str">
        <f>IFERROR(__xludf.DUMMYFUNCTION("GOOGLETRANSLATE(D4550)"),"槍是用來保護的..
除非你有生命危險，否則真的不應該使用這個狗屎")</f>
        <v>槍是用來保護的..
除非你有生命危險，否則真的不應該使用這個狗屎</v>
      </c>
      <c r="G4550" s="4" t="str">
        <f>IFERROR(__xludf.DUMMYFUNCTION("GOOGLETRANSLATE(B4550)"),"危險")</f>
        <v>危險</v>
      </c>
    </row>
    <row r="4551" ht="15.75" customHeight="1">
      <c r="A4551" s="4">
        <v>2944.0</v>
      </c>
      <c r="B4551" s="4" t="s">
        <v>1278</v>
      </c>
      <c r="C4551" s="4" t="s">
        <v>6750</v>
      </c>
      <c r="D4551" s="4" t="s">
        <v>6751</v>
      </c>
      <c r="E4551" s="4">
        <v>0.0</v>
      </c>
      <c r="F4551" s="4" t="str">
        <f>IFERROR(__xludf.DUMMYFUNCTION("GOOGLETRANSLATE(D4551)"),"我很想紋一個危險日紋身，那隻蜘蛛在某人的手腕上看起來有多酷？")</f>
        <v>我很想紋一個危險日紋身，那隻蜘蛛在某人的手腕上看起來有多酷？</v>
      </c>
      <c r="G4551" s="4" t="str">
        <f>IFERROR(__xludf.DUMMYFUNCTION("GOOGLETRANSLATE(B4551)"),"危險")</f>
        <v>危險</v>
      </c>
    </row>
    <row r="4552" ht="15.75" customHeight="1">
      <c r="A4552" s="4">
        <v>2945.0</v>
      </c>
      <c r="B4552" s="4" t="s">
        <v>1278</v>
      </c>
      <c r="C4552" s="4" t="s">
        <v>136</v>
      </c>
      <c r="D4552" s="4" t="s">
        <v>6752</v>
      </c>
      <c r="E4552" s="4">
        <v>0.0</v>
      </c>
      <c r="F4552" s="4" t="str">
        <f>IFERROR(__xludf.DUMMYFUNCTION("GOOGLETRANSLATE(D4552)"),"根據我的經驗，如果你作為專家總是生氣和挑剔，那麼你就面臨偏離軌道的嚴重危險。 1/")</f>
        <v>根據我的經驗，如果你作為專家總是生氣和挑剔，那麼你就面臨偏離軌道的嚴重危險。 1/</v>
      </c>
      <c r="G4552" s="4" t="str">
        <f>IFERROR(__xludf.DUMMYFUNCTION("GOOGLETRANSLATE(B4552)"),"危險")</f>
        <v>危險</v>
      </c>
    </row>
    <row r="4553" ht="15.75" customHeight="1">
      <c r="A4553" s="4">
        <v>2946.0</v>
      </c>
      <c r="B4553" s="4" t="s">
        <v>1278</v>
      </c>
      <c r="C4553" s="4" t="s">
        <v>6753</v>
      </c>
      <c r="D4553" s="4" t="s">
        <v>6754</v>
      </c>
      <c r="E4553" s="4">
        <v>0.0</v>
      </c>
      <c r="F4553" s="4" t="str">
        <f>IFERROR(__xludf.DUMMYFUNCTION("GOOGLETRANSLATE(D4553)"),"我沒有處於危險之中 斯凱勒我就是危險。")</f>
        <v>我沒有處於危險之中 斯凱勒我就是危險。</v>
      </c>
      <c r="G4553" s="4" t="str">
        <f>IFERROR(__xludf.DUMMYFUNCTION("GOOGLETRANSLATE(B4553)"),"危險")</f>
        <v>危險</v>
      </c>
    </row>
    <row r="4554" ht="15.75" customHeight="1">
      <c r="A4554" s="4">
        <v>2947.0</v>
      </c>
      <c r="B4554" s="4" t="s">
        <v>1278</v>
      </c>
      <c r="C4554" s="4" t="s">
        <v>917</v>
      </c>
      <c r="D4554" s="4" t="s">
        <v>6755</v>
      </c>
      <c r="E4554" s="4">
        <v>0.0</v>
      </c>
      <c r="F4554" s="4" t="str">
        <f>IFERROR(__xludf.DUMMYFUNCTION("GOOGLETRANSLATE(D4554)"),"對他們來說太危險了。但對於我們其他人來說，處於危險之中是可以接受的。 https://t.co/YL67DKf4tb")</f>
        <v>對他們來說太危險了。但對於我們其他人來說，處於危險之中是可以接受的。 https://t.co/YL67DKf4tb</v>
      </c>
      <c r="G4554" s="4" t="str">
        <f>IFERROR(__xludf.DUMMYFUNCTION("GOOGLETRANSLATE(B4554)"),"危險")</f>
        <v>危險</v>
      </c>
    </row>
    <row r="4555" ht="15.75" customHeight="1">
      <c r="A4555" s="4">
        <v>2948.0</v>
      </c>
      <c r="B4555" s="4" t="s">
        <v>1278</v>
      </c>
      <c r="C4555" s="4" t="s">
        <v>392</v>
      </c>
      <c r="D4555" s="4" t="s">
        <v>6756</v>
      </c>
      <c r="E4555" s="4">
        <v>0.0</v>
      </c>
      <c r="F4555" s="4" t="str">
        <f>IFERROR(__xludf.DUMMYFUNCTION("GOOGLETRANSLATE(D4555)"),"調查為什麼羅伯特·穆勒自 2011 年 11 月以來沒有回應我的投訴只是讓我/兒子處於危險之中 http://t.co/pe2D3HCsNI")</f>
        <v>調查為什麼羅伯特·穆勒自 2011 年 11 月以來沒有回應我的投訴只是讓我/兒子處於危險之中 http://t.co/pe2D3HCsNI</v>
      </c>
      <c r="G4555" s="4" t="str">
        <f>IFERROR(__xludf.DUMMYFUNCTION("GOOGLETRANSLATE(B4555)"),"危險")</f>
        <v>危險</v>
      </c>
    </row>
    <row r="4556" ht="15.75" customHeight="1">
      <c r="A4556" s="4">
        <v>2952.0</v>
      </c>
      <c r="B4556" s="4" t="s">
        <v>1278</v>
      </c>
      <c r="D4556" s="4" t="s">
        <v>6757</v>
      </c>
      <c r="E4556" s="4">
        <v>0.0</v>
      </c>
      <c r="F4556" s="4" t="str">
        <f>IFERROR(__xludf.DUMMYFUNCTION("GOOGLETRANSLATE(D4556)"),"恐懼能讓我們在不存在危險的地方看到危險。思考情境背後的邏輯並找到解決問題的勇氣")</f>
        <v>恐懼能讓我們在不存在危險的地方看到危險。思考情境背後的邏輯並找到解決問題的勇氣</v>
      </c>
      <c r="G4556" s="4" t="str">
        <f>IFERROR(__xludf.DUMMYFUNCTION("GOOGLETRANSLATE(B4556)"),"危險")</f>
        <v>危險</v>
      </c>
    </row>
    <row r="4557" ht="15.75" customHeight="1">
      <c r="A4557" s="4">
        <v>2953.0</v>
      </c>
      <c r="B4557" s="4" t="s">
        <v>1294</v>
      </c>
      <c r="D4557" s="4" t="s">
        <v>6758</v>
      </c>
      <c r="E4557" s="4">
        <v>0.0</v>
      </c>
      <c r="F4557" s="4" t="str">
        <f>IFERROR(__xludf.DUMMYFUNCTION("GOOGLETRANSLATE(D4557)"),"約珥書 2:28?那使徒行傳 2:17 呢？ http://t.co/RgPeM2TQej")</f>
        <v>約珥書 2:28?那使徒行傳 2:17 呢？ http://t.co/RgPeM2TQej</v>
      </c>
      <c r="G4557" s="4" t="str">
        <f>IFERROR(__xludf.DUMMYFUNCTION("GOOGLETRANSLATE(B4557)"),"死的")</f>
        <v>死的</v>
      </c>
    </row>
    <row r="4558" ht="15.75" customHeight="1">
      <c r="A4558" s="4">
        <v>2955.0</v>
      </c>
      <c r="B4558" s="4" t="s">
        <v>1294</v>
      </c>
      <c r="C4558" s="4" t="s">
        <v>733</v>
      </c>
      <c r="D4558" s="4" t="s">
        <v>6759</v>
      </c>
      <c r="E4558" s="4">
        <v>0.0</v>
      </c>
      <c r="F4558" s="4" t="str">
        <f>IFERROR(__xludf.DUMMYFUNCTION("GOOGLETRANSLATE(D4558)"),"@Silent0siris 為什麼沒有比無聊/死氣沉沉的綠色荒地更令人驚嘆的充滿氣氛和生命力的北歐風景=/")</f>
        <v>@Silent0siris 為什麼沒有比無聊/死氣沉沉的綠色荒地更令人驚嘆的充滿氣氛和生命力的北歐風景=/</v>
      </c>
      <c r="G4558" s="4" t="str">
        <f>IFERROR(__xludf.DUMMYFUNCTION("GOOGLETRANSLATE(B4558)"),"死的")</f>
        <v>死的</v>
      </c>
    </row>
    <row r="4559" ht="15.75" customHeight="1">
      <c r="A4559" s="4">
        <v>2956.0</v>
      </c>
      <c r="B4559" s="4" t="s">
        <v>1294</v>
      </c>
      <c r="D4559" s="4" t="s">
        <v>6760</v>
      </c>
      <c r="E4559" s="4">
        <v>0.0</v>
      </c>
      <c r="F4559" s="4" t="str">
        <f>IFERROR(__xludf.DUMMYFUNCTION("GOOGLETRANSLATE(D4559)"),"我想念我的長髮..但它已經死了，它甚至不是頭髮")</f>
        <v>我想念我的長髮..但它已經死了，它甚至不是頭髮</v>
      </c>
      <c r="G4559" s="4" t="str">
        <f>IFERROR(__xludf.DUMMYFUNCTION("GOOGLETRANSLATE(B4559)"),"死的")</f>
        <v>死的</v>
      </c>
    </row>
    <row r="4560" ht="15.75" customHeight="1">
      <c r="A4560" s="4">
        <v>2957.0</v>
      </c>
      <c r="B4560" s="4" t="s">
        <v>1294</v>
      </c>
      <c r="D4560" s="4" t="s">
        <v>6761</v>
      </c>
      <c r="E4560" s="4">
        <v>0.0</v>
      </c>
      <c r="F4560" s="4" t="str">
        <f>IFERROR(__xludf.DUMMYFUNCTION("GOOGLETRANSLATE(D4560)"),"@cjbanning 4為了args假設出生前已經獲得了個人權利。通常法院禁止殺人，除非死者做了某事")</f>
        <v>@cjbanning 4為了args假設出生前已經獲得了個人權利。通常法院禁止殺人，除非死者做了某事</v>
      </c>
      <c r="G4560" s="4" t="str">
        <f>IFERROR(__xludf.DUMMYFUNCTION("GOOGLETRANSLATE(B4560)"),"死的")</f>
        <v>死的</v>
      </c>
    </row>
    <row r="4561" ht="15.75" customHeight="1">
      <c r="A4561" s="4">
        <v>2959.0</v>
      </c>
      <c r="B4561" s="4" t="s">
        <v>1294</v>
      </c>
      <c r="C4561" s="4" t="s">
        <v>183</v>
      </c>
      <c r="D4561" s="4" t="s">
        <v>6762</v>
      </c>
      <c r="E4561" s="4">
        <v>0.0</v>
      </c>
      <c r="F4561" s="4" t="str">
        <f>IFERROR(__xludf.DUMMYFUNCTION("GOOGLETRANSLATE(D4561)"),"還記得那次悟空賦予死鳥生命嗎
悟空到底是什麼鬼")</f>
        <v>還記得那次悟空賦予死鳥生命嗎
悟空到底是什麼鬼</v>
      </c>
      <c r="G4561" s="4" t="str">
        <f>IFERROR(__xludf.DUMMYFUNCTION("GOOGLETRANSLATE(B4561)"),"死的")</f>
        <v>死的</v>
      </c>
    </row>
    <row r="4562" ht="15.75" customHeight="1">
      <c r="A4562" s="4">
        <v>2960.0</v>
      </c>
      <c r="B4562" s="4" t="s">
        <v>1294</v>
      </c>
      <c r="C4562" s="4" t="s">
        <v>1660</v>
      </c>
      <c r="D4562" s="4" t="s">
        <v>6763</v>
      </c>
      <c r="E4562" s="4">
        <v>0.0</v>
      </c>
      <c r="F4562" s="4" t="str">
        <f>IFERROR(__xludf.DUMMYFUNCTION("GOOGLETRANSLATE(D4562)"),"不，我死了..就像一個合法的殭屍..我感覺到我身體的每個部位都酸痛？ https://t.co/J4fSDPfA63")</f>
        <v>不，我死了..就像一個合法的殭屍..我感覺到我身體的每個部位都酸痛？ https://t.co/J4fSDPfA63</v>
      </c>
      <c r="G4562" s="4" t="str">
        <f>IFERROR(__xludf.DUMMYFUNCTION("GOOGLETRANSLATE(B4562)"),"死的")</f>
        <v>死的</v>
      </c>
    </row>
    <row r="4563" ht="15.75" customHeight="1">
      <c r="A4563" s="4">
        <v>2963.0</v>
      </c>
      <c r="B4563" s="4" t="s">
        <v>1294</v>
      </c>
      <c r="D4563" s="4" t="s">
        <v>6764</v>
      </c>
      <c r="E4563" s="4">
        <v>0.0</v>
      </c>
      <c r="F4563" s="4" t="str">
        <f>IFERROR(__xludf.DUMMYFUNCTION("GOOGLETRANSLATE(D4563)"),"我們只是碰巧在同一條路上公車後面我是認真的")</f>
        <v>我們只是碰巧在同一條路上公車後面我是認真的</v>
      </c>
      <c r="G4563" s="4" t="str">
        <f>IFERROR(__xludf.DUMMYFUNCTION("GOOGLETRANSLATE(B4563)"),"死的")</f>
        <v>死的</v>
      </c>
    </row>
    <row r="4564" ht="15.75" customHeight="1">
      <c r="A4564" s="4">
        <v>2965.0</v>
      </c>
      <c r="B4564" s="4" t="s">
        <v>1294</v>
      </c>
      <c r="C4564" s="4" t="s">
        <v>6765</v>
      </c>
      <c r="D4564" s="4" t="s">
        <v>6766</v>
      </c>
      <c r="E4564" s="4">
        <v>0.0</v>
      </c>
      <c r="F4564" s="4" t="str">
        <f>IFERROR(__xludf.DUMMYFUNCTION("GOOGLETRANSLATE(D4564)"),"lmfao 他媽的路易斯 哈哈哈 我死了")</f>
        <v>lmfao 他媽的路易斯 哈哈哈 我死了</v>
      </c>
      <c r="G4564" s="4" t="str">
        <f>IFERROR(__xludf.DUMMYFUNCTION("GOOGLETRANSLATE(B4564)"),"死的")</f>
        <v>死的</v>
      </c>
    </row>
    <row r="4565" ht="15.75" customHeight="1">
      <c r="A4565" s="4">
        <v>2970.0</v>
      </c>
      <c r="B4565" s="4" t="s">
        <v>1294</v>
      </c>
      <c r="C4565" s="4" t="s">
        <v>5783</v>
      </c>
      <c r="D4565" s="4" t="s">
        <v>6767</v>
      </c>
      <c r="E4565" s="4">
        <v>0.0</v>
      </c>
      <c r="F4565" s="4" t="str">
        <f>IFERROR(__xludf.DUMMYFUNCTION("GOOGLETRANSLATE(D4565)"),"@soapscoop 我需要你確認羅斯已經死了，因為我不相信其他人")</f>
        <v>@soapscoop 我需要你確認羅斯已經死了，因為我不相信其他人</v>
      </c>
      <c r="G4565" s="4" t="str">
        <f>IFERROR(__xludf.DUMMYFUNCTION("GOOGLETRANSLATE(B4565)"),"死的")</f>
        <v>死的</v>
      </c>
    </row>
    <row r="4566" ht="15.75" customHeight="1">
      <c r="A4566" s="4">
        <v>2971.0</v>
      </c>
      <c r="B4566" s="4" t="s">
        <v>1294</v>
      </c>
      <c r="D4566" s="4" t="s">
        <v>6768</v>
      </c>
      <c r="E4566" s="4">
        <v>0.0</v>
      </c>
      <c r="F4566" s="4" t="str">
        <f>IFERROR(__xludf.DUMMYFUNCTION("GOOGLETRANSLATE(D4566)"),"@GailSimone #IWasDisappointedBy TellTale 的《行屍走肉》。良好的角色和故事，但沒有真正的遊戲玩法和太多的性能問題。")</f>
        <v>@GailSimone #IWasDisappointedBy TellTale 的《行屍走肉》。良好的角色和故事，但沒有真正的遊戲玩法和太多的性能問題。</v>
      </c>
      <c r="G4566" s="4" t="str">
        <f>IFERROR(__xludf.DUMMYFUNCTION("GOOGLETRANSLATE(B4566)"),"死的")</f>
        <v>死的</v>
      </c>
    </row>
    <row r="4567" ht="15.75" customHeight="1">
      <c r="A4567" s="4">
        <v>2974.0</v>
      </c>
      <c r="B4567" s="4" t="s">
        <v>1294</v>
      </c>
      <c r="C4567" s="4" t="s">
        <v>6769</v>
      </c>
      <c r="D4567" s="4" t="s">
        <v>6770</v>
      </c>
      <c r="E4567" s="4">
        <v>0.0</v>
      </c>
      <c r="F4567" s="4" t="str">
        <f>IFERROR(__xludf.DUMMYFUNCTION("GOOGLETRANSLATE(D4567)"),"如果你來看的是一場戰爭，你永遠不會在我面前看到一面飄揚的白旗。
我不能死，我不會被誤導。")</f>
        <v>如果你來看的是一場戰爭，你永遠不會在我面前看到一面飄揚的白旗。
我不能死，我不會被誤導。</v>
      </c>
      <c r="G4567" s="4" t="str">
        <f>IFERROR(__xludf.DUMMYFUNCTION("GOOGLETRANSLATE(B4567)"),"死的")</f>
        <v>死的</v>
      </c>
    </row>
    <row r="4568" ht="15.75" customHeight="1">
      <c r="A4568" s="4">
        <v>2975.0</v>
      </c>
      <c r="B4568" s="4" t="s">
        <v>1294</v>
      </c>
      <c r="C4568" s="4" t="s">
        <v>6771</v>
      </c>
      <c r="D4568" s="4" t="s">
        <v>6772</v>
      </c>
      <c r="E4568" s="4">
        <v>0.0</v>
      </c>
      <c r="F4568" s="4" t="str">
        <f>IFERROR(__xludf.DUMMYFUNCTION("GOOGLETRANSLATE(D4568)"),"@Jones94Kyle 哦他媽的他死了？？？")</f>
        <v>@Jones94Kyle 哦他媽的他死了？？？</v>
      </c>
      <c r="G4568" s="4" t="str">
        <f>IFERROR(__xludf.DUMMYFUNCTION("GOOGLETRANSLATE(B4568)"),"死的")</f>
        <v>死的</v>
      </c>
    </row>
    <row r="4569" ht="15.75" customHeight="1">
      <c r="A4569" s="4">
        <v>2976.0</v>
      </c>
      <c r="B4569" s="4" t="s">
        <v>1294</v>
      </c>
      <c r="C4569" s="4" t="s">
        <v>6773</v>
      </c>
      <c r="D4569" s="4" t="s">
        <v>6774</v>
      </c>
      <c r="E4569" s="4">
        <v>0.0</v>
      </c>
      <c r="F4569" s="4" t="str">
        <f>IFERROR(__xludf.DUMMYFUNCTION("GOOGLETRANSLATE(D4569)"),"@emmerdale 羅斯真的死了嗎？ #問查理")</f>
        <v>@emmerdale 羅斯真的死了嗎？ #問查理</v>
      </c>
      <c r="G4569" s="4" t="str">
        <f>IFERROR(__xludf.DUMMYFUNCTION("GOOGLETRANSLATE(B4569)"),"死的")</f>
        <v>死的</v>
      </c>
    </row>
    <row r="4570" ht="15.75" customHeight="1">
      <c r="A4570" s="4">
        <v>2980.0</v>
      </c>
      <c r="B4570" s="4" t="s">
        <v>1294</v>
      </c>
      <c r="D4570" s="4" t="s">
        <v>6775</v>
      </c>
      <c r="E4570" s="4">
        <v>0.0</v>
      </c>
      <c r="F4570" s="4" t="str">
        <f>IFERROR(__xludf.DUMMYFUNCTION("GOOGLETRANSLATE(D4570)"),"不要過度避免穿死黑、火紅和純白，尤其是。辯論時；連鞋子也可以搭配藍色、金棕色；和")</f>
        <v>不要過度避免穿死黑、火紅和純白，尤其是。辯論時；連鞋子也可以搭配藍色、金棕色；和</v>
      </c>
      <c r="G4570" s="4" t="str">
        <f>IFERROR(__xludf.DUMMYFUNCTION("GOOGLETRANSLATE(B4570)"),"死的")</f>
        <v>死的</v>
      </c>
    </row>
    <row r="4571" ht="15.75" customHeight="1">
      <c r="A4571" s="4">
        <v>2983.0</v>
      </c>
      <c r="B4571" s="4" t="s">
        <v>1294</v>
      </c>
      <c r="C4571" s="4" t="s">
        <v>6776</v>
      </c>
      <c r="D4571" s="4" t="s">
        <v>6777</v>
      </c>
      <c r="E4571" s="4">
        <v>0.0</v>
      </c>
      <c r="F4571" s="4" t="str">
        <f>IFERROR(__xludf.DUMMYFUNCTION("GOOGLETRANSLATE(D4571)"),"@hlportal 你好！我正在尋找《冷冰》mod。我在你的網站上看到了它，但下載連結已失效。也許你有並與我分享？謝謝。")</f>
        <v>@hlportal 你好！我正在尋找《冷冰》mod。我在你的網站上看到了它，但下載連結已失效。也許你有並與我分享？謝謝。</v>
      </c>
      <c r="G4571" s="4" t="str">
        <f>IFERROR(__xludf.DUMMYFUNCTION("GOOGLETRANSLATE(B4571)"),"死的")</f>
        <v>死的</v>
      </c>
    </row>
    <row r="4572" ht="15.75" customHeight="1">
      <c r="A4572" s="4">
        <v>2984.0</v>
      </c>
      <c r="B4572" s="4" t="s">
        <v>1294</v>
      </c>
      <c r="C4572" s="4" t="s">
        <v>6778</v>
      </c>
      <c r="D4572" s="4" t="s">
        <v>6779</v>
      </c>
      <c r="E4572" s="4">
        <v>0.0</v>
      </c>
      <c r="F4572" s="4" t="str">
        <f>IFERROR(__xludf.DUMMYFUNCTION("GOOGLETRANSLATE(D4572)"),"@kg4vaal lmaov.v 硬「Ny」是新趨勢 babalmao...歡迎來到 Nyozi kwaAaaA#dead")</f>
        <v>@kg4vaal lmaov.v 硬「Ny」是新趨勢 babalmao...歡迎來到 Nyozi kwaAaaA#dead</v>
      </c>
      <c r="G4572" s="4" t="str">
        <f>IFERROR(__xludf.DUMMYFUNCTION("GOOGLETRANSLATE(B4572)"),"死的")</f>
        <v>死的</v>
      </c>
    </row>
    <row r="4573" ht="15.75" customHeight="1">
      <c r="A4573" s="4">
        <v>2987.0</v>
      </c>
      <c r="B4573" s="4" t="s">
        <v>1294</v>
      </c>
      <c r="C4573" s="4" t="s">
        <v>6771</v>
      </c>
      <c r="D4573" s="4" t="s">
        <v>6780</v>
      </c>
      <c r="E4573" s="4">
        <v>0.0</v>
      </c>
      <c r="F4573" s="4" t="str">
        <f>IFERROR(__xludf.DUMMYFUNCTION("GOOGLETRANSLATE(D4573)"),"@Jones94Kyle 現在我已經說了這一切，他已經死了，沒有其他人死了")</f>
        <v>@Jones94Kyle 現在我已經說了這一切，他已經死了，沒有其他人死了</v>
      </c>
      <c r="G4573" s="4" t="str">
        <f>IFERROR(__xludf.DUMMYFUNCTION("GOOGLETRANSLATE(B4573)"),"死的")</f>
        <v>死的</v>
      </c>
    </row>
    <row r="4574" ht="15.75" customHeight="1">
      <c r="A4574" s="4">
        <v>2988.0</v>
      </c>
      <c r="B4574" s="4" t="s">
        <v>1294</v>
      </c>
      <c r="C4574" s="4" t="s">
        <v>6781</v>
      </c>
      <c r="D4574" s="4" t="s">
        <v>6782</v>
      </c>
      <c r="E4574" s="4">
        <v>0.0</v>
      </c>
      <c r="F4574" s="4" t="str">
        <f>IFERROR(__xludf.DUMMYFUNCTION("GOOGLETRANSLATE(D4574)"),"羅斯死了嗎@MikeParrActor")</f>
        <v>羅斯死了嗎@MikeParrActor</v>
      </c>
      <c r="G4574" s="4" t="str">
        <f>IFERROR(__xludf.DUMMYFUNCTION("GOOGLETRANSLATE(B4574)"),"死的")</f>
        <v>死的</v>
      </c>
    </row>
    <row r="4575" ht="15.75" customHeight="1">
      <c r="A4575" s="4">
        <v>2990.0</v>
      </c>
      <c r="B4575" s="4" t="s">
        <v>1294</v>
      </c>
      <c r="C4575" s="4" t="s">
        <v>6783</v>
      </c>
      <c r="D4575" s="4" t="s">
        <v>6784</v>
      </c>
      <c r="E4575" s="4">
        <v>0.0</v>
      </c>
      <c r="F4575" s="4" t="str">
        <f>IFERROR(__xludf.DUMMYFUNCTION("GOOGLETRANSLATE(D4575)"),"想起我的朋友把 nite b4 保釋的那次，一場死秀……獨自一人去了。有過一段愉快的時光。獨自一人，自由地跳舞。前排")</f>
        <v>想起我的朋友把 nite b4 保釋的那次，一場死秀……獨自一人去了。有過一段愉快的時光。獨自一人，自由地跳舞。前排</v>
      </c>
      <c r="G4575" s="4" t="str">
        <f>IFERROR(__xludf.DUMMYFUNCTION("GOOGLETRANSLATE(B4575)"),"死的")</f>
        <v>死的</v>
      </c>
    </row>
    <row r="4576" ht="15.75" customHeight="1">
      <c r="A4576" s="4">
        <v>2992.0</v>
      </c>
      <c r="B4576" s="4" t="s">
        <v>1294</v>
      </c>
      <c r="D4576" s="4" t="s">
        <v>6785</v>
      </c>
      <c r="E4576" s="4">
        <v>0.0</v>
      </c>
      <c r="F4576" s="4" t="str">
        <f>IFERROR(__xludf.DUMMYFUNCTION("GOOGLETRANSLATE(D4576)"),"#AskCharley #Emmerdale 羅斯過世後你有多激動？ @埃默代爾 5")</f>
        <v>#AskCharley #Emmerdale 羅斯過世後你有多激動？ @埃默代爾 5</v>
      </c>
      <c r="G4576" s="4" t="str">
        <f>IFERROR(__xludf.DUMMYFUNCTION("GOOGLETRANSLATE(B4576)"),"死的")</f>
        <v>死的</v>
      </c>
    </row>
    <row r="4577" ht="15.75" customHeight="1">
      <c r="A4577" s="4">
        <v>2998.0</v>
      </c>
      <c r="B4577" s="4" t="s">
        <v>1294</v>
      </c>
      <c r="D4577" s="4" t="s">
        <v>6786</v>
      </c>
      <c r="E4577" s="4">
        <v>0.0</v>
      </c>
      <c r="F4577" s="4" t="str">
        <f>IFERROR(__xludf.DUMMYFUNCTION("GOOGLETRANSLATE(D4577)"),"@AtchisonSean 他死了")</f>
        <v>@AtchisonSean 他死了</v>
      </c>
      <c r="G4577" s="4" t="str">
        <f>IFERROR(__xludf.DUMMYFUNCTION("GOOGLETRANSLATE(B4577)"),"死的")</f>
        <v>死的</v>
      </c>
    </row>
    <row r="4578" ht="15.75" customHeight="1">
      <c r="A4578" s="4">
        <v>3000.0</v>
      </c>
      <c r="B4578" s="4" t="s">
        <v>1294</v>
      </c>
      <c r="C4578" s="4" t="s">
        <v>627</v>
      </c>
      <c r="D4578" s="4" t="s">
        <v>6787</v>
      </c>
      <c r="E4578" s="4">
        <v>0.0</v>
      </c>
      <c r="F4578" s="4" t="str">
        <f>IFERROR(__xludf.DUMMYFUNCTION("GOOGLETRANSLATE(D4578)"),"《溫森林：死亡之路》（2014）非常棒，結局也很棒。太棒了。")</f>
        <v>《溫森林：死亡之路》（2014）非常棒，結局也很棒。太棒了。</v>
      </c>
      <c r="G4578" s="4" t="str">
        <f>IFERROR(__xludf.DUMMYFUNCTION("GOOGLETRANSLATE(B4578)"),"死的")</f>
        <v>死的</v>
      </c>
    </row>
    <row r="4579" ht="15.75" customHeight="1">
      <c r="A4579" s="4">
        <v>3001.0</v>
      </c>
      <c r="B4579" s="4" t="s">
        <v>1294</v>
      </c>
      <c r="C4579" s="4" t="s">
        <v>6788</v>
      </c>
      <c r="D4579" s="4" t="s">
        <v>6789</v>
      </c>
      <c r="E4579" s="4">
        <v>0.0</v>
      </c>
      <c r="F4579" s="4" t="str">
        <f>IFERROR(__xludf.DUMMYFUNCTION("GOOGLETRANSLATE(D4579)"),"不敢相信羅斯死了？？？？？？？ @emmerdale @MikeParrActor #Emmerdale #summerfate")</f>
        <v>不敢相信羅斯死了？？？？？？？ @emmerdale @MikeParrActor #Emmerdale #summerfate</v>
      </c>
      <c r="G4579" s="4" t="str">
        <f>IFERROR(__xludf.DUMMYFUNCTION("GOOGLETRANSLATE(B4579)"),"死的")</f>
        <v>死的</v>
      </c>
    </row>
    <row r="4580" ht="15.75" customHeight="1">
      <c r="A4580" s="4">
        <v>3003.0</v>
      </c>
      <c r="B4580" s="4" t="s">
        <v>1304</v>
      </c>
      <c r="D4580" s="4" t="s">
        <v>6790</v>
      </c>
      <c r="E4580" s="4">
        <v>0.0</v>
      </c>
      <c r="F4580" s="4" t="str">
        <f>IFERROR(__xludf.DUMMYFUNCTION("GOOGLETRANSLATE(D4580)"),"我只會打電話或發短信給我最好的朋友和兩個黑鬼。我男朋友？？？我愛我的孩子們愛得要死。沒有其他黑鬼能像他們一樣吸引我的注意力？")</f>
        <v>我只會打電話或發短信給我最好的朋友和兩個黑鬼。我男朋友？？？我愛我的孩子們愛得要死。沒有其他黑鬼能像他們一樣吸引我的注意力？</v>
      </c>
      <c r="G4580" s="4" t="str">
        <f>IFERROR(__xludf.DUMMYFUNCTION("GOOGLETRANSLATE(B4580)"),"死亡")</f>
        <v>死亡</v>
      </c>
    </row>
    <row r="4581" ht="15.75" customHeight="1">
      <c r="A4581" s="4">
        <v>3004.0</v>
      </c>
      <c r="B4581" s="4" t="s">
        <v>1304</v>
      </c>
      <c r="C4581" s="4" t="s">
        <v>6791</v>
      </c>
      <c r="D4581" s="4" t="s">
        <v>6792</v>
      </c>
      <c r="E4581" s="4">
        <v>0.0</v>
      </c>
      <c r="F4581" s="4" t="str">
        <f>IFERROR(__xludf.DUMMYFUNCTION("GOOGLETRANSLATE(D4581)"),"我討厭和我的奶奶說話……我的意思是我愛她愛得要死，但她說太多了 Ssshhheeesshh！ ????")</f>
        <v>我討厭和我的奶奶說話……我的意思是我愛她愛得要死，但她說太多了 Ssshhheeesshh！ ????</v>
      </c>
      <c r="G4581" s="4" t="str">
        <f>IFERROR(__xludf.DUMMYFUNCTION("GOOGLETRANSLATE(B4581)"),"死亡")</f>
        <v>死亡</v>
      </c>
    </row>
    <row r="4582" ht="15.75" customHeight="1">
      <c r="A4582" s="4">
        <v>3006.0</v>
      </c>
      <c r="B4582" s="4" t="s">
        <v>1304</v>
      </c>
      <c r="D4582" s="4" t="s">
        <v>6793</v>
      </c>
      <c r="E4582" s="4">
        <v>0.0</v>
      </c>
      <c r="F4582" s="4" t="str">
        <f>IFERROR(__xludf.DUMMYFUNCTION("GOOGLETRANSLATE(D4582)"),"我的振動器形狀的 vape 壞了")</f>
        <v>我的振動器形狀的 vape 壞了</v>
      </c>
      <c r="G4582" s="4" t="str">
        <f>IFERROR(__xludf.DUMMYFUNCTION("GOOGLETRANSLATE(B4582)"),"死亡")</f>
        <v>死亡</v>
      </c>
    </row>
    <row r="4583" ht="15.75" customHeight="1">
      <c r="A4583" s="4">
        <v>3009.0</v>
      </c>
      <c r="B4583" s="4" t="s">
        <v>1304</v>
      </c>
      <c r="C4583" s="4" t="s">
        <v>6794</v>
      </c>
      <c r="D4583" s="4" t="s">
        <v>6795</v>
      </c>
      <c r="E4583" s="4">
        <v>0.0</v>
      </c>
      <c r="F4583" s="4" t="str">
        <f>IFERROR(__xludf.DUMMYFUNCTION("GOOGLETRANSLATE(D4583)"),"死亡威脅對黑鬼的生活那麼我們就會看到")</f>
        <v>死亡威脅對黑鬼的生活那麼我們就會看到</v>
      </c>
      <c r="G4583" s="4" t="str">
        <f>IFERROR(__xludf.DUMMYFUNCTION("GOOGLETRANSLATE(B4583)"),"死亡")</f>
        <v>死亡</v>
      </c>
    </row>
    <row r="4584" ht="15.75" customHeight="1">
      <c r="A4584" s="4">
        <v>3011.0</v>
      </c>
      <c r="B4584" s="4" t="s">
        <v>1304</v>
      </c>
      <c r="C4584" s="4" t="s">
        <v>291</v>
      </c>
      <c r="D4584" s="4" t="s">
        <v>6796</v>
      </c>
      <c r="E4584" s="4">
        <v>0.0</v>
      </c>
      <c r="F4584" s="4" t="str">
        <f>IFERROR(__xludf.DUMMYFUNCTION("GOOGLETRANSLATE(D4584)"),"Xbox 360 Pro 主機 - *紅色死亡之環* - eBay 完整閱讀 http://t.co/5GKTSHioRR http://t.co/9jEUU86Koi")</f>
        <v>Xbox 360 Pro 主機 - *紅色死亡之環* - eBay 完整閱讀 http://t.co/5GKTSHioRR http://t.co/9jEUU86Koi</v>
      </c>
      <c r="G4584" s="4" t="str">
        <f>IFERROR(__xludf.DUMMYFUNCTION("GOOGLETRANSLATE(B4584)"),"死亡")</f>
        <v>死亡</v>
      </c>
    </row>
    <row r="4585" ht="15.75" customHeight="1">
      <c r="A4585" s="4">
        <v>3013.0</v>
      </c>
      <c r="B4585" s="4" t="s">
        <v>1304</v>
      </c>
      <c r="C4585" s="4" t="s">
        <v>6797</v>
      </c>
      <c r="D4585" s="4" t="s">
        <v>6798</v>
      </c>
      <c r="E4585" s="4">
        <v>0.0</v>
      </c>
      <c r="F4585" s="4" t="str">
        <f>IFERROR(__xludf.DUMMYFUNCTION("GOOGLETRANSLATE(D4585)"),"一年後，弗格森看到了變化，但詢問這是否是真實的 http://t.co/H9vmMDEbDx")</f>
        <v>一年後，弗格森看到了變化，但詢問這是否是真實的 http://t.co/H9vmMDEbDx</v>
      </c>
      <c r="G4585" s="4" t="str">
        <f>IFERROR(__xludf.DUMMYFUNCTION("GOOGLETRANSLATE(B4585)"),"死亡")</f>
        <v>死亡</v>
      </c>
    </row>
    <row r="4586" ht="15.75" customHeight="1">
      <c r="A4586" s="4">
        <v>3014.0</v>
      </c>
      <c r="B4586" s="4" t="s">
        <v>1304</v>
      </c>
      <c r="D4586" s="4" t="s">
        <v>6799</v>
      </c>
      <c r="E4586" s="4">
        <v>0.0</v>
      </c>
      <c r="F4586" s="4" t="str">
        <f>IFERROR(__xludf.DUMMYFUNCTION("GOOGLETRANSLATE(D4586)"),"#PapiiChampoo 奧巴馬時代我最喜歡的是禮貌：普雷茲說共和黨支持伊朗“死亡......” http://t.co/jpU3es746I")</f>
        <v>#PapiiChampoo 奧巴馬時代我最喜歡的是禮貌：普雷茲說共和黨支持伊朗“死亡......” http://t.co/jpU3es746I</v>
      </c>
      <c r="G4586" s="4" t="str">
        <f>IFERROR(__xludf.DUMMYFUNCTION("GOOGLETRANSLATE(B4586)"),"死亡")</f>
        <v>死亡</v>
      </c>
    </row>
    <row r="4587" ht="15.75" customHeight="1">
      <c r="A4587" s="4">
        <v>3015.0</v>
      </c>
      <c r="B4587" s="4" t="s">
        <v>1304</v>
      </c>
      <c r="D4587" s="4" t="s">
        <v>6800</v>
      </c>
      <c r="E4587" s="4">
        <v>0.0</v>
      </c>
      <c r="F4587" s="4" t="str">
        <f>IFERROR(__xludf.DUMMYFUNCTION("GOOGLETRANSLATE(D4587)"),"我感覺自己快要死了")</f>
        <v>我感覺自己快要死了</v>
      </c>
      <c r="G4587" s="4" t="str">
        <f>IFERROR(__xludf.DUMMYFUNCTION("GOOGLETRANSLATE(B4587)"),"死亡")</f>
        <v>死亡</v>
      </c>
    </row>
    <row r="4588" ht="15.75" customHeight="1">
      <c r="A4588" s="4">
        <v>3016.0</v>
      </c>
      <c r="B4588" s="4" t="s">
        <v>1304</v>
      </c>
      <c r="C4588" s="4" t="s">
        <v>6801</v>
      </c>
      <c r="D4588" s="4" t="s">
        <v>6802</v>
      </c>
      <c r="E4588" s="4">
        <v>0.0</v>
      </c>
      <c r="F4588" s="4" t="str">
        <f>IFERROR(__xludf.DUMMYFUNCTION("GOOGLETRANSLATE(D4588)"),"我喜歡來自 @jeromekem 的 @YouTube 影片 http://t.co/Nq89drydbU DJ Hazard - Death Sport")</f>
        <v>我喜歡來自 @jeromekem 的 @YouTube 影片 http://t.co/Nq89drydbU DJ Hazard - Death Sport</v>
      </c>
      <c r="G4588" s="4" t="str">
        <f>IFERROR(__xludf.DUMMYFUNCTION("GOOGLETRANSLATE(B4588)"),"死亡")</f>
        <v>死亡</v>
      </c>
    </row>
    <row r="4589" ht="15.75" customHeight="1">
      <c r="A4589" s="4">
        <v>3018.0</v>
      </c>
      <c r="B4589" s="4" t="s">
        <v>1304</v>
      </c>
      <c r="D4589" s="4" t="s">
        <v>6803</v>
      </c>
      <c r="E4589" s="4">
        <v>0.0</v>
      </c>
      <c r="F4589" s="4" t="str">
        <f>IFERROR(__xludf.DUMMYFUNCTION("GOOGLETRANSLATE(D4589)"),"我告訴我的表兄弟我不想出去玩，他們傳簡訊給我說「我們要過來」說實話，你想死嗎")</f>
        <v>我告訴我的表兄弟我不想出去玩，他們傳簡訊給我說「我們要過來」說實話，你想死嗎</v>
      </c>
      <c r="G4589" s="4" t="str">
        <f>IFERROR(__xludf.DUMMYFUNCTION("GOOGLETRANSLATE(B4589)"),"死亡")</f>
        <v>死亡</v>
      </c>
    </row>
    <row r="4590" ht="15.75" customHeight="1">
      <c r="A4590" s="4">
        <v>3019.0</v>
      </c>
      <c r="B4590" s="4" t="s">
        <v>1304</v>
      </c>
      <c r="D4590" s="4" t="s">
        <v>6804</v>
      </c>
      <c r="E4590" s="4">
        <v>0.0</v>
      </c>
      <c r="F4590" s="4" t="str">
        <f>IFERROR(__xludf.DUMMYFUNCTION("GOOGLETRANSLATE(D4590)"),"RSS：法官命令德州承認同性死亡證明上的配偶 http://t.co/TZIolfTe5i")</f>
        <v>RSS：法官命令德州承認同性死亡證明上的配偶 http://t.co/TZIolfTe5i</v>
      </c>
      <c r="G4590" s="4" t="str">
        <f>IFERROR(__xludf.DUMMYFUNCTION("GOOGLETRANSLATE(B4590)"),"死亡")</f>
        <v>死亡</v>
      </c>
    </row>
    <row r="4591" ht="15.75" customHeight="1">
      <c r="A4591" s="4">
        <v>3021.0</v>
      </c>
      <c r="B4591" s="4" t="s">
        <v>1304</v>
      </c>
      <c r="C4591" s="4" t="s">
        <v>6805</v>
      </c>
      <c r="D4591" s="4" t="s">
        <v>6806</v>
      </c>
      <c r="E4591" s="4">
        <v>0.0</v>
      </c>
      <c r="F4591" s="4" t="str">
        <f>IFERROR(__xludf.DUMMYFUNCTION("GOOGLETRANSLATE(D4591)"),"她的忠誠任務就是把一個卑鄙的貴族踢死？？？我喜歡這個精靈怪人")</f>
        <v>她的忠誠任務就是把一個卑鄙的貴族踢死？？？我喜歡這個精靈怪人</v>
      </c>
      <c r="G4591" s="4" t="str">
        <f>IFERROR(__xludf.DUMMYFUNCTION("GOOGLETRANSLATE(B4591)"),"死亡")</f>
        <v>死亡</v>
      </c>
    </row>
    <row r="4592" ht="15.75" customHeight="1">
      <c r="A4592" s="4">
        <v>3025.0</v>
      </c>
      <c r="B4592" s="4" t="s">
        <v>1304</v>
      </c>
      <c r="D4592" s="4" t="s">
        <v>6807</v>
      </c>
      <c r="E4592" s="4">
        <v>0.0</v>
      </c>
      <c r="F4592" s="4" t="str">
        <f>IFERROR(__xludf.DUMMYFUNCTION("GOOGLETRANSLATE(D4592)"),"https://t.co/eCMUjkKqX1 @ArianaGrande @ScreamQueens
凱瑟琳之死")</f>
        <v>https://t.co/eCMUjkKqX1 @ArianaGrande @ScreamQueens
凱瑟琳之死</v>
      </c>
      <c r="G4592" s="4" t="str">
        <f>IFERROR(__xludf.DUMMYFUNCTION("GOOGLETRANSLATE(B4592)"),"死亡")</f>
        <v>死亡</v>
      </c>
    </row>
    <row r="4593" ht="15.75" customHeight="1">
      <c r="A4593" s="4">
        <v>3027.0</v>
      </c>
      <c r="B4593" s="4" t="s">
        <v>1304</v>
      </c>
      <c r="D4593" s="4" t="s">
        <v>6808</v>
      </c>
      <c r="E4593" s="4">
        <v>0.0</v>
      </c>
      <c r="F4593" s="4" t="str">
        <f>IFERROR(__xludf.DUMMYFUNCTION("GOOGLETRANSLATE(D4593)"),"會餓死")</f>
        <v>會餓死</v>
      </c>
      <c r="G4593" s="4" t="str">
        <f>IFERROR(__xludf.DUMMYFUNCTION("GOOGLETRANSLATE(B4593)"),"死亡")</f>
        <v>死亡</v>
      </c>
    </row>
    <row r="4594" ht="15.75" customHeight="1">
      <c r="A4594" s="4">
        <v>3029.0</v>
      </c>
      <c r="B4594" s="4" t="s">
        <v>1304</v>
      </c>
      <c r="D4594" s="4" t="s">
        <v>6809</v>
      </c>
      <c r="E4594" s="4">
        <v>0.0</v>
      </c>
      <c r="F4594" s="4" t="str">
        <f>IFERROR(__xludf.DUMMYFUNCTION("GOOGLETRANSLATE(D4594)"),"特德·克魯茲猛烈抨擊歐巴馬，將共和黨與高喊「美國去死」的伊朗人進行比較 http://t.co/cuFGVupKzi")</f>
        <v>特德·克魯茲猛烈抨擊歐巴馬，將共和黨與高喊「美國去死」的伊朗人進行比較 http://t.co/cuFGVupKzi</v>
      </c>
      <c r="G4594" s="4" t="str">
        <f>IFERROR(__xludf.DUMMYFUNCTION("GOOGLETRANSLATE(B4594)"),"死亡")</f>
        <v>死亡</v>
      </c>
    </row>
    <row r="4595" ht="15.75" customHeight="1">
      <c r="A4595" s="4">
        <v>3030.0</v>
      </c>
      <c r="B4595" s="4" t="s">
        <v>1304</v>
      </c>
      <c r="D4595" s="4" t="s">
        <v>6810</v>
      </c>
      <c r="E4595" s="4">
        <v>0.0</v>
      </c>
      <c r="F4595" s="4" t="str">
        <f>IFERROR(__xludf.DUMMYFUNCTION("GOOGLETRANSLATE(D4595)"),"https://t.co/oIfN28HpCS @ArianaGrande @ScreamQueens
凱瑟琳之死")</f>
        <v>https://t.co/oIfN28HpCS @ArianaGrande @ScreamQueens
凱瑟琳之死</v>
      </c>
      <c r="G4595" s="4" t="str">
        <f>IFERROR(__xludf.DUMMYFUNCTION("GOOGLETRANSLATE(B4595)"),"死亡")</f>
        <v>死亡</v>
      </c>
    </row>
    <row r="4596" ht="15.75" customHeight="1">
      <c r="A4596" s="4">
        <v>3034.0</v>
      </c>
      <c r="B4596" s="4" t="s">
        <v>1304</v>
      </c>
      <c r="D4596" s="4" t="s">
        <v>6811</v>
      </c>
      <c r="E4596" s="4">
        <v>0.0</v>
      </c>
      <c r="F4596" s="4" t="str">
        <f>IFERROR(__xludf.DUMMYFUNCTION("GOOGLETRANSLATE(D4596)"),"新犯罪：了解你的權利。可判處死刑")</f>
        <v>新犯罪：了解你的權利。可判處死刑</v>
      </c>
      <c r="G4596" s="4" t="str">
        <f>IFERROR(__xludf.DUMMYFUNCTION("GOOGLETRANSLATE(B4596)"),"死亡")</f>
        <v>死亡</v>
      </c>
    </row>
    <row r="4597" ht="15.75" customHeight="1">
      <c r="A4597" s="4">
        <v>3036.0</v>
      </c>
      <c r="B4597" s="4" t="s">
        <v>1304</v>
      </c>
      <c r="C4597" s="4" t="s">
        <v>38</v>
      </c>
      <c r="D4597" s="4" t="s">
        <v>6812</v>
      </c>
      <c r="E4597" s="4">
        <v>0.0</v>
      </c>
      <c r="F4597" s="4" t="str">
        <f>IFERROR(__xludf.DUMMYFUNCTION("GOOGLETRANSLATE(D4597)"),"我在將《DEATH TO SMOOCHY》或《AWAKENINGS》剪輯上傳到@YouTube 時沒有遇到任何問題，但出於某種原因，《BICENTENNIAL MAN》令人頭疼。")</f>
        <v>我在將《DEATH TO SMOOCHY》或《AWAKENINGS》剪輯上傳到@YouTube 時沒有遇到任何問題，但出於某種原因，《BICENTENNIAL MAN》令人頭疼。</v>
      </c>
      <c r="G4597" s="4" t="str">
        <f>IFERROR(__xludf.DUMMYFUNCTION("GOOGLETRANSLATE(B4597)"),"死亡")</f>
        <v>死亡</v>
      </c>
    </row>
    <row r="4598" ht="15.75" customHeight="1">
      <c r="A4598" s="4">
        <v>3039.0</v>
      </c>
      <c r="B4598" s="4" t="s">
        <v>1304</v>
      </c>
      <c r="C4598" s="4" t="s">
        <v>6813</v>
      </c>
      <c r="D4598" s="4" t="s">
        <v>6814</v>
      </c>
      <c r="E4598" s="4">
        <v>0.0</v>
      </c>
      <c r="F4598" s="4" t="str">
        <f>IFERROR(__xludf.DUMMYFUNCTION("GOOGLETRANSLATE(D4598)"),"我覺得自己快要死了……聖莫利斯？？？？？？？？？")</f>
        <v>我覺得自己快要死了……聖莫利斯？？？？？？？？？</v>
      </c>
      <c r="G4598" s="4" t="str">
        <f>IFERROR(__xludf.DUMMYFUNCTION("GOOGLETRANSLATE(B4598)"),"死亡")</f>
        <v>死亡</v>
      </c>
    </row>
    <row r="4599" ht="15.75" customHeight="1">
      <c r="A4599" s="4">
        <v>3042.0</v>
      </c>
      <c r="B4599" s="4" t="s">
        <v>1304</v>
      </c>
      <c r="C4599" s="4" t="s">
        <v>6815</v>
      </c>
      <c r="D4599" s="4" t="s">
        <v>6816</v>
      </c>
      <c r="E4599" s="4">
        <v>0.0</v>
      </c>
      <c r="F4599" s="4" t="str">
        <f>IFERROR(__xludf.DUMMYFUNCTION("GOOGLETRANSLATE(D4599)"),"影片：被殺的墨西哥記者在不知不覺中預測了自己的死亡 http://t.co/QxhOwCv16R 來自 @BreitbartNews")</f>
        <v>影片：被殺的墨西哥記者在不知不覺中預測了自己的死亡 http://t.co/QxhOwCv16R 來自 @BreitbartNews</v>
      </c>
      <c r="G4599" s="4" t="str">
        <f>IFERROR(__xludf.DUMMYFUNCTION("GOOGLETRANSLATE(B4599)"),"死亡")</f>
        <v>死亡</v>
      </c>
    </row>
    <row r="4600" ht="15.75" customHeight="1">
      <c r="A4600" s="4">
        <v>3043.0</v>
      </c>
      <c r="B4600" s="4" t="s">
        <v>1304</v>
      </c>
      <c r="C4600" s="4" t="s">
        <v>955</v>
      </c>
      <c r="D4600" s="4" t="s">
        <v>6817</v>
      </c>
      <c r="E4600" s="4">
        <v>0.0</v>
      </c>
      <c r="F4600" s="4" t="str">
        <f>IFERROR(__xludf.DUMMYFUNCTION("GOOGLETRANSLATE(D4600)"),"有一位老太太在市中心的轎車裡抽煙，用搖滾樂搖滾樂致死。我找到我真正的媽媽了。")</f>
        <v>有一位老太太在市中心的轎車裡抽煙，用搖滾樂搖滾樂致死。我找到我真正的媽媽了。</v>
      </c>
      <c r="G4600" s="4" t="str">
        <f>IFERROR(__xludf.DUMMYFUNCTION("GOOGLETRANSLATE(B4600)"),"死亡")</f>
        <v>死亡</v>
      </c>
    </row>
    <row r="4601" ht="15.75" customHeight="1">
      <c r="A4601" s="4">
        <v>3044.0</v>
      </c>
      <c r="B4601" s="4" t="s">
        <v>1304</v>
      </c>
      <c r="C4601" s="4" t="s">
        <v>6818</v>
      </c>
      <c r="D4601" s="4" t="s">
        <v>6819</v>
      </c>
      <c r="E4601" s="4">
        <v>0.0</v>
      </c>
      <c r="F4601" s="4" t="str">
        <f>IFERROR(__xludf.DUMMYFUNCTION("GOOGLETRANSLATE(D4601)"),"毛拉奧馬爾去世後阿富汗和談面臨質疑 - 金融時報#毛拉")</f>
        <v>毛拉奧馬爾去世後阿富汗和談面臨質疑 - 金融時報#毛拉</v>
      </c>
      <c r="G4601" s="4" t="str">
        <f>IFERROR(__xludf.DUMMYFUNCTION("GOOGLETRANSLATE(B4601)"),"死亡")</f>
        <v>死亡</v>
      </c>
    </row>
    <row r="4602" ht="15.75" customHeight="1">
      <c r="A4602" s="4">
        <v>3045.0</v>
      </c>
      <c r="B4602" s="4" t="s">
        <v>1304</v>
      </c>
      <c r="C4602" s="4" t="s">
        <v>6820</v>
      </c>
      <c r="D4602" s="4" t="s">
        <v>6821</v>
      </c>
      <c r="E4602" s="4">
        <v>0.0</v>
      </c>
      <c r="F4602" s="4" t="str">
        <f>IFERROR(__xludf.DUMMYFUNCTION("GOOGLETRANSLATE(D4602)"),"你們都氣死我了")</f>
        <v>你們都氣死我了</v>
      </c>
      <c r="G4602" s="4" t="str">
        <f>IFERROR(__xludf.DUMMYFUNCTION("GOOGLETRANSLATE(B4602)"),"死亡")</f>
        <v>死亡</v>
      </c>
    </row>
    <row r="4603" ht="15.75" customHeight="1">
      <c r="A4603" s="4">
        <v>3047.0</v>
      </c>
      <c r="B4603" s="4" t="s">
        <v>1304</v>
      </c>
      <c r="C4603" s="4" t="s">
        <v>3372</v>
      </c>
      <c r="D4603" s="4" t="s">
        <v>6822</v>
      </c>
      <c r="E4603" s="4">
        <v>0.0</v>
      </c>
      <c r="F4603" s="4" t="str">
        <f>IFERROR(__xludf.DUMMYFUNCTION("GOOGLETRANSLATE(D4603)"),"#CecilTheLion 死亡的第一次審判剛剛被推遲 http://t.co/fnmJE8GF7m http://t.co/nYe8ae2ifr")</f>
        <v>#CecilTheLion 死亡的第一次審判剛剛被推遲 http://t.co/fnmJE8GF7m http://t.co/nYe8ae2ifr</v>
      </c>
      <c r="G4603" s="4" t="str">
        <f>IFERROR(__xludf.DUMMYFUNCTION("GOOGLETRANSLATE(B4603)"),"死亡")</f>
        <v>死亡</v>
      </c>
    </row>
    <row r="4604" ht="15.75" customHeight="1">
      <c r="A4604" s="4">
        <v>3048.0</v>
      </c>
      <c r="B4604" s="4" t="s">
        <v>1304</v>
      </c>
      <c r="D4604" s="4" t="s">
        <v>6823</v>
      </c>
      <c r="E4604" s="4">
        <v>0.0</v>
      </c>
      <c r="F4604" s="4" t="str">
        <f>IFERROR(__xludf.DUMMYFUNCTION("GOOGLETRANSLATE(D4604)"),"53 年前的這一週是瑪麗蓮夢露逝世週年紀念日 RIPRIPRIP")</f>
        <v>53 年前的這一週是瑪麗蓮夢露逝世週年紀念日 RIPRIPRIP</v>
      </c>
      <c r="G4604" s="4" t="str">
        <f>IFERROR(__xludf.DUMMYFUNCTION("GOOGLETRANSLATE(B4604)"),"死亡")</f>
        <v>死亡</v>
      </c>
    </row>
    <row r="4605" ht="15.75" customHeight="1">
      <c r="A4605" s="4">
        <v>3049.0</v>
      </c>
      <c r="B4605" s="4" t="s">
        <v>1304</v>
      </c>
      <c r="C4605" s="4" t="s">
        <v>6824</v>
      </c>
      <c r="D4605" s="4" t="s">
        <v>6825</v>
      </c>
      <c r="E4605" s="4">
        <v>0.0</v>
      </c>
      <c r="F4605" s="4" t="str">
        <f>IFERROR(__xludf.DUMMYFUNCTION("GOOGLETRANSLATE(D4605)"),"阿里的暗示和片段將要我的命。")</f>
        <v>阿里的暗示和片段將要我的命。</v>
      </c>
      <c r="G4605" s="4" t="str">
        <f>IFERROR(__xludf.DUMMYFUNCTION("GOOGLETRANSLATE(B4605)"),"死亡")</f>
        <v>死亡</v>
      </c>
    </row>
    <row r="4606" ht="15.75" customHeight="1">
      <c r="A4606" s="4">
        <v>3051.0</v>
      </c>
      <c r="B4606" s="4" t="s">
        <v>1304</v>
      </c>
      <c r="C4606" s="4" t="s">
        <v>1452</v>
      </c>
      <c r="D4606" s="4" t="s">
        <v>6826</v>
      </c>
      <c r="E4606" s="4">
        <v>0.0</v>
      </c>
      <c r="F4606" s="4" t="str">
        <f>IFERROR(__xludf.DUMMYFUNCTION("GOOGLETRANSLATE(D4606)"),"明天就是我的死亡")</f>
        <v>明天就是我的死亡</v>
      </c>
      <c r="G4606" s="4" t="str">
        <f>IFERROR(__xludf.DUMMYFUNCTION("GOOGLETRANSLATE(B4606)"),"死亡")</f>
        <v>死亡</v>
      </c>
    </row>
    <row r="4607" ht="15.75" customHeight="1">
      <c r="A4607" s="4">
        <v>3054.0</v>
      </c>
      <c r="B4607" s="4" t="s">
        <v>1323</v>
      </c>
      <c r="D4607" s="4" t="s">
        <v>6827</v>
      </c>
      <c r="E4607" s="4">
        <v>0.0</v>
      </c>
      <c r="F4607" s="4" t="str">
        <f>IFERROR(__xludf.DUMMYFUNCTION("GOOGLETRANSLATE(D4607)"),"重婚者和他的第一任妻子被指控殺害了他的第二任懷孕妻子、她的孩子 8、她的母親、她的侄子 1 和他們的妻子。")</f>
        <v>重婚者和他的第一任妻子被指控殺害了他的第二任懷孕妻子、她的孩子 8、她的母親、她的侄子 1 和他們的妻子。</v>
      </c>
      <c r="G4607" s="4" t="str">
        <f>IFERROR(__xludf.DUMMYFUNCTION("GOOGLETRANSLATE(B4607)"),"死亡人數")</f>
        <v>死亡人數</v>
      </c>
    </row>
    <row r="4608" ht="15.75" customHeight="1">
      <c r="A4608" s="4">
        <v>3059.0</v>
      </c>
      <c r="B4608" s="4" t="s">
        <v>1323</v>
      </c>
      <c r="C4608" s="4" t="s">
        <v>6828</v>
      </c>
      <c r="D4608" s="4" t="s">
        <v>6829</v>
      </c>
      <c r="E4608" s="4">
        <v>0.0</v>
      </c>
      <c r="F4608" s="4" t="str">
        <f>IFERROR(__xludf.DUMMYFUNCTION("GOOGLETRANSLATE(D4608)"),"母乳是最初的#超級食品，但全球母乳哺育率已停滯在 40% 以下，導致去年超過 80 萬名兒童死亡。")</f>
        <v>母乳是最初的#超級食品，但全球母乳哺育率已停滯在 40% 以下，導致去年超過 80 萬名兒童死亡。</v>
      </c>
      <c r="G4608" s="4" t="str">
        <f>IFERROR(__xludf.DUMMYFUNCTION("GOOGLETRANSLATE(B4608)"),"死亡人數")</f>
        <v>死亡人數</v>
      </c>
    </row>
    <row r="4609" ht="15.75" customHeight="1">
      <c r="A4609" s="4">
        <v>3064.0</v>
      </c>
      <c r="B4609" s="4" t="s">
        <v>1323</v>
      </c>
      <c r="D4609" s="4" t="s">
        <v>6830</v>
      </c>
      <c r="E4609" s="4">
        <v>0.0</v>
      </c>
      <c r="F4609" s="4" t="str">
        <f>IFERROR(__xludf.DUMMYFUNCTION("GOOGLETRANSLATE(D4609)"),"重婚者和他的「第一」妻子被指控殺害他的「第二」懷孕妻子和她的孩子 8... http://t.co/dlAub2nVtN #news")</f>
        <v>重婚者和他的「第一」妻子被指控殺害他的「第二」懷孕妻子和她的孩子 8... http://t.co/dlAub2nVtN #news</v>
      </c>
      <c r="G4609" s="4" t="str">
        <f>IFERROR(__xludf.DUMMYFUNCTION("GOOGLETRANSLATE(B4609)"),"死亡人數")</f>
        <v>死亡人數</v>
      </c>
    </row>
    <row r="4610" ht="15.75" customHeight="1">
      <c r="A4610" s="4">
        <v>3068.0</v>
      </c>
      <c r="B4610" s="4" t="s">
        <v>1323</v>
      </c>
      <c r="C4610" s="4" t="s">
        <v>407</v>
      </c>
      <c r="D4610" s="4" t="s">
        <v>6831</v>
      </c>
      <c r="E4610" s="4">
        <v>0.0</v>
      </c>
      <c r="F4610" s="4" t="str">
        <f>IFERROR(__xludf.DUMMYFUNCTION("GOOGLETRANSLATE(D4610)"),"聽聽 @DrFriedenCDC 關於如何在未來 5 年內避免數千例抗藥性感染/死亡的演講：http://t.co/niV8x5Tbe0 #AdiosSuperBacterias")</f>
        <v>聽聽 @DrFriedenCDC 關於如何在未來 5 年內避免數千例抗藥性感染/死亡的演講：http://t.co/niV8x5Tbe0 #AdiosSuperBacterias</v>
      </c>
      <c r="G4610" s="4" t="str">
        <f>IFERROR(__xludf.DUMMYFUNCTION("GOOGLETRANSLATE(B4610)"),"死亡人數")</f>
        <v>死亡人數</v>
      </c>
    </row>
    <row r="4611" ht="15.75" customHeight="1">
      <c r="A4611" s="4">
        <v>3070.0</v>
      </c>
      <c r="B4611" s="4" t="s">
        <v>1323</v>
      </c>
      <c r="C4611" s="4" t="s">
        <v>947</v>
      </c>
      <c r="D4611" s="4" t="s">
        <v>6832</v>
      </c>
      <c r="E4611" s="4">
        <v>0.0</v>
      </c>
      <c r="F4611" s="4" t="str">
        <f>IFERROR(__xludf.DUMMYFUNCTION("GOOGLETRANSLATE(D4611)"),"諷刺剛剛死了一千人！ ???? http://t.co/dBU30ObDxz")</f>
        <v>諷刺剛剛死了一千人！ ???? http://t.co/dBU30ObDxz</v>
      </c>
      <c r="G4611" s="4" t="str">
        <f>IFERROR(__xludf.DUMMYFUNCTION("GOOGLETRANSLATE(B4611)"),"死亡人數")</f>
        <v>死亡人數</v>
      </c>
    </row>
    <row r="4612" ht="15.75" customHeight="1">
      <c r="A4612" s="4">
        <v>3071.0</v>
      </c>
      <c r="B4612" s="4" t="s">
        <v>1323</v>
      </c>
      <c r="C4612" s="4" t="s">
        <v>6833</v>
      </c>
      <c r="D4612" s="4" t="s">
        <v>6834</v>
      </c>
      <c r="E4612" s="4">
        <v>0.0</v>
      </c>
      <c r="F4612" s="4" t="str">
        <f>IFERROR(__xludf.DUMMYFUNCTION("GOOGLETRANSLATE(D4612)"),"@StrickSkin @NicksComics 通常哈哈，但我在這裡很客觀。當然也許是本叔叔。大多數死亡最終都會照常進行")</f>
        <v>@StrickSkin @NicksComics 通常哈哈，但我在這裡很客觀。當然也許是本叔叔。大多數死亡最終都會照常進行</v>
      </c>
      <c r="G4612" s="4" t="str">
        <f>IFERROR(__xludf.DUMMYFUNCTION("GOOGLETRANSLATE(B4612)"),"死亡人數")</f>
        <v>死亡人數</v>
      </c>
    </row>
    <row r="4613" ht="15.75" customHeight="1">
      <c r="A4613" s="4">
        <v>3079.0</v>
      </c>
      <c r="B4613" s="4" t="s">
        <v>1323</v>
      </c>
      <c r="C4613" s="4" t="s">
        <v>1339</v>
      </c>
      <c r="D4613" s="4" t="s">
        <v>6835</v>
      </c>
      <c r="E4613" s="4">
        <v>0.0</v>
      </c>
      <c r="F4613" s="4" t="str">
        <f>IFERROR(__xludf.DUMMYFUNCTION("GOOGLETRANSLATE(D4613)"),"死亡 3 http://t.co/nApviyGKYK")</f>
        <v>死亡 3 http://t.co/nApviyGKYK</v>
      </c>
      <c r="G4613" s="4" t="str">
        <f>IFERROR(__xludf.DUMMYFUNCTION("GOOGLETRANSLATE(B4613)"),"死亡人數")</f>
        <v>死亡人數</v>
      </c>
    </row>
    <row r="4614" ht="15.75" customHeight="1">
      <c r="A4614" s="4">
        <v>3080.0</v>
      </c>
      <c r="B4614" s="4" t="s">
        <v>1323</v>
      </c>
      <c r="C4614" s="4" t="s">
        <v>6836</v>
      </c>
      <c r="D4614" s="4" t="s">
        <v>6837</v>
      </c>
      <c r="E4614" s="4">
        <v>0.0</v>
      </c>
      <c r="F4614" s="4" t="str">
        <f>IFERROR(__xludf.DUMMYFUNCTION("GOOGLETRANSLATE(D4614)"),"與史都華和史都華共進午餐。朱利安就在幾個小時前。很高興終於知道他們發生了什麼事。 http://t.co/AnP9g6NjFd")</f>
        <v>與史都華和史都華共進午餐。朱利安就在幾個小時前。很高興終於知道他們發生了什麼事。 http://t.co/AnP9g6NjFd</v>
      </c>
      <c r="G4614" s="4" t="str">
        <f>IFERROR(__xludf.DUMMYFUNCTION("GOOGLETRANSLATE(B4614)"),"死亡人數")</f>
        <v>死亡人數</v>
      </c>
    </row>
    <row r="4615" ht="15.75" customHeight="1">
      <c r="A4615" s="4">
        <v>3083.0</v>
      </c>
      <c r="B4615" s="4" t="s">
        <v>1323</v>
      </c>
      <c r="C4615" s="4" t="s">
        <v>6838</v>
      </c>
      <c r="D4615" s="4" t="s">
        <v>6839</v>
      </c>
      <c r="E4615" s="4">
        <v>0.0</v>
      </c>
      <c r="F4615" s="4" t="str">
        <f>IFERROR(__xludf.DUMMYFUNCTION("GOOGLETRANSLATE(D4615)"),"你們這些煩人的「所有人的生命都很重要」的人都沒有真正支持過，因為當黑人死亡受到關注時，你們只是討厭。")</f>
        <v>你們這些煩人的「所有人的生命都很重要」的人都沒有真正支持過，因為當黑人死亡受到關注時，你們只是討厭。</v>
      </c>
      <c r="G4615" s="4" t="str">
        <f>IFERROR(__xludf.DUMMYFUNCTION("GOOGLETRANSLATE(B4615)"),"死亡人數")</f>
        <v>死亡人數</v>
      </c>
    </row>
    <row r="4616" ht="15.75" customHeight="1">
      <c r="A4616" s="4">
        <v>3085.0</v>
      </c>
      <c r="B4616" s="4" t="s">
        <v>1323</v>
      </c>
      <c r="D4616" s="4" t="s">
        <v>6840</v>
      </c>
      <c r="E4616" s="4">
        <v>0.0</v>
      </c>
      <c r="F4616" s="4" t="str">
        <f>IFERROR(__xludf.DUMMYFUNCTION("GOOGLETRANSLATE(D4616)"),"@gregorysanders @USDOT &amp;amp;高車禍死亡統計數據適用於車內兒童。我猜他們比成人跑輕軌好")</f>
        <v>@gregorysanders @USDOT &amp;amp;高車禍死亡統計數據適用於車內兒童。我猜他們比成人跑輕軌好</v>
      </c>
      <c r="G4616" s="4" t="str">
        <f>IFERROR(__xludf.DUMMYFUNCTION("GOOGLETRANSLATE(B4616)"),"死亡人數")</f>
        <v>死亡人數</v>
      </c>
    </row>
    <row r="4617" ht="15.75" customHeight="1">
      <c r="A4617" s="4">
        <v>3090.0</v>
      </c>
      <c r="B4617" s="4" t="s">
        <v>1323</v>
      </c>
      <c r="C4617" s="4" t="s">
        <v>6841</v>
      </c>
      <c r="D4617" s="4" t="s">
        <v>6842</v>
      </c>
      <c r="E4617" s="4">
        <v>0.0</v>
      </c>
      <c r="F4617" s="4" t="str">
        <f>IFERROR(__xludf.DUMMYFUNCTION("GOOGLETRANSLATE(D4617)"),"聽說又有兩人死亡，還有克里斯西殺死亞當的謀殺案？瓦爾和芬恩死了嗎？ #艾默代爾")</f>
        <v>聽說又有兩人死亡，還有克里斯西殺死亞當的謀殺案？瓦爾和芬恩死了嗎？ #艾默代爾</v>
      </c>
      <c r="G4617" s="4" t="str">
        <f>IFERROR(__xludf.DUMMYFUNCTION("GOOGLETRANSLATE(B4617)"),"死亡人數")</f>
        <v>死亡人數</v>
      </c>
    </row>
    <row r="4618" ht="15.75" customHeight="1">
      <c r="A4618" s="4">
        <v>3099.0</v>
      </c>
      <c r="B4618" s="4" t="s">
        <v>1323</v>
      </c>
      <c r="C4618" s="4" t="s">
        <v>6843</v>
      </c>
      <c r="D4618" s="4" t="s">
        <v>6844</v>
      </c>
      <c r="E4618" s="4">
        <v>0.0</v>
      </c>
      <c r="F4618" s="4" t="str">
        <f>IFERROR(__xludf.DUMMYFUNCTION("GOOGLETRANSLATE(D4618)"),"沃爾瑪正在採取措施確保兒童在高溫車內的安全。看看這裡的創新汽車座椅！ http://t.co/z3nEvGlUFm")</f>
        <v>沃爾瑪正在採取措施確保兒童在高溫車內的安全。看看這裡的創新汽車座椅！ http://t.co/z3nEvGlUFm</v>
      </c>
      <c r="G4618" s="4" t="str">
        <f>IFERROR(__xludf.DUMMYFUNCTION("GOOGLETRANSLATE(B4618)"),"死亡人數")</f>
        <v>死亡人數</v>
      </c>
    </row>
    <row r="4619" ht="15.75" customHeight="1">
      <c r="A4619" s="4">
        <v>3153.0</v>
      </c>
      <c r="B4619" s="4" t="s">
        <v>1418</v>
      </c>
      <c r="C4619" s="4" t="s">
        <v>1019</v>
      </c>
      <c r="D4619" s="4" t="s">
        <v>6845</v>
      </c>
      <c r="E4619" s="4">
        <v>0.0</v>
      </c>
      <c r="F4619" s="4" t="str">
        <f>IFERROR(__xludf.DUMMYFUNCTION("GOOGLETRANSLATE(D4619)"),"@Dustpiggies 啊。那時我被抽象的 Dustpig 推文淹沒了。解釋了洪水。")</f>
        <v>@Dustpiggies 啊。那時我被抽象的 Dustpig 推文淹沒了。解釋了洪水。</v>
      </c>
      <c r="G4619" s="4" t="str">
        <f>IFERROR(__xludf.DUMMYFUNCTION("GOOGLETRANSLATE(B4619)"),"洪水")</f>
        <v>洪水</v>
      </c>
    </row>
    <row r="4620" ht="15.75" customHeight="1">
      <c r="A4620" s="4">
        <v>3154.0</v>
      </c>
      <c r="B4620" s="4" t="s">
        <v>1418</v>
      </c>
      <c r="C4620" s="4" t="s">
        <v>6846</v>
      </c>
      <c r="D4620" s="4" t="s">
        <v>6847</v>
      </c>
      <c r="E4620" s="4">
        <v>0.0</v>
      </c>
      <c r="F4620" s="4" t="str">
        <f>IFERROR(__xludf.DUMMYFUNCTION("GOOGLETRANSLATE(D4620)"),"@xeni 我敢打賭，大自然可能有計劃向我們發送洪水。")</f>
        <v>@xeni 我敢打賭，大自然可能有計劃向我們發送洪水。</v>
      </c>
      <c r="G4620" s="4" t="str">
        <f>IFERROR(__xludf.DUMMYFUNCTION("GOOGLETRANSLATE(B4620)"),"洪水")</f>
        <v>洪水</v>
      </c>
    </row>
    <row r="4621" ht="15.75" customHeight="1">
      <c r="A4621" s="4">
        <v>3155.0</v>
      </c>
      <c r="B4621" s="4" t="s">
        <v>1418</v>
      </c>
      <c r="C4621" s="4" t="s">
        <v>6848</v>
      </c>
      <c r="D4621" s="4" t="s">
        <v>6849</v>
      </c>
      <c r="E4621" s="4">
        <v>0.0</v>
      </c>
      <c r="F4621" s="4" t="str">
        <f>IFERROR(__xludf.DUMMYFUNCTION("GOOGLETRANSLATE(D4621)"),"@joshsternberg 我的提要似乎在一周內出現了一兩次洪水。太棒了。")</f>
        <v>@joshsternberg 我的提要似乎在一周內出現了一兩次洪水。太棒了。</v>
      </c>
      <c r="G4621" s="4" t="str">
        <f>IFERROR(__xludf.DUMMYFUNCTION("GOOGLETRANSLATE(B4621)"),"洪水")</f>
        <v>洪水</v>
      </c>
    </row>
    <row r="4622" ht="15.75" customHeight="1">
      <c r="A4622" s="4">
        <v>3157.0</v>
      </c>
      <c r="B4622" s="4" t="s">
        <v>1418</v>
      </c>
      <c r="C4622" s="4" t="s">
        <v>6850</v>
      </c>
      <c r="D4622" s="4" t="s">
        <v>6851</v>
      </c>
      <c r="E4622" s="4">
        <v>0.0</v>
      </c>
      <c r="F4622" s="4" t="str">
        <f>IFERROR(__xludf.DUMMYFUNCTION("GOOGLETRANSLATE(D4622)"),"@RomeoCrow 非常歡迎！組織 Twitter 在海量資訊中尋找重要內容！順便說一句，熱愛音樂並報名了 EP！")</f>
        <v>@RomeoCrow 非常歡迎！組織 Twitter 在海量資訊中尋找重要內容！順便說一句，熱愛音樂並報名了 EP！</v>
      </c>
      <c r="G4622" s="4" t="str">
        <f>IFERROR(__xludf.DUMMYFUNCTION("GOOGLETRANSLATE(B4622)"),"洪水")</f>
        <v>洪水</v>
      </c>
    </row>
    <row r="4623" ht="15.75" customHeight="1">
      <c r="A4623" s="4">
        <v>3158.0</v>
      </c>
      <c r="B4623" s="4" t="s">
        <v>1418</v>
      </c>
      <c r="D4623" s="4" t="s">
        <v>6852</v>
      </c>
      <c r="E4623" s="4">
        <v>0.0</v>
      </c>
      <c r="F4623" s="4" t="str">
        <f>IFERROR(__xludf.DUMMYFUNCTION("GOOGLETRANSLATE(D4623)"),"尼加拉瀑布套餐優惠 Deluge Tours YYESO")</f>
        <v>尼加拉瀑布套餐優惠 Deluge Tours YYESO</v>
      </c>
      <c r="G4623" s="4" t="str">
        <f>IFERROR(__xludf.DUMMYFUNCTION("GOOGLETRANSLATE(B4623)"),"洪水")</f>
        <v>洪水</v>
      </c>
    </row>
    <row r="4624" ht="15.75" customHeight="1">
      <c r="A4624" s="4">
        <v>3159.0</v>
      </c>
      <c r="B4624" s="4" t="s">
        <v>1418</v>
      </c>
      <c r="C4624" s="4" t="s">
        <v>3292</v>
      </c>
      <c r="D4624" s="4" t="s">
        <v>6853</v>
      </c>
      <c r="E4624" s="4">
        <v>0.0</v>
      </c>
      <c r="F4624" s="4" t="str">
        <f>IFERROR(__xludf.DUMMYFUNCTION("GOOGLETRANSLATE(D4624)"),"對於不可避免的#GBBO 推文氾濫，我深表歉意。如果你決定取消追蹤#baking #cakes，我不會懷恨在心")</f>
        <v>對於不可避免的#GBBO 推文氾濫，我深表歉意。如果你決定取消追蹤#baking #cakes，我不會懷恨在心</v>
      </c>
      <c r="G4624" s="4" t="str">
        <f>IFERROR(__xludf.DUMMYFUNCTION("GOOGLETRANSLATE(B4624)"),"洪水")</f>
        <v>洪水</v>
      </c>
    </row>
    <row r="4625" ht="15.75" customHeight="1">
      <c r="A4625" s="4">
        <v>3163.0</v>
      </c>
      <c r="B4625" s="4" t="s">
        <v>1418</v>
      </c>
      <c r="D4625" s="4" t="s">
        <v>6854</v>
      </c>
      <c r="E4625" s="4">
        <v>0.0</v>
      </c>
      <c r="F4625" s="4" t="str">
        <f>IFERROR(__xludf.DUMMYFUNCTION("GOOGLETRANSLATE(D4625)"),"我的 WhatsApp 上有大量對#CecilTheLion 的悼詞&gt;&gt;這也是*馬蒂亞斯·澤維爾折磨的靈魂*")</f>
        <v>我的 WhatsApp 上有大量對#CecilTheLion 的悼詞&gt;&gt;這也是*馬蒂亞斯·澤維爾折磨的靈魂*</v>
      </c>
      <c r="G4625" s="4" t="str">
        <f>IFERROR(__xludf.DUMMYFUNCTION("GOOGLETRANSLATE(B4625)"),"洪水")</f>
        <v>洪水</v>
      </c>
    </row>
    <row r="4626" ht="15.75" customHeight="1">
      <c r="A4626" s="4">
        <v>3165.0</v>
      </c>
      <c r="B4626" s="4" t="s">
        <v>1418</v>
      </c>
      <c r="C4626" s="4" t="s">
        <v>54</v>
      </c>
      <c r="D4626" s="4" t="s">
        <v>6855</v>
      </c>
      <c r="E4626" s="4">
        <v>0.0</v>
      </c>
      <c r="F4626" s="4" t="str">
        <f>IFERROR(__xludf.DUMMYFUNCTION("GOOGLETRANSLATE(D4626)"),"西澳在七月的洪水後微笑 - 《西澳大利亞人報》 https://t.co/4Yi4nuovbV 來自 @Yahoo7")</f>
        <v>西澳在七月的洪水後微笑 - 《西澳大利亞人報》 https://t.co/4Yi4nuovbV 來自 @Yahoo7</v>
      </c>
      <c r="G4626" s="4" t="str">
        <f>IFERROR(__xludf.DUMMYFUNCTION("GOOGLETRANSLATE(B4626)"),"洪水")</f>
        <v>洪水</v>
      </c>
    </row>
    <row r="4627" ht="15.75" customHeight="1">
      <c r="A4627" s="4">
        <v>3166.0</v>
      </c>
      <c r="B4627" s="4" t="s">
        <v>1418</v>
      </c>
      <c r="C4627" s="4" t="s">
        <v>2106</v>
      </c>
      <c r="D4627" s="4" t="s">
        <v>6856</v>
      </c>
      <c r="E4627" s="4">
        <v>0.0</v>
      </c>
      <c r="F4627" s="4" t="str">
        <f>IFERROR(__xludf.DUMMYFUNCTION("GOOGLETRANSLATE(D4627)"),"中國只是在推遲洪水：如果經濟基本面不支持股票估值…http://t.co/fwIkyUrC18")</f>
        <v>中國只是在推遲洪水：如果經濟基本面不支持股票估值…http://t.co/fwIkyUrC18</v>
      </c>
      <c r="G4627" s="4" t="str">
        <f>IFERROR(__xludf.DUMMYFUNCTION("GOOGLETRANSLATE(B4627)"),"洪水")</f>
        <v>洪水</v>
      </c>
    </row>
    <row r="4628" ht="15.75" customHeight="1">
      <c r="A4628" s="4">
        <v>3167.0</v>
      </c>
      <c r="B4628" s="4" t="s">
        <v>1418</v>
      </c>
      <c r="C4628" s="4" t="s">
        <v>6857</v>
      </c>
      <c r="D4628" s="4" t="s">
        <v>6858</v>
      </c>
      <c r="E4628" s="4">
        <v>0.0</v>
      </c>
      <c r="F4628" s="4" t="str">
        <f>IFERROR(__xludf.DUMMYFUNCTION("GOOGLETRANSLATE(D4628)"),"儘管 #FantasticFour 的洪水氾濫，但我們的男人 O'Cuana 仍然在買票 - 因為他就是那樣的心血來潮。")</f>
        <v>儘管 #FantasticFour 的洪水氾濫，但我們的男人 O'Cuana 仍然在買票 - 因為他就是那樣的心血來潮。</v>
      </c>
      <c r="G4628" s="4" t="str">
        <f>IFERROR(__xludf.DUMMYFUNCTION("GOOGLETRANSLATE(B4628)"),"洪水")</f>
        <v>洪水</v>
      </c>
    </row>
    <row r="4629" ht="15.75" customHeight="1">
      <c r="A4629" s="4">
        <v>3168.0</v>
      </c>
      <c r="B4629" s="4" t="s">
        <v>1418</v>
      </c>
      <c r="C4629" s="4" t="s">
        <v>6859</v>
      </c>
      <c r="D4629" s="4" t="s">
        <v>6860</v>
      </c>
      <c r="E4629" s="4">
        <v>0.0</v>
      </c>
      <c r="F4629" s="4" t="str">
        <f>IFERROR(__xludf.DUMMYFUNCTION("GOOGLETRANSLATE(D4629)"),"照片：forrestmankins：科羅拉多露營。 http://t.co/S0VgTkhW7V")</f>
        <v>照片：forrestmankins：科羅拉多露營。 http://t.co/S0VgTkhW7V</v>
      </c>
      <c r="G4629" s="4" t="str">
        <f>IFERROR(__xludf.DUMMYFUNCTION("GOOGLETRANSLATE(B4629)"),"洪水")</f>
        <v>洪水</v>
      </c>
    </row>
    <row r="4630" ht="15.75" customHeight="1">
      <c r="A4630" s="4">
        <v>3170.0</v>
      </c>
      <c r="B4630" s="4" t="s">
        <v>1418</v>
      </c>
      <c r="C4630" s="4" t="s">
        <v>6861</v>
      </c>
      <c r="D4630" s="4" t="s">
        <v>6862</v>
      </c>
      <c r="E4630" s="4">
        <v>0.0</v>
      </c>
      <c r="F4630" s="4" t="str">
        <f>IFERROR(__xludf.DUMMYFUNCTION("GOOGLETRANSLATE(D4630)"),"三河城正遭遇洪水。約一小時到達#legionstrackandfield http://t.co/PuE5xNZnQB")</f>
        <v>三河城正遭遇洪水。約一小時到達#legionstrackandfield http://t.co/PuE5xNZnQB</v>
      </c>
      <c r="G4630" s="4" t="str">
        <f>IFERROR(__xludf.DUMMYFUNCTION("GOOGLETRANSLATE(B4630)"),"洪水")</f>
        <v>洪水</v>
      </c>
    </row>
    <row r="4631" ht="15.75" customHeight="1">
      <c r="A4631" s="4">
        <v>3171.0</v>
      </c>
      <c r="B4631" s="4" t="s">
        <v>1418</v>
      </c>
      <c r="C4631" s="4" t="s">
        <v>183</v>
      </c>
      <c r="D4631" s="4" t="s">
        <v>6863</v>
      </c>
      <c r="E4631" s="4">
        <v>0.0</v>
      </c>
      <c r="F4631" s="4" t="str">
        <f>IFERROR(__xludf.DUMMYFUNCTION("GOOGLETRANSLATE(D4631)"),"為什麼今晚推特上有這麼多半裸的男人？！通常我會擁抱這個奇怪的軀幹，但今晚洪水的規模是前所未有的")</f>
        <v>為什麼今晚推特上有這麼多半裸的男人？！通常我會擁抱這個奇怪的軀幹，但今晚洪水的規模是前所未有的</v>
      </c>
      <c r="G4631" s="4" t="str">
        <f>IFERROR(__xludf.DUMMYFUNCTION("GOOGLETRANSLATE(B4631)"),"洪水")</f>
        <v>洪水</v>
      </c>
    </row>
    <row r="4632" ht="15.75" customHeight="1">
      <c r="A4632" s="4">
        <v>3172.0</v>
      </c>
      <c r="B4632" s="4" t="s">
        <v>1418</v>
      </c>
      <c r="C4632" s="4" t="s">
        <v>6864</v>
      </c>
      <c r="D4632" s="4" t="s">
        <v>6865</v>
      </c>
      <c r="E4632" s="4">
        <v>0.0</v>
      </c>
      <c r="F4632" s="4" t="str">
        <f>IFERROR(__xludf.DUMMYFUNCTION("GOOGLETRANSLATE(D4632)"),"@theburnageblue 是的，到目前為止，我度過了糟糕的一周，但活動+大量的最愛已經扭轉了局面")</f>
        <v>@theburnageblue 是的，到目前為止，我度過了糟糕的一周，但活動+大量的最愛已經扭轉了局面</v>
      </c>
      <c r="G4632" s="4" t="str">
        <f>IFERROR(__xludf.DUMMYFUNCTION("GOOGLETRANSLATE(B4632)"),"洪水")</f>
        <v>洪水</v>
      </c>
    </row>
    <row r="4633" ht="15.75" customHeight="1">
      <c r="A4633" s="4">
        <v>3173.0</v>
      </c>
      <c r="B4633" s="4" t="s">
        <v>1418</v>
      </c>
      <c r="C4633" s="4" t="s">
        <v>3231</v>
      </c>
      <c r="D4633" s="4" t="s">
        <v>6866</v>
      </c>
      <c r="E4633" s="4">
        <v>0.0</v>
      </c>
      <c r="F4633" s="4" t="str">
        <f>IFERROR(__xludf.DUMMYFUNCTION("GOOGLETRANSLATE(D4633)"),"最好的 Windows 種子用戶端？推薦使用 Deluge，但看起來它是 10 年前用 java swing 編寫的，「使用」更差")</f>
        <v>最好的 Windows 種子用戶端？推薦使用 Deluge，但看起來它是 10 年前用 java swing 編寫的，「使用」更差</v>
      </c>
      <c r="G4633" s="4" t="str">
        <f>IFERROR(__xludf.DUMMYFUNCTION("GOOGLETRANSLATE(B4633)"),"洪水")</f>
        <v>洪水</v>
      </c>
    </row>
    <row r="4634" ht="15.75" customHeight="1">
      <c r="A4634" s="4">
        <v>3174.0</v>
      </c>
      <c r="B4634" s="4" t="s">
        <v>1418</v>
      </c>
      <c r="C4634" s="4" t="s">
        <v>6867</v>
      </c>
      <c r="D4634" s="4" t="s">
        <v>6868</v>
      </c>
      <c r="E4634" s="4">
        <v>0.0</v>
      </c>
      <c r="F4634" s="4" t="str">
        <f>IFERROR(__xludf.DUMMYFUNCTION("GOOGLETRANSLATE(D4634)"),"#Deluge 之前的傳奇時期的第五位前王朝#king https://t.co/yr8knEpHGU #Dumuzid ''牧羊人''")</f>
        <v>#Deluge 之前的傳奇時期的第五位前王朝#king https://t.co/yr8knEpHGU #Dumuzid ''牧羊人''</v>
      </c>
      <c r="G4634" s="4" t="str">
        <f>IFERROR(__xludf.DUMMYFUNCTION("GOOGLETRANSLATE(B4634)"),"洪水")</f>
        <v>洪水</v>
      </c>
    </row>
    <row r="4635" ht="15.75" customHeight="1">
      <c r="A4635" s="4">
        <v>3175.0</v>
      </c>
      <c r="B4635" s="4" t="s">
        <v>1418</v>
      </c>
      <c r="D4635" s="4" t="s">
        <v>6869</v>
      </c>
      <c r="E4635" s="4">
        <v>0.0</v>
      </c>
      <c r="F4635" s="4" t="str">
        <f>IFERROR(__xludf.DUMMYFUNCTION("GOOGLETRANSLATE(D4635)"),"@TheGhostParty 我是@so@對於地獄藤蔓的氾濫感到抱歉")</f>
        <v>@TheGhostParty 我是@so@對於地獄藤蔓的氾濫感到抱歉</v>
      </c>
      <c r="G4635" s="4" t="str">
        <f>IFERROR(__xludf.DUMMYFUNCTION("GOOGLETRANSLATE(B4635)"),"洪水")</f>
        <v>洪水</v>
      </c>
    </row>
    <row r="4636" ht="15.75" customHeight="1">
      <c r="A4636" s="4">
        <v>3176.0</v>
      </c>
      <c r="B4636" s="4" t="s">
        <v>1418</v>
      </c>
      <c r="D4636" s="4" t="s">
        <v>6870</v>
      </c>
      <c r="E4636" s="4">
        <v>0.0</v>
      </c>
      <c r="F4636" s="4" t="str">
        <f>IFERROR(__xludf.DUMMYFUNCTION("GOOGLETRANSLATE(D4636)"),"奇怪的蠟畫將他分開，直到發出聲音洪流：bYITyf http://t.co/I7ap1MES8M")</f>
        <v>奇怪的蠟畫將他分開，直到發出聲音洪流：bYITyf http://t.co/I7ap1MES8M</v>
      </c>
      <c r="G4636" s="4" t="str">
        <f>IFERROR(__xludf.DUMMYFUNCTION("GOOGLETRANSLATE(B4636)"),"洪水")</f>
        <v>洪水</v>
      </c>
    </row>
    <row r="4637" ht="15.75" customHeight="1">
      <c r="A4637" s="4">
        <v>3179.0</v>
      </c>
      <c r="B4637" s="4" t="s">
        <v>1418</v>
      </c>
      <c r="C4637" s="4" t="s">
        <v>6871</v>
      </c>
      <c r="D4637" s="4" t="s">
        <v>6872</v>
      </c>
      <c r="E4637" s="4">
        <v>0.0</v>
      </c>
      <c r="F4637" s="4" t="str">
        <f>IFERROR(__xludf.DUMMYFUNCTION("GOOGLETRANSLATE(D4637)"),"@StephanieMarija 「小雨」是我著裝的依據。光。雨。不是連續不斷的洪水！")</f>
        <v>@StephanieMarija 「小雨」是我著裝的依據。光。雨。不是連續不斷的洪水！</v>
      </c>
      <c r="G4637" s="4" t="str">
        <f>IFERROR(__xludf.DUMMYFUNCTION("GOOGLETRANSLATE(B4637)"),"洪水")</f>
        <v>洪水</v>
      </c>
    </row>
    <row r="4638" ht="15.75" customHeight="1">
      <c r="A4638" s="4">
        <v>3181.0</v>
      </c>
      <c r="B4638" s="4" t="s">
        <v>1418</v>
      </c>
      <c r="D4638" s="4" t="s">
        <v>6873</v>
      </c>
      <c r="E4638" s="4">
        <v>0.0</v>
      </c>
      <c r="F4638" s="4" t="str">
        <f>IFERROR(__xludf.DUMMYFUNCTION("GOOGLETRANSLATE(D4638)"),"#聖經有時會倒車，向我們傾瀉大量的猥褻內容。 @chuckswindoll 接下來在 @iflcanada 上解釋了原因。")</f>
        <v>#聖經有時會倒車，向我們傾瀉大量的猥褻內容。 @chuckswindoll 接下來在 @iflcanada 上解釋了原因。</v>
      </c>
      <c r="G4638" s="4" t="str">
        <f>IFERROR(__xludf.DUMMYFUNCTION("GOOGLETRANSLATE(B4638)"),"洪水")</f>
        <v>洪水</v>
      </c>
    </row>
    <row r="4639" ht="15.75" customHeight="1">
      <c r="A4639" s="4">
        <v>3182.0</v>
      </c>
      <c r="B4639" s="4" t="s">
        <v>1418</v>
      </c>
      <c r="C4639" s="4" t="s">
        <v>38</v>
      </c>
      <c r="D4639" s="4" t="s">
        <v>6874</v>
      </c>
      <c r="E4639" s="4">
        <v>0.0</v>
      </c>
      <c r="F4639" s="4" t="str">
        <f>IFERROR(__xludf.DUMMYFUNCTION("GOOGLETRANSLATE(D4639)"),"音訊：16 位企業主分享他們會採取哪些不同的做法 Pt1 http://t.co/9uTqe9ZfDE")</f>
        <v>音訊：16 位企業主分享他們會採取哪些不同的做法 Pt1 http://t.co/9uTqe9ZfDE</v>
      </c>
      <c r="G4639" s="4" t="str">
        <f>IFERROR(__xludf.DUMMYFUNCTION("GOOGLETRANSLATE(B4639)"),"洪水")</f>
        <v>洪水</v>
      </c>
    </row>
    <row r="4640" ht="15.75" customHeight="1">
      <c r="A4640" s="4">
        <v>3183.0</v>
      </c>
      <c r="B4640" s="4" t="s">
        <v>1418</v>
      </c>
      <c r="D4640" s="4" t="s">
        <v>6875</v>
      </c>
      <c r="E4640" s="4">
        <v>0.0</v>
      </c>
      <c r="F4640" s="4" t="str">
        <f>IFERROR(__xludf.DUMMYFUNCTION("GOOGLETRANSLATE(D4640)"),"現在主機已修復，大量更新的貼文即將發布！ #UnFML #deluge")</f>
        <v>現在主機已修復，大量更新的貼文即將發布！ #UnFML #deluge</v>
      </c>
      <c r="G4640" s="4" t="str">
        <f>IFERROR(__xludf.DUMMYFUNCTION("GOOGLETRANSLATE(B4640)"),"洪水")</f>
        <v>洪水</v>
      </c>
    </row>
    <row r="4641" ht="15.75" customHeight="1">
      <c r="A4641" s="4">
        <v>3184.0</v>
      </c>
      <c r="B4641" s="4" t="s">
        <v>1418</v>
      </c>
      <c r="C4641" s="4" t="s">
        <v>6859</v>
      </c>
      <c r="D4641" s="4" t="s">
        <v>6876</v>
      </c>
      <c r="E4641" s="4">
        <v>0.0</v>
      </c>
      <c r="F4641" s="4" t="str">
        <f>IFERROR(__xludf.DUMMYFUNCTION("GOOGLETRANSLATE(D4641)"),"照片：boyhaus：JakeåÊ ÛÏ在蒙大拿州麥迪遜河度過了一個非常溫暖的早晨之後，傍晚時分...... http://t.co/FId3z4X3s5")</f>
        <v>照片：boyhaus：JakeåÊ ÛÏ在蒙大拿州麥迪遜河度過了一個非常溫暖的早晨之後，傍晚時分...... http://t.co/FId3z4X3s5</v>
      </c>
      <c r="G4641" s="4" t="str">
        <f>IFERROR(__xludf.DUMMYFUNCTION("GOOGLETRANSLATE(B4641)"),"洪水")</f>
        <v>洪水</v>
      </c>
    </row>
    <row r="4642" ht="15.75" customHeight="1">
      <c r="A4642" s="4">
        <v>3185.0</v>
      </c>
      <c r="B4642" s="4" t="s">
        <v>1418</v>
      </c>
      <c r="D4642" s="4" t="s">
        <v>6877</v>
      </c>
      <c r="E4642" s="4">
        <v>0.0</v>
      </c>
      <c r="F4642" s="4" t="str">
        <f>IFERROR(__xludf.DUMMYFUNCTION("GOOGLETRANSLATE(D4642)"),"我為 #GISHWHES 所做的操蛋事剛剛被淹沒在尋找衛生棉和衛生棉條的洪水中。謝謝@mishacollins @/@")</f>
        <v>我為 #GISHWHES 所做的操蛋事剛剛被淹沒在尋找衛生棉和衛生棉條的洪水中。謝謝@mishacollins @/@</v>
      </c>
      <c r="G4642" s="4" t="str">
        <f>IFERROR(__xludf.DUMMYFUNCTION("GOOGLETRANSLATE(B4642)"),"洪水")</f>
        <v>洪水</v>
      </c>
    </row>
    <row r="4643" ht="15.75" customHeight="1">
      <c r="A4643" s="4">
        <v>3186.0</v>
      </c>
      <c r="B4643" s="4" t="s">
        <v>1418</v>
      </c>
      <c r="D4643" s="4" t="s">
        <v>6878</v>
      </c>
      <c r="E4643" s="4">
        <v>0.0</v>
      </c>
      <c r="F4643" s="4" t="str">
        <f>IFERROR(__xludf.DUMMYFUNCTION("GOOGLETRANSLATE(D4643)"),"@FiendNikki 「洪水」是一個很棒的字。不知道為什麼我這麼喜歡它")</f>
        <v>@FiendNikki 「洪水」是一個很棒的字。不知道為什麼我這麼喜歡它</v>
      </c>
      <c r="G4643" s="4" t="str">
        <f>IFERROR(__xludf.DUMMYFUNCTION("GOOGLETRANSLATE(B4643)"),"洪水")</f>
        <v>洪水</v>
      </c>
    </row>
    <row r="4644" ht="15.75" customHeight="1">
      <c r="A4644" s="4">
        <v>3188.0</v>
      </c>
      <c r="B4644" s="4" t="s">
        <v>1418</v>
      </c>
      <c r="D4644" s="4" t="s">
        <v>6879</v>
      </c>
      <c r="E4644" s="4">
        <v>0.0</v>
      </c>
      <c r="F4644" s="4" t="str">
        <f>IFERROR(__xludf.DUMMYFUNCTION("GOOGLETRANSLATE(D4644)"),"皺紋如洪水般腐爛的臉龐；")</f>
        <v>皺紋如洪水般腐爛的臉龐；</v>
      </c>
      <c r="G4644" s="4" t="str">
        <f>IFERROR(__xludf.DUMMYFUNCTION("GOOGLETRANSLATE(B4644)"),"洪水")</f>
        <v>洪水</v>
      </c>
    </row>
    <row r="4645" ht="15.75" customHeight="1">
      <c r="A4645" s="4">
        <v>3189.0</v>
      </c>
      <c r="B4645" s="4" t="s">
        <v>1418</v>
      </c>
      <c r="D4645" s="4" t="s">
        <v>6880</v>
      </c>
      <c r="E4645" s="4">
        <v>0.0</v>
      </c>
      <c r="F4645" s="4" t="str">
        <f>IFERROR(__xludf.DUMMYFUNCTION("GOOGLETRANSLATE(D4645)"),"@schelbertgeorg 謝謝。我正在教線上課程&amp;amp;問我的學生很多這樣的問題。為雷恩的氾濫感到抱歉。藝術！")</f>
        <v>@schelbertgeorg 謝謝。我正在教線上課程&amp;amp;問我的學生很多這樣的問題。為雷恩的氾濫感到抱歉。藝術！</v>
      </c>
      <c r="G4645" s="4" t="str">
        <f>IFERROR(__xludf.DUMMYFUNCTION("GOOGLETRANSLATE(B4645)"),"洪水")</f>
        <v>洪水</v>
      </c>
    </row>
    <row r="4646" ht="15.75" customHeight="1">
      <c r="A4646" s="4">
        <v>3190.0</v>
      </c>
      <c r="B4646" s="4" t="s">
        <v>1418</v>
      </c>
      <c r="C4646" s="4" t="s">
        <v>6881</v>
      </c>
      <c r="D4646" s="4" t="s">
        <v>6882</v>
      </c>
      <c r="E4646" s="4">
        <v>0.0</v>
      </c>
      <c r="F4646" s="4" t="str">
        <f>IFERROR(__xludf.DUMMYFUNCTION("GOOGLETRANSLATE(D4646)"),"只有影子人才能從超自然怪物的洪流中拯救大易...免費閱讀：http://t.co/TBpQlYfYoT http://t.co/hDcKePosqc")</f>
        <v>只有影子人才能從超自然怪物的洪流中拯救大易...免費閱讀：http://t.co/TBpQlYfYoT http://t.co/hDcKePosqc</v>
      </c>
      <c r="G4646" s="4" t="str">
        <f>IFERROR(__xludf.DUMMYFUNCTION("GOOGLETRANSLATE(B4646)"),"洪水")</f>
        <v>洪水</v>
      </c>
    </row>
    <row r="4647" ht="15.75" customHeight="1">
      <c r="A4647" s="4">
        <v>3191.0</v>
      </c>
      <c r="B4647" s="4" t="s">
        <v>1418</v>
      </c>
      <c r="C4647" s="4" t="s">
        <v>376</v>
      </c>
      <c r="D4647" s="4" t="s">
        <v>6883</v>
      </c>
      <c r="E4647" s="4">
        <v>0.0</v>
      </c>
      <c r="F4647" s="4" t="str">
        <f>IFERROR(__xludf.DUMMYFUNCTION("GOOGLETRANSLATE(D4647)"),"hough_jeff：廢話。內容行銷洪流。作者：dougkessler #b2b #b2bagency http://t.co/EnQgTbAxUj 透過 SlideShare #ContentMarketing")</f>
        <v>hough_jeff：廢話。內容行銷洪流。作者：dougkessler #b2b #b2bagency http://t.co/EnQgTbAxUj 透過 SlideShare #ContentMarketing</v>
      </c>
      <c r="G4647" s="4" t="str">
        <f>IFERROR(__xludf.DUMMYFUNCTION("GOOGLETRANSLATE(B4647)"),"洪水")</f>
        <v>洪水</v>
      </c>
    </row>
    <row r="4648" ht="15.75" customHeight="1">
      <c r="A4648" s="4">
        <v>3192.0</v>
      </c>
      <c r="B4648" s="4" t="s">
        <v>1418</v>
      </c>
      <c r="D4648" s="4" t="s">
        <v>6884</v>
      </c>
      <c r="E4648" s="4">
        <v>0.0</v>
      </c>
      <c r="F4648" s="4" t="str">
        <f>IFERROR(__xludf.DUMMYFUNCTION("GOOGLETRANSLATE(D4648)"),"我喜歡《治愈在這裡——洪水》這首歌，想在我的教堂唱這首歌，但它不是西班牙語，所以我翻譯了它。 http://t.co/dmrsYeiqZ3")</f>
        <v>我喜歡《治愈在這裡——洪水》這首歌，想在我的教堂唱這首歌，但它不是西班牙語，所以我翻譯了它。 http://t.co/dmrsYeiqZ3</v>
      </c>
      <c r="G4648" s="4" t="str">
        <f>IFERROR(__xludf.DUMMYFUNCTION("GOOGLETRANSLATE(B4648)"),"洪水")</f>
        <v>洪水</v>
      </c>
    </row>
    <row r="4649" ht="15.75" customHeight="1">
      <c r="A4649" s="4">
        <v>3193.0</v>
      </c>
      <c r="B4649" s="4" t="s">
        <v>1418</v>
      </c>
      <c r="C4649" s="4" t="s">
        <v>6885</v>
      </c>
      <c r="D4649" s="4" t="s">
        <v>6886</v>
      </c>
      <c r="E4649" s="4">
        <v>0.0</v>
      </c>
      <c r="F4649" s="4" t="str">
        <f>IFERROR(__xludf.DUMMYFUNCTION("GOOGLETRANSLATE(D4649)"),"文斯·麥克馬洪再次成為億萬富翁：我記得讀過大量有關文斯·麥克馬洪損失 3.5 億美元的帖子...... http://t.co/ko0oz3RYFg")</f>
        <v>文斯·麥克馬洪再次成為億萬富翁：我記得讀過大量有關文斯·麥克馬洪損失 3.5 億美元的帖子...... http://t.co/ko0oz3RYFg</v>
      </c>
      <c r="G4649" s="4" t="str">
        <f>IFERROR(__xludf.DUMMYFUNCTION("GOOGLETRANSLATE(B4649)"),"洪水")</f>
        <v>洪水</v>
      </c>
    </row>
    <row r="4650" ht="15.75" customHeight="1">
      <c r="A4650" s="4">
        <v>3195.0</v>
      </c>
      <c r="B4650" s="4" t="s">
        <v>1418</v>
      </c>
      <c r="C4650" s="4" t="s">
        <v>942</v>
      </c>
      <c r="D4650" s="4" t="s">
        <v>6887</v>
      </c>
      <c r="E4650" s="4">
        <v>0.0</v>
      </c>
      <c r="F4650" s="4" t="str">
        <f>IFERROR(__xludf.DUMMYFUNCTION("GOOGLETRANSLATE(D4650)"),"NFL 打得很完美。大量的增量故事讓世界感到無聊，不再關心，只是希望它消失")</f>
        <v>NFL 打得很完美。大量的增量故事讓世界感到無聊，不再關心，只是希望它消失</v>
      </c>
      <c r="G4650" s="4" t="str">
        <f>IFERROR(__xludf.DUMMYFUNCTION("GOOGLETRANSLATE(B4650)"),"洪水")</f>
        <v>洪水</v>
      </c>
    </row>
    <row r="4651" ht="15.75" customHeight="1">
      <c r="A4651" s="4">
        <v>3197.0</v>
      </c>
      <c r="B4651" s="4" t="s">
        <v>1418</v>
      </c>
      <c r="C4651" s="4" t="s">
        <v>6888</v>
      </c>
      <c r="D4651" s="4" t="s">
        <v>6889</v>
      </c>
      <c r="E4651" s="4">
        <v>0.0</v>
      </c>
      <c r="F4651" s="4" t="str">
        <f>IFERROR(__xludf.DUMMYFUNCTION("GOOGLETRANSLATE(D4651)"),"#asae15 參展商電子郵件中缺少什麼？價值。 http://t.co/r8cepRqxlE #assnchat")</f>
        <v>#asae15 參展商電子郵件中缺少什麼？價值。 http://t.co/r8cepRqxlE #assnchat</v>
      </c>
      <c r="G4651" s="4" t="str">
        <f>IFERROR(__xludf.DUMMYFUNCTION("GOOGLETRANSLATE(B4651)"),"洪水")</f>
        <v>洪水</v>
      </c>
    </row>
    <row r="4652" ht="15.75" customHeight="1">
      <c r="A4652" s="4">
        <v>3198.0</v>
      </c>
      <c r="B4652" s="4" t="s">
        <v>1418</v>
      </c>
      <c r="D4652" s="4" t="s">
        <v>6890</v>
      </c>
      <c r="E4652" s="4">
        <v>0.0</v>
      </c>
      <c r="F4652" s="4" t="str">
        <f>IFERROR(__xludf.DUMMYFUNCTION("GOOGLETRANSLATE(D4652)"),"#MeditationByMSG 45600 人在 U.P 獲得了冥想方法，並獲得了神聖的祝福 4 快樂和平的生活。 http://t.co/VMf5LnxVzC")</f>
        <v>#MeditationByMSG 45600 人在 U.P 獲得了冥想方法，並獲得了神聖的祝福 4 快樂和平的生活。 http://t.co/VMf5LnxVzC</v>
      </c>
      <c r="G4652" s="4" t="str">
        <f>IFERROR(__xludf.DUMMYFUNCTION("GOOGLETRANSLATE(B4652)"),"洪水")</f>
        <v>洪水</v>
      </c>
    </row>
    <row r="4653" ht="15.75" customHeight="1">
      <c r="A4653" s="4">
        <v>3200.0</v>
      </c>
      <c r="B4653" s="4" t="s">
        <v>1418</v>
      </c>
      <c r="C4653" s="4" t="s">
        <v>6891</v>
      </c>
      <c r="D4653" s="4" t="s">
        <v>6892</v>
      </c>
      <c r="E4653" s="4">
        <v>0.0</v>
      </c>
      <c r="F4653" s="4" t="str">
        <f>IFERROR(__xludf.DUMMYFUNCTION("GOOGLETRANSLATE(D4653)"),"明天是網路日。已經快2個月了。我期待著*我一直在避免的大量事情。 *徹頭徹尾的謊言")</f>
        <v>明天是網路日。已經快2個月了。我期待著*我一直在避免的大量事情。 *徹頭徹尾的謊言</v>
      </c>
      <c r="G4653" s="4" t="str">
        <f>IFERROR(__xludf.DUMMYFUNCTION("GOOGLETRANSLATE(B4653)"),"洪水")</f>
        <v>洪水</v>
      </c>
    </row>
    <row r="4654" ht="15.75" customHeight="1">
      <c r="A4654" s="4">
        <v>3201.0</v>
      </c>
      <c r="B4654" s="4" t="s">
        <v>1418</v>
      </c>
      <c r="C4654" s="4" t="s">
        <v>6893</v>
      </c>
      <c r="D4654" s="4" t="s">
        <v>6894</v>
      </c>
      <c r="E4654" s="4">
        <v>0.0</v>
      </c>
      <c r="F4654" s="4" t="str">
        <f>IFERROR(__xludf.DUMMYFUNCTION("GOOGLETRANSLATE(D4654)"),"#novalismi Joseph Mallord William Turner - 陰影與黑暗 - 1843 年洪水之夜（Clicca sul titolo... http://t.co/458DtR3ulx")</f>
        <v>#novalismi Joseph Mallord William Turner - 陰影與黑暗 - 1843 年洪水之夜（Clicca sul titolo... http://t.co/458DtR3ulx</v>
      </c>
      <c r="G4654" s="4" t="str">
        <f>IFERROR(__xludf.DUMMYFUNCTION("GOOGLETRANSLATE(B4654)"),"洪水")</f>
        <v>洪水</v>
      </c>
    </row>
    <row r="4655" ht="15.75" customHeight="1">
      <c r="A4655" s="4">
        <v>3205.0</v>
      </c>
      <c r="B4655" s="4" t="s">
        <v>1428</v>
      </c>
      <c r="C4655" s="4" t="s">
        <v>6895</v>
      </c>
      <c r="D4655" s="4" t="s">
        <v>6896</v>
      </c>
      <c r="E4655" s="4">
        <v>0.0</v>
      </c>
      <c r="F4655" s="4" t="str">
        <f>IFERROR(__xludf.DUMMYFUNCTION("GOOGLETRANSLATE(D4655)"),"還有其他人透過手機接到大量電話行銷電話嗎？我已經被淹沒了！")</f>
        <v>還有其他人透過手機接到大量電話行銷電話嗎？我已經被淹沒了！</v>
      </c>
      <c r="G4655" s="4" t="str">
        <f>IFERROR(__xludf.DUMMYFUNCTION("GOOGLETRANSLATE(B4655)"),"被淹沒的")</f>
        <v>被淹沒的</v>
      </c>
    </row>
    <row r="4656" ht="15.75" customHeight="1">
      <c r="A4656" s="4">
        <v>3210.0</v>
      </c>
      <c r="B4656" s="4" t="s">
        <v>1428</v>
      </c>
      <c r="C4656" s="4" t="s">
        <v>6897</v>
      </c>
      <c r="D4656" s="4" t="s">
        <v>6898</v>
      </c>
      <c r="E4656" s="4">
        <v>0.0</v>
      </c>
      <c r="F4656" s="4" t="str">
        <f>IFERROR(__xludf.DUMMYFUNCTION("GOOGLETRANSLATE(D4656)"),"@TheWesternGaz 我確信這家商店擠滿了想要購買它的當地孩子。真的嗎？")</f>
        <v>@TheWesternGaz 我確信這家商店擠滿了想要購買它的當地孩子。真的嗎？</v>
      </c>
      <c r="G4656" s="4" t="str">
        <f>IFERROR(__xludf.DUMMYFUNCTION("GOOGLETRANSLATE(B4656)"),"被淹沒的")</f>
        <v>被淹沒的</v>
      </c>
    </row>
    <row r="4657" ht="15.75" customHeight="1">
      <c r="A4657" s="4">
        <v>3211.0</v>
      </c>
      <c r="B4657" s="4" t="s">
        <v>1428</v>
      </c>
      <c r="D4657" s="4" t="s">
        <v>6899</v>
      </c>
      <c r="E4657" s="4">
        <v>0.0</v>
      </c>
      <c r="F4657" s="4" t="str">
        <f>IFERROR(__xludf.DUMMYFUNCTION("GOOGLETRANSLATE(D4657)"),"企業充斥著發票。如果你的產品在顏色或形狀上脫穎而出，那麼它很可能會成為最受青睞的產品。")</f>
        <v>企業充斥著發票。如果你的產品在顏色或形狀上脫穎而出，那麼它很可能會成為最受青睞的產品。</v>
      </c>
      <c r="G4657" s="4" t="str">
        <f>IFERROR(__xludf.DUMMYFUNCTION("GOOGLETRANSLATE(B4657)"),"被淹沒的")</f>
        <v>被淹沒的</v>
      </c>
    </row>
    <row r="4658" ht="15.75" customHeight="1">
      <c r="A4658" s="4">
        <v>3216.0</v>
      </c>
      <c r="B4658" s="4" t="s">
        <v>1428</v>
      </c>
      <c r="D4658" s="4" t="s">
        <v>6900</v>
      </c>
      <c r="E4658" s="4">
        <v>0.0</v>
      </c>
      <c r="F4658" s="4" t="str">
        <f>IFERROR(__xludf.DUMMYFUNCTION("GOOGLETRANSLATE(D4658)"),"企業充斥著大量的發票。讓你的衣服在顏色或形狀上脫穎而出，它很可能會成為最受青睞的產品。")</f>
        <v>企業充斥著大量的發票。讓你的衣服在顏色或形狀上脫穎而出，它很可能會成為最受青睞的產品。</v>
      </c>
      <c r="G4658" s="4" t="str">
        <f>IFERROR(__xludf.DUMMYFUNCTION("GOOGLETRANSLATE(B4658)"),"被淹沒的")</f>
        <v>被淹沒的</v>
      </c>
    </row>
    <row r="4659" ht="15.75" customHeight="1">
      <c r="A4659" s="4">
        <v>3217.0</v>
      </c>
      <c r="B4659" s="4" t="s">
        <v>1428</v>
      </c>
      <c r="C4659" s="4" t="s">
        <v>6901</v>
      </c>
      <c r="D4659" s="4" t="s">
        <v>6902</v>
      </c>
      <c r="E4659" s="4">
        <v>0.0</v>
      </c>
      <c r="F4659" s="4" t="str">
        <f>IFERROR(__xludf.DUMMYFUNCTION("GOOGLETRANSLATE(D4659)"),"同樣在幾週內，亞馬遜將充斥著關於青少年逃離血農場的寫得不好的獨立反烏托邦小說。")</f>
        <v>同樣在幾週內，亞馬遜將充斥著關於青少年逃離血農場的寫得不好的獨立反烏托邦小說。</v>
      </c>
      <c r="G4659" s="4" t="str">
        <f>IFERROR(__xludf.DUMMYFUNCTION("GOOGLETRANSLATE(B4659)"),"被淹沒的")</f>
        <v>被淹沒的</v>
      </c>
    </row>
    <row r="4660" ht="15.75" customHeight="1">
      <c r="A4660" s="4">
        <v>3218.0</v>
      </c>
      <c r="B4660" s="4" t="s">
        <v>1428</v>
      </c>
      <c r="D4660" s="4" t="s">
        <v>6903</v>
      </c>
      <c r="E4660" s="4">
        <v>0.0</v>
      </c>
      <c r="F4660" s="4" t="str">
        <f>IFERROR(__xludf.DUMMYFUNCTION("GOOGLETRANSLATE(D4660)"),"企業充斥著大量的發票。讓你的衣服在顏色或形狀上脫穎而出，它很可能會崛起。位於支付寶堆的頂端。")</f>
        <v>企業充斥著大量的發票。讓你的衣服在顏色或形狀上脫穎而出，它很可能會崛起。位於支付寶堆的頂端。</v>
      </c>
      <c r="G4660" s="4" t="str">
        <f>IFERROR(__xludf.DUMMYFUNCTION("GOOGLETRANSLATE(B4660)"),"被淹沒的")</f>
        <v>被淹沒的</v>
      </c>
    </row>
    <row r="4661" ht="15.75" customHeight="1">
      <c r="A4661" s="4">
        <v>3219.0</v>
      </c>
      <c r="B4661" s="4" t="s">
        <v>1428</v>
      </c>
      <c r="D4661" s="4" t="s">
        <v>6904</v>
      </c>
      <c r="E4661" s="4">
        <v>0.0</v>
      </c>
      <c r="F4661" s="4" t="str">
        <f>IFERROR(__xludf.DUMMYFUNCTION("GOOGLETRANSLATE(D4661)"),"企業充斥著發票。讓您的產品在顏色或形狀上脫穎而出，它很可能會成為最受青睞的產品。")</f>
        <v>企業充斥著發票。讓您的產品在顏色或形狀上脫穎而出，它很可能會成為最受青睞的產品。</v>
      </c>
      <c r="G4661" s="4" t="str">
        <f>IFERROR(__xludf.DUMMYFUNCTION("GOOGLETRANSLATE(B4661)"),"被淹沒的")</f>
        <v>被淹沒的</v>
      </c>
    </row>
    <row r="4662" ht="15.75" customHeight="1">
      <c r="A4662" s="4">
        <v>3222.0</v>
      </c>
      <c r="B4662" s="4" t="s">
        <v>1428</v>
      </c>
      <c r="D4662" s="4" t="s">
        <v>6905</v>
      </c>
      <c r="E4662" s="4">
        <v>0.0</v>
      </c>
      <c r="F4662" s="4" t="str">
        <f>IFERROR(__xludf.DUMMYFUNCTION("GOOGLETRANSLATE(D4662)"),"企業裡充斥著大量的呼叫。讓您的產品在顏色或形狀上脫穎而出。它很可能會成為最受青睞的產品。")</f>
        <v>企業裡充斥著大量的呼叫。讓您的產品在顏色或形狀上脫穎而出。它很可能會成為最受青睞的產品。</v>
      </c>
      <c r="G4662" s="4" t="str">
        <f>IFERROR(__xludf.DUMMYFUNCTION("GOOGLETRANSLATE(B4662)"),"被淹沒的")</f>
        <v>被淹沒的</v>
      </c>
    </row>
    <row r="4663" ht="15.75" customHeight="1">
      <c r="A4663" s="4">
        <v>3225.0</v>
      </c>
      <c r="B4663" s="4" t="s">
        <v>1428</v>
      </c>
      <c r="C4663" s="4" t="s">
        <v>6906</v>
      </c>
      <c r="D4663" s="4" t="s">
        <v>6907</v>
      </c>
      <c r="E4663" s="4">
        <v>0.0</v>
      </c>
      <c r="F4663" s="4" t="str">
        <f>IFERROR(__xludf.DUMMYFUNCTION("GOOGLETRANSLATE(D4663)"),"@LisaToddSutton 我之所以提出這個問題是因為他正在競選第四個參議院。墨菲只不過是共和黨人，我被他的垃圾郵件淹沒了！")</f>
        <v>@LisaToddSutton 我之所以提出這個問題是因為他正在競選第四個參議院。墨菲只不過是共和黨人，我被他的垃圾郵件淹沒了！</v>
      </c>
      <c r="G4663" s="4" t="str">
        <f>IFERROR(__xludf.DUMMYFUNCTION("GOOGLETRANSLATE(B4663)"),"被淹沒的")</f>
        <v>被淹沒的</v>
      </c>
    </row>
    <row r="4664" ht="15.75" customHeight="1">
      <c r="A4664" s="4">
        <v>3227.0</v>
      </c>
      <c r="B4664" s="4" t="s">
        <v>1428</v>
      </c>
      <c r="C4664" s="4" t="s">
        <v>1676</v>
      </c>
      <c r="D4664" s="4" t="s">
        <v>6908</v>
      </c>
      <c r="E4664" s="4">
        <v>0.0</v>
      </c>
      <c r="F4664" s="4" t="str">
        <f>IFERROR(__xludf.DUMMYFUNCTION("GOOGLETRANSLATE(D4664)"),"為什麼你的自我形象低？參加測驗：http://t.co/1PFlM532mG http://t.co/58qruGZvg0")</f>
        <v>為什麼你的自我形象低？參加測驗：http://t.co/1PFlM532mG http://t.co/58qruGZvg0</v>
      </c>
      <c r="G4664" s="4" t="str">
        <f>IFERROR(__xludf.DUMMYFUNCTION("GOOGLETRANSLATE(B4664)"),"被淹沒的")</f>
        <v>被淹沒的</v>
      </c>
    </row>
    <row r="4665" ht="15.75" customHeight="1">
      <c r="A4665" s="4">
        <v>3229.0</v>
      </c>
      <c r="B4665" s="4" t="s">
        <v>1428</v>
      </c>
      <c r="C4665" s="4" t="s">
        <v>6909</v>
      </c>
      <c r="D4665" s="4" t="s">
        <v>6910</v>
      </c>
      <c r="E4665" s="4">
        <v>0.0</v>
      </c>
      <c r="F4665" s="4" t="str">
        <f>IFERROR(__xludf.DUMMYFUNCTION("GOOGLETRANSLATE(D4665)"),"@TheSewphist，無論誰擁有「fuckface@wineisdumb.com」地址，都會被針對我的垃圾郵件淹沒")</f>
        <v>@TheSewphist，無論誰擁有「fuckface@wineisdumb.com」地址，都會被針對我的垃圾郵件淹沒</v>
      </c>
      <c r="G4665" s="4" t="str">
        <f>IFERROR(__xludf.DUMMYFUNCTION("GOOGLETRANSLATE(B4665)"),"被淹沒的")</f>
        <v>被淹沒的</v>
      </c>
    </row>
    <row r="4666" ht="15.75" customHeight="1">
      <c r="A4666" s="4">
        <v>3235.0</v>
      </c>
      <c r="B4666" s="4" t="s">
        <v>1428</v>
      </c>
      <c r="D4666" s="4" t="s">
        <v>6911</v>
      </c>
      <c r="E4666" s="4">
        <v>0.0</v>
      </c>
      <c r="F4666" s="4" t="str">
        <f>IFERROR(__xludf.DUMMYFUNCTION("GOOGLETRANSLATE(D4666)"),"企業的收入如潮水般湧來。|讓您的產品在顏色或形狀上脫穎而出，它很可能會上升到收入的頂端。")</f>
        <v>企業的收入如潮水般湧來。|讓您的產品在顏色或形狀上脫穎而出，它很可能會上升到收入的頂端。</v>
      </c>
      <c r="G4666" s="4" t="str">
        <f>IFERROR(__xludf.DUMMYFUNCTION("GOOGLETRANSLATE(B4666)"),"被淹沒的")</f>
        <v>被淹沒的</v>
      </c>
    </row>
    <row r="4667" ht="15.75" customHeight="1">
      <c r="A4667" s="4">
        <v>3237.0</v>
      </c>
      <c r="B4667" s="4" t="s">
        <v>1428</v>
      </c>
      <c r="D4667" s="4" t="s">
        <v>6912</v>
      </c>
      <c r="E4667" s="4">
        <v>0.0</v>
      </c>
      <c r="F4667" s="4" t="str">
        <f>IFERROR(__xludf.DUMMYFUNCTION("GOOGLETRANSLATE(D4667)"),"企業充斥著大量的發票。讓你的作品在色彩或羞恥感上脫穎而出，它很可能會上升到薪水最高的位置。")</f>
        <v>企業充斥著大量的發票。讓你的作品在色彩或羞恥感上脫穎而出，它很可能會上升到薪水最高的位置。</v>
      </c>
      <c r="G4667" s="4" t="str">
        <f>IFERROR(__xludf.DUMMYFUNCTION("GOOGLETRANSLATE(B4667)"),"被淹沒的")</f>
        <v>被淹沒的</v>
      </c>
    </row>
    <row r="4668" ht="15.75" customHeight="1">
      <c r="A4668" s="4">
        <v>3239.0</v>
      </c>
      <c r="B4668" s="4" t="s">
        <v>1428</v>
      </c>
      <c r="D4668" s="4" t="s">
        <v>6913</v>
      </c>
      <c r="E4668" s="4">
        <v>0.0</v>
      </c>
      <c r="F4668" s="4" t="str">
        <f>IFERROR(__xludf.DUMMYFUNCTION("GOOGLETRANSLATE(D4668)"),"企業充斥著大量的發票。讓您的產品在顏色或形狀上脫穎而出，它很可能會成為最受青睞的產品。")</f>
        <v>企業充斥著大量的發票。讓您的產品在顏色或形狀上脫穎而出，它很可能會成為最受青睞的產品。</v>
      </c>
      <c r="G4668" s="4" t="str">
        <f>IFERROR(__xludf.DUMMYFUNCTION("GOOGLETRANSLATE(B4668)"),"被淹沒的")</f>
        <v>被淹沒的</v>
      </c>
    </row>
    <row r="4669" ht="15.75" customHeight="1">
      <c r="A4669" s="4">
        <v>3241.0</v>
      </c>
      <c r="B4669" s="4" t="s">
        <v>1428</v>
      </c>
      <c r="D4669" s="4" t="s">
        <v>6914</v>
      </c>
      <c r="E4669" s="4">
        <v>0.0</v>
      </c>
      <c r="F4669" s="4" t="str">
        <f>IFERROR(__xludf.DUMMYFUNCTION("GOOGLETRANSLATE(D4669)"),"@accionempresa 美國商務部在過去兩個月裡被 com 淹沒了... http://t.co/V1SFlLOWGh @gerenciatodos å¡")</f>
        <v>@accionempresa 美國商務部在過去兩個月裡被 com 淹沒了... http://t.co/V1SFlLOWGh @gerenciatodos å¡</v>
      </c>
      <c r="G4669" s="4" t="str">
        <f>IFERROR(__xludf.DUMMYFUNCTION("GOOGLETRANSLATE(B4669)"),"被淹沒的")</f>
        <v>被淹沒的</v>
      </c>
    </row>
    <row r="4670" ht="15.75" customHeight="1">
      <c r="A4670" s="4">
        <v>3242.0</v>
      </c>
      <c r="B4670" s="4" t="s">
        <v>1428</v>
      </c>
      <c r="C4670" s="4" t="s">
        <v>3923</v>
      </c>
      <c r="D4670" s="4" t="s">
        <v>6915</v>
      </c>
      <c r="E4670" s="4">
        <v>0.0</v>
      </c>
      <c r="F4670" s="4" t="str">
        <f>IFERROR(__xludf.DUMMYFUNCTION("GOOGLETRANSLATE(D4670)"),"您是否因自我形象低落而感到困擾？參加測驗：http://t.co/QN4ZYISsPO http://t.co/3VWp7wD56W")</f>
        <v>您是否因自我形象低落而感到困擾？參加測驗：http://t.co/QN4ZYISsPO http://t.co/3VWp7wD56W</v>
      </c>
      <c r="G4670" s="4" t="str">
        <f>IFERROR(__xludf.DUMMYFUNCTION("GOOGLETRANSLATE(B4670)"),"被淹沒的")</f>
        <v>被淹沒的</v>
      </c>
    </row>
    <row r="4671" ht="15.75" customHeight="1">
      <c r="A4671" s="4">
        <v>3243.0</v>
      </c>
      <c r="B4671" s="4" t="s">
        <v>1428</v>
      </c>
      <c r="D4671" s="4" t="s">
        <v>6916</v>
      </c>
      <c r="E4671" s="4">
        <v>0.0</v>
      </c>
      <c r="F4671" s="4" t="str">
        <f>IFERROR(__xludf.DUMMYFUNCTION("GOOGLETRANSLATE(D4671)"),"企業充斥著大量的發票。讓您的產品在顏色或形狀上脫穎而出，它很可能會成為最受青睞的產品。")</f>
        <v>企業充斥著大量的發票。讓您的產品在顏色或形狀上脫穎而出，它很可能會成為最受青睞的產品。</v>
      </c>
      <c r="G4671" s="4" t="str">
        <f>IFERROR(__xludf.DUMMYFUNCTION("GOOGLETRANSLATE(B4671)"),"被淹沒的")</f>
        <v>被淹沒的</v>
      </c>
    </row>
    <row r="4672" ht="15.75" customHeight="1">
      <c r="A4672" s="4">
        <v>3244.0</v>
      </c>
      <c r="B4672" s="4" t="s">
        <v>1428</v>
      </c>
      <c r="D4672" s="4" t="s">
        <v>6917</v>
      </c>
      <c r="E4672" s="4">
        <v>0.0</v>
      </c>
      <c r="F4672" s="4" t="str">
        <f>IFERROR(__xludf.DUMMYFUNCTION("GOOGLETRANSLATE(D4672)"),"企業充斥著大量的發票。讓您的產品在顏色或形狀上脫穎而出，它很可能會成為最受青睞的產品。")</f>
        <v>企業充斥著大量的發票。讓您的產品在顏色或形狀上脫穎而出，它很可能會成為最受青睞的產品。</v>
      </c>
      <c r="G4672" s="4" t="str">
        <f>IFERROR(__xludf.DUMMYFUNCTION("GOOGLETRANSLATE(B4672)"),"被淹沒的")</f>
        <v>被淹沒的</v>
      </c>
    </row>
    <row r="4673" ht="15.75" customHeight="1">
      <c r="A4673" s="4">
        <v>3245.0</v>
      </c>
      <c r="B4673" s="4" t="s">
        <v>1428</v>
      </c>
      <c r="C4673" s="4" t="s">
        <v>1118</v>
      </c>
      <c r="D4673" s="4" t="s">
        <v>6918</v>
      </c>
      <c r="E4673" s="4">
        <v>0.0</v>
      </c>
      <c r="F4673" s="4" t="str">
        <f>IFERROR(__xludf.DUMMYFUNCTION("GOOGLETRANSLATE(D4673)"),"@valdes1978 如果我有點暴躁，請原諒我。已經被仇恨和仇恨所淹沒。已經失去耐心了。")</f>
        <v>@valdes1978 如果我有點暴躁，請原諒我。已經被仇恨和仇恨所淹沒。已經失去耐心了。</v>
      </c>
      <c r="G4673" s="4" t="str">
        <f>IFERROR(__xludf.DUMMYFUNCTION("GOOGLETRANSLATE(B4673)"),"被淹沒的")</f>
        <v>被淹沒的</v>
      </c>
    </row>
    <row r="4674" ht="15.75" customHeight="1">
      <c r="A4674" s="4">
        <v>3249.0</v>
      </c>
      <c r="B4674" s="4" t="s">
        <v>1428</v>
      </c>
      <c r="C4674" s="4" t="s">
        <v>6919</v>
      </c>
      <c r="D4674" s="4" t="s">
        <v>6920</v>
      </c>
      <c r="E4674" s="4">
        <v>0.0</v>
      </c>
      <c r="F4674" s="4" t="str">
        <f>IFERROR(__xludf.DUMMYFUNCTION("GOOGLETRANSLATE(D4674)"),"「後來我不得不獨自一人呆上一個小時，來品味和延長淹沒我的幾乎是肉體上的強烈感受」。 Y 情況：")</f>
        <v>「後來我不得不獨自一人呆上一個小時，來品味和延長淹沒我的幾乎是肉體上的強烈感受」。 Y 情況：</v>
      </c>
      <c r="G4674" s="4" t="str">
        <f>IFERROR(__xludf.DUMMYFUNCTION("GOOGLETRANSLATE(B4674)"),"被淹沒的")</f>
        <v>被淹沒的</v>
      </c>
    </row>
    <row r="4675" ht="15.75" customHeight="1">
      <c r="A4675" s="4">
        <v>3255.0</v>
      </c>
      <c r="B4675" s="4" t="s">
        <v>1439</v>
      </c>
      <c r="C4675" s="4" t="s">
        <v>6921</v>
      </c>
      <c r="D4675" s="4" t="s">
        <v>6922</v>
      </c>
      <c r="E4675" s="4">
        <v>0.0</v>
      </c>
      <c r="F4675" s="4" t="str">
        <f>IFERROR(__xludf.DUMMYFUNCTION("GOOGLETRANSLATE(D4675)"),"埃努古政府將拆除國際會議中心的非法建築 http://t.co/DaqszZuBUb")</f>
        <v>埃努古政府將拆除國際會議中心的非法建築 http://t.co/DaqszZuBUb</v>
      </c>
      <c r="G4675" s="4" t="str">
        <f>IFERROR(__xludf.DUMMYFUNCTION("GOOGLETRANSLATE(B4675)"),"拆除")</f>
        <v>拆除</v>
      </c>
    </row>
    <row r="4676" ht="15.75" customHeight="1">
      <c r="A4676" s="4">
        <v>3256.0</v>
      </c>
      <c r="B4676" s="4" t="s">
        <v>1439</v>
      </c>
      <c r="C4676" s="4" t="s">
        <v>6923</v>
      </c>
      <c r="D4676" s="4" t="s">
        <v>6924</v>
      </c>
      <c r="E4676" s="4">
        <v>0.0</v>
      </c>
      <c r="F4676" s="4" t="str">
        <f>IFERROR(__xludf.DUMMYFUNCTION("GOOGLETRANSLATE(D4676)"),"埃努古政府拆除國際會議中心的非法建築：埃努古州政府申請... http://t.co/MsKn6D3eKH")</f>
        <v>埃努古政府拆除國際會議中心的非法建築：埃努古州政府申請... http://t.co/MsKn6D3eKH</v>
      </c>
      <c r="G4676" s="4" t="str">
        <f>IFERROR(__xludf.DUMMYFUNCTION("GOOGLETRANSLATE(B4676)"),"拆除")</f>
        <v>拆除</v>
      </c>
    </row>
    <row r="4677" ht="15.75" customHeight="1">
      <c r="A4677" s="4">
        <v>3259.0</v>
      </c>
      <c r="B4677" s="4" t="s">
        <v>1439</v>
      </c>
      <c r="C4677" s="4" t="s">
        <v>6925</v>
      </c>
      <c r="D4677" s="4" t="s">
        <v>6926</v>
      </c>
      <c r="E4677" s="4">
        <v>0.0</v>
      </c>
      <c r="F4677" s="4" t="str">
        <f>IFERROR(__xludf.DUMMYFUNCTION("GOOGLETRANSLATE(D4677)"),"Doone Silver 建築事務所已獲得拆除伯明罕國民西敏寺大廈的許可，並將其替換為該市最高的建築。")</f>
        <v>Doone Silver 建築事務所已獲得拆除伯明罕國民西敏寺大廈的許可，並將其替換為該市最高的建築。</v>
      </c>
      <c r="G4677" s="4" t="str">
        <f>IFERROR(__xludf.DUMMYFUNCTION("GOOGLETRANSLATE(B4677)"),"拆除")</f>
        <v>拆除</v>
      </c>
    </row>
    <row r="4678" ht="15.75" customHeight="1">
      <c r="A4678" s="4">
        <v>3260.0</v>
      </c>
      <c r="B4678" s="4" t="s">
        <v>1439</v>
      </c>
      <c r="C4678" s="4" t="s">
        <v>6927</v>
      </c>
      <c r="D4678" s="4" t="s">
        <v>6928</v>
      </c>
      <c r="E4678" s="4">
        <v>0.0</v>
      </c>
      <c r="F4678" s="4" t="str">
        <f>IFERROR(__xludf.DUMMYFUNCTION("GOOGLETRANSLATE(D4678)"),"就我們四個人就能拆掉這個？ @Createdunique23 @Keren_Serpa @ArianaReed11 https://t.co/PCiNc8ytFH")</f>
        <v>就我們四個人就能拆掉這個？ @Createdunique23 @Keren_Serpa @ArianaReed11 https://t.co/PCiNc8ytFH</v>
      </c>
      <c r="G4678" s="4" t="str">
        <f>IFERROR(__xludf.DUMMYFUNCTION("GOOGLETRANSLATE(B4678)"),"拆除")</f>
        <v>拆除</v>
      </c>
    </row>
    <row r="4679" ht="15.75" customHeight="1">
      <c r="A4679" s="4">
        <v>3262.0</v>
      </c>
      <c r="B4679" s="4" t="s">
        <v>1439</v>
      </c>
      <c r="D4679" s="4" t="s">
        <v>6929</v>
      </c>
      <c r="E4679" s="4">
        <v>0.0</v>
      </c>
      <c r="F4679" s="4" t="str">
        <f>IFERROR(__xludf.DUMMYFUNCTION("GOOGLETRANSLATE(D4679)"),"埃努古州政府似乎將收回埃努古國際會議中心的部分... http://t.co/w56CF75mXE #badotweet")</f>
        <v>埃努古州政府似乎將收回埃努古國際會議中心的部分... http://t.co/w56CF75mXE #badotweet</v>
      </c>
      <c r="G4679" s="4" t="str">
        <f>IFERROR(__xludf.DUMMYFUNCTION("GOOGLETRANSLATE(B4679)"),"拆除")</f>
        <v>拆除</v>
      </c>
    </row>
    <row r="4680" ht="15.75" customHeight="1">
      <c r="A4680" s="4">
        <v>3263.0</v>
      </c>
      <c r="B4680" s="4" t="s">
        <v>1439</v>
      </c>
      <c r="D4680" s="4" t="s">
        <v>6930</v>
      </c>
      <c r="E4680" s="4">
        <v>0.0</v>
      </c>
      <c r="F4680" s="4" t="str">
        <f>IFERROR(__xludf.DUMMYFUNCTION("GOOGLETRANSLATE(D4680)"),"@kirkmin 在聽完你在 @weei 上摧毀 @BartHubbuch 之後，我迫不及待地想引誘我的愛國者仇恨同事參與布雷迪討論")</f>
        <v>@kirkmin 在聽完你在 @weei 上摧毀 @BartHubbuch 之後，我迫不及待地想引誘我的愛國者仇恨同事參與布雷迪討論</v>
      </c>
      <c r="G4680" s="4" t="str">
        <f>IFERROR(__xludf.DUMMYFUNCTION("GOOGLETRANSLATE(B4680)"),"拆除")</f>
        <v>拆除</v>
      </c>
    </row>
    <row r="4681" ht="15.75" customHeight="1">
      <c r="A4681" s="4">
        <v>3264.0</v>
      </c>
      <c r="B4681" s="4" t="s">
        <v>1439</v>
      </c>
      <c r="D4681" s="4" t="s">
        <v>6931</v>
      </c>
      <c r="E4681" s="4">
        <v>0.0</v>
      </c>
      <c r="F4681" s="4" t="str">
        <f>IFERROR(__xludf.DUMMYFUNCTION("GOOGLETRANSLATE(D4681)"),"呃，太餓了，我要毀掉這些食物！")</f>
        <v>呃，太餓了，我要毀掉這些食物！</v>
      </c>
      <c r="G4681" s="4" t="str">
        <f>IFERROR(__xludf.DUMMYFUNCTION("GOOGLETRANSLATE(B4681)"),"拆除")</f>
        <v>拆除</v>
      </c>
    </row>
    <row r="4682" ht="15.75" customHeight="1">
      <c r="A4682" s="4">
        <v>3265.0</v>
      </c>
      <c r="B4682" s="4" t="s">
        <v>1439</v>
      </c>
      <c r="D4682" s="4" t="s">
        <v>6932</v>
      </c>
      <c r="E4682" s="4">
        <v>0.0</v>
      </c>
      <c r="F4682" s="4" t="str">
        <f>IFERROR(__xludf.DUMMYFUNCTION("GOOGLETRANSLATE(D4682)"),"拆毀-深空etoffe查米尤斯無衣精密法衣：psfdA")</f>
        <v>拆毀-深空etoffe查米尤斯無衣精密法衣：psfdA</v>
      </c>
      <c r="G4682" s="4" t="str">
        <f>IFERROR(__xludf.DUMMYFUNCTION("GOOGLETRANSLATE(B4682)"),"拆除")</f>
        <v>拆除</v>
      </c>
    </row>
    <row r="4683" ht="15.75" customHeight="1">
      <c r="A4683" s="4">
        <v>3266.0</v>
      </c>
      <c r="B4683" s="4" t="s">
        <v>1439</v>
      </c>
      <c r="C4683" s="4" t="s">
        <v>6933</v>
      </c>
      <c r="D4683" s="4" t="s">
        <v>6934</v>
      </c>
      <c r="E4683" s="4">
        <v>0.0</v>
      </c>
      <c r="F4683" s="4" t="str">
        <f>IFERROR(__xludf.DUMMYFUNCTION("GOOGLETRANSLATE(D4683)"),"埃努古政府將拆除國際會議中心的非法建築 http://t.co/7K5SHaiqIw")</f>
        <v>埃努古政府將拆除國際會議中心的非法建築 http://t.co/7K5SHaiqIw</v>
      </c>
      <c r="G4683" s="4" t="str">
        <f>IFERROR(__xludf.DUMMYFUNCTION("GOOGLETRANSLATE(B4683)"),"拆除")</f>
        <v>拆除</v>
      </c>
    </row>
    <row r="4684" ht="15.75" customHeight="1">
      <c r="A4684" s="4">
        <v>3274.0</v>
      </c>
      <c r="B4684" s="4" t="s">
        <v>1439</v>
      </c>
      <c r="C4684" s="4" t="s">
        <v>6935</v>
      </c>
      <c r="D4684" s="4" t="s">
        <v>6936</v>
      </c>
      <c r="E4684" s="4">
        <v>0.0</v>
      </c>
      <c r="F4684" s="4" t="str">
        <f>IFERROR(__xludf.DUMMYFUNCTION("GOOGLETRANSLATE(D4684)"),"@XGN_Infinity @Ronin_Carbon HAHAH 相互主機預設 Bal no nades 雷達開啟 = 拆除")</f>
        <v>@XGN_Infinity @Ronin_Carbon HAHAH 相互主機預設 Bal no nades 雷達開啟 = 拆除</v>
      </c>
      <c r="G4684" s="4" t="str">
        <f>IFERROR(__xludf.DUMMYFUNCTION("GOOGLETRANSLATE(B4684)"),"拆除")</f>
        <v>拆除</v>
      </c>
    </row>
    <row r="4685" ht="15.75" customHeight="1">
      <c r="A4685" s="4">
        <v>3275.0</v>
      </c>
      <c r="B4685" s="4" t="s">
        <v>1439</v>
      </c>
      <c r="C4685" s="4" t="s">
        <v>40</v>
      </c>
      <c r="D4685" s="4" t="s">
        <v>6937</v>
      </c>
      <c r="E4685" s="4">
        <v>0.0</v>
      </c>
      <c r="F4685" s="4" t="str">
        <f>IFERROR(__xludf.DUMMYFUNCTION("GOOGLETRANSLATE(D4685)"),"是的，所以我要拆除所有那些我似乎「無意識」地用負面想法為自己設定的界線！")</f>
        <v>是的，所以我要拆除所有那些我似乎「無意識」地用負面想法為自己設定的界線！</v>
      </c>
      <c r="G4685" s="4" t="str">
        <f>IFERROR(__xludf.DUMMYFUNCTION("GOOGLETRANSLATE(B4685)"),"拆除")</f>
        <v>拆除</v>
      </c>
    </row>
    <row r="4686" ht="15.75" customHeight="1">
      <c r="A4686" s="4">
        <v>3276.0</v>
      </c>
      <c r="B4686" s="4" t="s">
        <v>1439</v>
      </c>
      <c r="C4686" s="4" t="s">
        <v>6938</v>
      </c>
      <c r="D4686" s="4" t="s">
        <v>6939</v>
      </c>
      <c r="E4686" s="4">
        <v>0.0</v>
      </c>
      <c r="F4686" s="4" t="str">
        <f>IFERROR(__xludf.DUMMYFUNCTION("GOOGLETRANSLATE(D4686)"),"你這個侏儒我不會摧毀你，請表現出一些尊重")</f>
        <v>你這個侏儒我不會摧毀你，請表現出一些尊重</v>
      </c>
      <c r="G4686" s="4" t="str">
        <f>IFERROR(__xludf.DUMMYFUNCTION("GOOGLETRANSLATE(B4686)"),"拆除")</f>
        <v>拆除</v>
      </c>
    </row>
    <row r="4687" ht="15.75" customHeight="1">
      <c r="A4687" s="4">
        <v>3277.0</v>
      </c>
      <c r="B4687" s="4" t="s">
        <v>1439</v>
      </c>
      <c r="C4687" s="4" t="s">
        <v>6940</v>
      </c>
      <c r="D4687" s="4" t="s">
        <v>6941</v>
      </c>
      <c r="E4687" s="4">
        <v>0.0</v>
      </c>
      <c r="F4687" s="4" t="str">
        <f>IFERROR(__xludf.DUMMYFUNCTION("GOOGLETRANSLATE(D4687)"),"設定一些目標。然後拆掉他們？？ #健身#靈感")</f>
        <v>設定一些目標。然後拆掉他們？？ #健身#靈感</v>
      </c>
      <c r="G4687" s="4" t="str">
        <f>IFERROR(__xludf.DUMMYFUNCTION("GOOGLETRANSLATE(B4687)"),"拆除")</f>
        <v>拆除</v>
      </c>
    </row>
    <row r="4688" ht="15.75" customHeight="1">
      <c r="A4688" s="4">
        <v>3278.0</v>
      </c>
      <c r="B4688" s="4" t="s">
        <v>1439</v>
      </c>
      <c r="D4688" s="4" t="s">
        <v>6942</v>
      </c>
      <c r="E4688" s="4">
        <v>0.0</v>
      </c>
      <c r="F4688" s="4" t="str">
        <f>IFERROR(__xludf.DUMMYFUNCTION("GOOGLETRANSLATE(D4688)"),"設定目標&amp;amp;全部拆除！ ？")</f>
        <v>設定目標&amp;amp;全部拆除！ ？</v>
      </c>
      <c r="G4688" s="4" t="str">
        <f>IFERROR(__xludf.DUMMYFUNCTION("GOOGLETRANSLATE(B4688)"),"拆除")</f>
        <v>拆除</v>
      </c>
    </row>
    <row r="4689" ht="15.75" customHeight="1">
      <c r="A4689" s="4">
        <v>3281.0</v>
      </c>
      <c r="B4689" s="4" t="s">
        <v>1439</v>
      </c>
      <c r="C4689" s="4" t="s">
        <v>6943</v>
      </c>
      <c r="D4689" s="4" t="s">
        <v>6944</v>
      </c>
      <c r="E4689" s="4">
        <v>0.0</v>
      </c>
      <c r="F4689" s="4" t="str">
        <f>IFERROR(__xludf.DUMMYFUNCTION("GOOGLETRANSLATE(D4689)"),"@MarioMaraczi 我現在正在觀看。第一天之後他就嚇壞了。第一次戰鬥，他沒有摧毀那傢伙")</f>
        <v>@MarioMaraczi 我現在正在觀看。第一天之後他就嚇壞了。第一次戰鬥，他沒有摧毀那傢伙</v>
      </c>
      <c r="G4689" s="4" t="str">
        <f>IFERROR(__xludf.DUMMYFUNCTION("GOOGLETRANSLATE(B4689)"),"拆除")</f>
        <v>拆除</v>
      </c>
    </row>
    <row r="4690" ht="15.75" customHeight="1">
      <c r="A4690" s="4">
        <v>3282.0</v>
      </c>
      <c r="B4690" s="4" t="s">
        <v>1439</v>
      </c>
      <c r="C4690" s="4" t="s">
        <v>6945</v>
      </c>
      <c r="D4690" s="4" t="s">
        <v>6946</v>
      </c>
      <c r="E4690" s="4">
        <v>0.0</v>
      </c>
      <c r="F4690" s="4" t="str">
        <f>IFERROR(__xludf.DUMMYFUNCTION("GOOGLETRANSLATE(D4690)"),"想想阿誇伊博姆！：不要再來烏魯安拆除建築物前議會成員警告烏多姆·伊曼紐爾 http://t.co/1cnw6NSka5")</f>
        <v>想想阿誇伊博姆！：不要再來烏魯安拆除建築物前議會成員警告烏多姆·伊曼紐爾 http://t.co/1cnw6NSka5</v>
      </c>
      <c r="G4690" s="4" t="str">
        <f>IFERROR(__xludf.DUMMYFUNCTION("GOOGLETRANSLATE(B4690)"),"拆除")</f>
        <v>拆除</v>
      </c>
    </row>
    <row r="4691" ht="15.75" customHeight="1">
      <c r="A4691" s="4">
        <v>3283.0</v>
      </c>
      <c r="B4691" s="4" t="s">
        <v>1439</v>
      </c>
      <c r="C4691" s="4" t="s">
        <v>6947</v>
      </c>
      <c r="D4691" s="4" t="s">
        <v>6948</v>
      </c>
      <c r="E4691" s="4">
        <v>0.0</v>
      </c>
      <c r="F4691" s="4" t="str">
        <f>IFERROR(__xludf.DUMMYFUNCTION("GOOGLETRANSLATE(D4691)"),"14 年就讀過這篇文章，但它過去是、現在仍然是我最喜歡的文章之一。 「讓我們像拆除洗衣店一樣」？ http://t.co/6suPThAece")</f>
        <v>14 年就讀過這篇文章，但它過去是、現在仍然是我最喜歡的文章之一。 「讓我們像拆除洗衣店一樣」？ http://t.co/6suPThAece</v>
      </c>
      <c r="G4691" s="4" t="str">
        <f>IFERROR(__xludf.DUMMYFUNCTION("GOOGLETRANSLATE(B4691)"),"拆除")</f>
        <v>拆除</v>
      </c>
    </row>
    <row r="4692" ht="15.75" customHeight="1">
      <c r="A4692" s="4">
        <v>3284.0</v>
      </c>
      <c r="B4692" s="4" t="s">
        <v>1439</v>
      </c>
      <c r="C4692" s="4" t="s">
        <v>183</v>
      </c>
      <c r="D4692" s="4" t="s">
        <v>6949</v>
      </c>
      <c r="E4692" s="4">
        <v>0.0</v>
      </c>
      <c r="F4692" s="4" t="str">
        <f>IFERROR(__xludf.DUMMYFUNCTION("GOOGLETRANSLATE(D4692)"),"想像一下擁有 KP 和 Root...我們會摧毀所有人")</f>
        <v>想像一下擁有 KP 和 Root...我們會摧毀所有人</v>
      </c>
      <c r="G4692" s="4" t="str">
        <f>IFERROR(__xludf.DUMMYFUNCTION("GOOGLETRANSLATE(B4692)"),"拆除")</f>
        <v>拆除</v>
      </c>
    </row>
    <row r="4693" ht="15.75" customHeight="1">
      <c r="A4693" s="4">
        <v>3285.0</v>
      </c>
      <c r="B4693" s="4" t="s">
        <v>1439</v>
      </c>
      <c r="C4693" s="4" t="s">
        <v>6950</v>
      </c>
      <c r="D4693" s="4" t="s">
        <v>6951</v>
      </c>
      <c r="E4693" s="4">
        <v>0.0</v>
      </c>
      <c r="F4693" s="4" t="str">
        <f>IFERROR(__xludf.DUMMYFUNCTION("GOOGLETRANSLATE(D4693)"),"荒謬可笑的男​​人#Fashion來摧毀你#Manhood。 http://t.co/vTP8i8QLEn")</f>
        <v>荒謬可笑的男​​人#Fashion來摧毀你#Manhood。 http://t.co/vTP8i8QLEn</v>
      </c>
      <c r="G4693" s="4" t="str">
        <f>IFERROR(__xludf.DUMMYFUNCTION("GOOGLETRANSLATE(B4693)"),"拆除")</f>
        <v>拆除</v>
      </c>
    </row>
    <row r="4694" ht="15.75" customHeight="1">
      <c r="A4694" s="4">
        <v>3287.0</v>
      </c>
      <c r="B4694" s="4" t="s">
        <v>1439</v>
      </c>
      <c r="C4694" s="4" t="s">
        <v>183</v>
      </c>
      <c r="D4694" s="4" t="s">
        <v>6952</v>
      </c>
      <c r="E4694" s="4">
        <v>0.0</v>
      </c>
      <c r="F4694" s="4" t="str">
        <f>IFERROR(__xludf.DUMMYFUNCTION("GOOGLETRANSLATE(D4694)"),"我現在就可以拆掉這個！ https://t.co/SkS5jCCrj2")</f>
        <v>我現在就可以拆掉這個！ https://t.co/SkS5jCCrj2</v>
      </c>
      <c r="G4694" s="4" t="str">
        <f>IFERROR(__xludf.DUMMYFUNCTION("GOOGLETRANSLATE(B4694)"),"拆除")</f>
        <v>拆除</v>
      </c>
    </row>
    <row r="4695" ht="15.75" customHeight="1">
      <c r="A4695" s="4">
        <v>3288.0</v>
      </c>
      <c r="B4695" s="4" t="s">
        <v>1439</v>
      </c>
      <c r="C4695" s="4" t="s">
        <v>6953</v>
      </c>
      <c r="D4695" s="4" t="s">
        <v>6954</v>
      </c>
      <c r="E4695" s="4">
        <v>0.0</v>
      </c>
      <c r="F4695" s="4" t="str">
        <f>IFERROR(__xludf.DUMMYFUNCTION("GOOGLETRANSLATE(D4695)"),"郵局同意出售而不拆除市中心建築 http://t.co/7mEpKbF9E8")</f>
        <v>郵局同意出售而不拆除市中心建築 http://t.co/7mEpKbF9E8</v>
      </c>
      <c r="G4695" s="4" t="str">
        <f>IFERROR(__xludf.DUMMYFUNCTION("GOOGLETRANSLATE(B4695)"),"拆除")</f>
        <v>拆除</v>
      </c>
    </row>
    <row r="4696" ht="15.75" customHeight="1">
      <c r="A4696" s="4">
        <v>3289.0</v>
      </c>
      <c r="B4696" s="4" t="s">
        <v>1439</v>
      </c>
      <c r="C4696" s="4" t="s">
        <v>997</v>
      </c>
      <c r="D4696" s="4" t="s">
        <v>6955</v>
      </c>
      <c r="E4696" s="4">
        <v>0.0</v>
      </c>
      <c r="F4696" s="4" t="str">
        <f>IFERROR(__xludf.DUMMYFUNCTION("GOOGLETRANSLATE(D4696)"),"[新聞更新] |埃努古政府將拆除國際會議中心的非法建築 http://t.co/xcGzc45gys |來自《每日郵報》")</f>
        <v>[新聞更新] |埃努古政府將拆除國際會議中心的非法建築 http://t.co/xcGzc45gys |來自《每日郵報》</v>
      </c>
      <c r="G4696" s="4" t="str">
        <f>IFERROR(__xludf.DUMMYFUNCTION("GOOGLETRANSLATE(B4696)"),"拆除")</f>
        <v>拆除</v>
      </c>
    </row>
    <row r="4697" ht="15.75" customHeight="1">
      <c r="A4697" s="4">
        <v>3292.0</v>
      </c>
      <c r="B4697" s="4" t="s">
        <v>1439</v>
      </c>
      <c r="D4697" s="4" t="s">
        <v>6956</v>
      </c>
      <c r="E4697" s="4">
        <v>0.0</v>
      </c>
      <c r="F4697" s="4" t="str">
        <f>IFERROR(__xludf.DUMMYFUNCTION("GOOGLETRANSLATE(D4697)"),"我已在 #Android 遊戲 The Tribez 中完成任務「摧毀 5 Murlo...」。 http://t.co/pBclFsXRld #androidgames #gameinsight")</f>
        <v>我已在 #Android 遊戲 The Tribez 中完成任務「摧毀 5 Murlo...」。 http://t.co/pBclFsXRld #androidgames #gameinsight</v>
      </c>
      <c r="G4697" s="4" t="str">
        <f>IFERROR(__xludf.DUMMYFUNCTION("GOOGLETRANSLATE(B4697)"),"拆除")</f>
        <v>拆除</v>
      </c>
    </row>
    <row r="4698" ht="15.75" customHeight="1">
      <c r="A4698" s="4">
        <v>3295.0</v>
      </c>
      <c r="B4698" s="4" t="s">
        <v>1439</v>
      </c>
      <c r="C4698" s="4" t="s">
        <v>6957</v>
      </c>
      <c r="D4698" s="4" t="s">
        <v>6958</v>
      </c>
      <c r="E4698" s="4">
        <v>0.0</v>
      </c>
      <c r="F4698" s="4" t="str">
        <f>IFERROR(__xludf.DUMMYFUNCTION("GOOGLETRANSLATE(D4698)"),"@Jolly_Jinu 你說他們是恐怖分子，因為#Babri，所以可以嗎？如果你今天拆了我的房子我有權利報仇嗎？")</f>
        <v>@Jolly_Jinu 你說他們是恐怖分子，因為#Babri，所以可以嗎？如果你今天拆了我的房子我有權利報仇嗎？</v>
      </c>
      <c r="G4698" s="4" t="str">
        <f>IFERROR(__xludf.DUMMYFUNCTION("GOOGLETRANSLATE(B4698)"),"拆除")</f>
        <v>拆除</v>
      </c>
    </row>
    <row r="4699" ht="15.75" customHeight="1">
      <c r="A4699" s="4">
        <v>3296.0</v>
      </c>
      <c r="B4699" s="4" t="s">
        <v>1439</v>
      </c>
      <c r="C4699" s="4" t="s">
        <v>6959</v>
      </c>
      <c r="D4699" s="4" t="s">
        <v>6960</v>
      </c>
      <c r="E4699" s="4">
        <v>0.0</v>
      </c>
      <c r="F4699" s="4" t="str">
        <f>IFERROR(__xludf.DUMMYFUNCTION("GOOGLETRANSLATE(D4699)"),"我想成為一名商人，拆除社區中心並在上面建造公寓，但被一群多種族霹靂舞者挫敗。")</f>
        <v>我想成為一名商人，拆除社區中心並在上面建造公寓，但被一群多種族霹靂舞者挫敗。</v>
      </c>
      <c r="G4699" s="4" t="str">
        <f>IFERROR(__xludf.DUMMYFUNCTION("GOOGLETRANSLATE(B4699)"),"拆除")</f>
        <v>拆除</v>
      </c>
    </row>
    <row r="4700" ht="15.75" customHeight="1">
      <c r="A4700" s="4">
        <v>3297.0</v>
      </c>
      <c r="B4700" s="4" t="s">
        <v>1439</v>
      </c>
      <c r="C4700" s="4" t="s">
        <v>281</v>
      </c>
      <c r="D4700" s="4" t="s">
        <v>6961</v>
      </c>
      <c r="E4700" s="4">
        <v>0.0</v>
      </c>
      <c r="F4700" s="4" t="str">
        <f>IFERROR(__xludf.DUMMYFUNCTION("GOOGLETRANSLATE(D4700)"),"剛剛在聯賽中與另一位奧莉安娜進行了第一次反擊，我碰巧摧毀了她 xD。我非常感謝扮演她的人")</f>
        <v>剛剛在聯賽中與另一位奧莉安娜進行了第一次反擊，我碰巧摧毀了她 xD。我非常感謝扮演她的人</v>
      </c>
      <c r="G4700" s="4" t="str">
        <f>IFERROR(__xludf.DUMMYFUNCTION("GOOGLETRANSLATE(B4700)"),"拆除")</f>
        <v>拆除</v>
      </c>
    </row>
    <row r="4701" ht="15.75" customHeight="1">
      <c r="A4701" s="4">
        <v>3300.0</v>
      </c>
      <c r="B4701" s="4" t="s">
        <v>1439</v>
      </c>
      <c r="C4701" s="4" t="s">
        <v>6962</v>
      </c>
      <c r="D4701" s="4" t="s">
        <v>6963</v>
      </c>
      <c r="E4701" s="4">
        <v>0.0</v>
      </c>
      <c r="F4701" s="4" t="str">
        <f>IFERROR(__xludf.DUMMYFUNCTION("GOOGLETRANSLATE(D4701)"),"我將影片加入 @YouTube 播放清單 http://t.co/K2BzUaTUkS Dan 和 Arin 拆除巨型軟糖熊 - GrumpOut")</f>
        <v>我將影片加入 @YouTube 播放清單 http://t.co/K2BzUaTUkS Dan 和 Arin 拆除巨型軟糖熊 - GrumpOut</v>
      </c>
      <c r="G4701" s="4" t="str">
        <f>IFERROR(__xludf.DUMMYFUNCTION("GOOGLETRANSLATE(B4701)"),"拆除")</f>
        <v>拆除</v>
      </c>
    </row>
    <row r="4702" ht="15.75" customHeight="1">
      <c r="A4702" s="4">
        <v>3301.0</v>
      </c>
      <c r="B4702" s="4" t="s">
        <v>1439</v>
      </c>
      <c r="C4702" s="4" t="s">
        <v>6964</v>
      </c>
      <c r="D4702" s="4" t="s">
        <v>6965</v>
      </c>
      <c r="E4702" s="4">
        <v>0.0</v>
      </c>
      <c r="F4702" s="4" t="str">
        <f>IFERROR(__xludf.DUMMYFUNCTION("GOOGLETRANSLATE(D4702)"),"不，但是 srsly b4 你毀了你伴侶的臉並開始向他們的鼻孔流口水，停下來問問自己這是否真的值得尷尬")</f>
        <v>不，但是 srsly b4 你毀了你伴侶的臉並開始向他們的鼻孔流口水，停下來問問自己這是否真的值得尷尬</v>
      </c>
      <c r="G4702" s="4" t="str">
        <f>IFERROR(__xludf.DUMMYFUNCTION("GOOGLETRANSLATE(B4702)"),"拆除")</f>
        <v>拆除</v>
      </c>
    </row>
    <row r="4703" ht="15.75" customHeight="1">
      <c r="A4703" s="4">
        <v>3302.0</v>
      </c>
      <c r="B4703" s="4" t="s">
        <v>1439</v>
      </c>
      <c r="C4703" s="4" t="s">
        <v>6966</v>
      </c>
      <c r="D4703" s="4" t="s">
        <v>6967</v>
      </c>
      <c r="E4703" s="4">
        <v>0.0</v>
      </c>
      <c r="F4703" s="4" t="str">
        <f>IFERROR(__xludf.DUMMYFUNCTION("GOOGLETRANSLATE(D4703)"),"#charminar 拆除，如果它處於墜落狀態無論如何，請聽取工程師的意見
#泰倫加納語")</f>
        <v>#charminar 拆除，如果它處於墜落狀態無論如何，請聽取工程師的意見
#泰倫加納語</v>
      </c>
      <c r="G4703" s="4" t="str">
        <f>IFERROR(__xludf.DUMMYFUNCTION("GOOGLETRANSLATE(B4703)"),"拆除")</f>
        <v>拆除</v>
      </c>
    </row>
    <row r="4704" ht="15.75" customHeight="1">
      <c r="A4704" s="4">
        <v>3303.0</v>
      </c>
      <c r="B4704" s="4" t="s">
        <v>1449</v>
      </c>
      <c r="C4704" s="4" t="s">
        <v>6968</v>
      </c>
      <c r="D4704" s="4" t="s">
        <v>6969</v>
      </c>
      <c r="E4704" s="4">
        <v>0.0</v>
      </c>
      <c r="F4704" s="4" t="str">
        <f>IFERROR(__xludf.DUMMYFUNCTION("GOOGLETRANSLATE(D4704)"),"今晚與一些好人一起吃小吃！ #funtimes #demolished http://t.co/JxUEPkmkRh")</f>
        <v>今晚與一些好人一起吃小吃！ #funtimes #demolished http://t.co/JxUEPkmkRh</v>
      </c>
      <c r="G4704" s="4" t="str">
        <f>IFERROR(__xludf.DUMMYFUNCTION("GOOGLETRANSLATE(B4704)"),"被拆毀")</f>
        <v>被拆毀</v>
      </c>
    </row>
    <row r="4705" ht="15.75" customHeight="1">
      <c r="A4705" s="4">
        <v>3304.0</v>
      </c>
      <c r="B4705" s="4" t="s">
        <v>1449</v>
      </c>
      <c r="C4705" s="4" t="s">
        <v>674</v>
      </c>
      <c r="D4705" s="4" t="s">
        <v>6970</v>
      </c>
      <c r="E4705" s="4">
        <v>0.0</v>
      </c>
      <c r="F4705" s="4" t="str">
        <f>IFERROR(__xludf.DUMMYFUNCTION("GOOGLETRANSLATE(D4705)"),"烏裡韋毀了那個球？？？？？？")</f>
        <v>烏裡韋毀了那個球？？？？？？</v>
      </c>
      <c r="G4705" s="4" t="str">
        <f>IFERROR(__xludf.DUMMYFUNCTION("GOOGLETRANSLATE(B4705)"),"被拆毀")</f>
        <v>被拆毀</v>
      </c>
    </row>
    <row r="4706" ht="15.75" customHeight="1">
      <c r="A4706" s="4">
        <v>3308.0</v>
      </c>
      <c r="B4706" s="4" t="s">
        <v>1449</v>
      </c>
      <c r="C4706" s="4" t="s">
        <v>6971</v>
      </c>
      <c r="D4706" s="4" t="s">
        <v>6972</v>
      </c>
      <c r="E4706" s="4">
        <v>0.0</v>
      </c>
      <c r="F4706" s="4" t="str">
        <f>IFERROR(__xludf.DUMMYFUNCTION("GOOGLETRANSLATE(D4706)"),"我買了一罐 64 盎司的花生醬，但它剛剛被拆掉了")</f>
        <v>我買了一罐 64 盎司的花生醬，但它剛剛被拆掉了</v>
      </c>
      <c r="G4706" s="4" t="str">
        <f>IFERROR(__xludf.DUMMYFUNCTION("GOOGLETRANSLATE(B4706)"),"被拆毀")</f>
        <v>被拆毀</v>
      </c>
    </row>
    <row r="4707" ht="15.75" customHeight="1">
      <c r="A4707" s="4">
        <v>3309.0</v>
      </c>
      <c r="B4707" s="4" t="s">
        <v>1449</v>
      </c>
      <c r="C4707" s="4" t="s">
        <v>6973</v>
      </c>
      <c r="D4707" s="4" t="s">
        <v>6974</v>
      </c>
      <c r="E4707" s="4">
        <v>0.0</v>
      </c>
      <c r="F4707" s="4" t="str">
        <f>IFERROR(__xludf.DUMMYFUNCTION("GOOGLETRANSLATE(D4707)"),"。
.@Colts 被 #Patriots 摧毀，如 500-7 並向 @nfl 抱怨“誠信”#CantMakeItUp #PatriotsNation http://t.co/tpW5gPmhQ4")</f>
        <v>。
.@Colts 被 #Patriots 摧毀，如 500-7 並向 @nfl 抱怨“誠信”#CantMakeItUp #PatriotsNation http://t.co/tpW5gPmhQ4</v>
      </c>
      <c r="G4707" s="4" t="str">
        <f>IFERROR(__xludf.DUMMYFUNCTION("GOOGLETRANSLATE(B4707)"),"被拆毀")</f>
        <v>被拆毀</v>
      </c>
    </row>
    <row r="4708" ht="15.75" customHeight="1">
      <c r="A4708" s="4">
        <v>3311.0</v>
      </c>
      <c r="B4708" s="4" t="s">
        <v>1449</v>
      </c>
      <c r="C4708" s="4" t="s">
        <v>126</v>
      </c>
      <c r="D4708" s="4" t="s">
        <v>6975</v>
      </c>
      <c r="E4708" s="4">
        <v>0.0</v>
      </c>
      <c r="F4708" s="4" t="str">
        <f>IFERROR(__xludf.DUMMYFUNCTION("GOOGLETRANSLATE(D4708)"),"@Flunkie，如果這能讓你感覺好一點的話，我已經32級了，但仍然會被拆除。")</f>
        <v>@Flunkie，如果這能讓你感覺好一點的話，我已經32級了，但仍然會被拆除。</v>
      </c>
      <c r="G4708" s="4" t="str">
        <f>IFERROR(__xludf.DUMMYFUNCTION("GOOGLETRANSLATE(B4708)"),"被拆毀")</f>
        <v>被拆毀</v>
      </c>
    </row>
    <row r="4709" ht="15.75" customHeight="1">
      <c r="A4709" s="4">
        <v>3312.0</v>
      </c>
      <c r="B4709" s="4" t="s">
        <v>1449</v>
      </c>
      <c r="C4709" s="4" t="s">
        <v>6976</v>
      </c>
      <c r="D4709" s="4" t="s">
        <v>6977</v>
      </c>
      <c r="E4709" s="4">
        <v>0.0</v>
      </c>
      <c r="F4709" s="4" t="str">
        <f>IFERROR(__xludf.DUMMYFUNCTION("GOOGLETRANSLATE(D4709)"),"@AngusMacNeilSNP 每個“是”的案例都已被徹底摧毀。如果我是你，我會不好意思再提起印地。")</f>
        <v>@AngusMacNeilSNP 每個“是”的案例都已被徹底摧毀。如果我是你，我會不好意思再提起印地。</v>
      </c>
      <c r="G4709" s="4" t="str">
        <f>IFERROR(__xludf.DUMMYFUNCTION("GOOGLETRANSLATE(B4709)"),"被拆毀")</f>
        <v>被拆毀</v>
      </c>
    </row>
    <row r="4710" ht="15.75" customHeight="1">
      <c r="A4710" s="4">
        <v>3317.0</v>
      </c>
      <c r="B4710" s="4" t="s">
        <v>1449</v>
      </c>
      <c r="C4710" s="4" t="s">
        <v>6978</v>
      </c>
      <c r="D4710" s="4" t="s">
        <v>6979</v>
      </c>
      <c r="E4710" s="4">
        <v>0.0</v>
      </c>
      <c r="F4710" s="4" t="str">
        <f>IFERROR(__xludf.DUMMYFUNCTION("GOOGLETRANSLATE(D4710)"),"@_STiiiLO 我還有你被拆的視頻")</f>
        <v>@_STiiiLO 我還有你被拆的視頻</v>
      </c>
      <c r="G4710" s="4" t="str">
        <f>IFERROR(__xludf.DUMMYFUNCTION("GOOGLETRANSLATE(B4710)"),"被拆毀")</f>
        <v>被拆毀</v>
      </c>
    </row>
    <row r="4711" ht="15.75" customHeight="1">
      <c r="A4711" s="4">
        <v>3320.0</v>
      </c>
      <c r="B4711" s="4" t="s">
        <v>1449</v>
      </c>
      <c r="C4711" s="4" t="s">
        <v>6980</v>
      </c>
      <c r="D4711" s="4" t="s">
        <v>6981</v>
      </c>
      <c r="E4711" s="4">
        <v>0.0</v>
      </c>
      <c r="F4711" s="4" t="str">
        <f>IFERROR(__xludf.DUMMYFUNCTION("GOOGLETRANSLATE(D4711)"),"曼卡姆剛剛拆掉了他的盤子。他的屁股餓了")</f>
        <v>曼卡姆剛剛拆掉了他的盤子。他的屁股餓了</v>
      </c>
      <c r="G4711" s="4" t="str">
        <f>IFERROR(__xludf.DUMMYFUNCTION("GOOGLETRANSLATE(B4711)"),"被拆毀")</f>
        <v>被拆毀</v>
      </c>
    </row>
    <row r="4712" ht="15.75" customHeight="1">
      <c r="A4712" s="4">
        <v>3322.0</v>
      </c>
      <c r="B4712" s="4" t="s">
        <v>1449</v>
      </c>
      <c r="C4712" s="4" t="s">
        <v>6982</v>
      </c>
      <c r="D4712" s="4" t="s">
        <v>6983</v>
      </c>
      <c r="E4712" s="4">
        <v>0.0</v>
      </c>
      <c r="F4712" s="4" t="str">
        <f>IFERROR(__xludf.DUMMYFUNCTION("GOOGLETRANSLATE(D4712)"),"最終於2013年春天被拆除，此後該房產一直空置。只是Û_：薩德爾布魯克... http://t.co/KbsTRXNhuP")</f>
        <v>最終於2013年春天被拆除，此後該房產一直空置。只是Û_：薩德爾布魯克... http://t.co/KbsTRXNhuP</v>
      </c>
      <c r="G4712" s="4" t="str">
        <f>IFERROR(__xludf.DUMMYFUNCTION("GOOGLETRANSLATE(B4712)"),"被拆毀")</f>
        <v>被拆毀</v>
      </c>
    </row>
    <row r="4713" ht="15.75" customHeight="1">
      <c r="A4713" s="4">
        <v>3323.0</v>
      </c>
      <c r="B4713" s="4" t="s">
        <v>1449</v>
      </c>
      <c r="C4713" s="4" t="s">
        <v>6984</v>
      </c>
      <c r="D4713" s="4" t="s">
        <v>6985</v>
      </c>
      <c r="E4713" s="4">
        <v>0.0</v>
      </c>
      <c r="F4713" s="4" t="str">
        <f>IFERROR(__xludf.DUMMYFUNCTION("GOOGLETRANSLATE(D4713)"),"他們從頭到尾徹底摧毀了發聲器")</f>
        <v>他們從頭到尾徹底摧毀了發聲器</v>
      </c>
      <c r="G4713" s="4" t="str">
        <f>IFERROR(__xludf.DUMMYFUNCTION("GOOGLETRANSLATE(B4713)"),"被拆毀")</f>
        <v>被拆毀</v>
      </c>
    </row>
    <row r="4714" ht="15.75" customHeight="1">
      <c r="A4714" s="4">
        <v>3324.0</v>
      </c>
      <c r="B4714" s="4" t="s">
        <v>1449</v>
      </c>
      <c r="D4714" s="4" t="s">
        <v>6986</v>
      </c>
      <c r="E4714" s="4">
        <v>0.0</v>
      </c>
      <c r="F4714" s="4" t="str">
        <f>IFERROR(__xludf.DUMMYFUNCTION("GOOGLETRANSLATE(D4714)"),"哈哈，貓鼬完蛋了。它們將被潛望鏡和 Facebook 直播摧毀。")</f>
        <v>哈哈，貓鼬完蛋了。它們將被潛望鏡和 Facebook 直播摧毀。</v>
      </c>
      <c r="G4714" s="4" t="str">
        <f>IFERROR(__xludf.DUMMYFUNCTION("GOOGLETRANSLATE(B4714)"),"被拆毀")</f>
        <v>被拆毀</v>
      </c>
    </row>
    <row r="4715" ht="15.75" customHeight="1">
      <c r="A4715" s="4">
        <v>3328.0</v>
      </c>
      <c r="B4715" s="4" t="s">
        <v>1449</v>
      </c>
      <c r="D4715" s="4" t="s">
        <v>6987</v>
      </c>
      <c r="E4715" s="4">
        <v>0.0</v>
      </c>
      <c r="F4715" s="4" t="str">
        <f>IFERROR(__xludf.DUMMYFUNCTION("GOOGLETRANSLATE(D4715)"),"剛剛拆除了一個雪球？")</f>
        <v>剛剛拆除了一個雪球？</v>
      </c>
      <c r="G4715" s="4" t="str">
        <f>IFERROR(__xludf.DUMMYFUNCTION("GOOGLETRANSLATE(B4715)"),"被拆毀")</f>
        <v>被拆毀</v>
      </c>
    </row>
    <row r="4716" ht="15.75" customHeight="1">
      <c r="A4716" s="4">
        <v>3329.0</v>
      </c>
      <c r="B4716" s="4" t="s">
        <v>1449</v>
      </c>
      <c r="C4716" s="4" t="s">
        <v>3923</v>
      </c>
      <c r="D4716" s="4" t="s">
        <v>6988</v>
      </c>
      <c r="E4716" s="4">
        <v>0.0</v>
      </c>
      <c r="F4716" s="4" t="str">
        <f>IFERROR(__xludf.DUMMYFUNCTION("GOOGLETRANSLATE(D4716)"),"最終於2013年春天被拆除，此後該房產一直空置。只是Û_：薩德爾布魯克... http://t.co/b8n6e4rYvZ")</f>
        <v>最終於2013年春天被拆除，此後該房產一直空置。只是Û_：薩德爾布魯克... http://t.co/b8n6e4rYvZ</v>
      </c>
      <c r="G4716" s="4" t="str">
        <f>IFERROR(__xludf.DUMMYFUNCTION("GOOGLETRANSLATE(B4716)"),"被拆毀")</f>
        <v>被拆毀</v>
      </c>
    </row>
    <row r="4717" ht="15.75" customHeight="1">
      <c r="A4717" s="4">
        <v>3335.0</v>
      </c>
      <c r="B4717" s="4" t="s">
        <v>1449</v>
      </c>
      <c r="D4717" s="4" t="s">
        <v>6989</v>
      </c>
      <c r="E4717" s="4">
        <v>0.0</v>
      </c>
      <c r="F4717" s="4" t="str">
        <f>IFERROR(__xludf.DUMMYFUNCTION("GOOGLETRANSLATE(D4717)"),"把這個中國拆了，送回他媽的石器時代")</f>
        <v>把這個中國拆了，送回他媽的石器時代</v>
      </c>
      <c r="G4717" s="4" t="str">
        <f>IFERROR(__xludf.DUMMYFUNCTION("GOOGLETRANSLATE(B4717)"),"被拆毀")</f>
        <v>被拆毀</v>
      </c>
    </row>
    <row r="4718" ht="15.75" customHeight="1">
      <c r="A4718" s="4">
        <v>3336.0</v>
      </c>
      <c r="B4718" s="4" t="s">
        <v>1449</v>
      </c>
      <c r="C4718" s="4" t="s">
        <v>957</v>
      </c>
      <c r="D4718" s="4" t="s">
        <v>6990</v>
      </c>
      <c r="E4718" s="4">
        <v>0.0</v>
      </c>
      <c r="F4718" s="4" t="str">
        <f>IFERROR(__xludf.DUMMYFUNCTION("GOOGLETRANSLATE(D4718)"),"Home2 Suites 辦公室即將遷至 Salvi's Bistro 舊址：前 Salvi's Bistro 很快將被拆除，以打造¤Û_ http://t.co/PAObgHv3C7")</f>
        <v>Home2 Suites 辦公室即將遷至 Salvi's Bistro 舊址：前 Salvi's Bistro 很快將被拆除，以打造¤Û_ http://t.co/PAObgHv3C7</v>
      </c>
      <c r="G4718" s="4" t="str">
        <f>IFERROR(__xludf.DUMMYFUNCTION("GOOGLETRANSLATE(B4718)"),"被拆毀")</f>
        <v>被拆毀</v>
      </c>
    </row>
    <row r="4719" ht="15.75" customHeight="1">
      <c r="A4719" s="4">
        <v>3338.0</v>
      </c>
      <c r="B4719" s="4" t="s">
        <v>1449</v>
      </c>
      <c r="D4719" s="4" t="s">
        <v>6991</v>
      </c>
      <c r="E4719" s="4">
        <v>0.0</v>
      </c>
      <c r="F4719" s="4" t="str">
        <f>IFERROR(__xludf.DUMMYFUNCTION("GOOGLETRANSLATE(D4719)"),"@David5Fernandez @theblaze 川普將在大選中被徹底摧毀。")</f>
        <v>@David5Fernandez @theblaze 川普將在大選中被徹底摧毀。</v>
      </c>
      <c r="G4719" s="4" t="str">
        <f>IFERROR(__xludf.DUMMYFUNCTION("GOOGLETRANSLATE(B4719)"),"被拆毀")</f>
        <v>被拆毀</v>
      </c>
    </row>
    <row r="4720" ht="15.75" customHeight="1">
      <c r="A4720" s="4">
        <v>3339.0</v>
      </c>
      <c r="B4720" s="4" t="s">
        <v>1449</v>
      </c>
      <c r="C4720" s="4" t="s">
        <v>6992</v>
      </c>
      <c r="D4720" s="4" t="s">
        <v>6993</v>
      </c>
      <c r="E4720" s="4">
        <v>0.0</v>
      </c>
      <c r="F4720" s="4" t="str">
        <f>IFERROR(__xludf.DUMMYFUNCTION("GOOGLETRANSLATE(D4720)"),"最終於2013年春天被拆除，此後該房產一直空置。只是¤Û_：薩德爾布魯克... http://t.co/Vcjcykq8b8")</f>
        <v>最終於2013年春天被拆除，此後該房產一直空置。只是¤Û_：薩德爾布魯克... http://t.co/Vcjcykq8b8</v>
      </c>
      <c r="G4720" s="4" t="str">
        <f>IFERROR(__xludf.DUMMYFUNCTION("GOOGLETRANSLATE(B4720)"),"被拆毀")</f>
        <v>被拆毀</v>
      </c>
    </row>
    <row r="4721" ht="15.75" customHeight="1">
      <c r="A4721" s="4">
        <v>3341.0</v>
      </c>
      <c r="B4721" s="4" t="s">
        <v>1449</v>
      </c>
      <c r="C4721" s="4" t="s">
        <v>6994</v>
      </c>
      <c r="D4721" s="4" t="s">
        <v>6995</v>
      </c>
      <c r="E4721" s="4">
        <v>0.0</v>
      </c>
      <c r="F4721" s="4" t="str">
        <f>IFERROR(__xludf.DUMMYFUNCTION("GOOGLETRANSLATE(D4721)"),"鳳凰城市中心的「危險」房產被拆除 http://t.co/hiBDw7d7ja")</f>
        <v>鳳凰城市中心的「危險」房產被拆除 http://t.co/hiBDw7d7ja</v>
      </c>
      <c r="G4721" s="4" t="str">
        <f>IFERROR(__xludf.DUMMYFUNCTION("GOOGLETRANSLATE(B4721)"),"被拆毀")</f>
        <v>被拆毀</v>
      </c>
    </row>
    <row r="4722" ht="15.75" customHeight="1">
      <c r="A4722" s="4">
        <v>3342.0</v>
      </c>
      <c r="B4722" s="4" t="s">
        <v>1449</v>
      </c>
      <c r="C4722" s="4" t="s">
        <v>6996</v>
      </c>
      <c r="D4722" s="4" t="s">
        <v>6997</v>
      </c>
      <c r="E4722" s="4">
        <v>0.0</v>
      </c>
      <c r="F4722" s="4" t="str">
        <f>IFERROR(__xludf.DUMMYFUNCTION("GOOGLETRANSLATE(D4722)"),"摧毀了我的個人最佳成績 http://t.co/ImULLBvUEd")</f>
        <v>摧毀了我的個人最佳成績 http://t.co/ImULLBvUEd</v>
      </c>
      <c r="G4722" s="4" t="str">
        <f>IFERROR(__xludf.DUMMYFUNCTION("GOOGLETRANSLATE(B4722)"),"被拆毀")</f>
        <v>被拆毀</v>
      </c>
    </row>
    <row r="4723" ht="15.75" customHeight="1">
      <c r="A4723" s="4">
        <v>3345.0</v>
      </c>
      <c r="B4723" s="4" t="s">
        <v>1449</v>
      </c>
      <c r="C4723" s="4" t="s">
        <v>6998</v>
      </c>
      <c r="D4723" s="4" t="s">
        <v>6999</v>
      </c>
      <c r="E4723" s="4">
        <v>0.0</v>
      </c>
      <c r="F4723" s="4" t="str">
        <f>IFERROR(__xludf.DUMMYFUNCTION("GOOGLETRANSLATE(D4723)"),"5000年歷史的環形堡壘將被拆除 http://t.co/1PxpoqKTjo")</f>
        <v>5000年歷史的環形堡壘將被拆除 http://t.co/1PxpoqKTjo</v>
      </c>
      <c r="G4723" s="4" t="str">
        <f>IFERROR(__xludf.DUMMYFUNCTION("GOOGLETRANSLATE(B4723)"),"被拆毀")</f>
        <v>被拆毀</v>
      </c>
    </row>
    <row r="4724" ht="15.75" customHeight="1">
      <c r="A4724" s="4">
        <v>3346.0</v>
      </c>
      <c r="B4724" s="4" t="s">
        <v>1449</v>
      </c>
      <c r="D4724" s="4" t="s">
        <v>7000</v>
      </c>
      <c r="E4724" s="4">
        <v>0.0</v>
      </c>
      <c r="F4724" s="4" t="str">
        <f>IFERROR(__xludf.DUMMYFUNCTION("GOOGLETRANSLATE(D4724)"),"@JackMulholland1 我想也成為侯爵了！然後卡洛斯和查理的，最後是都柏林的。可惜被拆了。")</f>
        <v>@JackMulholland1 我想也成為侯爵了！然後卡洛斯和查理的，最後是都柏林的。可惜被拆了。</v>
      </c>
      <c r="G4724" s="4" t="str">
        <f>IFERROR(__xludf.DUMMYFUNCTION("GOOGLETRANSLATE(B4724)"),"被拆毀")</f>
        <v>被拆毀</v>
      </c>
    </row>
    <row r="4725" ht="15.75" customHeight="1">
      <c r="A4725" s="4">
        <v>3356.0</v>
      </c>
      <c r="B4725" s="4" t="s">
        <v>1460</v>
      </c>
      <c r="D4725" s="4" t="s">
        <v>7001</v>
      </c>
      <c r="E4725" s="4">
        <v>0.0</v>
      </c>
      <c r="F4725" s="4" t="str">
        <f>IFERROR(__xludf.DUMMYFUNCTION("GOOGLETRANSLATE(D4725)"),"@DavidVonderhaar 如果你愛我哪怕一點點你就會把拆除放在 bo3 中")</f>
        <v>@DavidVonderhaar 如果你愛我哪怕一點點你就會把拆除放在 bo3 中</v>
      </c>
      <c r="G4725" s="4" t="str">
        <f>IFERROR(__xludf.DUMMYFUNCTION("GOOGLETRANSLATE(B4725)"),"拆除")</f>
        <v>拆除</v>
      </c>
    </row>
    <row r="4726" ht="15.75" customHeight="1">
      <c r="A4726" s="4">
        <v>3357.0</v>
      </c>
      <c r="B4726" s="4" t="s">
        <v>1460</v>
      </c>
      <c r="C4726" s="4" t="s">
        <v>7002</v>
      </c>
      <c r="D4726" s="4" t="s">
        <v>7003</v>
      </c>
      <c r="E4726" s="4">
        <v>0.0</v>
      </c>
      <c r="F4726" s="4" t="str">
        <f>IFERROR(__xludf.DUMMYFUNCTION("GOOGLETRANSLATE(D4726)"),"抽籤日拆除 持續賺錢的每日足球選擇服務 http://t.co/637rc3qc8D http://t.co/teGAjMR8iL")</f>
        <v>抽籤日拆除 持續賺錢的每日足球選擇服務 http://t.co/637rc3qc8D http://t.co/teGAjMR8iL</v>
      </c>
      <c r="G4726" s="4" t="str">
        <f>IFERROR(__xludf.DUMMYFUNCTION("GOOGLETRANSLATE(B4726)"),"拆除")</f>
        <v>拆除</v>
      </c>
    </row>
    <row r="4727" ht="15.75" customHeight="1">
      <c r="A4727" s="4">
        <v>3359.0</v>
      </c>
      <c r="B4727" s="4" t="s">
        <v>1460</v>
      </c>
      <c r="C4727" s="4" t="s">
        <v>3958</v>
      </c>
      <c r="D4727" s="4" t="s">
        <v>7004</v>
      </c>
      <c r="E4727" s="4">
        <v>0.0</v>
      </c>
      <c r="F4727" s="4" t="str">
        <f>IFERROR(__xludf.DUMMYFUNCTION("GOOGLETRANSLATE(D4727)"),"拆除1&amp;amp; 2 仍然是有史以來最火的自由式")</f>
        <v>拆除1&amp;amp; 2 仍然是有史以來最火的自由式</v>
      </c>
      <c r="G4727" s="4" t="str">
        <f>IFERROR(__xludf.DUMMYFUNCTION("GOOGLETRANSLATE(B4727)"),"拆除")</f>
        <v>拆除</v>
      </c>
    </row>
    <row r="4728" ht="15.75" customHeight="1">
      <c r="A4728" s="4">
        <v>3361.0</v>
      </c>
      <c r="B4728" s="4" t="s">
        <v>1460</v>
      </c>
      <c r="C4728" s="4" t="s">
        <v>7005</v>
      </c>
      <c r="D4728" s="4" t="s">
        <v>7006</v>
      </c>
      <c r="E4728" s="4">
        <v>0.0</v>
      </c>
      <c r="F4728" s="4" t="str">
        <f>IFERROR(__xludf.DUMMYFUNCTION("GOOGLETRANSLATE(D4728)"),"Maxsys 正在招募#Demolition #Workers，立即申請！ #哈利法克斯 #jobs http://t.co/QTIZcBWw7G")</f>
        <v>Maxsys 正在招募#Demolition #Workers，立即申請！ #哈利法克斯 #jobs http://t.co/QTIZcBWw7G</v>
      </c>
      <c r="G4728" s="4" t="str">
        <f>IFERROR(__xludf.DUMMYFUNCTION("GOOGLETRANSLATE(B4728)"),"拆除")</f>
        <v>拆除</v>
      </c>
    </row>
    <row r="4729" ht="15.75" customHeight="1">
      <c r="A4729" s="4">
        <v>3362.0</v>
      </c>
      <c r="B4729" s="4" t="s">
        <v>1460</v>
      </c>
      <c r="D4729" s="4" t="s">
        <v>7007</v>
      </c>
      <c r="E4729" s="4">
        <v>0.0</v>
      </c>
      <c r="F4729" s="4" t="str">
        <f>IFERROR(__xludf.DUMMYFUNCTION("GOOGLETRANSLATE(D4729)"),"鐵道鎮附近的這種出售和拆除趨勢肯定會導致一些維護不良的公寓。 #本拿比#changefortheworse")</f>
        <v>鐵道鎮附近的這種出售和拆除趨勢肯定會導致一些維護不良的公寓。 #本拿比#changefortheworse</v>
      </c>
      <c r="G4729" s="4" t="str">
        <f>IFERROR(__xludf.DUMMYFUNCTION("GOOGLETRANSLATE(B4729)"),"拆除")</f>
        <v>拆除</v>
      </c>
    </row>
    <row r="4730" ht="15.75" customHeight="1">
      <c r="A4730" s="4">
        <v>3363.0</v>
      </c>
      <c r="B4730" s="4" t="s">
        <v>1460</v>
      </c>
      <c r="D4730" s="4" t="s">
        <v>7008</v>
      </c>
      <c r="E4730" s="4">
        <v>0.0</v>
      </c>
      <c r="F4730" s="4" t="str">
        <f>IFERROR(__xludf.DUMMYFUNCTION("GOOGLETRANSLATE(D4730)"),"僱用拆除公司時要考慮的因素 nOxDV")</f>
        <v>僱用拆除公司時要考慮的因素 nOxDV</v>
      </c>
      <c r="G4730" s="4" t="str">
        <f>IFERROR(__xludf.DUMMYFUNCTION("GOOGLETRANSLATE(B4730)"),"拆除")</f>
        <v>拆除</v>
      </c>
    </row>
    <row r="4731" ht="15.75" customHeight="1">
      <c r="A4731" s="4">
        <v>3364.0</v>
      </c>
      <c r="B4731" s="4" t="s">
        <v>1460</v>
      </c>
      <c r="C4731" s="4" t="s">
        <v>7009</v>
      </c>
      <c r="D4731" s="4" t="s">
        <v>7010</v>
      </c>
      <c r="E4731" s="4">
        <v>0.0</v>
      </c>
      <c r="F4731" s="4" t="str">
        <f>IFERROR(__xludf.DUMMYFUNCTION("GOOGLETRANSLATE(D4731)"),"灰石精神病院剩餘部分正在拆除
圖。 85885473 http://t.co/LzlJZZkCfa")</f>
        <v>灰石精神病院剩餘部分正在拆除
圖。 85885473 http://t.co/LzlJZZkCfa</v>
      </c>
      <c r="G4731" s="4" t="str">
        <f>IFERROR(__xludf.DUMMYFUNCTION("GOOGLETRANSLATE(B4731)"),"拆除")</f>
        <v>拆除</v>
      </c>
    </row>
    <row r="4732" ht="15.75" customHeight="1">
      <c r="A4732" s="4">
        <v>3365.0</v>
      </c>
      <c r="B4732" s="4" t="s">
        <v>1460</v>
      </c>
      <c r="C4732" s="4" t="s">
        <v>7011</v>
      </c>
      <c r="D4732" s="4" t="s">
        <v>7012</v>
      </c>
      <c r="E4732" s="4">
        <v>0.0</v>
      </c>
      <c r="F4732" s="4" t="str">
        <f>IFERROR(__xludf.DUMMYFUNCTION("GOOGLETRANSLATE(D4732)"),"今天見證了我的第一次拆除德比 PSA，我的興奮還沒有消退，已經過去了 3 個多小時")</f>
        <v>今天見證了我的第一次拆除德比 PSA，我的興奮還沒有消退，已經過去了 3 個多小時</v>
      </c>
      <c r="G4732" s="4" t="str">
        <f>IFERROR(__xludf.DUMMYFUNCTION("GOOGLETRANSLATE(B4732)"),"拆除")</f>
        <v>拆除</v>
      </c>
    </row>
    <row r="4733" ht="15.75" customHeight="1">
      <c r="A4733" s="4">
        <v>3372.0</v>
      </c>
      <c r="B4733" s="4" t="s">
        <v>1460</v>
      </c>
      <c r="C4733" s="4" t="s">
        <v>3474</v>
      </c>
      <c r="D4733" s="4" t="s">
        <v>7013</v>
      </c>
      <c r="E4733" s="4">
        <v>0.0</v>
      </c>
      <c r="F4733" s="4" t="str">
        <f>IFERROR(__xludf.DUMMYFUNCTION("GOOGLETRANSLATE(D4733)"),"http://t.co/D3cTNI8Qit #拆除公司：拆除模擬器")</f>
        <v>http://t.co/D3cTNI8Qit #拆除公司：拆除模擬器</v>
      </c>
      <c r="G4733" s="4" t="str">
        <f>IFERROR(__xludf.DUMMYFUNCTION("GOOGLETRANSLATE(B4733)"),"拆除")</f>
        <v>拆除</v>
      </c>
    </row>
    <row r="4734" ht="15.75" customHeight="1">
      <c r="A4734" s="4">
        <v>3373.0</v>
      </c>
      <c r="B4734" s="4" t="s">
        <v>1460</v>
      </c>
      <c r="D4734" s="4" t="s">
        <v>7014</v>
      </c>
      <c r="E4734" s="4">
        <v>0.0</v>
      </c>
      <c r="F4734" s="4" t="str">
        <f>IFERROR(__xludf.DUMMYFUNCTION("GOOGLETRANSLATE(D4734)"),"一般新聞“從 Achimota Mile 7 開始拆除水道上的房屋”，來自@233liveOnline。完整故事請上 http://t.co/iO7kUUg1uq")</f>
        <v>一般新聞“從 Achimota Mile 7 開始拆除水道上的房屋”，來自@233liveOnline。完整故事請上 http://t.co/iO7kUUg1uq</v>
      </c>
      <c r="G4734" s="4" t="str">
        <f>IFERROR(__xludf.DUMMYFUNCTION("GOOGLETRANSLATE(B4734)"),"拆除")</f>
        <v>拆除</v>
      </c>
    </row>
    <row r="4735" ht="15.75" customHeight="1">
      <c r="A4735" s="4">
        <v>3377.0</v>
      </c>
      <c r="B4735" s="4" t="s">
        <v>1460</v>
      </c>
      <c r="D4735" s="4" t="s">
        <v>7015</v>
      </c>
      <c r="E4735" s="4">
        <v>0.0</v>
      </c>
      <c r="F4735" s="4" t="str">
        <f>IFERROR(__xludf.DUMMYFUNCTION("GOOGLETRANSLATE(D4735)"),"@czallstarwes 更像是拆除德比？？")</f>
        <v>@czallstarwes 更像是拆除德比？？</v>
      </c>
      <c r="G4735" s="4" t="str">
        <f>IFERROR(__xludf.DUMMYFUNCTION("GOOGLETRANSLATE(B4735)"),"拆除")</f>
        <v>拆除</v>
      </c>
    </row>
    <row r="4736" ht="15.75" customHeight="1">
      <c r="A4736" s="4">
        <v>3380.0</v>
      </c>
      <c r="B4736" s="4" t="s">
        <v>1460</v>
      </c>
      <c r="D4736" s="4" t="s">
        <v>7016</v>
      </c>
      <c r="E4736" s="4">
        <v>0.0</v>
      </c>
      <c r="F4736" s="4" t="str">
        <f>IFERROR(__xludf.DUMMYFUNCTION("GOOGLETRANSLATE(D4736)"),"@Demolition_d 最好的燒烤你 fkn pleb")</f>
        <v>@Demolition_d 最好的燒烤你 fkn pleb</v>
      </c>
      <c r="G4736" s="4" t="str">
        <f>IFERROR(__xludf.DUMMYFUNCTION("GOOGLETRANSLATE(B4736)"),"拆除")</f>
        <v>拆除</v>
      </c>
    </row>
    <row r="4737" ht="15.75" customHeight="1">
      <c r="A4737" s="4">
        <v>3381.0</v>
      </c>
      <c r="B4737" s="4" t="s">
        <v>1460</v>
      </c>
      <c r="C4737" s="4" t="s">
        <v>7017</v>
      </c>
      <c r="D4737" s="4" t="s">
        <v>7018</v>
      </c>
      <c r="E4737" s="4">
        <v>0.0</v>
      </c>
      <c r="F4737" s="4" t="str">
        <f>IFERROR(__xludf.DUMMYFUNCTION("GOOGLETRANSLATE(D4737)"),"在展覽會場的舊 FFA 美食攤位工作的最後機會。上午9點，我們將完成拆除工作。任何幫助，將不勝感激")</f>
        <v>在展覽會場的舊 FFA 美食攤位工作的最後機會。上午9點，我們將完成拆除工作。任何幫助，將不勝感激</v>
      </c>
      <c r="G4737" s="4" t="str">
        <f>IFERROR(__xludf.DUMMYFUNCTION("GOOGLETRANSLATE(B4737)"),"拆除")</f>
        <v>拆除</v>
      </c>
    </row>
    <row r="4738" ht="15.75" customHeight="1">
      <c r="A4738" s="4">
        <v>3383.0</v>
      </c>
      <c r="B4738" s="4" t="s">
        <v>1460</v>
      </c>
      <c r="D4738" s="4" t="s">
        <v>7019</v>
      </c>
      <c r="E4738" s="4">
        <v>0.0</v>
      </c>
      <c r="F4738" s="4" t="str">
        <f>IFERROR(__xludf.DUMMYFUNCTION("GOOGLETRANSLATE(D4738)"),"考慮與朋友一起購買演示車並參加基諾沙的拆除德比")</f>
        <v>考慮與朋友一起購買演示車並參加基諾沙的拆除德比</v>
      </c>
      <c r="G4738" s="4" t="str">
        <f>IFERROR(__xludf.DUMMYFUNCTION("GOOGLETRANSLATE(B4738)"),"拆除")</f>
        <v>拆除</v>
      </c>
    </row>
    <row r="4739" ht="15.75" customHeight="1">
      <c r="A4739" s="4">
        <v>3387.0</v>
      </c>
      <c r="B4739" s="4" t="s">
        <v>1460</v>
      </c>
      <c r="D4739" s="4" t="s">
        <v>7014</v>
      </c>
      <c r="E4739" s="4">
        <v>0.0</v>
      </c>
      <c r="F4739" s="4" t="str">
        <f>IFERROR(__xludf.DUMMYFUNCTION("GOOGLETRANSLATE(D4739)"),"一般新聞“從 Achimota Mile 7 開始拆除水道上的房屋”，來自@233liveOnline。完整故事請上 http://t.co/iO7kUUg1uq")</f>
        <v>一般新聞“從 Achimota Mile 7 開始拆除水道上的房屋”，來自@233liveOnline。完整故事請上 http://t.co/iO7kUUg1uq</v>
      </c>
      <c r="G4739" s="4" t="str">
        <f>IFERROR(__xludf.DUMMYFUNCTION("GOOGLETRANSLATE(B4739)"),"拆除")</f>
        <v>拆除</v>
      </c>
    </row>
    <row r="4740" ht="15.75" customHeight="1">
      <c r="A4740" s="4">
        <v>3388.0</v>
      </c>
      <c r="B4740" s="4" t="s">
        <v>1460</v>
      </c>
      <c r="C4740" s="4" t="s">
        <v>2294</v>
      </c>
      <c r="D4740" s="4" t="s">
        <v>7020</v>
      </c>
      <c r="E4740" s="4">
        <v>0.0</v>
      </c>
      <c r="F4740" s="4" t="str">
        <f>IFERROR(__xludf.DUMMYFUNCTION("GOOGLETRANSLATE(D4740)"),"@MentalHealthGov 就像 AHHhhh 修復 ALEC 制定的國家醫療侵權法和工作補償法，導致我們的 MH 不公正 https://t.co/qEjEDwsFDG")</f>
        <v>@MentalHealthGov 就像 AHHhhh 修復 ALEC 制定的國家醫療侵權法和工作補償法，導致我們的 MH 不公正 https://t.co/qEjEDwsFDG</v>
      </c>
      <c r="G4740" s="4" t="str">
        <f>IFERROR(__xludf.DUMMYFUNCTION("GOOGLETRANSLATE(B4740)"),"拆除")</f>
        <v>拆除</v>
      </c>
    </row>
    <row r="4741" ht="15.75" customHeight="1">
      <c r="A4741" s="4">
        <v>3389.0</v>
      </c>
      <c r="B4741" s="4" t="s">
        <v>1460</v>
      </c>
      <c r="C4741" s="4" t="s">
        <v>7021</v>
      </c>
      <c r="D4741" s="4" t="s">
        <v>7022</v>
      </c>
      <c r="E4741" s="4">
        <v>0.0</v>
      </c>
      <c r="F4741" s="4" t="str">
        <f>IFERROR(__xludf.DUMMYFUNCTION("GOOGLETRANSLATE(D4741)"),"@samajp32 確實需要在舉重室裡調低一些。 RT @SoonerSportsTV：拆除（續）http://t.co/2o7Eva1cOe")</f>
        <v>@samajp32 確實需要在舉重室裡調低一些。 RT @SoonerSportsTV：拆除（續）http://t.co/2o7Eva1cOe</v>
      </c>
      <c r="G4741" s="4" t="str">
        <f>IFERROR(__xludf.DUMMYFUNCTION("GOOGLETRANSLATE(B4741)"),"拆除")</f>
        <v>拆除</v>
      </c>
    </row>
    <row r="4742" ht="15.75" customHeight="1">
      <c r="A4742" s="4">
        <v>3390.0</v>
      </c>
      <c r="B4742" s="4" t="s">
        <v>1460</v>
      </c>
      <c r="C4742" s="4" t="s">
        <v>7023</v>
      </c>
      <c r="D4742" s="4" t="s">
        <v>7024</v>
      </c>
      <c r="E4742" s="4">
        <v>0.0</v>
      </c>
      <c r="F4742" s="4" t="str">
        <f>IFERROR(__xludf.DUMMYFUNCTION("GOOGLETRANSLATE(D4742)"),"進行贈品音樂套件 Dren Death's Head Demolition：http://t.co/fHKhCqPl7j")</f>
        <v>進行贈品音樂套件 Dren Death's Head Demolition：http://t.co/fHKhCqPl7j</v>
      </c>
      <c r="G4742" s="4" t="str">
        <f>IFERROR(__xludf.DUMMYFUNCTION("GOOGLETRANSLATE(B4742)"),"拆除")</f>
        <v>拆除</v>
      </c>
    </row>
    <row r="4743" ht="15.75" customHeight="1">
      <c r="A4743" s="4">
        <v>3393.0</v>
      </c>
      <c r="B4743" s="4" t="s">
        <v>1460</v>
      </c>
      <c r="C4743" s="4" t="s">
        <v>4259</v>
      </c>
      <c r="D4743" s="4" t="s">
        <v>7025</v>
      </c>
      <c r="E4743" s="4">
        <v>0.0</v>
      </c>
      <c r="F4743" s="4" t="str">
        <f>IFERROR(__xludf.DUMMYFUNCTION("GOOGLETRANSLATE(D4743)"),"不要以為他們會粉刷實驗室大樓，因為他們一直在計劃拆除……從那時起。")</f>
        <v>不要以為他們會粉刷實驗室大樓，因為他們一直在計劃拆除……從那時起。</v>
      </c>
      <c r="G4743" s="4" t="str">
        <f>IFERROR(__xludf.DUMMYFUNCTION("GOOGLETRANSLATE(B4743)"),"拆除")</f>
        <v>拆除</v>
      </c>
    </row>
    <row r="4744" ht="15.75" customHeight="1">
      <c r="A4744" s="4">
        <v>3394.0</v>
      </c>
      <c r="B4744" s="4" t="s">
        <v>1460</v>
      </c>
      <c r="C4744" s="4" t="s">
        <v>7026</v>
      </c>
      <c r="D4744" s="4" t="s">
        <v>7027</v>
      </c>
      <c r="E4744" s="4">
        <v>0.0</v>
      </c>
      <c r="F4744" s="4" t="str">
        <f>IFERROR(__xludf.DUMMYFUNCTION("GOOGLETRANSLATE(D4744)"),"@Treyarch @DavidVonderhaar 帶回拆除和總部。")</f>
        <v>@Treyarch @DavidVonderhaar 帶回拆除和總部。</v>
      </c>
      <c r="G4744" s="4" t="str">
        <f>IFERROR(__xludf.DUMMYFUNCTION("GOOGLETRANSLATE(B4744)"),"拆除")</f>
        <v>拆除</v>
      </c>
    </row>
    <row r="4745" ht="15.75" customHeight="1">
      <c r="A4745" s="4">
        <v>3395.0</v>
      </c>
      <c r="B4745" s="4" t="s">
        <v>1460</v>
      </c>
      <c r="C4745" s="4" t="s">
        <v>620</v>
      </c>
      <c r="D4745" s="4" t="s">
        <v>7028</v>
      </c>
      <c r="E4745" s="4">
        <v>0.0</v>
      </c>
      <c r="F4745" s="4" t="str">
        <f>IFERROR(__xludf.DUMMYFUNCTION("GOOGLETRANSLATE(D4745)"),"中國拘留了七名試圖保護教會十字架免遭拆除的基督徒 http://t.co/XuUB2HBlI5 http://t.co/h5EPx2D1ga")</f>
        <v>中國拘留了七名試圖保護教會十字架免遭拆除的基督徒 http://t.co/XuUB2HBlI5 http://t.co/h5EPx2D1ga</v>
      </c>
      <c r="G4745" s="4" t="str">
        <f>IFERROR(__xludf.DUMMYFUNCTION("GOOGLETRANSLATE(B4745)"),"拆除")</f>
        <v>拆除</v>
      </c>
    </row>
    <row r="4746" ht="15.75" customHeight="1">
      <c r="A4746" s="4">
        <v>3396.0</v>
      </c>
      <c r="B4746" s="4" t="s">
        <v>1460</v>
      </c>
      <c r="C4746" s="4" t="s">
        <v>2335</v>
      </c>
      <c r="D4746" s="4" t="s">
        <v>7029</v>
      </c>
      <c r="E4746" s="4">
        <v>0.0</v>
      </c>
      <c r="F4746" s="4" t="str">
        <f>IFERROR(__xludf.DUMMYFUNCTION("GOOGLETRANSLATE(D4746)"),"免遭拆除的「Up」房屋 - http://t.co/4CPNBBBZkzg 將搬到華盛頓州奧卡斯島。")</f>
        <v>免遭拆除的「Up」房屋 - http://t.co/4CPNBBBZkzg 將搬到華盛頓州奧卡斯島。</v>
      </c>
      <c r="G4746" s="4" t="str">
        <f>IFERROR(__xludf.DUMMYFUNCTION("GOOGLETRANSLATE(B4746)"),"拆除")</f>
        <v>拆除</v>
      </c>
    </row>
    <row r="4747" ht="15.75" customHeight="1">
      <c r="A4747" s="4">
        <v>3398.0</v>
      </c>
      <c r="B4747" s="4" t="s">
        <v>1460</v>
      </c>
      <c r="D4747" s="4" t="s">
        <v>7030</v>
      </c>
      <c r="E4747" s="4">
        <v>0.0</v>
      </c>
      <c r="F4747" s="4" t="str">
        <f>IFERROR(__xludf.DUMMYFUNCTION("GOOGLETRANSLATE(D4747)"),"浙江七名基督徒因十字架被拆除引發廣泛憤怒而被拘留 - 自去年以來已拆除了 1200 多個十字架 http://t.co/8PICbkDJM0")</f>
        <v>浙江七名基督徒因十字架被拆除引發廣泛憤怒而被拘留 - 自去年以來已拆除了 1200 多個十字架 http://t.co/8PICbkDJM0</v>
      </c>
      <c r="G4747" s="4" t="str">
        <f>IFERROR(__xludf.DUMMYFUNCTION("GOOGLETRANSLATE(B4747)"),"拆除")</f>
        <v>拆除</v>
      </c>
    </row>
    <row r="4748" ht="15.75" customHeight="1">
      <c r="A4748" s="4">
        <v>3400.0</v>
      </c>
      <c r="B4748" s="4" t="s">
        <v>1460</v>
      </c>
      <c r="C4748" s="4" t="s">
        <v>7031</v>
      </c>
      <c r="D4748" s="4" t="s">
        <v>7032</v>
      </c>
      <c r="E4748" s="4">
        <v>0.0</v>
      </c>
      <c r="F4748" s="4" t="str">
        <f>IFERROR(__xludf.DUMMYFUNCTION("GOOGLETRANSLATE(D4748)"),"聖荷西：Willow Glen Trestle 的拆除工作被推遲，法律鬥爭仍在繼續 http://t.co/t4AXZ7Kc3S")</f>
        <v>聖荷西：Willow Glen Trestle 的拆除工作被推遲，法律鬥爭仍在繼續 http://t.co/t4AXZ7Kc3S</v>
      </c>
      <c r="G4748" s="4" t="str">
        <f>IFERROR(__xludf.DUMMYFUNCTION("GOOGLETRANSLATE(B4748)"),"拆除")</f>
        <v>拆除</v>
      </c>
    </row>
    <row r="4749" ht="15.75" customHeight="1">
      <c r="A4749" s="4">
        <v>3401.0</v>
      </c>
      <c r="B4749" s="4" t="s">
        <v>1460</v>
      </c>
      <c r="D4749" s="4" t="s">
        <v>7033</v>
      </c>
      <c r="E4749" s="4">
        <v>0.0</v>
      </c>
      <c r="F4749" s="4" t="str">
        <f>IFERROR(__xludf.DUMMYFUNCTION("GOOGLETRANSLATE(D4749)"),"坎培拉首個 Mr Fluffy 住宅拆除時間表發布 http://t.co/B77T2QxDCS")</f>
        <v>坎培拉首個 Mr Fluffy 住宅拆除時間表發布 http://t.co/B77T2QxDCS</v>
      </c>
      <c r="G4749" s="4" t="str">
        <f>IFERROR(__xludf.DUMMYFUNCTION("GOOGLETRANSLATE(B4749)"),"拆除")</f>
        <v>拆除</v>
      </c>
    </row>
    <row r="4750" ht="15.75" customHeight="1">
      <c r="A4750" s="4">
        <v>3402.0</v>
      </c>
      <c r="B4750" s="4" t="s">
        <v>1460</v>
      </c>
      <c r="C4750" s="4" t="s">
        <v>7034</v>
      </c>
      <c r="D4750" s="4" t="s">
        <v>7035</v>
      </c>
      <c r="E4750" s="4">
        <v>0.0</v>
      </c>
      <c r="F4750" s="4" t="str">
        <f>IFERROR(__xludf.DUMMYFUNCTION("GOOGLETRANSLATE(D4750)"),"他們如何把他們從一個有趣的主導力量變成一個喬裝的C級名單的拆除者感到羞恥https://t.co/1xSSvGIMvb")</f>
        <v>他們如何把他們從一個有趣的主導力量變成一個喬裝的C級名單的拆除者感到羞恥https://t.co/1xSSvGIMvb</v>
      </c>
      <c r="G4750" s="4" t="str">
        <f>IFERROR(__xludf.DUMMYFUNCTION("GOOGLETRANSLATE(B4750)"),"拆除")</f>
        <v>拆除</v>
      </c>
    </row>
    <row r="4751" ht="15.75" customHeight="1">
      <c r="A4751" s="4">
        <v>3403.0</v>
      </c>
      <c r="B4751" s="4" t="s">
        <v>1472</v>
      </c>
      <c r="C4751" s="4" t="s">
        <v>1477</v>
      </c>
      <c r="D4751" s="4" t="s">
        <v>7036</v>
      </c>
      <c r="E4751" s="4">
        <v>0.0</v>
      </c>
      <c r="F4751" s="4" t="str">
        <f>IFERROR(__xludf.DUMMYFUNCTION("GOOGLETRANSLATE(D4751)"),"@shantaeskyy 總經理！我祈禱敵人2的任何攻擊都會使你的命運脫軌，主和上帝會阻止你的命運。祂用天堂的祝福淹沒你的生活")</f>
        <v>@shantaeskyy 總經理！我祈禱敵人2的任何攻擊都會使你的命運脫軌，主和上帝會阻止你的命運。祂用天堂的祝福淹沒你的生活</v>
      </c>
      <c r="G4751" s="4" t="str">
        <f>IFERROR(__xludf.DUMMYFUNCTION("GOOGLETRANSLATE(B4751)"),"出軌")</f>
        <v>出軌</v>
      </c>
    </row>
    <row r="4752" ht="15.75" customHeight="1">
      <c r="A4752" s="4">
        <v>3405.0</v>
      </c>
      <c r="B4752" s="4" t="s">
        <v>1472</v>
      </c>
      <c r="C4752" s="4" t="s">
        <v>7037</v>
      </c>
      <c r="D4752" s="4" t="s">
        <v>7038</v>
      </c>
      <c r="E4752" s="4">
        <v>0.0</v>
      </c>
      <c r="F4752" s="4" t="str">
        <f>IFERROR(__xludf.DUMMYFUNCTION("GOOGLETRANSLATE(D4752)"),"不要讓#WMATA #Metro 破壞您的一天！每天早上醒來時收到一條短信，告知最佳上班路線：http://t.co/uhl0aKfvSm #sms")</f>
        <v>不要讓#WMATA #Metro 破壞您的一天！每天早上醒來時收到一條短信，告知最佳上班路線：http://t.co/uhl0aKfvSm #sms</v>
      </c>
      <c r="G4752" s="4" t="str">
        <f>IFERROR(__xludf.DUMMYFUNCTION("GOOGLETRANSLATE(B4752)"),"出軌")</f>
        <v>出軌</v>
      </c>
    </row>
    <row r="4753" ht="15.75" customHeight="1">
      <c r="A4753" s="4">
        <v>3406.0</v>
      </c>
      <c r="B4753" s="4" t="s">
        <v>1472</v>
      </c>
      <c r="C4753" s="4" t="s">
        <v>1477</v>
      </c>
      <c r="D4753" s="4" t="s">
        <v>7039</v>
      </c>
      <c r="E4753" s="4">
        <v>0.0</v>
      </c>
      <c r="F4753" s="4" t="str">
        <f>IFERROR(__xludf.DUMMYFUNCTION("GOOGLETRANSLATE(D4753)"),"@ModelBubbles 總經理！我祈禱敵人2的任何攻擊都會使你的命運脫軌，主和上帝會阻止你的命運。祂用天堂的祝福淹沒你的生活")</f>
        <v>@ModelBubbles 總經理！我祈禱敵人2的任何攻擊都會使你的命運脫軌，主和上帝會阻止你的命運。祂用天堂的祝福淹沒你的生活</v>
      </c>
      <c r="G4753" s="4" t="str">
        <f>IFERROR(__xludf.DUMMYFUNCTION("GOOGLETRANSLATE(B4753)"),"出軌")</f>
        <v>出軌</v>
      </c>
    </row>
    <row r="4754" ht="15.75" customHeight="1">
      <c r="A4754" s="4">
        <v>3408.0</v>
      </c>
      <c r="B4754" s="4" t="s">
        <v>1472</v>
      </c>
      <c r="D4754" s="4" t="s">
        <v>7040</v>
      </c>
      <c r="E4754" s="4">
        <v>0.0</v>
      </c>
      <c r="F4754" s="4" t="str">
        <f>IFERROR(__xludf.DUMMYFUNCTION("GOOGLETRANSLATE(D4754)"),"@EmiiliexIrwin 完全同意。她 23 歲了，知道節育是什麼。我並不是說這是真的。想要破壞他們指責粉絲的計畫。")</f>
        <v>@EmiiliexIrwin 完全同意。她 23 歲了，知道節育是什麼。我並不是說這是真的。想要破壞他們指責粉絲的計畫。</v>
      </c>
      <c r="G4754" s="4" t="str">
        <f>IFERROR(__xludf.DUMMYFUNCTION("GOOGLETRANSLATE(B4754)"),"出軌")</f>
        <v>出軌</v>
      </c>
    </row>
    <row r="4755" ht="15.75" customHeight="1">
      <c r="A4755" s="4">
        <v>3410.0</v>
      </c>
      <c r="B4755" s="4" t="s">
        <v>1472</v>
      </c>
      <c r="C4755" s="4" t="s">
        <v>1118</v>
      </c>
      <c r="D4755" s="4" t="s">
        <v>7041</v>
      </c>
      <c r="E4755" s="4">
        <v>0.0</v>
      </c>
      <c r="F4755" s="4" t="str">
        <f>IFERROR(__xludf.DUMMYFUNCTION("GOOGLETRANSLATE(D4755)"),"@BV Bloomberg 將發布任何負面消息，試圖破壞公眾對 #IranDeal 的支持。")</f>
        <v>@BV Bloomberg 將發布任何負面消息，試圖破壞公眾對 #IranDeal 的支持。</v>
      </c>
      <c r="G4755" s="4" t="str">
        <f>IFERROR(__xludf.DUMMYFUNCTION("GOOGLETRANSLATE(B4755)"),"出軌")</f>
        <v>出軌</v>
      </c>
    </row>
    <row r="4756" ht="15.75" customHeight="1">
      <c r="A4756" s="4">
        <v>3411.0</v>
      </c>
      <c r="B4756" s="4" t="s">
        <v>1472</v>
      </c>
      <c r="D4756" s="4" t="s">
        <v>7042</v>
      </c>
      <c r="E4756" s="4">
        <v>0.0</v>
      </c>
      <c r="F4756" s="4" t="str">
        <f>IFERROR(__xludf.DUMMYFUNCTION("GOOGLETRANSLATE(D4756)"),"政府的此類活動不能使我們偏離我們的目標和目標。我們仍然保持和平並為#FreeSikhPoliticalPrisnors 和#FreeSikhPoliticalPrisnors 團結起來。 @bapusuratsingh")</f>
        <v>政府的此類活動不能使我們偏離我們的目標和目標。我們仍然保持和平並為#FreeSikhPoliticalPrisnors 和#FreeSikhPoliticalPrisnors 團結起來。 @bapusuratsingh</v>
      </c>
      <c r="G4756" s="4" t="str">
        <f>IFERROR(__xludf.DUMMYFUNCTION("GOOGLETRANSLATE(B4756)"),"出軌")</f>
        <v>出軌</v>
      </c>
    </row>
    <row r="4757" ht="15.75" customHeight="1">
      <c r="A4757" s="4">
        <v>3418.0</v>
      </c>
      <c r="B4757" s="4" t="s">
        <v>1472</v>
      </c>
      <c r="C4757" s="4" t="s">
        <v>7043</v>
      </c>
      <c r="D4757" s="4" t="s">
        <v>7044</v>
      </c>
      <c r="E4757" s="4">
        <v>0.0</v>
      </c>
      <c r="F4757" s="4" t="str">
        <f>IFERROR(__xludf.DUMMYFUNCTION("GOOGLETRANSLATE(D4757)"),"這就是我們如何知道#AllLivesMatter 人們非常種族主義，只關心破壞必要的對話")</f>
        <v>這就是我們如何知道#AllLivesMatter 人們非常種族主義，只關心破壞必要的對話</v>
      </c>
      <c r="G4757" s="4" t="str">
        <f>IFERROR(__xludf.DUMMYFUNCTION("GOOGLETRANSLATE(B4757)"),"出軌")</f>
        <v>出軌</v>
      </c>
    </row>
    <row r="4758" ht="15.75" customHeight="1">
      <c r="A4758" s="4">
        <v>3421.0</v>
      </c>
      <c r="B4758" s="4" t="s">
        <v>1472</v>
      </c>
      <c r="C4758" s="4" t="s">
        <v>1477</v>
      </c>
      <c r="D4758" s="4" t="s">
        <v>7045</v>
      </c>
      <c r="E4758" s="4">
        <v>0.0</v>
      </c>
      <c r="F4758" s="4" t="str">
        <f>IFERROR(__xludf.DUMMYFUNCTION("GOOGLETRANSLATE(D4758)"),"@TheJenMorillo 總經理！我祈禱敵人2的任何攻擊都會使你的命運脫軌，主和上帝會阻止你的命運。祂用天堂的祝福淹沒你的生活")</f>
        <v>@TheJenMorillo 總經理！我祈禱敵人2的任何攻擊都會使你的命運脫軌，主和上帝會阻止你的命運。祂用天堂的祝福淹沒你的生活</v>
      </c>
      <c r="G4758" s="4" t="str">
        <f>IFERROR(__xludf.DUMMYFUNCTION("GOOGLETRANSLATE(B4758)"),"出軌")</f>
        <v>出軌</v>
      </c>
    </row>
    <row r="4759" ht="15.75" customHeight="1">
      <c r="A4759" s="4">
        <v>3425.0</v>
      </c>
      <c r="B4759" s="4" t="s">
        <v>1472</v>
      </c>
      <c r="C4759" s="4" t="s">
        <v>1477</v>
      </c>
      <c r="D4759" s="4" t="s">
        <v>7046</v>
      </c>
      <c r="E4759" s="4">
        <v>0.0</v>
      </c>
      <c r="F4759" s="4" t="str">
        <f>IFERROR(__xludf.DUMMYFUNCTION("GOOGLETRANSLATE(D4759)"),"@GloriaVelez 總經理！我祈禱敵人2的任何攻擊都會使你的命運脫軌，主和上帝會阻止你的命運。祂用天堂的祝福淹沒你的生活")</f>
        <v>@GloriaVelez 總經理！我祈禱敵人2的任何攻擊都會使你的命運脫軌，主和上帝會阻止你的命運。祂用天堂的祝福淹沒你的生活</v>
      </c>
      <c r="G4759" s="4" t="str">
        <f>IFERROR(__xludf.DUMMYFUNCTION("GOOGLETRANSLATE(B4759)"),"出軌")</f>
        <v>出軌</v>
      </c>
    </row>
    <row r="4760" ht="15.75" customHeight="1">
      <c r="A4760" s="4">
        <v>3428.0</v>
      </c>
      <c r="B4760" s="4" t="s">
        <v>1472</v>
      </c>
      <c r="C4760" s="4" t="s">
        <v>183</v>
      </c>
      <c r="D4760" s="4" t="s">
        <v>7047</v>
      </c>
      <c r="E4760" s="4">
        <v>0.0</v>
      </c>
      <c r="F4760" s="4" t="str">
        <f>IFERROR(__xludf.DUMMYFUNCTION("GOOGLETRANSLATE(D4760)"),"不要讓 #tubestrike 破壞您的心情，下班後到 Pisco 酒吧和我們一起喝一杯吧！ #coya #london http://t.co/ppEKbQDCNc")</f>
        <v>不要讓 #tubestrike 破壞您的心情，下班後到 Pisco 酒吧和我們一起喝一杯吧！ #coya #london http://t.co/ppEKbQDCNc</v>
      </c>
      <c r="G4760" s="4" t="str">
        <f>IFERROR(__xludf.DUMMYFUNCTION("GOOGLETRANSLATE(B4760)"),"出軌")</f>
        <v>出軌</v>
      </c>
    </row>
    <row r="4761" ht="15.75" customHeight="1">
      <c r="A4761" s="4">
        <v>3430.0</v>
      </c>
      <c r="B4761" s="4" t="s">
        <v>1472</v>
      </c>
      <c r="C4761" s="4" t="s">
        <v>2124</v>
      </c>
      <c r="D4761" s="4" t="s">
        <v>7048</v>
      </c>
      <c r="E4761" s="4">
        <v>0.0</v>
      </c>
      <c r="F4761" s="4" t="str">
        <f>IFERROR(__xludf.DUMMYFUNCTION("GOOGLETRANSLATE(D4761)"),"WSJThinkTank：在今晚的 #GOPDebate 之前，ColleenMNelson 解釋了一場糟糕的辯論如何破壞競選活動：Û_ http://t.co/XyxTuACZvb")</f>
        <v>WSJThinkTank：在今晚的 #GOPDebate 之前，ColleenMNelson 解釋了一場糟糕的辯論如何破壞競選活動：Û_ http://t.co/XyxTuACZvb</v>
      </c>
      <c r="G4761" s="4" t="str">
        <f>IFERROR(__xludf.DUMMYFUNCTION("GOOGLETRANSLATE(B4761)"),"出軌")</f>
        <v>出軌</v>
      </c>
    </row>
    <row r="4762" ht="15.75" customHeight="1">
      <c r="A4762" s="4">
        <v>3433.0</v>
      </c>
      <c r="B4762" s="4" t="s">
        <v>1472</v>
      </c>
      <c r="C4762" s="4" t="s">
        <v>7049</v>
      </c>
      <c r="D4762" s="4" t="s">
        <v>7050</v>
      </c>
      <c r="E4762" s="4">
        <v>0.0</v>
      </c>
      <c r="F4762" s="4" t="str">
        <f>IFERROR(__xludf.DUMMYFUNCTION("GOOGLETRANSLATE(D4762)"),"各種問題未能使房屋投標脫軌http://t.co/zhsLl7swBh")</f>
        <v>各種問題未能使房屋投標脫軌http://t.co/zhsLl7swBh</v>
      </c>
      <c r="G4762" s="4" t="str">
        <f>IFERROR(__xludf.DUMMYFUNCTION("GOOGLETRANSLATE(B4762)"),"出軌")</f>
        <v>出軌</v>
      </c>
    </row>
    <row r="4763" ht="15.75" customHeight="1">
      <c r="A4763" s="4">
        <v>3435.0</v>
      </c>
      <c r="B4763" s="4" t="s">
        <v>1472</v>
      </c>
      <c r="C4763" s="4" t="s">
        <v>3292</v>
      </c>
      <c r="D4763" s="4" t="s">
        <v>7051</v>
      </c>
      <c r="E4763" s="4">
        <v>0.0</v>
      </c>
      <c r="F4763" s="4" t="str">
        <f>IFERROR(__xludf.DUMMYFUNCTION("GOOGLETRANSLATE(D4763)"),"收購巨頭出價阻止 Worldpay 價值 60 億英鎊的 IPO SkyåÊNews http://t.co/94GjsKUR0r")</f>
        <v>收購巨頭出價阻止 Worldpay 價值 60 億英鎊的 IPO SkyåÊNews http://t.co/94GjsKUR0r</v>
      </c>
      <c r="G4763" s="4" t="str">
        <f>IFERROR(__xludf.DUMMYFUNCTION("GOOGLETRANSLATE(B4763)"),"出軌")</f>
        <v>出軌</v>
      </c>
    </row>
    <row r="4764" ht="15.75" customHeight="1">
      <c r="A4764" s="4">
        <v>3440.0</v>
      </c>
      <c r="B4764" s="4" t="s">
        <v>1472</v>
      </c>
      <c r="C4764" s="4" t="s">
        <v>7052</v>
      </c>
      <c r="D4764" s="4" t="s">
        <v>7053</v>
      </c>
      <c r="E4764" s="4">
        <v>0.0</v>
      </c>
      <c r="F4764" s="4" t="str">
        <f>IFERROR(__xludf.DUMMYFUNCTION("GOOGLETRANSLATE(D4764)"),"「國會」應更名為義大利貢達黨。他們是一群形形色色的流氓和自稱是騙子的人，決心破壞民主")</f>
        <v>「國會」應更名為義大利貢達黨。他們是一群形形色色的流氓和自稱是騙子的人，決心破壞民主</v>
      </c>
      <c r="G4764" s="4" t="str">
        <f>IFERROR(__xludf.DUMMYFUNCTION("GOOGLETRANSLATE(B4764)"),"出軌")</f>
        <v>出軌</v>
      </c>
    </row>
    <row r="4765" ht="15.75" customHeight="1">
      <c r="A4765" s="4">
        <v>3445.0</v>
      </c>
      <c r="B4765" s="4" t="s">
        <v>1472</v>
      </c>
      <c r="C4765" s="4" t="s">
        <v>1477</v>
      </c>
      <c r="D4765" s="4" t="s">
        <v>7054</v>
      </c>
      <c r="E4765" s="4">
        <v>0.0</v>
      </c>
      <c r="F4765" s="4" t="str">
        <f>IFERROR(__xludf.DUMMYFUNCTION("GOOGLETRANSLATE(D4765)"),"@MzMandiLynn 總經理！我祈禱敵人2的任何攻擊都會使你的命運脫軌，主和上帝會阻止你的命運。祂用天堂的祝福淹沒你的生活")</f>
        <v>@MzMandiLynn 總經理！我祈禱敵人2的任何攻擊都會使你的命運脫軌，主和上帝會阻止你的命運。祂用天堂的祝福淹沒你的生活</v>
      </c>
      <c r="G4765" s="4" t="str">
        <f>IFERROR(__xludf.DUMMYFUNCTION("GOOGLETRANSLATE(B4765)"),"出軌")</f>
        <v>出軌</v>
      </c>
    </row>
    <row r="4766" ht="15.75" customHeight="1">
      <c r="A4766" s="4">
        <v>3447.0</v>
      </c>
      <c r="B4766" s="4" t="s">
        <v>1472</v>
      </c>
      <c r="C4766" s="4" t="s">
        <v>7055</v>
      </c>
      <c r="D4766" s="4" t="s">
        <v>7056</v>
      </c>
      <c r="E4766" s="4">
        <v>0.0</v>
      </c>
      <c r="F4766" s="4" t="str">
        <f>IFERROR(__xludf.DUMMYFUNCTION("GOOGLETRANSLATE(D4766)"),"我厭倦了所有這些#AllLivesMatter 人。他們這樣說只是為了讓#blacklivesmatter 脫軌，他們不會為「所有人的生命」做任何事 lmfao")</f>
        <v>我厭倦了所有這些#AllLivesMatter 人。他們這樣說只是為了讓#blacklivesmatter 脫軌，他們不會為「所有人的生命」做任何事 lmfao</v>
      </c>
      <c r="G4766" s="4" t="str">
        <f>IFERROR(__xludf.DUMMYFUNCTION("GOOGLETRANSLATE(B4766)"),"出軌")</f>
        <v>出軌</v>
      </c>
    </row>
    <row r="4767" ht="15.75" customHeight="1">
      <c r="A4767" s="4">
        <v>3448.0</v>
      </c>
      <c r="B4767" s="4" t="s">
        <v>1472</v>
      </c>
      <c r="C4767" s="4" t="s">
        <v>1118</v>
      </c>
      <c r="D4767" s="4" t="s">
        <v>7057</v>
      </c>
      <c r="E4767" s="4">
        <v>0.0</v>
      </c>
      <c r="F4767" s="4" t="str">
        <f>IFERROR(__xludf.DUMMYFUNCTION("GOOGLETRANSLATE(D4767)"),"@GoP 機構正在加班加點地脫軌#DONZILLA...@realDonaldTrump #Trump2016 https://t.co/XVaOQo4EgR")</f>
        <v>@GoP 機構正在加班加點地脫軌#DONZILLA...@realDonaldTrump #Trump2016 https://t.co/XVaOQo4EgR</v>
      </c>
      <c r="G4767" s="4" t="str">
        <f>IFERROR(__xludf.DUMMYFUNCTION("GOOGLETRANSLATE(B4767)"),"出軌")</f>
        <v>出軌</v>
      </c>
    </row>
    <row r="4768" ht="15.75" customHeight="1">
      <c r="A4768" s="4">
        <v>3450.0</v>
      </c>
      <c r="B4768" s="4" t="s">
        <v>1472</v>
      </c>
      <c r="C4768" s="4" t="s">
        <v>7058</v>
      </c>
      <c r="D4768" s="4" t="s">
        <v>7059</v>
      </c>
      <c r="E4768" s="4">
        <v>0.0</v>
      </c>
      <c r="F4768" s="4" t="str">
        <f>IFERROR(__xludf.DUMMYFUNCTION("GOOGLETRANSLATE(D4768)"),"@realDonaldTrump @rushlimbaugh 這證明民主黨人害怕川普克林頓正試圖透過幹預來破壞川普")</f>
        <v>@realDonaldTrump @rushlimbaugh 這證明民主黨人害怕川普克林頓正試圖透過幹預來破壞川普</v>
      </c>
      <c r="G4768" s="4" t="str">
        <f>IFERROR(__xludf.DUMMYFUNCTION("GOOGLETRANSLATE(B4768)"),"出軌")</f>
        <v>出軌</v>
      </c>
    </row>
    <row r="4769" ht="15.75" customHeight="1">
      <c r="A4769" s="4">
        <v>3460.0</v>
      </c>
      <c r="B4769" s="4" t="s">
        <v>1496</v>
      </c>
      <c r="C4769" s="4" t="s">
        <v>7060</v>
      </c>
      <c r="D4769" s="4" t="s">
        <v>7061</v>
      </c>
      <c r="E4769" s="4">
        <v>0.0</v>
      </c>
      <c r="F4769" s="4" t="str">
        <f>IFERROR(__xludf.DUMMYFUNCTION("GOOGLETRANSLATE(D4769)"),"#阿達尼和#莫迪採礦計畫脫軌！澳洲法院封鎖了印度支持的大型煤礦 http://t.co/SjE59U2nNm 透過 @YahooNews")</f>
        <v>#阿達尼和#莫迪採礦計畫脫軌！澳洲法院封鎖了印度支持的大型煤礦 http://t.co/SjE59U2nNm 透過 @YahooNews</v>
      </c>
      <c r="G4769" s="4" t="str">
        <f>IFERROR(__xludf.DUMMYFUNCTION("GOOGLETRANSLATE(B4769)"),"出軌的")</f>
        <v>出軌的</v>
      </c>
    </row>
    <row r="4770" ht="15.75" customHeight="1">
      <c r="A4770" s="4">
        <v>3464.0</v>
      </c>
      <c r="B4770" s="4" t="s">
        <v>1496</v>
      </c>
      <c r="C4770" s="4" t="s">
        <v>7062</v>
      </c>
      <c r="D4770" s="4" t="s">
        <v>7063</v>
      </c>
      <c r="E4770" s="4">
        <v>0.0</v>
      </c>
      <c r="F4770" s="4" t="str">
        <f>IFERROR(__xludf.DUMMYFUNCTION("GOOGLETRANSLATE(D4770)"),"國民議會到底有什麼用？老實說，它們毫無價值。我們出軌了。")</f>
        <v>國民議會到底有什麼用？老實說，它們毫無價值。我們出軌了。</v>
      </c>
      <c r="G4770" s="4" t="str">
        <f>IFERROR(__xludf.DUMMYFUNCTION("GOOGLETRANSLATE(B4770)"),"出軌的")</f>
        <v>出軌的</v>
      </c>
    </row>
    <row r="4771" ht="15.75" customHeight="1">
      <c r="A4771" s="4">
        <v>3471.0</v>
      </c>
      <c r="B4771" s="4" t="s">
        <v>1496</v>
      </c>
      <c r="C4771" s="4" t="s">
        <v>1205</v>
      </c>
      <c r="D4771" s="4" t="s">
        <v>7064</v>
      </c>
      <c r="E4771" s="4">
        <v>0.0</v>
      </c>
      <c r="F4771" s="4" t="str">
        <f>IFERROR(__xludf.DUMMYFUNCTION("GOOGLETRANSLATE(D4771)"),"《洛杉磯時報》的新插畫：http://t.co/qYn6KxJSTl #illustration #subway")</f>
        <v>《洛杉磯時報》的新插畫：http://t.co/qYn6KxJSTl #illustration #subway</v>
      </c>
      <c r="G4771" s="4" t="str">
        <f>IFERROR(__xludf.DUMMYFUNCTION("GOOGLETRANSLATE(B4771)"),"出軌的")</f>
        <v>出軌的</v>
      </c>
    </row>
    <row r="4772" ht="15.75" customHeight="1">
      <c r="A4772" s="4">
        <v>3472.0</v>
      </c>
      <c r="B4772" s="4" t="s">
        <v>1496</v>
      </c>
      <c r="D4772" s="4" t="s">
        <v>7065</v>
      </c>
      <c r="E4772" s="4">
        <v>0.0</v>
      </c>
      <c r="F4772" s="4" t="str">
        <f>IFERROR(__xludf.DUMMYFUNCTION("GOOGLETRANSLATE(D4772)"),"將一個新的 .doc 命名為“NEWIDEA”，然後回到#writing，這樣就不用再考慮標題了，這真是太自由了。或用推特。")</f>
        <v>將一個新的 .doc 命名為“NEWIDEA”，然後回到#writing，這樣就不用再考慮標題了，這真是太自由了。或用推特。</v>
      </c>
      <c r="G4772" s="4" t="str">
        <f>IFERROR(__xludf.DUMMYFUNCTION("GOOGLETRANSLATE(B4772)"),"出軌的")</f>
        <v>出軌的</v>
      </c>
    </row>
    <row r="4773" ht="15.75" customHeight="1">
      <c r="A4773" s="4">
        <v>3475.0</v>
      </c>
      <c r="B4773" s="4" t="s">
        <v>1496</v>
      </c>
      <c r="C4773" s="4" t="s">
        <v>7066</v>
      </c>
      <c r="D4773" s="4" t="s">
        <v>7067</v>
      </c>
      <c r="E4773" s="4">
        <v>0.0</v>
      </c>
      <c r="F4773" s="4" t="str">
        <f>IFERROR(__xludf.DUMMYFUNCTION("GOOGLETRANSLATE(D4773)"),"#IdentityTheft 是否讓您的#TaxReturn 脫軌？
清理 #IdentityTheft 火車殘骸的 8 個步驟。 #CRI
http://t.co/gxQWD1qZBd")</f>
        <v>#IdentityTheft 是否讓您的#TaxReturn 脫軌？
清理 #IdentityTheft 火車殘骸的 8 個步驟。 #CRI
http://t.co/gxQWD1qZBd</v>
      </c>
      <c r="G4773" s="4" t="str">
        <f>IFERROR(__xludf.DUMMYFUNCTION("GOOGLETRANSLATE(B4773)"),"出軌的")</f>
        <v>出軌的</v>
      </c>
    </row>
    <row r="4774" ht="15.75" customHeight="1">
      <c r="A4774" s="4">
        <v>3481.0</v>
      </c>
      <c r="B4774" s="4" t="s">
        <v>1496</v>
      </c>
      <c r="D4774" s="4" t="s">
        <v>7068</v>
      </c>
      <c r="E4774" s="4">
        <v>0.0</v>
      </c>
      <c r="F4774" s="4" t="str">
        <f>IFERROR(__xludf.DUMMYFUNCTION("GOOGLETRANSLATE(D4774)"),"喔等等，我以為在 LS 會走一條完全不同的路線，但由於必修課中另一個勉強及格的成績而偏離了軌道。極好的。")</f>
        <v>喔等等，我以為在 LS 會走一條完全不同的路線，但由於必修課中另一個勉強及格的成績而偏離了軌道。極好的。</v>
      </c>
      <c r="G4774" s="4" t="str">
        <f>IFERROR(__xludf.DUMMYFUNCTION("GOOGLETRANSLATE(B4774)"),"出軌的")</f>
        <v>出軌的</v>
      </c>
    </row>
    <row r="4775" ht="15.75" customHeight="1">
      <c r="A4775" s="4">
        <v>3483.0</v>
      </c>
      <c r="B4775" s="4" t="s">
        <v>1496</v>
      </c>
      <c r="C4775" s="4" t="s">
        <v>7069</v>
      </c>
      <c r="D4775" s="4" t="s">
        <v>7070</v>
      </c>
      <c r="E4775" s="4">
        <v>0.0</v>
      </c>
      <c r="F4775" s="4" t="str">
        <f>IFERROR(__xludf.DUMMYFUNCTION("GOOGLETRANSLATE(D4775)"),"還剩三集 結局已近")</f>
        <v>還剩三集 結局已近</v>
      </c>
      <c r="G4775" s="4" t="str">
        <f>IFERROR(__xludf.DUMMYFUNCTION("GOOGLETRANSLATE(B4775)"),"出軌的")</f>
        <v>出軌的</v>
      </c>
    </row>
    <row r="4776" ht="15.75" customHeight="1">
      <c r="A4776" s="4">
        <v>3485.0</v>
      </c>
      <c r="B4776" s="4" t="s">
        <v>1496</v>
      </c>
      <c r="C4776" s="4" t="s">
        <v>7071</v>
      </c>
      <c r="D4776" s="4" t="s">
        <v>7072</v>
      </c>
      <c r="E4776" s="4">
        <v>0.0</v>
      </c>
      <c r="F4776" s="4" t="str">
        <f>IFERROR(__xludf.DUMMYFUNCTION("GOOGLETRANSLATE(D4776)"),"@BobbyofHomewood @JOXRoundtable 放棄非體育節目？我不認為 SI Top25 會破壞這一點。")</f>
        <v>@BobbyofHomewood @JOXRoundtable 放棄非體育節目？我不認為 SI Top25 會破壞這一點。</v>
      </c>
      <c r="G4776" s="4" t="str">
        <f>IFERROR(__xludf.DUMMYFUNCTION("GOOGLETRANSLATE(B4776)"),"出軌的")</f>
        <v>出軌的</v>
      </c>
    </row>
    <row r="4777" ht="15.75" customHeight="1">
      <c r="A4777" s="4">
        <v>3490.0</v>
      </c>
      <c r="B4777" s="4" t="s">
        <v>1496</v>
      </c>
      <c r="D4777" s="4" t="s">
        <v>7073</v>
      </c>
      <c r="E4777" s="4">
        <v>0.0</v>
      </c>
      <c r="F4777" s="4" t="str">
        <f>IFERROR(__xludf.DUMMYFUNCTION("GOOGLETRANSLATE(D4777)"),"@Joelsherman1 DW 正在走向比 Chipper 更好的職業生涯，直到 2014 年才脫軌。恥辱。")</f>
        <v>@Joelsherman1 DW 正在走向比 Chipper 更好的職業生涯，直到 2014 年才脫軌。恥辱。</v>
      </c>
      <c r="G4777" s="4" t="str">
        <f>IFERROR(__xludf.DUMMYFUNCTION("GOOGLETRANSLATE(B4777)"),"出軌的")</f>
        <v>出軌的</v>
      </c>
    </row>
    <row r="4778" ht="15.75" customHeight="1">
      <c r="A4778" s="4">
        <v>3492.0</v>
      </c>
      <c r="B4778" s="4" t="s">
        <v>1496</v>
      </c>
      <c r="C4778" s="4" t="s">
        <v>7074</v>
      </c>
      <c r="D4778" s="4" t="s">
        <v>7075</v>
      </c>
      <c r="E4778" s="4">
        <v>0.0</v>
      </c>
      <c r="F4778" s="4" t="str">
        <f>IFERROR(__xludf.DUMMYFUNCTION("GOOGLETRANSLATE(D4778)"),"和我的女兒們一起玩吧！ @ Joe Cools - 德班首頁 https://t.co/AbnZQWlig1")</f>
        <v>和我的女兒們一起玩吧！ @ Joe Cools - 德班首頁 https://t.co/AbnZQWlig1</v>
      </c>
      <c r="G4778" s="4" t="str">
        <f>IFERROR(__xludf.DUMMYFUNCTION("GOOGLETRANSLATE(B4778)"),"出軌的")</f>
        <v>出軌的</v>
      </c>
    </row>
    <row r="4779" ht="15.75" customHeight="1">
      <c r="A4779" s="4">
        <v>3493.0</v>
      </c>
      <c r="B4779" s="4" t="s">
        <v>1496</v>
      </c>
      <c r="C4779" s="4" t="s">
        <v>1019</v>
      </c>
      <c r="D4779" s="4" t="s">
        <v>7076</v>
      </c>
      <c r="E4779" s="4">
        <v>0.0</v>
      </c>
      <c r="F4779" s="4" t="str">
        <f>IFERROR(__xludf.DUMMYFUNCTION("GOOGLETRANSLATE(D4779)"),"#tubestrike 讓你出軌了？我們的 #robertwelch 餐具優惠將讓您重回正軌 http://t.co/bQ8Kyi7Gng http://t.co/GNZwxQktAm")</f>
        <v>#tubestrike 讓你出軌了？我們的 #robertwelch 餐具優惠將讓您重回正軌 http://t.co/bQ8Kyi7Gng http://t.co/GNZwxQktAm</v>
      </c>
      <c r="G4779" s="4" t="str">
        <f>IFERROR(__xludf.DUMMYFUNCTION("GOOGLETRANSLATE(B4779)"),"出軌的")</f>
        <v>出軌的</v>
      </c>
    </row>
    <row r="4780" ht="15.75" customHeight="1">
      <c r="A4780" s="4">
        <v>3499.0</v>
      </c>
      <c r="B4780" s="4" t="s">
        <v>1496</v>
      </c>
      <c r="C4780" s="4" t="s">
        <v>142</v>
      </c>
      <c r="D4780" s="4" t="s">
        <v>7077</v>
      </c>
      <c r="E4780" s="4">
        <v>0.0</v>
      </c>
      <c r="F4780" s="4" t="str">
        <f>IFERROR(__xludf.DUMMYFUNCTION("GOOGLETRANSLATE(D4780)"),"所以 derailed_benchmark 對於路徑來說很酷。我想知道我是否可以運行它來查找分配給 resque 的作業中的洩漏？")</f>
        <v>所以 derailed_benchmark 對於路徑來說很酷。我想知道我是否可以運行它來查找分配給 resque 的作業中的洩漏？</v>
      </c>
      <c r="G4780" s="4" t="str">
        <f>IFERROR(__xludf.DUMMYFUNCTION("GOOGLETRANSLATE(B4780)"),"出軌的")</f>
        <v>出軌的</v>
      </c>
    </row>
    <row r="4781" ht="15.75" customHeight="1">
      <c r="A4781" s="4">
        <v>3555.0</v>
      </c>
      <c r="B4781" s="4" t="s">
        <v>1580</v>
      </c>
      <c r="C4781" s="4" t="s">
        <v>1019</v>
      </c>
      <c r="D4781" s="4" t="s">
        <v>7078</v>
      </c>
      <c r="E4781" s="4">
        <v>0.0</v>
      </c>
      <c r="F4781" s="4" t="str">
        <f>IFERROR(__xludf.DUMMYFUNCTION("GOOGLETRANSLATE(D4781)"),"“我們所感知到的東西就像在永恆的巨大荒涼冰川前閃爍的蠟燭一樣微弱地燃燒”
-吉爾西修女")</f>
        <v>“我們所感知到的東西就像在永恆的巨大荒涼冰川前閃爍的蠟燭一樣微弱地燃燒”
-吉爾西修女</v>
      </c>
      <c r="G4781" s="4" t="str">
        <f>IFERROR(__xludf.DUMMYFUNCTION("GOOGLETRANSLATE(B4781)"),"荒涼")</f>
        <v>荒涼</v>
      </c>
    </row>
    <row r="4782" ht="15.75" customHeight="1">
      <c r="A4782" s="4">
        <v>3557.0</v>
      </c>
      <c r="B4782" s="4" t="s">
        <v>1580</v>
      </c>
      <c r="C4782" s="4" t="s">
        <v>7079</v>
      </c>
      <c r="D4782" s="4" t="s">
        <v>7080</v>
      </c>
      <c r="E4782" s="4">
        <v>0.0</v>
      </c>
      <c r="F4782" s="4" t="str">
        <f>IFERROR(__xludf.DUMMYFUNCTION("GOOGLETRANSLATE(D4782)"),"RT @danielkemp6 電影製片人將《荒涼花園》比喻為《三十九階》和《好牧人》，網址為 http://t.co/fel4QhWyFD")</f>
        <v>RT @danielkemp6 電影製片人將《荒涼花園》比喻為《三十九階》和《好牧人》，網址為 http://t.co/fel4QhWyFD</v>
      </c>
      <c r="G4782" s="4" t="str">
        <f>IFERROR(__xludf.DUMMYFUNCTION("GOOGLETRANSLATE(B4782)"),"荒涼")</f>
        <v>荒涼</v>
      </c>
    </row>
    <row r="4783" ht="15.75" customHeight="1">
      <c r="A4783" s="4">
        <v>3565.0</v>
      </c>
      <c r="B4783" s="4" t="s">
        <v>1580</v>
      </c>
      <c r="D4783" s="4" t="s">
        <v>7081</v>
      </c>
      <c r="E4783" s="4">
        <v>0.0</v>
      </c>
      <c r="F4783" s="4" t="str">
        <f>IFERROR(__xludf.DUMMYFUNCTION("GOOGLETRANSLATE(D4783)"),"曾經荒涼的山谷變成了繁榮的高科技商業中心。")</f>
        <v>曾經荒涼的山谷變成了繁榮的高科技商業中心。</v>
      </c>
      <c r="G4783" s="4" t="str">
        <f>IFERROR(__xludf.DUMMYFUNCTION("GOOGLETRANSLATE(B4783)"),"荒涼")</f>
        <v>荒涼</v>
      </c>
    </row>
    <row r="4784" ht="15.75" customHeight="1">
      <c r="A4784" s="4">
        <v>3566.0</v>
      </c>
      <c r="B4784" s="4" t="s">
        <v>1580</v>
      </c>
      <c r="C4784" s="4" t="s">
        <v>3140</v>
      </c>
      <c r="D4784" s="4" t="s">
        <v>7082</v>
      </c>
      <c r="E4784" s="4">
        <v>0.0</v>
      </c>
      <c r="F4784" s="4" t="str">
        <f>IFERROR(__xludf.DUMMYFUNCTION("GOOGLETRANSLATE(D4784)"),"#OnThisDay 1620 年，五月花號啟航前往新世界。閱讀@LaphamsQuart：http://t.co/ssn1mxSFOA http://t.co/FW8ElbnAP7")</f>
        <v>#OnThisDay 1620 年，五月花號啟航前往新世界。閱讀@LaphamsQuart：http://t.co/ssn1mxSFOA http://t.co/FW8ElbnAP7</v>
      </c>
      <c r="G4784" s="4" t="str">
        <f>IFERROR(__xludf.DUMMYFUNCTION("GOOGLETRANSLATE(B4784)"),"荒涼")</f>
        <v>荒涼</v>
      </c>
    </row>
    <row r="4785" ht="15.75" customHeight="1">
      <c r="A4785" s="4">
        <v>3567.0</v>
      </c>
      <c r="B4785" s="4" t="s">
        <v>1580</v>
      </c>
      <c r="D4785" s="4" t="s">
        <v>7083</v>
      </c>
      <c r="E4785" s="4">
        <v>0.0</v>
      </c>
      <c r="F4785" s="4" t="str">
        <f>IFERROR(__xludf.DUMMYFUNCTION("GOOGLETRANSLATE(D4785)"),"如果《颶風救援》電影發生在印度 2（Vine by @JusReign）https://t.co/hxM8C8e33D")</f>
        <v>如果《颶風救援》電影發生在印度 2（Vine by @JusReign）https://t.co/hxM8C8e33D</v>
      </c>
      <c r="G4785" s="4" t="str">
        <f>IFERROR(__xludf.DUMMYFUNCTION("GOOGLETRANSLATE(B4785)"),"荒涼")</f>
        <v>荒涼</v>
      </c>
    </row>
    <row r="4786" ht="15.75" customHeight="1">
      <c r="A4786" s="4">
        <v>3568.0</v>
      </c>
      <c r="B4786" s="4" t="s">
        <v>1580</v>
      </c>
      <c r="C4786" s="4" t="s">
        <v>7084</v>
      </c>
      <c r="D4786" s="4" t="s">
        <v>7085</v>
      </c>
      <c r="E4786" s="4">
        <v>0.0</v>
      </c>
      <c r="F4786" s="4" t="str">
        <f>IFERROR(__xludf.DUMMYFUNCTION("GOOGLETRANSLATE(D4786)"),"我明白為什麼破產的人會生氣或總是有一種態度現在這並不好玩我不會孤獨太久")</f>
        <v>我明白為什麼破產的人會生氣或總是有一種態度現在這並不好玩我不會孤獨太久</v>
      </c>
      <c r="G4786" s="4" t="str">
        <f>IFERROR(__xludf.DUMMYFUNCTION("GOOGLETRANSLATE(B4786)"),"荒涼")</f>
        <v>荒涼</v>
      </c>
    </row>
    <row r="4787" ht="15.75" customHeight="1">
      <c r="A4787" s="4">
        <v>3569.0</v>
      </c>
      <c r="B4787" s="4" t="s">
        <v>1580</v>
      </c>
      <c r="C4787" s="4" t="s">
        <v>7086</v>
      </c>
      <c r="D4787" s="4" t="s">
        <v>7087</v>
      </c>
      <c r="E4787" s="4">
        <v>0.0</v>
      </c>
      <c r="F4787" s="4" t="str">
        <f>IFERROR(__xludf.DUMMYFUNCTION("GOOGLETRANSLATE(D4787)"),"如果這架從 ATL 飛往舊金山的航班在一個荒涼的方形州墜毀，那就是真正的推特了。")</f>
        <v>如果這架從 ATL 飛往舊金山的航班在一個荒涼的方形州墜毀，那就是真正的推特了。</v>
      </c>
      <c r="G4787" s="4" t="str">
        <f>IFERROR(__xludf.DUMMYFUNCTION("GOOGLETRANSLATE(B4787)"),"荒涼")</f>
        <v>荒涼</v>
      </c>
    </row>
    <row r="4788" ht="15.75" customHeight="1">
      <c r="A4788" s="4">
        <v>3570.0</v>
      </c>
      <c r="B4788" s="4" t="s">
        <v>1580</v>
      </c>
      <c r="C4788" s="4" t="s">
        <v>7088</v>
      </c>
      <c r="D4788" s="4" t="s">
        <v>7089</v>
      </c>
      <c r="E4788" s="4">
        <v>0.0</v>
      </c>
      <c r="F4788" s="4" t="str">
        <f>IFERROR(__xludf.DUMMYFUNCTION("GOOGLETRANSLATE(D4788)"),"新寵：#SoundCloud 上 r3do 的 Desolate 2 https://t.co/HDv3ZirBCi")</f>
        <v>新寵：#SoundCloud 上 r3do 的 Desolate 2 https://t.co/HDv3ZirBCi</v>
      </c>
      <c r="G4788" s="4" t="str">
        <f>IFERROR(__xludf.DUMMYFUNCTION("GOOGLETRANSLATE(B4788)"),"荒涼")</f>
        <v>荒涼</v>
      </c>
    </row>
    <row r="4789" ht="15.75" customHeight="1">
      <c r="A4789" s="4">
        <v>3573.0</v>
      </c>
      <c r="B4789" s="4" t="s">
        <v>1580</v>
      </c>
      <c r="D4789" s="4" t="s">
        <v>7090</v>
      </c>
      <c r="E4789" s="4">
        <v>0.0</v>
      </c>
      <c r="F4789" s="4" t="str">
        <f>IFERROR(__xludf.DUMMYFUNCTION("GOOGLETRANSLATE(D4789)"),"但以理書 12:11 自從除去常獻的祭、設立行毀壞可憎之物的時候")</f>
        <v>但以理書 12:11 自從除去常獻的祭、設立行毀壞可憎之物的時候</v>
      </c>
      <c r="G4789" s="4" t="str">
        <f>IFERROR(__xludf.DUMMYFUNCTION("GOOGLETRANSLATE(B4789)"),"荒涼")</f>
        <v>荒涼</v>
      </c>
    </row>
    <row r="4790" ht="15.75" customHeight="1">
      <c r="A4790" s="4">
        <v>3575.0</v>
      </c>
      <c r="B4790" s="4" t="s">
        <v>1580</v>
      </c>
      <c r="C4790" s="4" t="s">
        <v>1590</v>
      </c>
      <c r="D4790" s="4" t="s">
        <v>7091</v>
      </c>
      <c r="E4790" s="4">
        <v>0.0</v>
      </c>
      <c r="F4790" s="4" t="str">
        <f>IFERROR(__xludf.DUMMYFUNCTION("GOOGLETRANSLATE(D4790)"),"@CorleoneDaBoss 那裡沒有任何東西，因為它的性質是荒涼的。意義在於我們是第一個這樣做的國家")</f>
        <v>@CorleoneDaBoss 那裡沒有任何東西，因為它的性質是荒涼的。意義在於我們是第一個這樣做的國家</v>
      </c>
      <c r="G4790" s="4" t="str">
        <f>IFERROR(__xludf.DUMMYFUNCTION("GOOGLETRANSLATE(B4790)"),"荒涼")</f>
        <v>荒涼</v>
      </c>
    </row>
    <row r="4791" ht="15.75" customHeight="1">
      <c r="A4791" s="4">
        <v>3581.0</v>
      </c>
      <c r="B4791" s="4" t="s">
        <v>1580</v>
      </c>
      <c r="C4791" s="4" t="s">
        <v>5156</v>
      </c>
      <c r="D4791" s="4" t="s">
        <v>7092</v>
      </c>
      <c r="E4791" s="4">
        <v>0.0</v>
      </c>
      <c r="F4791" s="4" t="str">
        <f>IFERROR(__xludf.DUMMYFUNCTION("GOOGLETRANSLATE(D4791)"),"@mallelis 你有沒有參加我們在梅森迪克森線下方的荒涼星球上的戰鬥後的電子小提琴演奏？")</f>
        <v>@mallelis 你有沒有參加我們在梅森迪克森線下方的荒涼星球上的戰鬥後的電子小提琴演奏？</v>
      </c>
      <c r="G4791" s="4" t="str">
        <f>IFERROR(__xludf.DUMMYFUNCTION("GOOGLETRANSLATE(B4791)"),"荒涼")</f>
        <v>荒涼</v>
      </c>
    </row>
    <row r="4792" ht="15.75" customHeight="1">
      <c r="A4792" s="4">
        <v>3583.0</v>
      </c>
      <c r="B4792" s="4" t="s">
        <v>1580</v>
      </c>
      <c r="C4792" s="4" t="s">
        <v>7093</v>
      </c>
      <c r="D4792" s="4" t="s">
        <v>7094</v>
      </c>
      <c r="E4792" s="4">
        <v>0.0</v>
      </c>
      <c r="F4792" s="4" t="str">
        <f>IFERROR(__xludf.DUMMYFUNCTION("GOOGLETRANSLATE(D4792)"),"詩篇 34:22 耶和華救贖祂僕人的性命；凡投靠祂的，必不致荒涼。")</f>
        <v>詩篇 34:22 耶和華救贖祂僕人的性命；凡投靠祂的，必不致荒涼。</v>
      </c>
      <c r="G4792" s="4" t="str">
        <f>IFERROR(__xludf.DUMMYFUNCTION("GOOGLETRANSLATE(B4792)"),"荒涼")</f>
        <v>荒涼</v>
      </c>
    </row>
    <row r="4793" ht="15.75" customHeight="1">
      <c r="A4793" s="4">
        <v>3584.0</v>
      </c>
      <c r="B4793" s="4" t="s">
        <v>1580</v>
      </c>
      <c r="C4793" s="4" t="s">
        <v>7095</v>
      </c>
      <c r="D4793" s="4" t="s">
        <v>7096</v>
      </c>
      <c r="E4793" s="4">
        <v>0.0</v>
      </c>
      <c r="F4793" s="4" t="str">
        <f>IFERROR(__xludf.DUMMYFUNCTION("GOOGLETRANSLATE(D4793)"),"@joshacagan 你現在唯一的選擇就是搬到一個荒涼的小島上，除了一堆你看不了的 DVD 之外什麼都沒有。")</f>
        <v>@joshacagan 你現在唯一的選擇就是搬到一個荒涼的小島上，除了一堆你看不了的 DVD 之外什麼都沒有。</v>
      </c>
      <c r="G4793" s="4" t="str">
        <f>IFERROR(__xludf.DUMMYFUNCTION("GOOGLETRANSLATE(B4793)"),"荒涼")</f>
        <v>荒涼</v>
      </c>
    </row>
    <row r="4794" ht="15.75" customHeight="1">
      <c r="A4794" s="4">
        <v>3585.0</v>
      </c>
      <c r="B4794" s="4" t="s">
        <v>1580</v>
      </c>
      <c r="D4794" s="4" t="s">
        <v>7097</v>
      </c>
      <c r="E4794" s="4">
        <v>0.0</v>
      </c>
      <c r="F4794" s="4" t="str">
        <f>IFERROR(__xludf.DUMMYFUNCTION("GOOGLETRANSLATE(D4794)"),"蛋荒涼")</f>
        <v>蛋荒涼</v>
      </c>
      <c r="G4794" s="4" t="str">
        <f>IFERROR(__xludf.DUMMYFUNCTION("GOOGLETRANSLATE(B4794)"),"荒涼")</f>
        <v>荒涼</v>
      </c>
    </row>
    <row r="4795" ht="15.75" customHeight="1">
      <c r="A4795" s="4">
        <v>3587.0</v>
      </c>
      <c r="B4795" s="4" t="s">
        <v>1580</v>
      </c>
      <c r="C4795" s="4" t="s">
        <v>7098</v>
      </c>
      <c r="D4795" s="4" t="s">
        <v>7099</v>
      </c>
      <c r="E4795" s="4">
        <v>0.0</v>
      </c>
      <c r="F4795" s="4" t="str">
        <f>IFERROR(__xludf.DUMMYFUNCTION("GOOGLETRANSLATE(D4795)"),"@fotofill 看起來很荒涼。世界末日的東西。華麗的。")</f>
        <v>@fotofill 看起來很荒涼。世界末日的東西。華麗的。</v>
      </c>
      <c r="G4795" s="4" t="str">
        <f>IFERROR(__xludf.DUMMYFUNCTION("GOOGLETRANSLATE(B4795)"),"荒涼")</f>
        <v>荒涼</v>
      </c>
    </row>
    <row r="4796" ht="15.75" customHeight="1">
      <c r="A4796" s="4">
        <v>3588.0</v>
      </c>
      <c r="B4796" s="4" t="s">
        <v>1580</v>
      </c>
      <c r="D4796" s="4" t="s">
        <v>7100</v>
      </c>
      <c r="E4796" s="4">
        <v>0.0</v>
      </c>
      <c r="F4796" s="4" t="str">
        <f>IFERROR(__xludf.DUMMYFUNCTION("GOOGLETRANSLATE(D4796)"),"詩篇 34:22 耶和華救贖祂僕人的性命；凡投靠祂的，必不致荒涼。")</f>
        <v>詩篇 34:22 耶和華救贖祂僕人的性命；凡投靠祂的，必不致荒涼。</v>
      </c>
      <c r="G4796" s="4" t="str">
        <f>IFERROR(__xludf.DUMMYFUNCTION("GOOGLETRANSLATE(B4796)"),"荒涼")</f>
        <v>荒涼</v>
      </c>
    </row>
    <row r="4797" ht="15.75" customHeight="1">
      <c r="A4797" s="4">
        <v>3589.0</v>
      </c>
      <c r="B4797" s="4" t="s">
        <v>1580</v>
      </c>
      <c r="C4797" s="4" t="s">
        <v>1586</v>
      </c>
      <c r="D4797" s="4" t="s">
        <v>7101</v>
      </c>
      <c r="E4797" s="4">
        <v>0.0</v>
      </c>
      <c r="F4797" s="4" t="str">
        <f>IFERROR(__xludf.DUMMYFUNCTION("GOOGLETRANSLATE(D4797)"),"@booksbyRoger TY 關注以下內容請訪問http://t.co/l9MB2j5pXg 殘酷虐待+荒涼&amp;amp;迷失+她可愛的媽媽去世了..是謀殺嗎？")</f>
        <v>@booksbyRoger TY 關注以下內容請訪問http://t.co/l9MB2j5pXg 殘酷虐待+荒涼&amp;amp;迷失+她可愛的媽媽去世了..是謀殺嗎？</v>
      </c>
      <c r="G4797" s="4" t="str">
        <f>IFERROR(__xludf.DUMMYFUNCTION("GOOGLETRANSLATE(B4797)"),"荒涼")</f>
        <v>荒涼</v>
      </c>
    </row>
    <row r="4798" ht="15.75" customHeight="1">
      <c r="A4798" s="4">
        <v>3592.0</v>
      </c>
      <c r="B4798" s="4" t="s">
        <v>1580</v>
      </c>
      <c r="D4798" s="4" t="s">
        <v>7102</v>
      </c>
      <c r="E4798" s="4">
        <v>0.0</v>
      </c>
      <c r="F4798" s="4" t="str">
        <f>IFERROR(__xludf.DUMMYFUNCTION("GOOGLETRANSLATE(D4798)"),"1620 年 8 月 5 日，來自英國和荷蘭的一百多名朝聖者啟航前往新大陸。他們不為所動。 http://t.co/pW5DSt9ROz")</f>
        <v>1620 年 8 月 5 日，來自英國和荷蘭的一百多名朝聖者啟航前往新大陸。他們不為所動。 http://t.co/pW5DSt9ROz</v>
      </c>
      <c r="G4798" s="4" t="str">
        <f>IFERROR(__xludf.DUMMYFUNCTION("GOOGLETRANSLATE(B4798)"),"荒涼")</f>
        <v>荒涼</v>
      </c>
    </row>
    <row r="4799" ht="15.75" customHeight="1">
      <c r="A4799" s="4">
        <v>3593.0</v>
      </c>
      <c r="B4799" s="4" t="s">
        <v>1580</v>
      </c>
      <c r="D4799" s="4" t="s">
        <v>7103</v>
      </c>
      <c r="E4799" s="4">
        <v>0.0</v>
      </c>
      <c r="F4799" s="4" t="str">
        <f>IFERROR(__xludf.DUMMYFUNCTION("GOOGLETRANSLATE(D4799)"),"荒涼的希望：第 2 部分：MIRAD：http://t.co/c6lGtOTVSF 來自 @YouTube")</f>
        <v>荒涼的希望：第 2 部分：MIRAD：http://t.co/c6lGtOTVSF 來自 @YouTube</v>
      </c>
      <c r="G4799" s="4" t="str">
        <f>IFERROR(__xludf.DUMMYFUNCTION("GOOGLETRANSLATE(B4799)"),"荒涼")</f>
        <v>荒涼</v>
      </c>
    </row>
    <row r="4800" ht="15.75" customHeight="1">
      <c r="A4800" s="4">
        <v>3594.0</v>
      </c>
      <c r="B4800" s="4" t="s">
        <v>1580</v>
      </c>
      <c r="D4800" s="4" t="s">
        <v>7104</v>
      </c>
      <c r="E4800" s="4">
        <v>0.0</v>
      </c>
      <c r="F4800" s="4" t="str">
        <f>IFERROR(__xludf.DUMMYFUNCTION("GOOGLETRANSLATE(D4800)"),"（使荒涼的可憎之物：敵基督褻瀆耶路撒冷聖殿 - 但 9:27 馬太福音 24:1）")</f>
        <v>（使荒涼的可憎之物：敵基督褻瀆耶路撒冷聖殿 - 但 9:27 馬太福音 24:1）</v>
      </c>
      <c r="G4800" s="4" t="str">
        <f>IFERROR(__xludf.DUMMYFUNCTION("GOOGLETRANSLATE(B4800)"),"荒涼")</f>
        <v>荒涼</v>
      </c>
    </row>
    <row r="4801" ht="15.75" customHeight="1">
      <c r="A4801" s="4">
        <v>3596.0</v>
      </c>
      <c r="B4801" s="4" t="s">
        <v>1580</v>
      </c>
      <c r="C4801" s="4" t="s">
        <v>1676</v>
      </c>
      <c r="D4801" s="4" t="s">
        <v>7105</v>
      </c>
      <c r="E4801" s="4">
        <v>0.0</v>
      </c>
      <c r="F4801" s="4" t="str">
        <f>IFERROR(__xludf.DUMMYFUNCTION("GOOGLETRANSLATE(D4801)"),"為什麼你會感到荒涼？參加測驗：http://t.co/E9yfe3p7P1 http://t.co/8gZbGMMaa1")</f>
        <v>為什麼你會感到荒涼？參加測驗：http://t.co/E9yfe3p7P1 http://t.co/8gZbGMMaa1</v>
      </c>
      <c r="G4801" s="4" t="str">
        <f>IFERROR(__xludf.DUMMYFUNCTION("GOOGLETRANSLATE(B4801)"),"荒涼")</f>
        <v>荒涼</v>
      </c>
    </row>
    <row r="4802" ht="15.75" customHeight="1">
      <c r="A4802" s="4">
        <v>3597.0</v>
      </c>
      <c r="B4802" s="4" t="s">
        <v>1580</v>
      </c>
      <c r="D4802" s="4" t="s">
        <v>7106</v>
      </c>
      <c r="E4802" s="4">
        <v>0.0</v>
      </c>
      <c r="F4802" s="4" t="str">
        <f>IFERROR(__xludf.DUMMYFUNCTION("GOOGLETRANSLATE(D4802)"),"我喜歡 @YouTube 影片 http://t.co/M9YdA5k6jf Spyro 3 紋理黑客 - '荒涼花園' [遊戲內]")</f>
        <v>我喜歡 @YouTube 影片 http://t.co/M9YdA5k6jf Spyro 3 紋理黑客 - '荒涼花園' [遊戲內]</v>
      </c>
      <c r="G4802" s="4" t="str">
        <f>IFERROR(__xludf.DUMMYFUNCTION("GOOGLETRANSLATE(B4802)"),"荒涼")</f>
        <v>荒涼</v>
      </c>
    </row>
    <row r="4803" ht="15.75" customHeight="1">
      <c r="A4803" s="4">
        <v>3603.0</v>
      </c>
      <c r="B4803" s="4" t="s">
        <v>1592</v>
      </c>
      <c r="C4803" s="4" t="s">
        <v>7107</v>
      </c>
      <c r="D4803" s="4" t="s">
        <v>7108</v>
      </c>
      <c r="E4803" s="4">
        <v>0.0</v>
      </c>
      <c r="F4803" s="4" t="str">
        <f>IFERROR(__xludf.DUMMYFUNCTION("GOOGLETRANSLATE(D4803)"),"圖片集：littlebitofbass：silinski：Ed Sheeran 參加《哈比人：史矛革之戰》德國首映... http://t.co/iOsthxLcyv")</f>
        <v>圖片集：littlebitofbass：silinski：Ed Sheeran 參加《哈比人：史矛革之戰》德國首映... http://t.co/iOsthxLcyv</v>
      </c>
      <c r="G4803" s="4" t="str">
        <f>IFERROR(__xludf.DUMMYFUNCTION("GOOGLETRANSLATE(B4803)"),"荒涼")</f>
        <v>荒涼</v>
      </c>
    </row>
    <row r="4804" ht="15.75" customHeight="1">
      <c r="A4804" s="4">
        <v>3604.0</v>
      </c>
      <c r="B4804" s="4" t="s">
        <v>1592</v>
      </c>
      <c r="C4804" s="4" t="s">
        <v>291</v>
      </c>
      <c r="D4804" s="4" t="s">
        <v>7109</v>
      </c>
      <c r="E4804" s="4">
        <v>0.0</v>
      </c>
      <c r="F4804" s="4" t="str">
        <f>IFERROR(__xludf.DUMMYFUNCTION("GOOGLETRANSLATE(D4804)"),"哈比人史矛革瑟蘭迪爾的荒涼 4 英寸比例可動人偶鬆散黑森林 - 完整閱讀Û_ http://t.co/nYeL2BUAro http://t.co/2zGIUpn06T")</f>
        <v>哈比人史矛革瑟蘭迪爾的荒涼 4 英寸比例可動人偶鬆散黑森林 - 完整閱讀Û_ http://t.co/nYeL2BUAro http://t.co/2zGIUpn06T</v>
      </c>
      <c r="G4804" s="4" t="str">
        <f>IFERROR(__xludf.DUMMYFUNCTION("GOOGLETRANSLATE(B4804)"),"荒涼")</f>
        <v>荒涼</v>
      </c>
    </row>
    <row r="4805" ht="15.75" customHeight="1">
      <c r="A4805" s="4">
        <v>3608.0</v>
      </c>
      <c r="B4805" s="4" t="s">
        <v>1592</v>
      </c>
      <c r="C4805" s="4" t="s">
        <v>7110</v>
      </c>
      <c r="D4805" s="4" t="s">
        <v>7111</v>
      </c>
      <c r="E4805" s="4">
        <v>0.0</v>
      </c>
      <c r="F4805" s="4" t="str">
        <f>IFERROR(__xludf.DUMMYFUNCTION("GOOGLETRANSLATE(D4805)"),"我決定從我的情感毀滅中休息一下，看《糾結》，然後看《史矛革》的荒涼")</f>
        <v>我決定從我的情感毀滅中休息一下，看《糾結》，然後看《史矛革》的荒涼</v>
      </c>
      <c r="G4805" s="4" t="str">
        <f>IFERROR(__xludf.DUMMYFUNCTION("GOOGLETRANSLATE(B4805)"),"荒涼")</f>
        <v>荒涼</v>
      </c>
    </row>
    <row r="4806" ht="15.75" customHeight="1">
      <c r="A4806" s="4">
        <v>3609.0</v>
      </c>
      <c r="B4806" s="4" t="s">
        <v>1592</v>
      </c>
      <c r="C4806" s="4" t="s">
        <v>7112</v>
      </c>
      <c r="D4806" s="4" t="s">
        <v>7113</v>
      </c>
      <c r="E4806" s="4">
        <v>0.0</v>
      </c>
      <c r="F4806" s="4" t="str">
        <f>IFERROR(__xludf.DUMMYFUNCTION("GOOGLETRANSLATE(D4806)"),"我評價了《哈比人：荒谷魔戰》(2013) 7/10 #IMDb http://t.co/dJDeWd13wR")</f>
        <v>我評價了《哈比人：荒谷魔戰》(2013) 7/10 #IMDb http://t.co/dJDeWd13wR</v>
      </c>
      <c r="G4806" s="4" t="str">
        <f>IFERROR(__xludf.DUMMYFUNCTION("GOOGLETRANSLATE(B4806)"),"荒涼")</f>
        <v>荒涼</v>
      </c>
    </row>
    <row r="4807" ht="15.75" customHeight="1">
      <c r="A4807" s="4">
        <v>3610.0</v>
      </c>
      <c r="B4807" s="4" t="s">
        <v>1592</v>
      </c>
      <c r="C4807" s="4" t="s">
        <v>2850</v>
      </c>
      <c r="D4807" s="4" t="s">
        <v>7114</v>
      </c>
      <c r="E4807" s="4">
        <v>0.0</v>
      </c>
      <c r="F4807" s="4" t="str">
        <f>IFERROR(__xludf.DUMMYFUNCTION("GOOGLETRANSLATE(D4807)"),"以賽亞書 60:1；詩篇 138:8
 奉耶穌的名，一切反對我升職的陰謀都將被驅散至荒涼。")</f>
        <v>以賽亞書 60:1；詩篇 138:8
 奉耶穌的名，一切反對我升職的陰謀都將被驅散至荒涼。</v>
      </c>
      <c r="G4807" s="4" t="str">
        <f>IFERROR(__xludf.DUMMYFUNCTION("GOOGLETRANSLATE(B4807)"),"荒涼")</f>
        <v>荒涼</v>
      </c>
    </row>
    <row r="4808" ht="15.75" customHeight="1">
      <c r="A4808" s="4">
        <v>3611.0</v>
      </c>
      <c r="B4808" s="4" t="s">
        <v>1592</v>
      </c>
      <c r="D4808" s="4" t="s">
        <v>7115</v>
      </c>
      <c r="E4808" s="4">
        <v>0.0</v>
      </c>
      <c r="F4808" s="4" t="str">
        <f>IFERROR(__xludf.DUMMYFUNCTION("GOOGLETRANSLATE(D4808)"),"RT @FreeDiscountBks：**Desolation Run** #8/7 之前免費！ http://t.co/AxVqldTeHC #Military #Thriller #Suspense #Kindle #amreading http://tÛ_")</f>
        <v>RT @FreeDiscountBks：**Desolation Run** #8/7 之前免費！ http://t.co/AxVqldTeHC #Military #Thriller #Suspense #Kindle #amreading http://tÛ_</v>
      </c>
      <c r="G4808" s="4" t="str">
        <f>IFERROR(__xludf.DUMMYFUNCTION("GOOGLETRANSLATE(B4808)"),"荒涼")</f>
        <v>荒涼</v>
      </c>
    </row>
    <row r="4809" ht="15.75" customHeight="1">
      <c r="A4809" s="4">
        <v>3617.0</v>
      </c>
      <c r="B4809" s="4" t="s">
        <v>1592</v>
      </c>
      <c r="C4809" s="4" t="s">
        <v>7116</v>
      </c>
      <c r="D4809" s="4" t="s">
        <v>7117</v>
      </c>
      <c r="E4809" s="4">
        <v>0.0</v>
      </c>
      <c r="F4809" s="4" t="str">
        <f>IFERROR(__xludf.DUMMYFUNCTION("GOOGLETRANSLATE(D4809)"),"哇！我剛剛免費贏得了《哈比人：荒谷魔戰》UV 數位下載代碼 *GIN 9 http://t.co/MjFdCrjs8j #listia")</f>
        <v>哇！我剛剛免費贏得了《哈比人：荒谷魔戰》UV 數位下載代碼 *GIN 9 http://t.co/MjFdCrjs8j #listia</v>
      </c>
      <c r="G4809" s="4" t="str">
        <f>IFERROR(__xludf.DUMMYFUNCTION("GOOGLETRANSLATE(B4809)"),"荒涼")</f>
        <v>荒涼</v>
      </c>
    </row>
    <row r="4810" ht="15.75" customHeight="1">
      <c r="A4810" s="4">
        <v>3618.0</v>
      </c>
      <c r="B4810" s="4" t="s">
        <v>1592</v>
      </c>
      <c r="C4810" s="4" t="s">
        <v>7118</v>
      </c>
      <c r="D4810" s="4" t="s">
        <v>7119</v>
      </c>
      <c r="E4810" s="4">
        <v>0.0</v>
      </c>
      <c r="F4810" s="4" t="str">
        <f>IFERROR(__xludf.DUMMYFUNCTION("GOOGLETRANSLATE(D4810)"),"看西班牙文版的《史矛革之戰》簡直是一種毒品")</f>
        <v>看西班牙文版的《史矛革之戰》簡直是一種毒品</v>
      </c>
      <c r="G4810" s="4" t="str">
        <f>IFERROR(__xludf.DUMMYFUNCTION("GOOGLETRANSLATE(B4810)"),"荒涼")</f>
        <v>荒涼</v>
      </c>
    </row>
    <row r="4811" ht="15.75" customHeight="1">
      <c r="A4811" s="4">
        <v>3619.0</v>
      </c>
      <c r="B4811" s="4" t="s">
        <v>1592</v>
      </c>
      <c r="C4811" s="4" t="s">
        <v>2433</v>
      </c>
      <c r="D4811" s="4" t="s">
        <v>7120</v>
      </c>
      <c r="E4811" s="4">
        <v>0.0</v>
      </c>
      <c r="F4811" s="4" t="str">
        <f>IFERROR(__xludf.DUMMYFUNCTION("GOOGLETRANSLATE(D4811)"),"約瑟夫斯對安提阿埃皮法尼斯和毀滅可憎者的理解有誤嗎？了解更多：http://t.co/FWj9CcYw6k")</f>
        <v>約瑟夫斯對安提阿埃皮法尼斯和毀滅可憎者的理解有誤嗎？了解更多：http://t.co/FWj9CcYw6k</v>
      </c>
      <c r="G4811" s="4" t="str">
        <f>IFERROR(__xludf.DUMMYFUNCTION("GOOGLETRANSLATE(B4811)"),"荒涼")</f>
        <v>荒涼</v>
      </c>
    </row>
    <row r="4812" ht="15.75" customHeight="1">
      <c r="A4812" s="4">
        <v>3621.0</v>
      </c>
      <c r="B4812" s="4" t="s">
        <v>1592</v>
      </c>
      <c r="C4812" s="4" t="s">
        <v>7121</v>
      </c>
      <c r="D4812" s="4" t="s">
        <v>7122</v>
      </c>
      <c r="E4812" s="4">
        <v>0.0</v>
      </c>
      <c r="F4812" s="4" t="str">
        <f>IFERROR(__xludf.DUMMYFUNCTION("GOOGLETRANSLATE(D4812)"),"空氣中瀰漫著恐懼和驚慌，我要擺脫荒涼和絕望！")</f>
        <v>空氣中瀰漫著恐懼和驚慌，我要擺脫荒涼和絕望！</v>
      </c>
      <c r="G4812" s="4" t="str">
        <f>IFERROR(__xludf.DUMMYFUNCTION("GOOGLETRANSLATE(B4812)"),"荒涼")</f>
        <v>荒涼</v>
      </c>
    </row>
    <row r="4813" ht="15.75" customHeight="1">
      <c r="A4813" s="4">
        <v>3623.0</v>
      </c>
      <c r="B4813" s="4" t="s">
        <v>1592</v>
      </c>
      <c r="D4813" s="4" t="s">
        <v>7123</v>
      </c>
      <c r="E4813" s="4">
        <v>0.0</v>
      </c>
      <c r="F4813" s="4" t="str">
        <f>IFERROR(__xludf.DUMMYFUNCTION("GOOGLETRANSLATE(D4813)"),"免費 Kindle 書 - 8 月 3 日至 7 日 - Thriller - Desolation Run 作者：@jamessnyder22 http://t.co/sgXb6E5Yda")</f>
        <v>免費 Kindle 書 - 8 月 3 日至 7 日 - Thriller - Desolation Run 作者：@jamessnyder22 http://t.co/sgXb6E5Yda</v>
      </c>
      <c r="G4813" s="4" t="str">
        <f>IFERROR(__xludf.DUMMYFUNCTION("GOOGLETRANSLATE(B4813)"),"荒涼")</f>
        <v>荒涼</v>
      </c>
    </row>
    <row r="4814" ht="15.75" customHeight="1">
      <c r="A4814" s="4">
        <v>3626.0</v>
      </c>
      <c r="B4814" s="4" t="s">
        <v>1592</v>
      </c>
      <c r="C4814" s="4" t="s">
        <v>7124</v>
      </c>
      <c r="D4814" s="4" t="s">
        <v>7125</v>
      </c>
      <c r="E4814" s="4">
        <v>0.0</v>
      </c>
      <c r="F4814" s="4" t="str">
        <f>IFERROR(__xludf.DUMMYFUNCTION("GOOGLETRANSLATE(D4814)"),"是的 1:57 | Lamb Of God - Rock Am Ring 2015 - Intro+Desolation HD https://t.co/lEM5Z1NFk3 來自 @YouTube")</f>
        <v>是的 1:57 | Lamb Of God - Rock Am Ring 2015 - Intro+Desolation HD https://t.co/lEM5Z1NFk3 來自 @YouTube</v>
      </c>
      <c r="G4814" s="4" t="str">
        <f>IFERROR(__xludf.DUMMYFUNCTION("GOOGLETRANSLATE(B4814)"),"荒涼")</f>
        <v>荒涼</v>
      </c>
    </row>
    <row r="4815" ht="15.75" customHeight="1">
      <c r="A4815" s="4">
        <v>3627.0</v>
      </c>
      <c r="B4815" s="4" t="s">
        <v>1592</v>
      </c>
      <c r="C4815" s="4" t="s">
        <v>7126</v>
      </c>
      <c r="D4815" s="4" t="s">
        <v>7127</v>
      </c>
      <c r="E4815" s="4">
        <v>0.0</v>
      </c>
      <c r="F4815" s="4" t="str">
        <f>IFERROR(__xludf.DUMMYFUNCTION("GOOGLETRANSLATE(D4815)"),"在荒涼和困難的時期，但以理堅持不懈的祈禱和禁食帶來了天上的力量和上帝的力量 http://t.co/wOx3VpRixQ")</f>
        <v>在荒涼和困難的時期，但以理堅持不懈的祈禱和禁食帶來了天上的力量和上帝的力量 http://t.co/wOx3VpRixQ</v>
      </c>
      <c r="G4815" s="4" t="str">
        <f>IFERROR(__xludf.DUMMYFUNCTION("GOOGLETRANSLATE(B4815)"),"荒涼")</f>
        <v>荒涼</v>
      </c>
    </row>
    <row r="4816" ht="15.75" customHeight="1">
      <c r="A4816" s="4">
        <v>3628.0</v>
      </c>
      <c r="B4816" s="4" t="s">
        <v>1592</v>
      </c>
      <c r="C4816" s="4" t="s">
        <v>215</v>
      </c>
      <c r="D4816" s="4" t="s">
        <v>7128</v>
      </c>
      <c r="E4816" s="4">
        <v>0.0</v>
      </c>
      <c r="F4816" s="4" t="str">
        <f>IFERROR(__xludf.DUMMYFUNCTION("GOOGLETRANSLATE(D4816)"),"@尼科斯塔:(
俄亥俄州有湖嗎？我以為你們擁有的只是赤裸裸的荒涼和地鐵餐廳。")</f>
        <v>@尼科斯塔:(
俄亥俄州有湖嗎？我以為你們擁有的只是赤裸裸的荒涼和地鐵餐廳。</v>
      </c>
      <c r="G4816" s="4" t="str">
        <f>IFERROR(__xludf.DUMMYFUNCTION("GOOGLETRANSLATE(B4816)"),"荒涼")</f>
        <v>荒涼</v>
      </c>
    </row>
    <row r="4817" ht="15.75" customHeight="1">
      <c r="A4817" s="4">
        <v>3629.0</v>
      </c>
      <c r="B4817" s="4" t="s">
        <v>1592</v>
      </c>
      <c r="C4817" s="4" t="s">
        <v>7129</v>
      </c>
      <c r="D4817" s="4" t="s">
        <v>7130</v>
      </c>
      <c r="E4817" s="4">
        <v>0.0</v>
      </c>
      <c r="F4817" s="4" t="str">
        <f>IFERROR(__xludf.DUMMYFUNCTION("GOOGLETRANSLATE(D4817)"),"因為現在我的閱讀能力太好了，不要寄信，不。除非你要從荒涼銀行郵寄它們~")</f>
        <v>因為現在我的閱讀能力太好了，不要寄信，不。除非你要從荒涼銀行郵寄它們~</v>
      </c>
      <c r="G4817" s="4" t="str">
        <f>IFERROR(__xludf.DUMMYFUNCTION("GOOGLETRANSLATE(B4817)"),"荒涼")</f>
        <v>荒涼</v>
      </c>
    </row>
    <row r="4818" ht="15.75" customHeight="1">
      <c r="A4818" s="4">
        <v>3631.0</v>
      </c>
      <c r="B4818" s="4" t="s">
        <v>1592</v>
      </c>
      <c r="C4818" s="4" t="s">
        <v>7131</v>
      </c>
      <c r="D4818" s="4" t="s">
        <v>7132</v>
      </c>
      <c r="E4818" s="4">
        <v>0.0</v>
      </c>
      <c r="F4818" s="4" t="str">
        <f>IFERROR(__xludf.DUMMYFUNCTION("GOOGLETRANSLATE(D4818)"),"我真的很喜歡第一部哈比人電影。我在電影院看了三次。但我看了《史矛革之戰》，也有同樣的感覺——")</f>
        <v>我真的很喜歡第一部哈比人電影。我在電影院看了三次。但我看了《史矛革之戰》，也有同樣的感覺——</v>
      </c>
      <c r="G4818" s="4" t="str">
        <f>IFERROR(__xludf.DUMMYFUNCTION("GOOGLETRANSLATE(B4818)"),"荒涼")</f>
        <v>荒涼</v>
      </c>
    </row>
    <row r="4819" ht="15.75" customHeight="1">
      <c r="A4819" s="4">
        <v>3632.0</v>
      </c>
      <c r="B4819" s="4" t="s">
        <v>1592</v>
      </c>
      <c r="C4819" s="4" t="s">
        <v>7133</v>
      </c>
      <c r="D4819" s="4" t="s">
        <v>7134</v>
      </c>
      <c r="E4819" s="4">
        <v>0.0</v>
      </c>
      <c r="F4819" s="4" t="str">
        <f>IFERROR(__xludf.DUMMYFUNCTION("GOOGLETRANSLATE(D4819)"),"不要害怕突如其來的恐懼，也不要害怕惡人的毀滅臨到。因為主會是你的... http://t.co/bP597YDs2b")</f>
        <v>不要害怕突如其來的恐懼，也不要害怕惡人的毀滅臨到。因為主會是你的... http://t.co/bP597YDs2b</v>
      </c>
      <c r="G4819" s="4" t="str">
        <f>IFERROR(__xludf.DUMMYFUNCTION("GOOGLETRANSLATE(B4819)"),"荒涼")</f>
        <v>荒涼</v>
      </c>
    </row>
    <row r="4820" ht="15.75" customHeight="1">
      <c r="A4820" s="4">
        <v>3633.0</v>
      </c>
      <c r="B4820" s="4" t="s">
        <v>1592</v>
      </c>
      <c r="C4820" s="4" t="s">
        <v>3474</v>
      </c>
      <c r="D4820" s="4" t="s">
        <v>7135</v>
      </c>
      <c r="E4820" s="4">
        <v>0.0</v>
      </c>
      <c r="F4820" s="4" t="str">
        <f>IFERROR(__xludf.DUMMYFUNCTION("GOOGLETRANSLATE(D4820)"),"哈比人：史矛革之戰 - 艾德希蘭「我看見火焰」[高清] http://t.co/OXRwRJZmnu")</f>
        <v>哈比人：史矛革之戰 - 艾德希蘭「我看見火焰」[高清] http://t.co/OXRwRJZmnu</v>
      </c>
      <c r="G4820" s="4" t="str">
        <f>IFERROR(__xludf.DUMMYFUNCTION("GOOGLETRANSLATE(B4820)"),"荒涼")</f>
        <v>荒涼</v>
      </c>
    </row>
    <row r="4821" ht="15.75" customHeight="1">
      <c r="A4821" s="4">
        <v>3634.0</v>
      </c>
      <c r="B4821" s="4" t="s">
        <v>1592</v>
      </c>
      <c r="C4821" s="4" t="s">
        <v>1746</v>
      </c>
      <c r="D4821" s="4" t="s">
        <v>7136</v>
      </c>
      <c r="E4821" s="4">
        <v>0.0</v>
      </c>
      <c r="F4821" s="4" t="str">
        <f>IFERROR(__xludf.DUMMYFUNCTION("GOOGLETRANSLATE(D4821)"),"美麗的荒涼。只有我、幾隻郊狼、一些蜥蜴和早晨的陽光。 #鳳凰城#亞利桑那州 http://t.co/K2tBES65oa")</f>
        <v>美麗的荒涼。只有我、幾隻郊狼、一些蜥蜴和早晨的陽光。 #鳳凰城#亞利桑那州 http://t.co/K2tBES65oa</v>
      </c>
      <c r="G4821" s="4" t="str">
        <f>IFERROR(__xludf.DUMMYFUNCTION("GOOGLETRANSLATE(B4821)"),"荒涼")</f>
        <v>荒涼</v>
      </c>
    </row>
    <row r="4822" ht="15.75" customHeight="1">
      <c r="A4822" s="4">
        <v>3636.0</v>
      </c>
      <c r="B4822" s="4" t="s">
        <v>1592</v>
      </c>
      <c r="C4822" s="4" t="s">
        <v>206</v>
      </c>
      <c r="D4822" s="4" t="s">
        <v>7137</v>
      </c>
      <c r="E4822" s="4">
        <v>0.0</v>
      </c>
      <c r="F4822" s="4" t="str">
        <f>IFERROR(__xludf.DUMMYFUNCTION("GOOGLETRANSLATE(D4822)"),"情緒荒涼酗酒/成癮對家庭的影響 - http://t.co/31tGtLz3YA 寬恕很難 http://t.co/C7rcO2eMwF")</f>
        <v>情緒荒涼酗酒/成癮對家庭的影響 - http://t.co/31tGtLz3YA 寬恕很難 http://t.co/C7rcO2eMwF</v>
      </c>
      <c r="G4822" s="4" t="str">
        <f>IFERROR(__xludf.DUMMYFUNCTION("GOOGLETRANSLATE(B4822)"),"荒涼")</f>
        <v>荒涼</v>
      </c>
    </row>
    <row r="4823" ht="15.75" customHeight="1">
      <c r="A4823" s="4">
        <v>3637.0</v>
      </c>
      <c r="B4823" s="4" t="s">
        <v>1592</v>
      </c>
      <c r="D4823" s="4" t="s">
        <v>7138</v>
      </c>
      <c r="E4823" s="4">
        <v>0.0</v>
      </c>
      <c r="F4823" s="4" t="str">
        <f>IFERROR(__xludf.DUMMYFUNCTION("GOOGLETRANSLATE(D4823)"),"嘿女孩，你一定是《腳趾哈比人：第二部：史矛革之戰》，因為我沒興趣見到你。對不起。")</f>
        <v>嘿女孩，你一定是《腳趾哈比人：第二部：史矛革之戰》，因為我沒興趣見到你。對不起。</v>
      </c>
      <c r="G4823" s="4" t="str">
        <f>IFERROR(__xludf.DUMMYFUNCTION("GOOGLETRANSLATE(B4823)"),"荒涼")</f>
        <v>荒涼</v>
      </c>
    </row>
    <row r="4824" ht="15.75" customHeight="1">
      <c r="A4824" s="4">
        <v>3638.0</v>
      </c>
      <c r="B4824" s="4" t="s">
        <v>1592</v>
      </c>
      <c r="D4824" s="4" t="s">
        <v>7139</v>
      </c>
      <c r="E4824" s="4">
        <v>0.0</v>
      </c>
      <c r="F4824" s="4" t="str">
        <f>IFERROR(__xludf.DUMMYFUNCTION("GOOGLETRANSLATE(D4824)"),"逃離炎熱（和#ORShow），在荒涼環路進行越野跑，您會很高興自己這麼做了 http://t.co/n2ucNzh38P http://t.co/VU8fWYMw5r")</f>
        <v>逃離炎熱（和#ORShow），在荒涼環路進行越野跑，您會很高興自己這麼做了 http://t.co/n2ucNzh38P http://t.co/VU8fWYMw5r</v>
      </c>
      <c r="G4824" s="4" t="str">
        <f>IFERROR(__xludf.DUMMYFUNCTION("GOOGLETRANSLATE(B4824)"),"荒涼")</f>
        <v>荒涼</v>
      </c>
    </row>
    <row r="4825" ht="15.75" customHeight="1">
      <c r="A4825" s="4">
        <v>3639.0</v>
      </c>
      <c r="B4825" s="4" t="s">
        <v>1592</v>
      </c>
      <c r="C4825" s="4" t="s">
        <v>625</v>
      </c>
      <c r="D4825" s="4" t="s">
        <v>7140</v>
      </c>
      <c r="E4825" s="4">
        <v>0.0</v>
      </c>
      <c r="F4825" s="4" t="str">
        <f>IFERROR(__xludf.DUMMYFUNCTION("GOOGLETRANSLATE(D4825)"),"@KaiSeiw 然後還有像我這樣的人，我的整個人都被稱為荒涼")</f>
        <v>@KaiSeiw 然後還有像我這樣的人，我的整個人都被稱為荒涼</v>
      </c>
      <c r="G4825" s="4" t="str">
        <f>IFERROR(__xludf.DUMMYFUNCTION("GOOGLETRANSLATE(B4825)"),"荒涼")</f>
        <v>荒涼</v>
      </c>
    </row>
    <row r="4826" ht="15.75" customHeight="1">
      <c r="A4826" s="4">
        <v>3641.0</v>
      </c>
      <c r="B4826" s="4" t="s">
        <v>1592</v>
      </c>
      <c r="D4826" s="4" t="s">
        <v>7141</v>
      </c>
      <c r="E4826" s="4">
        <v>0.0</v>
      </c>
      <c r="F4826" s="4" t="str">
        <f>IFERROR(__xludf.DUMMYFUNCTION("GOOGLETRANSLATE(D4826)"),"#4：哈比人：史矛革之戰（雙語）http://t.co/G5dO2X6226")</f>
        <v>#4：哈比人：史矛革之戰（雙語）http://t.co/G5dO2X6226</v>
      </c>
      <c r="G4826" s="4" t="str">
        <f>IFERROR(__xludf.DUMMYFUNCTION("GOOGLETRANSLATE(B4826)"),"荒涼")</f>
        <v>荒涼</v>
      </c>
    </row>
    <row r="4827" ht="15.75" customHeight="1">
      <c r="A4827" s="4">
        <v>3642.0</v>
      </c>
      <c r="B4827" s="4" t="s">
        <v>1592</v>
      </c>
      <c r="C4827" s="4" t="s">
        <v>7142</v>
      </c>
      <c r="D4827" s="4" t="s">
        <v>7143</v>
      </c>
      <c r="E4827" s="4">
        <v>0.0</v>
      </c>
      <c r="F4827" s="4" t="str">
        <f>IFERROR(__xludf.DUMMYFUNCTION("GOOGLETRANSLATE(D4827)"),"死亡冬荒也在 Tumblr 上：http://t.co/93DM6gnWwC Al Necro 的評論採訪和採訪更多的！")</f>
        <v>死亡冬荒也在 Tumblr 上：http://t.co/93DM6gnWwC Al Necro 的評論採訪和採訪更多的！</v>
      </c>
      <c r="G4827" s="4" t="str">
        <f>IFERROR(__xludf.DUMMYFUNCTION("GOOGLETRANSLATE(B4827)"),"荒涼")</f>
        <v>荒涼</v>
      </c>
    </row>
    <row r="4828" ht="15.75" customHeight="1">
      <c r="A4828" s="4">
        <v>3643.0</v>
      </c>
      <c r="B4828" s="4" t="s">
        <v>1592</v>
      </c>
      <c r="C4828" s="4" t="s">
        <v>4162</v>
      </c>
      <c r="D4828" s="4" t="s">
        <v>7144</v>
      </c>
      <c r="E4828" s="4">
        <v>0.0</v>
      </c>
      <c r="F4828" s="4" t="str">
        <f>IFERROR(__xludf.DUMMYFUNCTION("GOOGLETRANSLATE(D4828)"),"#NP Agalloch - 荒涼之歌")</f>
        <v>#NP Agalloch - 荒涼之歌</v>
      </c>
      <c r="G4828" s="4" t="str">
        <f>IFERROR(__xludf.DUMMYFUNCTION("GOOGLETRANSLATE(B4828)"),"荒涼")</f>
        <v>荒涼</v>
      </c>
    </row>
    <row r="4829" ht="15.75" customHeight="1">
      <c r="A4829" s="4">
        <v>3645.0</v>
      </c>
      <c r="B4829" s="4" t="s">
        <v>1592</v>
      </c>
      <c r="C4829" s="4" t="s">
        <v>7145</v>
      </c>
      <c r="D4829" s="4" t="s">
        <v>7146</v>
      </c>
      <c r="E4829" s="4">
        <v>0.0</v>
      </c>
      <c r="F4829" s="4" t="str">
        <f>IFERROR(__xludf.DUMMYFUNCTION("GOOGLETRANSLATE(D4829)"),"新圖片和 2 個剪輯《哈比人：荒谷魔戰》-... http://t.co/j6CfwUKofE #cliptv #desolationofsmaug #pictures #thehobbit")</f>
        <v>新圖片和 2 個剪輯《哈比人：荒谷魔戰》-... http://t.co/j6CfwUKofE #cliptv #desolationofsmaug #pictures #thehobbit</v>
      </c>
      <c r="G4829" s="4" t="str">
        <f>IFERROR(__xludf.DUMMYFUNCTION("GOOGLETRANSLATE(B4829)"),"荒涼")</f>
        <v>荒涼</v>
      </c>
    </row>
    <row r="4830" ht="15.75" customHeight="1">
      <c r="A4830" s="4">
        <v>3646.0</v>
      </c>
      <c r="B4830" s="4" t="s">
        <v>1592</v>
      </c>
      <c r="C4830" s="4" t="s">
        <v>3460</v>
      </c>
      <c r="D4830" s="4" t="s">
        <v>7147</v>
      </c>
      <c r="E4830" s="4">
        <v>0.0</v>
      </c>
      <c r="F4830" s="4" t="str">
        <f>IFERROR(__xludf.DUMMYFUNCTION("GOOGLETRANSLATE(D4830)"),"空氣中瀰漫著恐懼與恐慌
我渴望自由
從荒涼和絕望中
我感覺就像我播種的一切？ http://t.co/iXW2cUTk1C")</f>
        <v>空氣中瀰漫著恐懼與恐慌
我渴望自由
從荒涼和絕望中
我感覺就像我播種的一切？ http://t.co/iXW2cUTk1C</v>
      </c>
      <c r="G4830" s="4" t="str">
        <f>IFERROR(__xludf.DUMMYFUNCTION("GOOGLETRANSLATE(B4830)"),"荒涼")</f>
        <v>荒涼</v>
      </c>
    </row>
    <row r="4831" ht="15.75" customHeight="1">
      <c r="A4831" s="4">
        <v>3647.0</v>
      </c>
      <c r="B4831" s="4" t="s">
        <v>1592</v>
      </c>
      <c r="C4831" s="4" t="s">
        <v>7148</v>
      </c>
      <c r="D4831" s="4" t="s">
        <v>7149</v>
      </c>
      <c r="E4831" s="4">
        <v>0.0</v>
      </c>
      <c r="F4831" s="4" t="str">
        <f>IFERROR(__xludf.DUMMYFUNCTION("GOOGLETRANSLATE(D4831)"),"我的化學浪漫 ÛÓ 荒涼行 #np")</f>
        <v>我的化學浪漫 ÛÓ 荒涼行 #np</v>
      </c>
      <c r="G4831" s="4" t="str">
        <f>IFERROR(__xludf.DUMMYFUNCTION("GOOGLETRANSLATE(B4831)"),"荒涼")</f>
        <v>荒涼</v>
      </c>
    </row>
    <row r="4832" ht="15.75" customHeight="1">
      <c r="A4832" s="4">
        <v>3648.0</v>
      </c>
      <c r="B4832" s="4" t="s">
        <v>1606</v>
      </c>
      <c r="C4832" s="4" t="s">
        <v>434</v>
      </c>
      <c r="D4832" s="4" t="s">
        <v>7150</v>
      </c>
      <c r="E4832" s="4">
        <v>0.0</v>
      </c>
      <c r="F4832" s="4" t="str">
        <f>IFERROR(__xludf.DUMMYFUNCTION("GOOGLETRANSLATE(D4832)"),"普丁大規模銷毀西方食品的計畫引起了公眾的強烈反對 http://t.co/FAJbxz5kar")</f>
        <v>普丁大規模銷毀西方食品的計畫引起了公眾的強烈反對 http://t.co/FAJbxz5kar</v>
      </c>
      <c r="G4832" s="4" t="str">
        <f>IFERROR(__xludf.DUMMYFUNCTION("GOOGLETRANSLATE(B4832)"),"破壞")</f>
        <v>破壞</v>
      </c>
    </row>
    <row r="4833" ht="15.75" customHeight="1">
      <c r="A4833" s="4">
        <v>3652.0</v>
      </c>
      <c r="B4833" s="4" t="s">
        <v>1606</v>
      </c>
      <c r="C4833" s="4" t="s">
        <v>3871</v>
      </c>
      <c r="D4833" s="4" t="s">
        <v>7151</v>
      </c>
      <c r="E4833" s="4">
        <v>0.0</v>
      </c>
      <c r="F4833" s="4" t="str">
        <f>IFERROR(__xludf.DUMMYFUNCTION("GOOGLETRANSLATE(D4833)"),"陰謀
未來，極權政府將僱用一支名為「消防員」的力量來尋找並銷毀所有文學作品 https://t.co/DRfKarLz1d")</f>
        <v>陰謀
未來，極權政府將僱用一支名為「消防員」的力量來尋找並銷毀所有文學作品 https://t.co/DRfKarLz1d</v>
      </c>
      <c r="G4833" s="4" t="str">
        <f>IFERROR(__xludf.DUMMYFUNCTION("GOOGLETRANSLATE(B4833)"),"破壞")</f>
        <v>破壞</v>
      </c>
    </row>
    <row r="4834" ht="15.75" customHeight="1">
      <c r="A4834" s="4">
        <v>3653.0</v>
      </c>
      <c r="B4834" s="4" t="s">
        <v>1606</v>
      </c>
      <c r="C4834" s="4" t="s">
        <v>7152</v>
      </c>
      <c r="D4834" s="4" t="s">
        <v>7153</v>
      </c>
      <c r="E4834" s="4">
        <v>0.0</v>
      </c>
      <c r="F4834" s="4" t="str">
        <f>IFERROR(__xludf.DUMMYFUNCTION("GOOGLETRANSLATE(D4834)"),"告訴他 Rebahe 會毀了自己 @Zenande_Mcfen @NDzedze #Ashes2Ashes")</f>
        <v>告訴他 Rebahe 會毀了自己 @Zenande_Mcfen @NDzedze #Ashes2Ashes</v>
      </c>
      <c r="G4834" s="4" t="str">
        <f>IFERROR(__xludf.DUMMYFUNCTION("GOOGLETRANSLATE(B4834)"),"破壞")</f>
        <v>破壞</v>
      </c>
    </row>
    <row r="4835" ht="15.75" customHeight="1">
      <c r="A4835" s="4">
        <v>3655.0</v>
      </c>
      <c r="B4835" s="4" t="s">
        <v>1606</v>
      </c>
      <c r="C4835" s="4" t="s">
        <v>2898</v>
      </c>
      <c r="D4835" s="4" t="s">
        <v>7154</v>
      </c>
      <c r="E4835" s="4">
        <v>0.0</v>
      </c>
      <c r="F4835" s="4" t="str">
        <f>IFERROR(__xludf.DUMMYFUNCTION("GOOGLETRANSLATE(D4835)"),"銀河認為他能打敗我？有了我的 L-Drago Destroy，他就做不到！")</f>
        <v>銀河認為他能打敗我？有了我的 L-Drago Destroy，他就做不到！</v>
      </c>
      <c r="G4835" s="4" t="str">
        <f>IFERROR(__xludf.DUMMYFUNCTION("GOOGLETRANSLATE(B4835)"),"破壞")</f>
        <v>破壞</v>
      </c>
    </row>
    <row r="4836" ht="15.75" customHeight="1">
      <c r="A4836" s="4">
        <v>3656.0</v>
      </c>
      <c r="B4836" s="4" t="s">
        <v>1606</v>
      </c>
      <c r="C4836" s="4" t="s">
        <v>7155</v>
      </c>
      <c r="D4836" s="4" t="s">
        <v>7156</v>
      </c>
      <c r="E4836" s="4">
        <v>0.0</v>
      </c>
      <c r="F4836" s="4" t="str">
        <f>IFERROR(__xludf.DUMMYFUNCTION("GOOGLETRANSLATE(D4836)"),"《黑色行動 3》搜尋並摧毀遊戲！ （Hunted SnD 競技多人遊戲）：http://t.co/ss1zL36y9V 來自 @YouTube")</f>
        <v>《黑色行動 3》搜尋並摧毀遊戲！ （Hunted SnD 競技多人遊戲）：http://t.co/ss1zL36y9V 來自 @YouTube</v>
      </c>
      <c r="G4836" s="4" t="str">
        <f>IFERROR(__xludf.DUMMYFUNCTION("GOOGLETRANSLATE(B4836)"),"破壞")</f>
        <v>破壞</v>
      </c>
    </row>
    <row r="4837" ht="15.75" customHeight="1">
      <c r="A4837" s="4">
        <v>3657.0</v>
      </c>
      <c r="B4837" s="4" t="s">
        <v>1606</v>
      </c>
      <c r="C4837" s="4" t="s">
        <v>620</v>
      </c>
      <c r="D4837" s="4" t="s">
        <v>7157</v>
      </c>
      <c r="E4837" s="4">
        <v>0.0</v>
      </c>
      <c r="F4837" s="4" t="str">
        <f>IFERROR(__xludf.DUMMYFUNCTION("GOOGLETRANSLATE(D4837)"),"如果共和黨想摧毀美國，那麼歐巴馬就被削弱了，我應該被制度化或因誹謗而被起訴。 https://t.co/Z9Zj3KxwYU")</f>
        <v>如果共和黨想摧毀美國，那麼歐巴馬就被削弱了，我應該被制度化或因誹謗而被起訴。 https://t.co/Z9Zj3KxwYU</v>
      </c>
      <c r="G4837" s="4" t="str">
        <f>IFERROR(__xludf.DUMMYFUNCTION("GOOGLETRANSLATE(B4837)"),"破壞")</f>
        <v>破壞</v>
      </c>
    </row>
    <row r="4838" ht="15.75" customHeight="1">
      <c r="A4838" s="4">
        <v>3658.0</v>
      </c>
      <c r="B4838" s="4" t="s">
        <v>1606</v>
      </c>
      <c r="C4838" s="4" t="s">
        <v>7158</v>
      </c>
      <c r="D4838" s="4" t="s">
        <v>7159</v>
      </c>
      <c r="E4838" s="4">
        <v>0.0</v>
      </c>
      <c r="F4838" s="4" t="str">
        <f>IFERROR(__xludf.DUMMYFUNCTION("GOOGLETRANSLATE(D4838)"),"如果 Shantae 不參加 Smash，我就會毀掉我的 Wii U。
#ShantaeForSmash #Shantae #ShantaeHalfGenieHero #Nintendo http://t.co/ZztbVjYPN1")</f>
        <v>如果 Shantae 不參加 Smash，我就會毀掉我的 Wii U。
#ShantaeForSmash #Shantae #ShantaeHalfGenieHero #Nintendo http://t.co/ZztbVjYPN1</v>
      </c>
      <c r="G4838" s="4" t="str">
        <f>IFERROR(__xludf.DUMMYFUNCTION("GOOGLETRANSLATE(B4838)"),"破壞")</f>
        <v>破壞</v>
      </c>
    </row>
    <row r="4839" ht="15.75" customHeight="1">
      <c r="A4839" s="4">
        <v>3659.0</v>
      </c>
      <c r="B4839" s="4" t="s">
        <v>1606</v>
      </c>
      <c r="D4839" s="4" t="s">
        <v>7160</v>
      </c>
      <c r="E4839" s="4">
        <v>0.0</v>
      </c>
      <c r="F4839" s="4" t="str">
        <f>IFERROR(__xludf.DUMMYFUNCTION("GOOGLETRANSLATE(D4839)"),"ng2x5 mhtw4fnet
觀看邁克爾喬丹徹底摧毀這個迷因誘餌露營車 - FOXSportscom")</f>
        <v>ng2x5 mhtw4fnet
觀看邁克爾喬丹徹底摧毀這個迷因誘餌露營車 - FOXSportscom</v>
      </c>
      <c r="G4839" s="4" t="str">
        <f>IFERROR(__xludf.DUMMYFUNCTION("GOOGLETRANSLATE(B4839)"),"破壞")</f>
        <v>破壞</v>
      </c>
    </row>
    <row r="4840" ht="15.75" customHeight="1">
      <c r="A4840" s="4">
        <v>3661.0</v>
      </c>
      <c r="B4840" s="4" t="s">
        <v>1606</v>
      </c>
      <c r="D4840" s="4" t="s">
        <v>7161</v>
      </c>
      <c r="E4840" s="4">
        <v>0.0</v>
      </c>
      <c r="F4840" s="4" t="str">
        <f>IFERROR(__xludf.DUMMYFUNCTION("GOOGLETRANSLATE(D4840)"),"@RaidersReporter @957thegame 我們一起可以摧毀皇帝並統治銀河父子！")</f>
        <v>@RaidersReporter @957thegame 我們一起可以摧毀皇帝並統治銀河父子！</v>
      </c>
      <c r="G4840" s="4" t="str">
        <f>IFERROR(__xludf.DUMMYFUNCTION("GOOGLETRANSLATE(B4840)"),"破壞")</f>
        <v>破壞</v>
      </c>
    </row>
    <row r="4841" ht="15.75" customHeight="1">
      <c r="A4841" s="4">
        <v>3666.0</v>
      </c>
      <c r="B4841" s="4" t="s">
        <v>1606</v>
      </c>
      <c r="C4841" s="4" t="s">
        <v>89</v>
      </c>
      <c r="D4841" s="4" t="s">
        <v>7162</v>
      </c>
      <c r="E4841" s="4">
        <v>0.0</v>
      </c>
      <c r="F4841" s="4" t="str">
        <f>IFERROR(__xludf.DUMMYFUNCTION("GOOGLETRANSLATE(D4841)"),"#YIAYplan 使用我很棒的 Amiibo 收藏來摧毀我路上的一切。")</f>
        <v>#YIAYplan 使用我很棒的 Amiibo 收藏來摧毀我路上的一切。</v>
      </c>
      <c r="G4841" s="4" t="str">
        <f>IFERROR(__xludf.DUMMYFUNCTION("GOOGLETRANSLATE(B4841)"),"破壞")</f>
        <v>破壞</v>
      </c>
    </row>
    <row r="4842" ht="15.75" customHeight="1">
      <c r="A4842" s="4">
        <v>3667.0</v>
      </c>
      <c r="B4842" s="4" t="s">
        <v>1606</v>
      </c>
      <c r="D4842" s="4" t="s">
        <v>7163</v>
      </c>
      <c r="E4842" s="4">
        <v>0.0</v>
      </c>
      <c r="F4842" s="4" t="str">
        <f>IFERROR(__xludf.DUMMYFUNCTION("GOOGLETRANSLATE(D4842)"),"在 Boylesports Casino 註冊即可獲得 150 英鎊免費投注 #Luck #Destroy http://t.co/zildpvKNXP http://t.co/5yDb4s13pF")</f>
        <v>在 Boylesports Casino 註冊即可獲得 150 英鎊免費投注 #Luck #Destroy http://t.co/zildpvKNXP http://t.co/5yDb4s13pF</v>
      </c>
      <c r="G4842" s="4" t="str">
        <f>IFERROR(__xludf.DUMMYFUNCTION("GOOGLETRANSLATE(B4842)"),"破壞")</f>
        <v>破壞</v>
      </c>
    </row>
    <row r="4843" ht="15.75" customHeight="1">
      <c r="A4843" s="4">
        <v>3669.0</v>
      </c>
      <c r="B4843" s="4" t="s">
        <v>1606</v>
      </c>
      <c r="C4843" s="4" t="s">
        <v>7164</v>
      </c>
      <c r="D4843" s="4" t="s">
        <v>7165</v>
      </c>
      <c r="E4843" s="4">
        <v>0.0</v>
      </c>
      <c r="F4843" s="4" t="str">
        <f>IFERROR(__xludf.DUMMYFUNCTION("GOOGLETRANSLATE(D4843)"),"@Petchary，但我不能說我們任何一個人都應該感到不高興。美國上升 5 位 牙買加 21！恭喜#ReggaeBoyz")</f>
        <v>@Petchary，但我不能說我們任何一個人都應該感到不高興。美國上升 5 位 牙買加 21！恭喜#ReggaeBoyz</v>
      </c>
      <c r="G4843" s="4" t="str">
        <f>IFERROR(__xludf.DUMMYFUNCTION("GOOGLETRANSLATE(B4843)"),"破壞")</f>
        <v>破壞</v>
      </c>
    </row>
    <row r="4844" ht="15.75" customHeight="1">
      <c r="A4844" s="4">
        <v>3670.0</v>
      </c>
      <c r="B4844" s="4" t="s">
        <v>1606</v>
      </c>
      <c r="D4844" s="4" t="s">
        <v>7166</v>
      </c>
      <c r="E4844" s="4">
        <v>0.0</v>
      </c>
      <c r="F4844" s="4" t="str">
        <f>IFERROR(__xludf.DUMMYFUNCTION("GOOGLETRANSLATE(D4844)"),"@CameronCiletti @tigersjostun 我可以摧毀你")</f>
        <v>@CameronCiletti @tigersjostun 我可以摧毀你</v>
      </c>
      <c r="G4844" s="4" t="str">
        <f>IFERROR(__xludf.DUMMYFUNCTION("GOOGLETRANSLATE(B4844)"),"破壞")</f>
        <v>破壞</v>
      </c>
    </row>
    <row r="4845" ht="15.75" customHeight="1">
      <c r="A4845" s="4">
        <v>3674.0</v>
      </c>
      <c r="B4845" s="4" t="s">
        <v>1606</v>
      </c>
      <c r="C4845" s="4" t="s">
        <v>7167</v>
      </c>
      <c r="D4845" s="4" t="s">
        <v>7168</v>
      </c>
      <c r="E4845" s="4">
        <v>0.0</v>
      </c>
      <c r="F4845" s="4" t="str">
        <f>IFERROR(__xludf.DUMMYFUNCTION("GOOGLETRANSLATE(D4845)"),"《Wow Crackdown 3》在多人遊戲中使用多個伺服器？！？！你可以摧毀整棟建築物嗎？！？！ #警察")</f>
        <v>《Wow Crackdown 3》在多人遊戲中使用多個伺服器？！？！你可以摧毀整棟建築物嗎？！？！ #警察</v>
      </c>
      <c r="G4845" s="4" t="str">
        <f>IFERROR(__xludf.DUMMYFUNCTION("GOOGLETRANSLATE(B4845)"),"破壞")</f>
        <v>破壞</v>
      </c>
    </row>
    <row r="4846" ht="15.75" customHeight="1">
      <c r="A4846" s="4">
        <v>3675.0</v>
      </c>
      <c r="B4846" s="4" t="s">
        <v>1606</v>
      </c>
      <c r="D4846" s="4" t="s">
        <v>7169</v>
      </c>
      <c r="E4846" s="4">
        <v>0.0</v>
      </c>
      <c r="F4846" s="4" t="str">
        <f>IFERROR(__xludf.DUMMYFUNCTION("GOOGLETRANSLATE(D4846)"),"在 BWIN 獲得 50 歐元免費投注，可用於所有體育市場 #Destroy #Free http://t.co/SiKkg0FPhR http://t.co/JFyfZDdLrN")</f>
        <v>在 BWIN 獲得 50 歐元免費投注，可用於所有體育市場 #Destroy #Free http://t.co/SiKkg0FPhR http://t.co/JFyfZDdLrN</v>
      </c>
      <c r="G4846" s="4" t="str">
        <f>IFERROR(__xludf.DUMMYFUNCTION("GOOGLETRANSLATE(B4846)"),"破壞")</f>
        <v>破壞</v>
      </c>
    </row>
    <row r="4847" ht="15.75" customHeight="1">
      <c r="A4847" s="4">
        <v>3680.0</v>
      </c>
      <c r="B4847" s="4" t="s">
        <v>1606</v>
      </c>
      <c r="D4847" s="4" t="s">
        <v>7170</v>
      </c>
      <c r="E4847" s="4">
        <v>0.0</v>
      </c>
      <c r="F4847" s="4" t="str">
        <f>IFERROR(__xludf.DUMMYFUNCTION("GOOGLETRANSLATE(D4847)"),"不要讓別人讓你失望，無論他們多努力。 #beconfident 不要讓別人用你的弱點摧毀你！")</f>
        <v>不要讓別人讓你失望，無論他們多努力。 #beconfident 不要讓別人用你的弱點摧毀你！</v>
      </c>
      <c r="G4847" s="4" t="str">
        <f>IFERROR(__xludf.DUMMYFUNCTION("GOOGLETRANSLATE(B4847)"),"破壞")</f>
        <v>破壞</v>
      </c>
    </row>
    <row r="4848" ht="15.75" customHeight="1">
      <c r="A4848" s="4">
        <v>3681.0</v>
      </c>
      <c r="B4848" s="4" t="s">
        <v>1606</v>
      </c>
      <c r="D4848" s="4" t="s">
        <v>7171</v>
      </c>
      <c r="E4848" s="4">
        <v>0.0</v>
      </c>
      <c r="F4848" s="4" t="str">
        <f>IFERROR(__xludf.DUMMYFUNCTION("GOOGLETRANSLATE(D4848)"),"讓我們用 @fouseyTUBE 摧毀 Twitter @zaynmalik 來吧 BrBrS 讓我們早上和 fousey 一起摧毀 Twitter")</f>
        <v>讓我們用 @fouseyTUBE 摧毀 Twitter @zaynmalik 來吧 BrBrS 讓我們早上和 fousey 一起摧毀 Twitter</v>
      </c>
      <c r="G4848" s="4" t="str">
        <f>IFERROR(__xludf.DUMMYFUNCTION("GOOGLETRANSLATE(B4848)"),"破壞")</f>
        <v>破壞</v>
      </c>
    </row>
    <row r="4849" ht="15.75" customHeight="1">
      <c r="A4849" s="4">
        <v>3682.0</v>
      </c>
      <c r="B4849" s="4" t="s">
        <v>1606</v>
      </c>
      <c r="D4849" s="4" t="s">
        <v>7172</v>
      </c>
      <c r="E4849" s="4">
        <v>0.0</v>
      </c>
      <c r="F4849" s="4" t="str">
        <f>IFERROR(__xludf.DUMMYFUNCTION("GOOGLETRANSLATE(D4849)"),"我和我所有的朋友可以在 2 小時內毀掉這個 lmao https://t.co/waCtT18gdA")</f>
        <v>我和我所有的朋友可以在 2 小時內毀掉這個 lmao https://t.co/waCtT18gdA</v>
      </c>
      <c r="G4849" s="4" t="str">
        <f>IFERROR(__xludf.DUMMYFUNCTION("GOOGLETRANSLATE(B4849)"),"破壞")</f>
        <v>破壞</v>
      </c>
    </row>
    <row r="4850" ht="15.75" customHeight="1">
      <c r="A4850" s="4">
        <v>3683.0</v>
      </c>
      <c r="B4850" s="4" t="s">
        <v>1606</v>
      </c>
      <c r="C4850" s="4" t="s">
        <v>2145</v>
      </c>
      <c r="D4850" s="4" t="s">
        <v>7173</v>
      </c>
      <c r="E4850" s="4">
        <v>0.0</v>
      </c>
      <c r="F4850" s="4" t="str">
        <f>IFERROR(__xludf.DUMMYFUNCTION("GOOGLETRANSLATE(D4850)"),"產業試圖摧毀@MeekMill，因為他揭露了他們的搖錢樹...")</f>
        <v>產業試圖摧毀@MeekMill，因為他揭露了他們的搖錢樹...</v>
      </c>
      <c r="G4850" s="4" t="str">
        <f>IFERROR(__xludf.DUMMYFUNCTION("GOOGLETRANSLATE(B4850)"),"破壞")</f>
        <v>破壞</v>
      </c>
    </row>
    <row r="4851" ht="15.75" customHeight="1">
      <c r="A4851" s="4">
        <v>3685.0</v>
      </c>
      <c r="B4851" s="4" t="s">
        <v>1606</v>
      </c>
      <c r="C4851" s="4" t="s">
        <v>7174</v>
      </c>
      <c r="D4851" s="4" t="s">
        <v>7175</v>
      </c>
      <c r="E4851" s="4">
        <v>0.0</v>
      </c>
      <c r="F4851" s="4" t="str">
        <f>IFERROR(__xludf.DUMMYFUNCTION("GOOGLETRANSLATE(D4851)"),"毀掉房子")</f>
        <v>毀掉房子</v>
      </c>
      <c r="G4851" s="4" t="str">
        <f>IFERROR(__xludf.DUMMYFUNCTION("GOOGLETRANSLATE(B4851)"),"破壞")</f>
        <v>破壞</v>
      </c>
    </row>
    <row r="4852" ht="15.75" customHeight="1">
      <c r="A4852" s="4">
        <v>3686.0</v>
      </c>
      <c r="B4852" s="4" t="s">
        <v>1606</v>
      </c>
      <c r="C4852" s="4" t="s">
        <v>7176</v>
      </c>
      <c r="D4852" s="4" t="s">
        <v>7177</v>
      </c>
      <c r="E4852" s="4">
        <v>0.0</v>
      </c>
      <c r="F4852" s="4" t="str">
        <f>IFERROR(__xludf.DUMMYFUNCTION("GOOGLETRANSLATE(D4852)"),"Twitter就是來毀掉你的童年的")</f>
        <v>Twitter就是來毀掉你的童年的</v>
      </c>
      <c r="G4852" s="4" t="str">
        <f>IFERROR(__xludf.DUMMYFUNCTION("GOOGLETRANSLATE(B4852)"),"破壞")</f>
        <v>破壞</v>
      </c>
    </row>
    <row r="4853" ht="15.75" customHeight="1">
      <c r="A4853" s="4">
        <v>3689.0</v>
      </c>
      <c r="B4853" s="4" t="s">
        <v>1606</v>
      </c>
      <c r="C4853" s="4" t="s">
        <v>7178</v>
      </c>
      <c r="D4853" s="4" t="s">
        <v>7179</v>
      </c>
      <c r="E4853" s="4">
        <v>0.0</v>
      </c>
      <c r="F4853" s="4" t="str">
        <f>IFERROR(__xludf.DUMMYFUNCTION("GOOGLETRANSLATE(D4853)"),"@MsMigot 哇，多麼有說服力啊！令人信服的證據改變了我的觀點。我傾向於透過提供…證據來摧毀氣候變遷否認者")</f>
        <v>@MsMigot 哇，多麼有說服力啊！令人信服的證據改變了我的觀點。我傾向於透過提供…證據來摧毀氣候變遷否認者</v>
      </c>
      <c r="G4853" s="4" t="str">
        <f>IFERROR(__xludf.DUMMYFUNCTION("GOOGLETRANSLATE(B4853)"),"破壞")</f>
        <v>破壞</v>
      </c>
    </row>
    <row r="4854" ht="15.75" customHeight="1">
      <c r="A4854" s="4">
        <v>3691.0</v>
      </c>
      <c r="B4854" s="4" t="s">
        <v>1606</v>
      </c>
      <c r="D4854" s="4" t="s">
        <v>7180</v>
      </c>
      <c r="E4854" s="4">
        <v>0.0</v>
      </c>
      <c r="F4854" s="4" t="str">
        <f>IFERROR(__xludf.DUMMYFUNCTION("GOOGLETRANSLATE(D4854)"),"把你的財富保存在天堂裡，它們永遠不會減少，因為沒有小偷可以得到它們，也沒有飛蛾可以摧毀它們。 ??")</f>
        <v>把你的財富保存在天堂裡，它們永遠不會減少，因為沒有小偷可以得到它們，也沒有飛蛾可以摧毀它們。 ??</v>
      </c>
      <c r="G4854" s="4" t="str">
        <f>IFERROR(__xludf.DUMMYFUNCTION("GOOGLETRANSLATE(B4854)"),"破壞")</f>
        <v>破壞</v>
      </c>
    </row>
    <row r="4855" ht="15.75" customHeight="1">
      <c r="A4855" s="4">
        <v>3692.0</v>
      </c>
      <c r="B4855" s="4" t="s">
        <v>1606</v>
      </c>
      <c r="C4855" s="4" t="s">
        <v>4684</v>
      </c>
      <c r="D4855" s="4" t="s">
        <v>7181</v>
      </c>
      <c r="E4855" s="4">
        <v>0.0</v>
      </c>
      <c r="F4855" s="4" t="str">
        <f>IFERROR(__xludf.DUMMYFUNCTION("GOOGLETRANSLATE(D4855)"),"@SapphireScallop 毀掉oppa的形象嗎？哎呀！什麼都沒有剩下吧？哈啊啊啊")</f>
        <v>@SapphireScallop 毀掉oppa的形象嗎？哎呀！什麼都沒有剩下吧？哈啊啊啊</v>
      </c>
      <c r="G4855" s="4" t="str">
        <f>IFERROR(__xludf.DUMMYFUNCTION("GOOGLETRANSLATE(B4855)"),"破壞")</f>
        <v>破壞</v>
      </c>
    </row>
    <row r="4856" ht="15.75" customHeight="1">
      <c r="A4856" s="4">
        <v>3694.0</v>
      </c>
      <c r="B4856" s="4" t="s">
        <v>1606</v>
      </c>
      <c r="C4856" s="4" t="s">
        <v>7182</v>
      </c>
      <c r="D4856" s="4" t="s">
        <v>7183</v>
      </c>
      <c r="E4856" s="4">
        <v>0.0</v>
      </c>
      <c r="F4856" s="4" t="str">
        <f>IFERROR(__xludf.DUMMYFUNCTION("GOOGLETRANSLATE(D4856)"),"炫耀樂趣？？")</f>
        <v>炫耀樂趣？？</v>
      </c>
      <c r="G4856" s="4" t="str">
        <f>IFERROR(__xludf.DUMMYFUNCTION("GOOGLETRANSLATE(B4856)"),"破壞")</f>
        <v>破壞</v>
      </c>
    </row>
    <row r="4857" ht="15.75" customHeight="1">
      <c r="A4857" s="4">
        <v>3695.0</v>
      </c>
      <c r="B4857" s="4" t="s">
        <v>1606</v>
      </c>
      <c r="C4857" s="4" t="s">
        <v>4966</v>
      </c>
      <c r="D4857" s="4" t="s">
        <v>7184</v>
      </c>
      <c r="E4857" s="4">
        <v>0.0</v>
      </c>
      <c r="F4857" s="4" t="str">
        <f>IFERROR(__xludf.DUMMYFUNCTION("GOOGLETRANSLATE(D4857)"),"當我趕上最後幾分鐘。最後蒙瓦比西被槍殺了哈哈。 Hlongwane 是 ryt。雙胞胎會互相毀滅#AshesToAshes")</f>
        <v>當我趕上最後幾分鐘。最後蒙瓦比西被槍殺了哈哈。 Hlongwane 是 ryt。雙胞胎會互相毀滅#AshesToAshes</v>
      </c>
      <c r="G4857" s="4" t="str">
        <f>IFERROR(__xludf.DUMMYFUNCTION("GOOGLETRANSLATE(B4857)"),"破壞")</f>
        <v>破壞</v>
      </c>
    </row>
    <row r="4858" ht="15.75" customHeight="1">
      <c r="A4858" s="4">
        <v>3696.0</v>
      </c>
      <c r="B4858" s="4" t="s">
        <v>1606</v>
      </c>
      <c r="D4858" s="4" t="s">
        <v>7185</v>
      </c>
      <c r="E4858" s="4">
        <v>0.0</v>
      </c>
      <c r="F4858" s="4" t="str">
        <f>IFERROR(__xludf.DUMMYFUNCTION("GOOGLETRANSLATE(D4858)"),"@engineermataRAI 吃了 mataas kc 評級..但他們沒有想到這樣做會破壞故事和收視率")</f>
        <v>@engineermataRAI 吃了 mataas kc 評級..但他們沒有想到這樣做會破壞故事和收視率</v>
      </c>
      <c r="G4858" s="4" t="str">
        <f>IFERROR(__xludf.DUMMYFUNCTION("GOOGLETRANSLATE(B4858)"),"破壞")</f>
        <v>破壞</v>
      </c>
    </row>
    <row r="4859" ht="15.75" customHeight="1">
      <c r="A4859" s="4">
        <v>3697.0</v>
      </c>
      <c r="B4859" s="4" t="s">
        <v>1606</v>
      </c>
      <c r="C4859" s="4" t="s">
        <v>656</v>
      </c>
      <c r="D4859" s="4" t="s">
        <v>7186</v>
      </c>
      <c r="E4859" s="4">
        <v>0.0</v>
      </c>
      <c r="F4859" s="4" t="str">
        <f>IFERROR(__xludf.DUMMYFUNCTION("GOOGLETRANSLATE(D4859)"),"@elgeotaofeeq 這不是我從他的作品中得到的。不抑制這一雄心壯志將會破壞我們投票支持的變革")</f>
        <v>@elgeotaofeeq 這不是我從他的作品中得到的。不抑制這一雄心壯志將會破壞我們投票支持的變革</v>
      </c>
      <c r="G4859" s="4" t="str">
        <f>IFERROR(__xludf.DUMMYFUNCTION("GOOGLETRANSLATE(B4859)"),"破壞")</f>
        <v>破壞</v>
      </c>
    </row>
    <row r="4860" ht="15.75" customHeight="1">
      <c r="A4860" s="4">
        <v>3700.0</v>
      </c>
      <c r="B4860" s="4" t="s">
        <v>1621</v>
      </c>
      <c r="D4860" s="4" t="s">
        <v>7187</v>
      </c>
      <c r="E4860" s="4">
        <v>0.0</v>
      </c>
      <c r="F4860" s="4" t="str">
        <f>IFERROR(__xludf.DUMMYFUNCTION("GOOGLETRANSLATE(D4860)"),"@justicemalala @nkeajresq Nkea 作為一名僱傭軍法官毀掉了岡比亞的生命。")</f>
        <v>@justicemalala @nkeajresq Nkea 作為一名僱傭軍法官毀掉了岡比亞的生命。</v>
      </c>
      <c r="G4860" s="4" t="str">
        <f>IFERROR(__xludf.DUMMYFUNCTION("GOOGLETRANSLATE(B4860)"),"被摧毀")</f>
        <v>被摧毀</v>
      </c>
    </row>
    <row r="4861" ht="15.75" customHeight="1">
      <c r="A4861" s="4">
        <v>3702.0</v>
      </c>
      <c r="B4861" s="4" t="s">
        <v>1621</v>
      </c>
      <c r="C4861" s="4" t="s">
        <v>7188</v>
      </c>
      <c r="D4861" s="4" t="s">
        <v>7189</v>
      </c>
      <c r="E4861" s="4">
        <v>0.0</v>
      </c>
      <c r="F4861" s="4" t="str">
        <f>IFERROR(__xludf.DUMMYFUNCTION("GOOGLETRANSLATE(D4861)"),"媒體庫存正在被摧毀（DIS FOXA CMCSA SNI AMCX VIAB VIA TWX）http://t.co/aqinaVl1b6")</f>
        <v>媒體庫存正在被摧毀（DIS FOXA CMCSA SNI AMCX VIAB VIA TWX）http://t.co/aqinaVl1b6</v>
      </c>
      <c r="G4861" s="4" t="str">
        <f>IFERROR(__xludf.DUMMYFUNCTION("GOOGLETRANSLATE(B4861)"),"被摧毀")</f>
        <v>被摧毀</v>
      </c>
    </row>
    <row r="4862" ht="15.75" customHeight="1">
      <c r="A4862" s="4">
        <v>3704.0</v>
      </c>
      <c r="B4862" s="4" t="s">
        <v>1621</v>
      </c>
      <c r="C4862" s="4" t="s">
        <v>38</v>
      </c>
      <c r="D4862" s="4" t="s">
        <v>7190</v>
      </c>
      <c r="E4862" s="4">
        <v>0.0</v>
      </c>
      <c r="F4862" s="4" t="str">
        <f>IFERROR(__xludf.DUMMYFUNCTION("GOOGLETRANSLATE(D4862)"),"黑眼9：O784星發生太空戰，涉及3支艦隊，總計3941艘船，其中13艘被摧毀")</f>
        <v>黑眼9：O784星發生太空戰，涉及3支艦隊，總計3941艘船，其中13艘被摧毀</v>
      </c>
      <c r="G4862" s="4" t="str">
        <f>IFERROR(__xludf.DUMMYFUNCTION("GOOGLETRANSLATE(B4862)"),"被摧毀")</f>
        <v>被摧毀</v>
      </c>
    </row>
    <row r="4863" ht="15.75" customHeight="1">
      <c r="A4863" s="4">
        <v>3705.0</v>
      </c>
      <c r="B4863" s="4" t="s">
        <v>1621</v>
      </c>
      <c r="D4863" s="4" t="s">
        <v>7191</v>
      </c>
      <c r="E4863" s="4">
        <v>0.0</v>
      </c>
      <c r="F4863" s="4" t="str">
        <f>IFERROR(__xludf.DUMMYFUNCTION("GOOGLETRANSLATE(D4863)"),"英雄，你不會游泳，孤獨的傢伙幫我，我的解決方案不是你的救生員，我討厭殺人，如何摧毀它http://t.co/pAztDblgYk")</f>
        <v>英雄，你不會游泳，孤獨的傢伙幫我，我的解決方案不是你的救生員，我討厭殺人，如何摧毀它http://t.co/pAztDblgYk</v>
      </c>
      <c r="G4863" s="4" t="str">
        <f>IFERROR(__xludf.DUMMYFUNCTION("GOOGLETRANSLATE(B4863)"),"被摧毀")</f>
        <v>被摧毀</v>
      </c>
    </row>
    <row r="4864" ht="15.75" customHeight="1">
      <c r="A4864" s="4">
        <v>3708.0</v>
      </c>
      <c r="B4864" s="4" t="s">
        <v>1621</v>
      </c>
      <c r="D4864" s="4" t="s">
        <v>7192</v>
      </c>
      <c r="E4864" s="4">
        <v>0.0</v>
      </c>
      <c r="F4864" s="4" t="str">
        <f>IFERROR(__xludf.DUMMYFUNCTION("GOOGLETRANSLATE(D4864)"),"@alanhahn @HDumpty39 Daughtery 會在 Twitter 上被摧毀。他的評論是情緒化的咆哮，沒有任何事實根據")</f>
        <v>@alanhahn @HDumpty39 Daughtery 會在 Twitter 上被摧毀。他的評論是情緒化的咆哮，沒有任何事實根據</v>
      </c>
      <c r="G4864" s="4" t="str">
        <f>IFERROR(__xludf.DUMMYFUNCTION("GOOGLETRANSLATE(B4864)"),"被摧毀")</f>
        <v>被摧毀</v>
      </c>
    </row>
    <row r="4865" ht="15.75" customHeight="1">
      <c r="A4865" s="4">
        <v>3710.0</v>
      </c>
      <c r="B4865" s="4" t="s">
        <v>1621</v>
      </c>
      <c r="D4865" s="4" t="s">
        <v>7193</v>
      </c>
      <c r="E4865" s="4">
        <v>0.0</v>
      </c>
      <c r="F4865" s="4" t="str">
        <f>IFERROR(__xludf.DUMMYFUNCTION("GOOGLETRANSLATE(D4865)"),"情感上我被摧毀了")</f>
        <v>情感上我被摧毀了</v>
      </c>
      <c r="G4865" s="4" t="str">
        <f>IFERROR(__xludf.DUMMYFUNCTION("GOOGLETRANSLATE(B4865)"),"被摧毀")</f>
        <v>被摧毀</v>
      </c>
    </row>
    <row r="4866" ht="15.75" customHeight="1">
      <c r="A4866" s="4">
        <v>3712.0</v>
      </c>
      <c r="B4866" s="4" t="s">
        <v>1621</v>
      </c>
      <c r="D4866" s="4" t="s">
        <v>7194</v>
      </c>
      <c r="E4866" s="4">
        <v>0.0</v>
      </c>
      <c r="F4866" s="4" t="str">
        <f>IFERROR(__xludf.DUMMYFUNCTION("GOOGLETRANSLATE(D4866)"),"@_RedDevil4Life_ @ManUtd 被摧毀了！？")</f>
        <v>@_RedDevil4Life_ @ManUtd 被摧毀了！？</v>
      </c>
      <c r="G4866" s="4" t="str">
        <f>IFERROR(__xludf.DUMMYFUNCTION("GOOGLETRANSLATE(B4866)"),"被摧毀")</f>
        <v>被摧毀</v>
      </c>
    </row>
    <row r="4867" ht="15.75" customHeight="1">
      <c r="A4867" s="4">
        <v>3713.0</v>
      </c>
      <c r="B4867" s="4" t="s">
        <v>1621</v>
      </c>
      <c r="C4867" s="4" t="s">
        <v>7195</v>
      </c>
      <c r="D4867" s="4" t="s">
        <v>7196</v>
      </c>
      <c r="E4867" s="4">
        <v>0.0</v>
      </c>
      <c r="F4867" s="4" t="str">
        <f>IFERROR(__xludf.DUMMYFUNCTION("GOOGLETRANSLATE(D4867)"),"人們不想聽到真相，因為他們不想讓自己的幻想破滅。 #FN。")</f>
        <v>人們不想聽到真相，因為他們不想讓自己的幻想破滅。 #FN。</v>
      </c>
      <c r="G4867" s="4" t="str">
        <f>IFERROR(__xludf.DUMMYFUNCTION("GOOGLETRANSLATE(B4867)"),"被摧毀")</f>
        <v>被摧毀</v>
      </c>
    </row>
    <row r="4868" ht="15.75" customHeight="1">
      <c r="A4868" s="4">
        <v>3718.0</v>
      </c>
      <c r="B4868" s="4" t="s">
        <v>1621</v>
      </c>
      <c r="C4868" s="4" t="s">
        <v>38</v>
      </c>
      <c r="D4868" s="4" t="s">
        <v>7197</v>
      </c>
      <c r="E4868" s="4">
        <v>0.0</v>
      </c>
      <c r="F4868" s="4" t="str">
        <f>IFERROR(__xludf.DUMMYFUNCTION("GOOGLETRANSLATE(D4868)"),"黑眼9：O784星發生太空戰，涉及2支艦隊，總計3967艘船，其中39艘被摧毀")</f>
        <v>黑眼9：O784星發生太空戰，涉及2支艦隊，總計3967艘船，其中39艘被摧毀</v>
      </c>
      <c r="G4868" s="4" t="str">
        <f>IFERROR(__xludf.DUMMYFUNCTION("GOOGLETRANSLATE(B4868)"),"被摧毀")</f>
        <v>被摧毀</v>
      </c>
    </row>
    <row r="4869" ht="15.75" customHeight="1">
      <c r="A4869" s="4">
        <v>3719.0</v>
      </c>
      <c r="B4869" s="4" t="s">
        <v>1621</v>
      </c>
      <c r="C4869" s="4" t="s">
        <v>38</v>
      </c>
      <c r="D4869" s="4" t="s">
        <v>7198</v>
      </c>
      <c r="E4869" s="4">
        <v>0.0</v>
      </c>
      <c r="F4869" s="4" t="str">
        <f>IFERROR(__xludf.DUMMYFUNCTION("GOOGLETRANSLATE(D4869)"),"黑眼9：O784星發生太空戰，涉及3支艦隊，總計3942艘船，其中14艘被摧毀")</f>
        <v>黑眼9：O784星發生太空戰，涉及3支艦隊，總計3942艘船，其中14艘被摧毀</v>
      </c>
      <c r="G4869" s="4" t="str">
        <f>IFERROR(__xludf.DUMMYFUNCTION("GOOGLETRANSLATE(B4869)"),"被摧毀")</f>
        <v>被摧毀</v>
      </c>
    </row>
    <row r="4870" ht="15.75" customHeight="1">
      <c r="A4870" s="4">
        <v>3721.0</v>
      </c>
      <c r="B4870" s="4" t="s">
        <v>1621</v>
      </c>
      <c r="D4870" s="4" t="s">
        <v>7199</v>
      </c>
      <c r="E4870" s="4">
        <v>0.0</v>
      </c>
      <c r="F4870" s="4" t="str">
        <f>IFERROR(__xludf.DUMMYFUNCTION("GOOGLETRANSLATE(D4870)"),"俄羅斯海關今天總共銷毀了319噸食品唷！一些義大利肉類在普爾科沃機場的焚燒爐中被焚燒。")</f>
        <v>俄羅斯海關今天總共銷毀了319噸食品唷！一些義大利肉類在普爾科沃機場的焚燒爐中被焚燒。</v>
      </c>
      <c r="G4870" s="4" t="str">
        <f>IFERROR(__xludf.DUMMYFUNCTION("GOOGLETRANSLATE(B4870)"),"被摧毀")</f>
        <v>被摧毀</v>
      </c>
    </row>
    <row r="4871" ht="15.75" customHeight="1">
      <c r="A4871" s="4">
        <v>3722.0</v>
      </c>
      <c r="B4871" s="4" t="s">
        <v>1621</v>
      </c>
      <c r="C4871" s="4" t="s">
        <v>38</v>
      </c>
      <c r="D4871" s="4" t="s">
        <v>7200</v>
      </c>
      <c r="E4871" s="4">
        <v>0.0</v>
      </c>
      <c r="F4871" s="4" t="str">
        <f>IFERROR(__xludf.DUMMYFUNCTION("GOOGLETRANSLATE(D4871)"),"黑眼9：O784星發生太空戰，涉及2支艦隊，總計3942艘船，其中13艘被摧毀")</f>
        <v>黑眼9：O784星發生太空戰，涉及2支艦隊，總計3942艘船，其中13艘被摧毀</v>
      </c>
      <c r="G4871" s="4" t="str">
        <f>IFERROR(__xludf.DUMMYFUNCTION("GOOGLETRANSLATE(B4871)"),"被摧毀")</f>
        <v>被摧毀</v>
      </c>
    </row>
    <row r="4872" ht="15.75" customHeight="1">
      <c r="A4872" s="4">
        <v>3723.0</v>
      </c>
      <c r="B4872" s="4" t="s">
        <v>1621</v>
      </c>
      <c r="C4872" s="4" t="s">
        <v>7201</v>
      </c>
      <c r="D4872" s="4" t="s">
        <v>7202</v>
      </c>
      <c r="E4872" s="4">
        <v>0.0</v>
      </c>
      <c r="F4872" s="4" t="str">
        <f>IFERROR(__xludf.DUMMYFUNCTION("GOOGLETRANSLATE(D4872)"),"《不可能》中的手榴彈音效剛剛摧毀了大約 10 個其他鋤頭職業？")</f>
        <v>《不可能》中的手榴彈音效剛剛摧毀了大約 10 個其他鋤頭職業？</v>
      </c>
      <c r="G4872" s="4" t="str">
        <f>IFERROR(__xludf.DUMMYFUNCTION("GOOGLETRANSLATE(B4872)"),"被摧毀")</f>
        <v>被摧毀</v>
      </c>
    </row>
    <row r="4873" ht="15.75" customHeight="1">
      <c r="A4873" s="4">
        <v>3726.0</v>
      </c>
      <c r="B4873" s="4" t="s">
        <v>1621</v>
      </c>
      <c r="C4873" s="4" t="s">
        <v>7203</v>
      </c>
      <c r="D4873" s="4" t="s">
        <v>7204</v>
      </c>
      <c r="E4873" s="4">
        <v>0.0</v>
      </c>
      <c r="F4873" s="4" t="str">
        <f>IFERROR(__xludf.DUMMYFUNCTION("GOOGLETRANSLATE(D4873)"),"他對我的方式毀了我…")</f>
        <v>他對我的方式毀了我…</v>
      </c>
      <c r="G4873" s="4" t="str">
        <f>IFERROR(__xludf.DUMMYFUNCTION("GOOGLETRANSLATE(B4873)"),"被摧毀")</f>
        <v>被摧毀</v>
      </c>
    </row>
    <row r="4874" ht="15.75" customHeight="1">
      <c r="A4874" s="4">
        <v>3727.0</v>
      </c>
      <c r="B4874" s="4" t="s">
        <v>1621</v>
      </c>
      <c r="C4874" s="4" t="s">
        <v>7205</v>
      </c>
      <c r="D4874" s="4" t="s">
        <v>7206</v>
      </c>
      <c r="E4874" s="4">
        <v>0.0</v>
      </c>
      <c r="F4874" s="4" t="str">
        <f>IFERROR(__xludf.DUMMYFUNCTION("GOOGLETRANSLATE(D4874)"),"我總覺得那美剋星人是黑人，當他們死了、地球被毀滅時，我覺得自己被玩弄了？？")</f>
        <v>我總覺得那美剋星人是黑人，當他們死了、地球被毀滅時，我覺得自己被玩弄了？？</v>
      </c>
      <c r="G4874" s="4" t="str">
        <f>IFERROR(__xludf.DUMMYFUNCTION("GOOGLETRANSLATE(B4874)"),"被摧毀")</f>
        <v>被摧毀</v>
      </c>
    </row>
    <row r="4875" ht="15.75" customHeight="1">
      <c r="A4875" s="4">
        <v>3729.0</v>
      </c>
      <c r="B4875" s="4" t="s">
        <v>1621</v>
      </c>
      <c r="C4875" s="4" t="s">
        <v>7207</v>
      </c>
      <c r="D4875" s="4" t="s">
        <v>7208</v>
      </c>
      <c r="E4875" s="4">
        <v>0.0</v>
      </c>
      <c r="F4875" s="4" t="str">
        <f>IFERROR(__xludf.DUMMYFUNCTION("GOOGLETRANSLATE(D4875)"),"@ryanoss123不用擔心你必須在每個擊球手上，大多數投手都被摧毀了")</f>
        <v>@ryanoss123不用擔心你必須在每個擊球手上，大多數投手都被摧毀了</v>
      </c>
      <c r="G4875" s="4" t="str">
        <f>IFERROR(__xludf.DUMMYFUNCTION("GOOGLETRANSLATE(B4875)"),"被摧毀")</f>
        <v>被摧毀</v>
      </c>
    </row>
    <row r="4876" ht="15.75" customHeight="1">
      <c r="A4876" s="4">
        <v>3730.0</v>
      </c>
      <c r="B4876" s="4" t="s">
        <v>1621</v>
      </c>
      <c r="C4876" s="4" t="s">
        <v>7209</v>
      </c>
      <c r="D4876" s="4" t="s">
        <v>7210</v>
      </c>
      <c r="E4876" s="4">
        <v>0.0</v>
      </c>
      <c r="F4876" s="4" t="str">
        <f>IFERROR(__xludf.DUMMYFUNCTION("GOOGLETRANSLATE(D4876)"),"一個自爆殺死他人的人在天堂是沒有生命的，因為他的靈體會因此而被摧毀。")</f>
        <v>一個自爆殺死他人的人在天堂是沒有生命的，因為他的靈體會因此而被摧毀。</v>
      </c>
      <c r="G4876" s="4" t="str">
        <f>IFERROR(__xludf.DUMMYFUNCTION("GOOGLETRANSLATE(B4876)"),"被摧毀")</f>
        <v>被摧毀</v>
      </c>
    </row>
    <row r="4877" ht="15.75" customHeight="1">
      <c r="A4877" s="4">
        <v>3738.0</v>
      </c>
      <c r="B4877" s="4" t="s">
        <v>1621</v>
      </c>
      <c r="C4877" s="4" t="s">
        <v>38</v>
      </c>
      <c r="D4877" s="4" t="s">
        <v>7211</v>
      </c>
      <c r="E4877" s="4">
        <v>0.0</v>
      </c>
      <c r="F4877" s="4" t="str">
        <f>IFERROR(__xludf.DUMMYFUNCTION("GOOGLETRANSLATE(D4877)"),"黑眼9：O784星發生太空戰，涉及3支艦隊，總計3945艘船，其中17艘被摧毀")</f>
        <v>黑眼9：O784星發生太空戰，涉及3支艦隊，總計3945艘船，其中17艘被摧毀</v>
      </c>
      <c r="G4877" s="4" t="str">
        <f>IFERROR(__xludf.DUMMYFUNCTION("GOOGLETRANSLATE(B4877)"),"被摧毀")</f>
        <v>被摧毀</v>
      </c>
    </row>
    <row r="4878" ht="15.75" customHeight="1">
      <c r="A4878" s="4">
        <v>3739.0</v>
      </c>
      <c r="B4878" s="4" t="s">
        <v>1621</v>
      </c>
      <c r="C4878" s="4" t="s">
        <v>7212</v>
      </c>
      <c r="D4878" s="4" t="s">
        <v>7213</v>
      </c>
      <c r="E4878" s="4">
        <v>0.0</v>
      </c>
      <c r="F4878" s="4" t="str">
        <f>IFERROR(__xludf.DUMMYFUNCTION("GOOGLETRANSLATE(D4878)"),"我喜歡 @zaire2005 的 @YouTube 影片 http://t.co/MulRUifnN1 SPECIALGUEST CRAPGAMER RECAP MICROSOFT DESTROYED SONY AT GAMESCOM")</f>
        <v>我喜歡 @zaire2005 的 @YouTube 影片 http://t.co/MulRUifnN1 SPECIALGUEST CRAPGAMER RECAP MICROSOFT DESTROYED SONY AT GAMESCOM</v>
      </c>
      <c r="G4878" s="4" t="str">
        <f>IFERROR(__xludf.DUMMYFUNCTION("GOOGLETRANSLATE(B4878)"),"被摧毀")</f>
        <v>被摧毀</v>
      </c>
    </row>
    <row r="4879" ht="15.75" customHeight="1">
      <c r="A4879" s="4">
        <v>3741.0</v>
      </c>
      <c r="B4879" s="4" t="s">
        <v>1621</v>
      </c>
      <c r="D4879" s="4" t="s">
        <v>7214</v>
      </c>
      <c r="E4879" s="4">
        <v>0.0</v>
      </c>
      <c r="F4879" s="4" t="str">
        <f>IFERROR(__xludf.DUMMYFUNCTION("GOOGLETRANSLATE(D4879)"),"#hot#teen#nsfw#porn#milf：塗油的屁股洞被特大號雞巴特寫性剪輯摧毀 http://t.co/faoGxkwdpG")</f>
        <v>#hot#teen#nsfw#porn#milf：塗油的屁股洞被特大號雞巴特寫性剪輯摧毀 http://t.co/faoGxkwdpG</v>
      </c>
      <c r="G4879" s="4" t="str">
        <f>IFERROR(__xludf.DUMMYFUNCTION("GOOGLETRANSLATE(B4879)"),"被摧毀")</f>
        <v>被摧毀</v>
      </c>
    </row>
    <row r="4880" ht="15.75" customHeight="1">
      <c r="A4880" s="4">
        <v>3742.0</v>
      </c>
      <c r="B4880" s="4" t="s">
        <v>1621</v>
      </c>
      <c r="C4880" s="4" t="s">
        <v>38</v>
      </c>
      <c r="D4880" s="4" t="s">
        <v>7215</v>
      </c>
      <c r="E4880" s="4">
        <v>0.0</v>
      </c>
      <c r="F4880" s="4" t="str">
        <f>IFERROR(__xludf.DUMMYFUNCTION("GOOGLETRANSLATE(D4880)"),"黑眼9：O784星發生太空戰，涉及2個艦隊，總計3934艘船，其中7艘被摧毀")</f>
        <v>黑眼9：O784星發生太空戰，涉及2個艦隊，總計3934艘船，其中7艘被摧毀</v>
      </c>
      <c r="G4880" s="4" t="str">
        <f>IFERROR(__xludf.DUMMYFUNCTION("GOOGLETRANSLATE(B4880)"),"被摧毀")</f>
        <v>被摧毀</v>
      </c>
    </row>
    <row r="4881" ht="15.75" customHeight="1">
      <c r="A4881" s="4">
        <v>3743.0</v>
      </c>
      <c r="B4881" s="4" t="s">
        <v>1621</v>
      </c>
      <c r="C4881" s="4" t="s">
        <v>1207</v>
      </c>
      <c r="D4881" s="4" t="s">
        <v>7216</v>
      </c>
      <c r="E4881" s="4">
        <v>0.0</v>
      </c>
      <c r="F4881" s="4" t="str">
        <f>IFERROR(__xludf.DUMMYFUNCTION("GOOGLETRANSLATE(D4881)"),"為什麼說塞拉斯在這個標題中被切碎了，就像有人把他像切一塊捲心菜一樣切碎了？？？？？？？？？？？？？？？？？？？？？？ ？ #GH")</f>
        <v>為什麼說塞拉斯在這個標題中被切碎了，就像有人把他像切一塊捲心菜一樣切碎了？？？？？？？？？？？？？？？？？？？？？？ ？ #GH</v>
      </c>
      <c r="G4881" s="4" t="str">
        <f>IFERROR(__xludf.DUMMYFUNCTION("GOOGLETRANSLATE(B4881)"),"被摧毀")</f>
        <v>被摧毀</v>
      </c>
    </row>
    <row r="4882" ht="15.75" customHeight="1">
      <c r="A4882" s="4">
        <v>3744.0</v>
      </c>
      <c r="B4882" s="4" t="s">
        <v>1621</v>
      </c>
      <c r="C4882" s="4" t="s">
        <v>7217</v>
      </c>
      <c r="D4882" s="4" t="s">
        <v>7218</v>
      </c>
      <c r="E4882" s="4">
        <v>0.0</v>
      </c>
      <c r="F4882" s="4" t="str">
        <f>IFERROR(__xludf.DUMMYFUNCTION("GOOGLETRANSLATE(D4882)"),"@harbhajan_singh @StuartBroad8 我不敢相信...這就是被我們的 yuvi 摧毀的斯圖爾特布羅德嗎..？？？")</f>
        <v>@harbhajan_singh @StuartBroad8 我不敢相信...這就是被我們的 yuvi 摧毀的斯圖爾特布羅德嗎..？？？</v>
      </c>
      <c r="G4882" s="4" t="str">
        <f>IFERROR(__xludf.DUMMYFUNCTION("GOOGLETRANSLATE(B4882)"),"被摧毀")</f>
        <v>被摧毀</v>
      </c>
    </row>
    <row r="4883" ht="15.75" customHeight="1">
      <c r="A4883" s="4">
        <v>3747.0</v>
      </c>
      <c r="B4883" s="4" t="s">
        <v>1621</v>
      </c>
      <c r="C4883" s="4" t="s">
        <v>38</v>
      </c>
      <c r="D4883" s="4" t="s">
        <v>7219</v>
      </c>
      <c r="E4883" s="4">
        <v>0.0</v>
      </c>
      <c r="F4883" s="4" t="str">
        <f>IFERROR(__xludf.DUMMYFUNCTION("GOOGLETRANSLATE(D4883)"),"黑眼9：O784星發生太空戰，涉及2個艦隊，總計3939艘艦船，其中11艘被摧毀")</f>
        <v>黑眼9：O784星發生太空戰，涉及2個艦隊，總計3939艘艦船，其中11艘被摧毀</v>
      </c>
      <c r="G4883" s="4" t="str">
        <f>IFERROR(__xludf.DUMMYFUNCTION("GOOGLETRANSLATE(B4883)"),"被摧毀")</f>
        <v>被摧毀</v>
      </c>
    </row>
    <row r="4884" ht="15.75" customHeight="1">
      <c r="A4884" s="4">
        <v>3750.0</v>
      </c>
      <c r="B4884" s="4" t="s">
        <v>1636</v>
      </c>
      <c r="C4884" s="4" t="s">
        <v>7220</v>
      </c>
      <c r="D4884" s="4" t="s">
        <v>7221</v>
      </c>
      <c r="E4884" s="4">
        <v>0.0</v>
      </c>
      <c r="F4884" s="4" t="str">
        <f>IFERROR(__xludf.DUMMYFUNCTION("GOOGLETRANSLATE(D4884)"),"我們如何幫助安大略省一座美麗的小鎮免於發電廠開發商的破壞？
http://t.co/hlD5xLYwBn")</f>
        <v>我們如何幫助安大略省一座美麗的小鎮免於發電廠開發商的破壞？
http://t.co/hlD5xLYwBn</v>
      </c>
      <c r="G4884" s="4" t="str">
        <f>IFERROR(__xludf.DUMMYFUNCTION("GOOGLETRANSLATE(B4884)"),"破壞")</f>
        <v>破壞</v>
      </c>
    </row>
    <row r="4885" ht="15.75" customHeight="1">
      <c r="A4885" s="4">
        <v>3752.0</v>
      </c>
      <c r="B4885" s="4" t="s">
        <v>1636</v>
      </c>
      <c r="D4885" s="4" t="s">
        <v>7222</v>
      </c>
      <c r="E4885" s="4">
        <v>0.0</v>
      </c>
      <c r="F4885" s="4" t="str">
        <f>IFERROR(__xludf.DUMMYFUNCTION("GOOGLETRANSLATE(D4885)"),"Crackdown 3 Destruction 僅限多人遊戲：本週早些時候，Crackdown 3 的演示令人印象深刻... http://t.co/LMWKjsYCgj")</f>
        <v>Crackdown 3 Destruction 僅限多人遊戲：本週早些時候，Crackdown 3 的演示令人印象深刻... http://t.co/LMWKjsYCgj</v>
      </c>
      <c r="G4885" s="4" t="str">
        <f>IFERROR(__xludf.DUMMYFUNCTION("GOOGLETRANSLATE(B4885)"),"破壞")</f>
        <v>破壞</v>
      </c>
    </row>
    <row r="4886" ht="15.75" customHeight="1">
      <c r="A4886" s="4">
        <v>3753.0</v>
      </c>
      <c r="B4886" s="4" t="s">
        <v>1636</v>
      </c>
      <c r="C4886" s="4" t="s">
        <v>7223</v>
      </c>
      <c r="D4886" s="4" t="s">
        <v>7224</v>
      </c>
      <c r="E4886" s="4">
        <v>0.0</v>
      </c>
      <c r="F4886" s="4" t="str">
        <f>IFERROR(__xludf.DUMMYFUNCTION("GOOGLETRANSLATE(D4886)"),"@DanHRothschild 貪婪是自我毀滅的燃料。 ＃小心")</f>
        <v>@DanHRothschild 貪婪是自我毀滅的燃料。 ＃小心</v>
      </c>
      <c r="G4886" s="4" t="str">
        <f>IFERROR(__xludf.DUMMYFUNCTION("GOOGLETRANSLATE(B4886)"),"破壞")</f>
        <v>破壞</v>
      </c>
    </row>
    <row r="4887" ht="15.75" customHeight="1">
      <c r="A4887" s="4">
        <v>3754.0</v>
      </c>
      <c r="B4887" s="4" t="s">
        <v>1636</v>
      </c>
      <c r="C4887" s="4" t="s">
        <v>7225</v>
      </c>
      <c r="D4887" s="4" t="s">
        <v>7226</v>
      </c>
      <c r="E4887" s="4">
        <v>0.0</v>
      </c>
      <c r="F4887" s="4" t="str">
        <f>IFERROR(__xludf.DUMMYFUNCTION("GOOGLETRANSLATE(D4887)"),"@cinla1964 @windowgatribble 色彩飽和度對比和色調的擴展劃分增強了預兆破壞的對比！")</f>
        <v>@cinla1964 @windowgatribble 色彩飽和度對比和色調的擴展劃分增強了預兆破壞的對比！</v>
      </c>
      <c r="G4887" s="4" t="str">
        <f>IFERROR(__xludf.DUMMYFUNCTION("GOOGLETRANSLATE(B4887)"),"破壞")</f>
        <v>破壞</v>
      </c>
    </row>
    <row r="4888" ht="15.75" customHeight="1">
      <c r="A4888" s="4">
        <v>3756.0</v>
      </c>
      <c r="B4888" s="4" t="s">
        <v>1636</v>
      </c>
      <c r="C4888" s="4" t="s">
        <v>7227</v>
      </c>
      <c r="D4888" s="4" t="s">
        <v>7228</v>
      </c>
      <c r="E4888" s="4">
        <v>0.0</v>
      </c>
      <c r="F4888" s="4" t="str">
        <f>IFERROR(__xludf.DUMMYFUNCTION("GOOGLETRANSLATE(D4888)"),"俄羅斯當局將考慮反對銷毀受制裁食品的請願書：弗拉基米爾·普丁的新聞界...... http://t.co/QbMcSJaVt0")</f>
        <v>俄羅斯當局將考慮反對銷毀受制裁食品的請願書：弗拉基米爾·普丁的新聞界...... http://t.co/QbMcSJaVt0</v>
      </c>
      <c r="G4888" s="4" t="str">
        <f>IFERROR(__xludf.DUMMYFUNCTION("GOOGLETRANSLATE(B4888)"),"破壞")</f>
        <v>破壞</v>
      </c>
    </row>
    <row r="4889" ht="15.75" customHeight="1">
      <c r="A4889" s="4">
        <v>3758.0</v>
      </c>
      <c r="B4889" s="4" t="s">
        <v>1636</v>
      </c>
      <c r="D4889" s="4" t="s">
        <v>7229</v>
      </c>
      <c r="E4889" s="4">
        <v>0.0</v>
      </c>
      <c r="F4889" s="4" t="str">
        <f>IFERROR(__xludf.DUMMYFUNCTION("GOOGLETRANSLATE(D4889)"),"MwjCdk：首次突破購屋者的誤判可能會導致數千人死亡")</f>
        <v>MwjCdk：首次突破購屋者的誤判可能會導致數千人死亡</v>
      </c>
      <c r="G4889" s="4" t="str">
        <f>IFERROR(__xludf.DUMMYFUNCTION("GOOGLETRANSLATE(B4889)"),"破壞")</f>
        <v>破壞</v>
      </c>
    </row>
    <row r="4890" ht="15.75" customHeight="1">
      <c r="A4890" s="4">
        <v>3759.0</v>
      </c>
      <c r="B4890" s="4" t="s">
        <v>1636</v>
      </c>
      <c r="C4890" s="4" t="s">
        <v>7230</v>
      </c>
      <c r="D4890" s="4" t="s">
        <v>7231</v>
      </c>
      <c r="E4890" s="4">
        <v>0.0</v>
      </c>
      <c r="F4890" s="4" t="str">
        <f>IFERROR(__xludf.DUMMYFUNCTION("GOOGLETRANSLATE(D4890)"),"我的工作區裡有一隻#fly 和兩隻#bored #cats。我預見到可怕的事。 #destruction #badkitty #thisiswhywecanthavenicethings")</f>
        <v>我的工作區裡有一隻#fly 和兩隻#bored #cats。我預見到可怕的事。 #destruction #badkitty #thisiswhywecanthavenicethings</v>
      </c>
      <c r="G4890" s="4" t="str">
        <f>IFERROR(__xludf.DUMMYFUNCTION("GOOGLETRANSLATE(B4890)"),"破壞")</f>
        <v>破壞</v>
      </c>
    </row>
    <row r="4891" ht="15.75" customHeight="1">
      <c r="A4891" s="4">
        <v>3760.0</v>
      </c>
      <c r="B4891" s="4" t="s">
        <v>1636</v>
      </c>
      <c r="C4891" s="4" t="s">
        <v>7232</v>
      </c>
      <c r="D4891" s="4" t="s">
        <v>7233</v>
      </c>
      <c r="E4891" s="4">
        <v>0.0</v>
      </c>
      <c r="F4891" s="4" t="str">
        <f>IFERROR(__xludf.DUMMYFUNCTION("GOOGLETRANSLATE(D4891)"),"@LT3dave 這麼多的規格這麼多的粉絲服務這麼多的傳說破壞")</f>
        <v>@LT3dave 這麼多的規格這麼多的粉絲服務這麼多的傳說破壞</v>
      </c>
      <c r="G4891" s="4" t="str">
        <f>IFERROR(__xludf.DUMMYFUNCTION("GOOGLETRANSLATE(B4891)"),"破壞")</f>
        <v>破壞</v>
      </c>
    </row>
    <row r="4892" ht="15.75" customHeight="1">
      <c r="A4892" s="4">
        <v>3761.0</v>
      </c>
      <c r="B4892" s="4" t="s">
        <v>1636</v>
      </c>
      <c r="C4892" s="4" t="s">
        <v>4135</v>
      </c>
      <c r="D4892" s="4" t="s">
        <v>7234</v>
      </c>
      <c r="E4892" s="4">
        <v>0.0</v>
      </c>
      <c r="F4892" s="4" t="str">
        <f>IFERROR(__xludf.DUMMYFUNCTION("GOOGLETRANSLATE(D4892)"),"卡車司機在#俄羅斯邊境搶救被禁止銷毀的番茄 http://t.co/7b2Wf6ovFK #news")</f>
        <v>卡車司機在#俄羅斯邊境搶救被禁止銷毀的番茄 http://t.co/7b2Wf6ovFK #news</v>
      </c>
      <c r="G4892" s="4" t="str">
        <f>IFERROR(__xludf.DUMMYFUNCTION("GOOGLETRANSLATE(B4892)"),"破壞")</f>
        <v>破壞</v>
      </c>
    </row>
    <row r="4893" ht="15.75" customHeight="1">
      <c r="A4893" s="4">
        <v>3763.0</v>
      </c>
      <c r="B4893" s="4" t="s">
        <v>1636</v>
      </c>
      <c r="C4893" s="4" t="s">
        <v>1972</v>
      </c>
      <c r="D4893" s="4" t="s">
        <v>7235</v>
      </c>
      <c r="E4893" s="4">
        <v>0.0</v>
      </c>
      <c r="F4893" s="4" t="str">
        <f>IFERROR(__xludf.DUMMYFUNCTION("GOOGLETRANSLATE(D4893)"),"共和型經濟破壞|地下暢銷 http://t.co/dILi5JhMur")</f>
        <v>共和型經濟破壞|地下暢銷 http://t.co/dILi5JhMur</v>
      </c>
      <c r="G4893" s="4" t="str">
        <f>IFERROR(__xludf.DUMMYFUNCTION("GOOGLETRANSLATE(B4893)"),"破壞")</f>
        <v>破壞</v>
      </c>
    </row>
    <row r="4894" ht="15.75" customHeight="1">
      <c r="A4894" s="4">
        <v>3764.0</v>
      </c>
      <c r="B4894" s="4" t="s">
        <v>1636</v>
      </c>
      <c r="D4894" s="4" t="s">
        <v>7236</v>
      </c>
      <c r="E4894" s="4">
        <v>0.0</v>
      </c>
      <c r="F4894" s="4" t="str">
        <f>IFERROR(__xludf.DUMMYFUNCTION("GOOGLETRANSLATE(D4894)"),"不要成為自我毀滅的原因")</f>
        <v>不要成為自我毀滅的原因</v>
      </c>
      <c r="G4894" s="4" t="str">
        <f>IFERROR(__xludf.DUMMYFUNCTION("GOOGLETRANSLATE(B4894)"),"破壞")</f>
        <v>破壞</v>
      </c>
    </row>
    <row r="4895" ht="15.75" customHeight="1">
      <c r="A4895" s="4">
        <v>3766.0</v>
      </c>
      <c r="B4895" s="4" t="s">
        <v>1636</v>
      </c>
      <c r="D4895" s="4" t="s">
        <v>7237</v>
      </c>
      <c r="E4895" s="4">
        <v>0.0</v>
      </c>
      <c r="F4895" s="4" t="str">
        <f>IFERROR(__xludf.DUMMYFUNCTION("GOOGLETRANSLATE(D4895)"),"“每一個內部分裂的王國都將走向毀滅，沒有任何一個內部分裂的城市或房屋能夠屹立不倒。”
馬太福音 12:32")</f>
        <v>“每一個內部分裂的王國都將走向毀滅，沒有任何一個內部分裂的城市或房屋能夠屹立不倒。”
馬太福音 12:32</v>
      </c>
      <c r="G4895" s="4" t="str">
        <f>IFERROR(__xludf.DUMMYFUNCTION("GOOGLETRANSLATE(B4895)"),"破壞")</f>
        <v>破壞</v>
      </c>
    </row>
    <row r="4896" ht="15.75" customHeight="1">
      <c r="A4896" s="4">
        <v>3768.0</v>
      </c>
      <c r="B4896" s="4" t="s">
        <v>1636</v>
      </c>
      <c r="C4896" s="4" t="s">
        <v>7238</v>
      </c>
      <c r="D4896" s="4" t="s">
        <v>7239</v>
      </c>
      <c r="E4896" s="4">
        <v>0.0</v>
      </c>
      <c r="F4896" s="4" t="str">
        <f>IFERROR(__xludf.DUMMYFUNCTION("GOOGLETRANSLATE(D4896)"),"Megadeth-毀滅交響曲 http://t.co/xzfxRgLAlp")</f>
        <v>Megadeth-毀滅交響曲 http://t.co/xzfxRgLAlp</v>
      </c>
      <c r="G4896" s="4" t="str">
        <f>IFERROR(__xludf.DUMMYFUNCTION("GOOGLETRANSLATE(B4896)"),"破壞")</f>
        <v>破壞</v>
      </c>
    </row>
    <row r="4897" ht="15.75" customHeight="1">
      <c r="A4897" s="4">
        <v>3771.0</v>
      </c>
      <c r="B4897" s="4" t="s">
        <v>1636</v>
      </c>
      <c r="C4897" s="4" t="s">
        <v>72</v>
      </c>
      <c r="D4897" s="4" t="s">
        <v>7240</v>
      </c>
      <c r="E4897" s="4">
        <v>0.0</v>
      </c>
      <c r="F4897" s="4" t="str">
        <f>IFERROR(__xludf.DUMMYFUNCTION("GOOGLETRANSLATE(D4897)"),"#ThingsIhate
看著你關心的人走向徹底毀滅卻無能為力。")</f>
        <v>#ThingsIhate
看著你關心的人走向徹底毀滅卻無能為力。</v>
      </c>
      <c r="G4897" s="4" t="str">
        <f>IFERROR(__xludf.DUMMYFUNCTION("GOOGLETRANSLATE(B4897)"),"破壞")</f>
        <v>破壞</v>
      </c>
    </row>
    <row r="4898" ht="15.75" customHeight="1">
      <c r="A4898" s="4">
        <v>3773.0</v>
      </c>
      <c r="B4898" s="4" t="s">
        <v>1636</v>
      </c>
      <c r="D4898" s="4" t="s">
        <v>7241</v>
      </c>
      <c r="E4898" s="4">
        <v>0.0</v>
      </c>
      <c r="F4898" s="4" t="str">
        <f>IFERROR(__xludf.DUMMYFUNCTION("GOOGLETRANSLATE(D4898)"),"《除暴戰警 3》的破壞僅限於多人遊戲：《除暴戰警 3》本週早些時候的演示令人印象深刻... http://t.co/gwESgesZxV")</f>
        <v>《除暴戰警 3》的破壞僅限於多人遊戲：《除暴戰警 3》本週早些時候的演示令人印象深刻... http://t.co/gwESgesZxV</v>
      </c>
      <c r="G4898" s="4" t="str">
        <f>IFERROR(__xludf.DUMMYFUNCTION("GOOGLETRANSLATE(B4898)"),"破壞")</f>
        <v>破壞</v>
      </c>
    </row>
    <row r="4899" ht="15.75" customHeight="1">
      <c r="A4899" s="4">
        <v>3774.0</v>
      </c>
      <c r="B4899" s="4" t="s">
        <v>1636</v>
      </c>
      <c r="D4899" s="4" t="s">
        <v>7242</v>
      </c>
      <c r="E4899" s="4">
        <v>0.0</v>
      </c>
      <c r="F4899" s="4" t="str">
        <f>IFERROR(__xludf.DUMMYFUNCTION("GOOGLETRANSLATE(D4899)"),"@BlossomingLilac 看來是毀滅性的。我看到自己被毀了……不知何故。")</f>
        <v>@BlossomingLilac 看來是毀滅性的。我看到自己被毀了……不知何故。</v>
      </c>
      <c r="G4899" s="4" t="str">
        <f>IFERROR(__xludf.DUMMYFUNCTION("GOOGLETRANSLATE(B4899)"),"破壞")</f>
        <v>破壞</v>
      </c>
    </row>
    <row r="4900" ht="15.75" customHeight="1">
      <c r="A4900" s="4">
        <v>3775.0</v>
      </c>
      <c r="B4900" s="4" t="s">
        <v>1636</v>
      </c>
      <c r="C4900" s="4" t="s">
        <v>7243</v>
      </c>
      <c r="D4900" s="4" t="s">
        <v>7244</v>
      </c>
      <c r="E4900" s="4">
        <v>0.0</v>
      </c>
      <c r="F4900" s="4" t="str">
        <f>IFERROR(__xludf.DUMMYFUNCTION("GOOGLETRANSLATE(D4900)"),"我們對自己的破壞如此傲慢，以至於我們認為地球需要我們。她不知道。")</f>
        <v>我們對自己的破壞如此傲慢，以至於我們認為地球需要我們。她不知道。</v>
      </c>
      <c r="G4900" s="4" t="str">
        <f>IFERROR(__xludf.DUMMYFUNCTION("GOOGLETRANSLATE(B4900)"),"破壞")</f>
        <v>破壞</v>
      </c>
    </row>
    <row r="4901" ht="15.75" customHeight="1">
      <c r="A4901" s="4">
        <v>3776.0</v>
      </c>
      <c r="B4901" s="4" t="s">
        <v>1636</v>
      </c>
      <c r="C4901" s="4" t="s">
        <v>2151</v>
      </c>
      <c r="D4901" s="4" t="s">
        <v>7245</v>
      </c>
      <c r="E4901" s="4">
        <v>0.0</v>
      </c>
      <c r="F4901" s="4" t="str">
        <f>IFERROR(__xludf.DUMMYFUNCTION("GOOGLETRANSLATE(D4901)"),"Megadeth Week - 毀滅交響曲 http://t.co/ECd7HiZja1")</f>
        <v>Megadeth Week - 毀滅交響曲 http://t.co/ECd7HiZja1</v>
      </c>
      <c r="G4901" s="4" t="str">
        <f>IFERROR(__xludf.DUMMYFUNCTION("GOOGLETRANSLATE(B4901)"),"破壞")</f>
        <v>破壞</v>
      </c>
    </row>
    <row r="4902" ht="15.75" customHeight="1">
      <c r="A4902" s="4">
        <v>3777.0</v>
      </c>
      <c r="B4902" s="4" t="s">
        <v>1636</v>
      </c>
      <c r="D4902" s="4" t="s">
        <v>7246</v>
      </c>
      <c r="E4902" s="4">
        <v>0.0</v>
      </c>
      <c r="F4902" s="4" t="str">
        <f>IFERROR(__xludf.DUMMYFUNCTION("GOOGLETRANSLATE(D4902)"),"《除暴戰警 3》的破壞僅限於多人遊戲：《除暴戰警 3》本週早些時候的演示令人印象深刻... http://t.co/N08qluornx")</f>
        <v>《除暴戰警 3》的破壞僅限於多人遊戲：《除暴戰警 3》本週早些時候的演示令人印象深刻... http://t.co/N08qluornx</v>
      </c>
      <c r="G4902" s="4" t="str">
        <f>IFERROR(__xludf.DUMMYFUNCTION("GOOGLETRANSLATE(B4902)"),"破壞")</f>
        <v>破壞</v>
      </c>
    </row>
    <row r="4903" ht="15.75" customHeight="1">
      <c r="A4903" s="4">
        <v>3778.0</v>
      </c>
      <c r="B4903" s="4" t="s">
        <v>1636</v>
      </c>
      <c r="C4903" s="4" t="s">
        <v>7247</v>
      </c>
      <c r="D4903" s="4" t="s">
        <v>7248</v>
      </c>
      <c r="E4903" s="4">
        <v>0.0</v>
      </c>
      <c r="F4903" s="4" t="str">
        <f>IFERROR(__xludf.DUMMYFUNCTION("GOOGLETRANSLATE(D4903)"),"發生了什麼事？確實是一場破壞http://t.co/tUX0YPwZuR")</f>
        <v>發生了什麼事？確實是一場破壞http://t.co/tUX0YPwZuR</v>
      </c>
      <c r="G4903" s="4" t="str">
        <f>IFERROR(__xludf.DUMMYFUNCTION("GOOGLETRANSLATE(B4903)"),"破壞")</f>
        <v>破壞</v>
      </c>
    </row>
    <row r="4904" ht="15.75" customHeight="1">
      <c r="A4904" s="4">
        <v>3780.0</v>
      </c>
      <c r="B4904" s="4" t="s">
        <v>1636</v>
      </c>
      <c r="C4904" s="4" t="s">
        <v>434</v>
      </c>
      <c r="D4904" s="4" t="s">
        <v>7249</v>
      </c>
      <c r="E4904" s="4">
        <v>0.0</v>
      </c>
      <c r="F4904" s="4" t="str">
        <f>IFERROR(__xludf.DUMMYFUNCTION("GOOGLETRANSLATE(D4904)"),"1998 年的這一天，《Appetite For Destruction》在 Billboard 專輯排行榜上排名第一，並保持了 57 週")</f>
        <v>1998 年的這一天，《Appetite For Destruction》在 Billboard 專輯排行榜上排名第一，並保持了 57 週</v>
      </c>
      <c r="G4904" s="4" t="str">
        <f>IFERROR(__xludf.DUMMYFUNCTION("GOOGLETRANSLATE(B4904)"),"破壞")</f>
        <v>破壞</v>
      </c>
    </row>
    <row r="4905" ht="15.75" customHeight="1">
      <c r="A4905" s="4">
        <v>3785.0</v>
      </c>
      <c r="B4905" s="4" t="s">
        <v>1636</v>
      </c>
      <c r="D4905" s="4" t="s">
        <v>7250</v>
      </c>
      <c r="E4905" s="4">
        <v>0.0</v>
      </c>
      <c r="F4905" s="4" t="str">
        <f>IFERROR(__xludf.DUMMYFUNCTION("GOOGLETRANSLATE(D4905)"),"@AlexeiVolkov1 @McFaul
本著同樣的精神，我將你們留給Roskomnadzor 以及對「非法食品」的可笑的政治化銷毀。")</f>
        <v>@AlexeiVolkov1 @McFaul
本著同樣的精神，我將你們留給Roskomnadzor 以及對「非法食品」的可笑的政治化銷毀。</v>
      </c>
      <c r="G4905" s="4" t="str">
        <f>IFERROR(__xludf.DUMMYFUNCTION("GOOGLETRANSLATE(B4905)"),"破壞")</f>
        <v>破壞</v>
      </c>
    </row>
    <row r="4906" ht="15.75" customHeight="1">
      <c r="A4906" s="4">
        <v>3786.0</v>
      </c>
      <c r="B4906" s="4" t="s">
        <v>1636</v>
      </c>
      <c r="C4906" s="4" t="s">
        <v>7251</v>
      </c>
      <c r="D4906" s="4" t="s">
        <v>7252</v>
      </c>
      <c r="E4906" s="4">
        <v>0.0</v>
      </c>
      <c r="F4906" s="4" t="str">
        <f>IFERROR(__xludf.DUMMYFUNCTION("GOOGLETRANSLATE(D4906)"),"這就是最終的毀滅之路")</f>
        <v>這就是最終的毀滅之路</v>
      </c>
      <c r="G4906" s="4" t="str">
        <f>IFERROR(__xludf.DUMMYFUNCTION("GOOGLETRANSLATE(B4906)"),"破壞")</f>
        <v>破壞</v>
      </c>
    </row>
    <row r="4907" ht="15.75" customHeight="1">
      <c r="A4907" s="4">
        <v>3787.0</v>
      </c>
      <c r="B4907" s="4" t="s">
        <v>1636</v>
      </c>
      <c r="C4907" s="4" t="s">
        <v>7253</v>
      </c>
      <c r="D4907" s="4" t="s">
        <v>7254</v>
      </c>
      <c r="E4907" s="4">
        <v>0.0</v>
      </c>
      <c r="F4907" s="4" t="str">
        <f>IFERROR(__xludf.DUMMYFUNCTION("GOOGLETRANSLATE(D4907)"),"自毀模式！ ???? https://t.co/ZtYZhbvzqP")</f>
        <v>自毀模式！ ???? https://t.co/ZtYZhbvzqP</v>
      </c>
      <c r="G4907" s="4" t="str">
        <f>IFERROR(__xludf.DUMMYFUNCTION("GOOGLETRANSLATE(B4907)"),"破壞")</f>
        <v>破壞</v>
      </c>
    </row>
    <row r="4908" ht="15.75" customHeight="1">
      <c r="A4908" s="4">
        <v>3788.0</v>
      </c>
      <c r="B4908" s="4" t="s">
        <v>1636</v>
      </c>
      <c r="C4908" s="4" t="s">
        <v>183</v>
      </c>
      <c r="D4908" s="4" t="s">
        <v>7255</v>
      </c>
      <c r="E4908" s="4">
        <v>0.0</v>
      </c>
      <c r="F4908" s="4" t="str">
        <f>IFERROR(__xludf.DUMMYFUNCTION("GOOGLETRANSLATE(D4908)"),"@Bonn1eGreer 歷史天使被進步之風推向未來，留下了成堆的死亡和破壞。世界銀行")</f>
        <v>@Bonn1eGreer 歷史天使被進步之風推向未來，留下了成堆的死亡和破壞。世界銀行</v>
      </c>
      <c r="G4908" s="4" t="str">
        <f>IFERROR(__xludf.DUMMYFUNCTION("GOOGLETRANSLATE(B4908)"),"破壞")</f>
        <v>破壞</v>
      </c>
    </row>
    <row r="4909" ht="15.75" customHeight="1">
      <c r="A4909" s="4">
        <v>3789.0</v>
      </c>
      <c r="B4909" s="4" t="s">
        <v>1636</v>
      </c>
      <c r="D4909" s="4" t="s">
        <v>7256</v>
      </c>
      <c r="E4909" s="4">
        <v>0.0</v>
      </c>
      <c r="F4909" s="4" t="str">
        <f>IFERROR(__xludf.DUMMYFUNCTION("GOOGLETRANSLATE(D4909)"),"Marquei como visto Dragon Ball Super - 1x1 - 破壞神之夢 http://t.co/vJLnsKbG86 #bancodeseries")</f>
        <v>Marquei como visto Dragon Ball Super - 1x1 - 破壞神之夢 http://t.co/vJLnsKbG86 #bancodeseries</v>
      </c>
      <c r="G4909" s="4" t="str">
        <f>IFERROR(__xludf.DUMMYFUNCTION("GOOGLETRANSLATE(B4909)"),"破壞")</f>
        <v>破壞</v>
      </c>
    </row>
    <row r="4910" ht="15.75" customHeight="1">
      <c r="A4910" s="4">
        <v>3793.0</v>
      </c>
      <c r="B4910" s="4" t="s">
        <v>1636</v>
      </c>
      <c r="D4910" s="4" t="s">
        <v>7257</v>
      </c>
      <c r="E4910" s="4">
        <v>0.0</v>
      </c>
      <c r="F4910" s="4" t="str">
        <f>IFERROR(__xludf.DUMMYFUNCTION("GOOGLETRANSLATE(D4910)"),"誘惑總是導致毀滅")</f>
        <v>誘惑總是導致毀滅</v>
      </c>
      <c r="G4910" s="4" t="str">
        <f>IFERROR(__xludf.DUMMYFUNCTION("GOOGLETRANSLATE(B4910)"),"破壞")</f>
        <v>破壞</v>
      </c>
    </row>
    <row r="4911" ht="15.75" customHeight="1">
      <c r="A4911" s="4">
        <v>3797.0</v>
      </c>
      <c r="B4911" s="4" t="s">
        <v>1636</v>
      </c>
      <c r="C4911" s="4" t="s">
        <v>7258</v>
      </c>
      <c r="D4911" s="4" t="s">
        <v>7259</v>
      </c>
      <c r="E4911" s="4">
        <v>0.0</v>
      </c>
      <c r="F4911" s="4" t="str">
        <f>IFERROR(__xludf.DUMMYFUNCTION("GOOGLETRANSLATE(D4911)"),"它確實對我產生了影響http://t.co/GS50DdG1JY")</f>
        <v>它確實對我產生了影響http://t.co/GS50DdG1JY</v>
      </c>
      <c r="G4911" s="4" t="str">
        <f>IFERROR(__xludf.DUMMYFUNCTION("GOOGLETRANSLATE(B4911)"),"破壞")</f>
        <v>破壞</v>
      </c>
    </row>
    <row r="4912" ht="15.75" customHeight="1">
      <c r="A4912" s="4">
        <v>3798.0</v>
      </c>
      <c r="B4912" s="4" t="s">
        <v>1646</v>
      </c>
      <c r="C4912" s="4" t="s">
        <v>7260</v>
      </c>
      <c r="D4912" s="4" t="s">
        <v>7261</v>
      </c>
      <c r="E4912" s="4">
        <v>0.0</v>
      </c>
      <c r="F4912" s="4" t="str">
        <f>IFERROR(__xludf.DUMMYFUNCTION("GOOGLETRANSLATE(D4912)"),"@TinyJecht 你是另一個站立使用者嗎？如果你是，我就得用我的殺手女王引爆你。")</f>
        <v>@TinyJecht 你是另一個站立使用者嗎？如果你是，我就得用我的殺手女王引爆你。</v>
      </c>
      <c r="G4912" s="4" t="str">
        <f>IFERROR(__xludf.DUMMYFUNCTION("GOOGLETRANSLATE(B4912)"),"起爆")</f>
        <v>起爆</v>
      </c>
    </row>
    <row r="4913" ht="15.75" customHeight="1">
      <c r="A4913" s="4">
        <v>3803.0</v>
      </c>
      <c r="B4913" s="4" t="s">
        <v>1646</v>
      </c>
      <c r="C4913" s="4" t="s">
        <v>7262</v>
      </c>
      <c r="D4913" s="4" t="s">
        <v>7263</v>
      </c>
      <c r="E4913" s="4">
        <v>0.0</v>
      </c>
      <c r="F4913" s="4" t="str">
        <f>IFERROR(__xludf.DUMMYFUNCTION("GOOGLETRANSLATE(D4913)"),"Apollo Brown - Detonate (ft. M.O.P.) http://t.co/4BcQZqJRzn")</f>
        <v>Apollo Brown - Detonate (ft. M.O.P.) http://t.co/4BcQZqJRzn</v>
      </c>
      <c r="G4913" s="4" t="str">
        <f>IFERROR(__xludf.DUMMYFUNCTION("GOOGLETRANSLATE(B4913)"),"起爆")</f>
        <v>起爆</v>
      </c>
    </row>
    <row r="4914" ht="15.75" customHeight="1">
      <c r="A4914" s="4">
        <v>3805.0</v>
      </c>
      <c r="B4914" s="4" t="s">
        <v>1646</v>
      </c>
      <c r="C4914" s="4" t="s">
        <v>4266</v>
      </c>
      <c r="D4914" s="4" t="s">
        <v>7264</v>
      </c>
      <c r="E4914" s="4">
        <v>0.0</v>
      </c>
      <c r="F4914" s="4" t="str">
        <f>IFERROR(__xludf.DUMMYFUNCTION("GOOGLETRANSLATE(D4914)"),"@Furiosoxv 眩暈也可能不會像 AW 眩暈那樣。你無法引爆它們")</f>
        <v>@Furiosoxv 眩暈也可能不會像 AW 眩暈那樣。你無法引爆它們</v>
      </c>
      <c r="G4914" s="4" t="str">
        <f>IFERROR(__xludf.DUMMYFUNCTION("GOOGLETRANSLATE(B4914)"),"起爆")</f>
        <v>起爆</v>
      </c>
    </row>
    <row r="4915" ht="15.75" customHeight="1">
      <c r="A4915" s="4">
        <v>3806.0</v>
      </c>
      <c r="B4915" s="4" t="s">
        <v>1646</v>
      </c>
      <c r="C4915" s="4" t="s">
        <v>7260</v>
      </c>
      <c r="D4915" s="4" t="s">
        <v>7265</v>
      </c>
      <c r="E4915" s="4">
        <v>0.0</v>
      </c>
      <c r="F4915" s="4" t="str">
        <f>IFERROR(__xludf.DUMMYFUNCTION("GOOGLETRANSLATE(D4915)"),"@spinningbot 你是另一個站立用戶嗎？如果你是，我就得用我的殺手女王引爆你。")</f>
        <v>@spinningbot 你是另一個站立用戶嗎？如果你是，我就得用我的殺手女王引爆你。</v>
      </c>
      <c r="G4915" s="4" t="str">
        <f>IFERROR(__xludf.DUMMYFUNCTION("GOOGLETRANSLATE(B4915)"),"起爆")</f>
        <v>起爆</v>
      </c>
    </row>
    <row r="4916" ht="15.75" customHeight="1">
      <c r="A4916" s="4">
        <v>3807.0</v>
      </c>
      <c r="B4916" s="4" t="s">
        <v>1646</v>
      </c>
      <c r="D4916" s="4" t="s">
        <v>7266</v>
      </c>
      <c r="E4916" s="4">
        <v>0.0</v>
      </c>
      <c r="F4916" s="4" t="str">
        <f>IFERROR(__xludf.DUMMYFUNCTION("GOOGLETRANSLATE(D4916)"),"@MythGriy 除非接觸地面，否則它們不會爆炸")</f>
        <v>@MythGriy 除非接觸地面，否則它們不會爆炸</v>
      </c>
      <c r="G4916" s="4" t="str">
        <f>IFERROR(__xludf.DUMMYFUNCTION("GOOGLETRANSLATE(B4916)"),"起爆")</f>
        <v>起爆</v>
      </c>
    </row>
    <row r="4917" ht="15.75" customHeight="1">
      <c r="A4917" s="4">
        <v>3814.0</v>
      </c>
      <c r="B4917" s="4" t="s">
        <v>1646</v>
      </c>
      <c r="C4917" s="4" t="s">
        <v>7260</v>
      </c>
      <c r="D4917" s="4" t="s">
        <v>7265</v>
      </c>
      <c r="E4917" s="4">
        <v>0.0</v>
      </c>
      <c r="F4917" s="4" t="str">
        <f>IFERROR(__xludf.DUMMYFUNCTION("GOOGLETRANSLATE(D4917)"),"@spinningbot 你是另一個站立用戶嗎？如果你是，我就得用我的殺手女王引爆你。")</f>
        <v>@spinningbot 你是另一個站立用戶嗎？如果你是，我就得用我的殺手女王引爆你。</v>
      </c>
      <c r="G4917" s="4" t="str">
        <f>IFERROR(__xludf.DUMMYFUNCTION("GOOGLETRANSLATE(B4917)"),"起爆")</f>
        <v>起爆</v>
      </c>
    </row>
    <row r="4918" ht="15.75" customHeight="1">
      <c r="A4918" s="4">
        <v>3815.0</v>
      </c>
      <c r="B4918" s="4" t="s">
        <v>1646</v>
      </c>
      <c r="C4918" s="4" t="s">
        <v>7267</v>
      </c>
      <c r="D4918" s="4" t="s">
        <v>7268</v>
      </c>
      <c r="E4918" s="4">
        <v>0.0</v>
      </c>
      <c r="F4918" s="4" t="str">
        <f>IFERROR(__xludf.DUMMYFUNCTION("GOOGLETRANSLATE(D4918)"),"阿波羅布朗 - '引爆' f．拖把。 | http://t.co/H1xiGcEn7F")</f>
        <v>阿波羅布朗 - '引爆' f．拖把。 | http://t.co/H1xiGcEn7F</v>
      </c>
      <c r="G4918" s="4" t="str">
        <f>IFERROR(__xludf.DUMMYFUNCTION("GOOGLETRANSLATE(B4918)"),"起爆")</f>
        <v>起爆</v>
      </c>
    </row>
    <row r="4919" ht="15.75" customHeight="1">
      <c r="A4919" s="4">
        <v>3816.0</v>
      </c>
      <c r="B4919" s="4" t="s">
        <v>1646</v>
      </c>
      <c r="C4919" s="4" t="s">
        <v>7269</v>
      </c>
      <c r="D4919" s="4" t="s">
        <v>7270</v>
      </c>
      <c r="E4919" s="4">
        <v>0.0</v>
      </c>
      <c r="F4919" s="4" t="str">
        <f>IFERROR(__xludf.DUMMYFUNCTION("GOOGLETRANSLATE(D4919)"),"真正的嘻哈：Apollo Brown Feat M.O.P. - 引爆
#JTW http://t.co/cEiaO1TEXr")</f>
        <v>真正的嘻哈：Apollo Brown Feat M.O.P. - 引爆
#JTW http://t.co/cEiaO1TEXr</v>
      </c>
      <c r="G4919" s="4" t="str">
        <f>IFERROR(__xludf.DUMMYFUNCTION("GOOGLETRANSLATE(B4919)"),"起爆")</f>
        <v>起爆</v>
      </c>
    </row>
    <row r="4920" ht="15.75" customHeight="1">
      <c r="A4920" s="4">
        <v>3820.0</v>
      </c>
      <c r="B4920" s="4" t="s">
        <v>1646</v>
      </c>
      <c r="D4920" s="4" t="s">
        <v>7271</v>
      </c>
      <c r="E4920" s="4">
        <v>0.0</v>
      </c>
      <c r="F4920" s="4" t="str">
        <f>IFERROR(__xludf.DUMMYFUNCTION("GOOGLETRANSLATE(D4920)"),"一個年輕的重量級說唱引爆我是一個領導者而不是一個檸檬最好把它搞清楚？")</f>
        <v>一個年輕的重量級說唱引爆我是一個領導者而不是一個檸檬最好把它搞清楚？</v>
      </c>
      <c r="G4920" s="4" t="str">
        <f>IFERROR(__xludf.DUMMYFUNCTION("GOOGLETRANSLATE(B4920)"),"起爆")</f>
        <v>起爆</v>
      </c>
    </row>
    <row r="4921" ht="15.75" customHeight="1">
      <c r="A4921" s="4">
        <v>3821.0</v>
      </c>
      <c r="B4921" s="4" t="s">
        <v>1646</v>
      </c>
      <c r="C4921" s="4" t="s">
        <v>7272</v>
      </c>
      <c r="D4921" s="4" t="s">
        <v>7273</v>
      </c>
      <c r="E4921" s="4">
        <v>0.0</v>
      </c>
      <c r="F4921" s="4" t="str">
        <f>IFERROR(__xludf.DUMMYFUNCTION("GOOGLETRANSLATE(D4921)"),"阿波羅布朗 - '引爆' f．拖把。 http://t.co/Y217CEEemD")</f>
        <v>阿波羅布朗 - '引爆' f．拖把。 http://t.co/Y217CEEemD</v>
      </c>
      <c r="G4921" s="4" t="str">
        <f>IFERROR(__xludf.DUMMYFUNCTION("GOOGLETRANSLATE(B4921)"),"起爆")</f>
        <v>起爆</v>
      </c>
    </row>
    <row r="4922" ht="15.75" customHeight="1">
      <c r="A4922" s="4">
        <v>3822.0</v>
      </c>
      <c r="B4922" s="4" t="s">
        <v>1646</v>
      </c>
      <c r="C4922" s="4" t="s">
        <v>1727</v>
      </c>
      <c r="D4922" s="4" t="s">
        <v>7274</v>
      </c>
      <c r="E4922" s="4">
        <v>0.0</v>
      </c>
      <c r="F4922" s="4" t="str">
        <f>IFERROR(__xludf.DUMMYFUNCTION("GOOGLETRANSLATE(D4922)"),".@no_peripheral Apollo Brown - '引爆' f.拖把。 http://t.co/m7na4sKfWR #ORapInforma")</f>
        <v>.@no_peripheral Apollo Brown - '引爆' f.拖把。 http://t.co/m7na4sKfWR #ORapInforma</v>
      </c>
      <c r="G4922" s="4" t="str">
        <f>IFERROR(__xludf.DUMMYFUNCTION("GOOGLETRANSLATE(B4922)"),"起爆")</f>
        <v>起爆</v>
      </c>
    </row>
    <row r="4923" ht="15.75" customHeight="1">
      <c r="A4923" s="4">
        <v>3825.0</v>
      </c>
      <c r="B4923" s="4" t="s">
        <v>1646</v>
      </c>
      <c r="D4923" s="4" t="s">
        <v>7275</v>
      </c>
      <c r="E4923" s="4">
        <v>0.0</v>
      </c>
      <c r="F4923" s="4" t="str">
        <f>IFERROR(__xludf.DUMMYFUNCTION("GOOGLETRANSLATE(D4923)"),"@OpTic_Scumper 為什麼這麼性感？")</f>
        <v>@OpTic_Scumper 為什麼這麼性感？</v>
      </c>
      <c r="G4923" s="4" t="str">
        <f>IFERROR(__xludf.DUMMYFUNCTION("GOOGLETRANSLATE(B4923)"),"起爆")</f>
        <v>起爆</v>
      </c>
    </row>
    <row r="4924" ht="15.75" customHeight="1">
      <c r="A4924" s="4">
        <v>3827.0</v>
      </c>
      <c r="B4924" s="4" t="s">
        <v>1646</v>
      </c>
      <c r="D4924" s="4" t="s">
        <v>7276</v>
      </c>
      <c r="E4924" s="4">
        <v>0.0</v>
      </c>
      <c r="F4924" s="4" t="str">
        <f>IFERROR(__xludf.DUMMYFUNCTION("GOOGLETRANSLATE(D4924)"),"阿波羅布朗 ÛÒ 引爆 f.拖把。 http://t.co/Jn8S0DrWbP #HHBU")</f>
        <v>阿波羅布朗 ÛÒ 引爆 f.拖把。 http://t.co/Jn8S0DrWbP #HHBU</v>
      </c>
      <c r="G4924" s="4" t="str">
        <f>IFERROR(__xludf.DUMMYFUNCTION("GOOGLETRANSLATE(B4924)"),"起爆")</f>
        <v>起爆</v>
      </c>
    </row>
    <row r="4925" ht="15.75" customHeight="1">
      <c r="A4925" s="4">
        <v>3828.0</v>
      </c>
      <c r="B4925" s="4" t="s">
        <v>1646</v>
      </c>
      <c r="C4925" s="4" t="s">
        <v>7260</v>
      </c>
      <c r="D4925" s="4" t="s">
        <v>7261</v>
      </c>
      <c r="E4925" s="4">
        <v>0.0</v>
      </c>
      <c r="F4925" s="4" t="str">
        <f>IFERROR(__xludf.DUMMYFUNCTION("GOOGLETRANSLATE(D4925)"),"@TinyJecht 你是另一個站立使用者嗎？如果你是，我就得用我的殺手女王引爆你。")</f>
        <v>@TinyJecht 你是另一個站立使用者嗎？如果你是，我就得用我的殺手女王引爆你。</v>
      </c>
      <c r="G4925" s="4" t="str">
        <f>IFERROR(__xludf.DUMMYFUNCTION("GOOGLETRANSLATE(B4925)"),"起爆")</f>
        <v>起爆</v>
      </c>
    </row>
    <row r="4926" ht="15.75" customHeight="1">
      <c r="A4926" s="4">
        <v>3829.0</v>
      </c>
      <c r="B4926" s="4" t="s">
        <v>1646</v>
      </c>
      <c r="C4926" s="4" t="s">
        <v>7277</v>
      </c>
      <c r="D4926" s="4" t="s">
        <v>7278</v>
      </c>
      <c r="E4926" s="4">
        <v>0.0</v>
      </c>
      <c r="F4926" s="4" t="str">
        <f>IFERROR(__xludf.DUMMYFUNCTION("GOOGLETRANSLATE(D4926)"),"Apollo Brown - Detonate (feat. M.O.P.) 由 Mello Music Group 透過 #soundcloud https://t.co/PRojeAvG8T")</f>
        <v>Apollo Brown - Detonate (feat. M.O.P.) 由 Mello Music Group 透過 #soundcloud https://t.co/PRojeAvG8T</v>
      </c>
      <c r="G4926" s="4" t="str">
        <f>IFERROR(__xludf.DUMMYFUNCTION("GOOGLETRANSLATE(B4926)"),"起爆")</f>
        <v>起爆</v>
      </c>
    </row>
    <row r="4927" ht="15.75" customHeight="1">
      <c r="A4927" s="4">
        <v>3830.0</v>
      </c>
      <c r="B4927" s="4" t="s">
        <v>1646</v>
      </c>
      <c r="C4927" s="4" t="s">
        <v>7279</v>
      </c>
      <c r="D4927" s="4" t="s">
        <v>7280</v>
      </c>
      <c r="E4927" s="4">
        <v>0.0</v>
      </c>
      <c r="F4927" s="4" t="str">
        <f>IFERROR(__xludf.DUMMYFUNCTION("GOOGLETRANSLATE(D4927)"),"阿波羅布朗 (Apollo Brown) 的《爆炸》(feat. M.O.P.) http://t.co/h9FSIaxv3Q")</f>
        <v>阿波羅布朗 (Apollo Brown) 的《爆炸》(feat. M.O.P.) http://t.co/h9FSIaxv3Q</v>
      </c>
      <c r="G4927" s="4" t="str">
        <f>IFERROR(__xludf.DUMMYFUNCTION("GOOGLETRANSLATE(B4927)"),"起爆")</f>
        <v>起爆</v>
      </c>
    </row>
    <row r="4928" ht="15.75" customHeight="1">
      <c r="A4928" s="4">
        <v>3831.0</v>
      </c>
      <c r="B4928" s="4" t="s">
        <v>1646</v>
      </c>
      <c r="D4928" s="4" t="s">
        <v>7281</v>
      </c>
      <c r="E4928" s="4">
        <v>0.0</v>
      </c>
      <c r="F4928" s="4" t="str">
        <f>IFERROR(__xludf.DUMMYFUNCTION("GOOGLETRANSLATE(D4928)"),"@WoundedPigeon http://t.co/s9soAeVcVo 由@ApolloBrown ft. M.O.P 引爆。")</f>
        <v>@WoundedPigeon http://t.co/s9soAeVcVo 由@ApolloBrown ft. M.O.P 引爆。</v>
      </c>
      <c r="G4928" s="4" t="str">
        <f>IFERROR(__xludf.DUMMYFUNCTION("GOOGLETRANSLATE(B4928)"),"起爆")</f>
        <v>起爆</v>
      </c>
    </row>
    <row r="4929" ht="15.75" customHeight="1">
      <c r="A4929" s="4">
        <v>3832.0</v>
      </c>
      <c r="B4929" s="4" t="s">
        <v>1646</v>
      </c>
      <c r="C4929" s="4" t="s">
        <v>7282</v>
      </c>
      <c r="D4929" s="4" t="s">
        <v>7283</v>
      </c>
      <c r="E4929" s="4">
        <v>0.0</v>
      </c>
      <c r="F4929" s="4" t="str">
        <f>IFERROR(__xludf.DUMMYFUNCTION("GOOGLETRANSLATE(D4929)"),"@mwnhappy 此訊息將在 5 4 3 2 後自爆...")</f>
        <v>@mwnhappy 此訊息將在 5 4 3 2 後自爆...</v>
      </c>
      <c r="G4929" s="4" t="str">
        <f>IFERROR(__xludf.DUMMYFUNCTION("GOOGLETRANSLATE(B4929)"),"起爆")</f>
        <v>起爆</v>
      </c>
    </row>
    <row r="4930" ht="15.75" customHeight="1">
      <c r="A4930" s="4">
        <v>3833.0</v>
      </c>
      <c r="B4930" s="4" t="s">
        <v>1646</v>
      </c>
      <c r="C4930" s="4" t="s">
        <v>7284</v>
      </c>
      <c r="D4930" s="4" t="s">
        <v>7285</v>
      </c>
      <c r="E4930" s="4">
        <v>0.0</v>
      </c>
      <c r="F4930" s="4" t="str">
        <f>IFERROR(__xludf.DUMMYFUNCTION("GOOGLETRANSLATE(D4930)"),"引爆（壯舉。M?.?O?.?P?.?）
來自阿波羅布朗的《宏偉》http://t.co/GFDhFMPCEl")</f>
        <v>引爆（壯舉。M?.?O?.?P?.?）
來自阿波羅布朗的《宏偉》http://t.co/GFDhFMPCEl</v>
      </c>
      <c r="G4930" s="4" t="str">
        <f>IFERROR(__xludf.DUMMYFUNCTION("GOOGLETRANSLATE(B4930)"),"起爆")</f>
        <v>起爆</v>
      </c>
    </row>
    <row r="4931" ht="15.75" customHeight="1">
      <c r="A4931" s="4">
        <v>3834.0</v>
      </c>
      <c r="B4931" s="4" t="s">
        <v>1646</v>
      </c>
      <c r="D4931" s="4" t="s">
        <v>7286</v>
      </c>
      <c r="E4931" s="4">
        <v>0.0</v>
      </c>
      <c r="F4931" s="4" t="str">
        <f>IFERROR(__xludf.DUMMYFUNCTION("GOOGLETRANSLATE(D4931)"),"我剛剛報名參加「引爆諾丁漢秋季發布會」。在此註冊：http://t.co/Km8uCIHrRN")</f>
        <v>我剛剛報名參加「引爆諾丁漢秋季發布會」。在此註冊：http://t.co/Km8uCIHrRN</v>
      </c>
      <c r="G4931" s="4" t="str">
        <f>IFERROR(__xludf.DUMMYFUNCTION("GOOGLETRANSLATE(B4931)"),"起爆")</f>
        <v>起爆</v>
      </c>
    </row>
    <row r="4932" ht="15.75" customHeight="1">
      <c r="A4932" s="4">
        <v>3835.0</v>
      </c>
      <c r="B4932" s="4" t="s">
        <v>1646</v>
      </c>
      <c r="C4932" s="4" t="s">
        <v>7287</v>
      </c>
      <c r="D4932" s="4" t="s">
        <v>7288</v>
      </c>
      <c r="E4932" s="4">
        <v>0.0</v>
      </c>
      <c r="F4932" s="4" t="str">
        <f>IFERROR(__xludf.DUMMYFUNCTION("GOOGLETRANSLATE(D4932)"),"@AutoAmes 每個人都希望我們能加入 ISIS，並在迪克斯堡試圖引爆熱狗彈帶時得到海軍陸戰隊的通風")</f>
        <v>@AutoAmes 每個人都希望我們能加入 ISIS，並在迪克斯堡試圖引爆熱狗彈帶時得到海軍陸戰隊的通風</v>
      </c>
      <c r="G4932" s="4" t="str">
        <f>IFERROR(__xludf.DUMMYFUNCTION("GOOGLETRANSLATE(B4932)"),"起爆")</f>
        <v>起爆</v>
      </c>
    </row>
    <row r="4933" ht="15.75" customHeight="1">
      <c r="A4933" s="4">
        <v>3836.0</v>
      </c>
      <c r="B4933" s="4" t="s">
        <v>1646</v>
      </c>
      <c r="C4933" s="4" t="s">
        <v>7260</v>
      </c>
      <c r="D4933" s="4" t="s">
        <v>7265</v>
      </c>
      <c r="E4933" s="4">
        <v>0.0</v>
      </c>
      <c r="F4933" s="4" t="str">
        <f>IFERROR(__xludf.DUMMYFUNCTION("GOOGLETRANSLATE(D4933)"),"@spinningbot 你是另一個站立用戶嗎？如果你是，我就得用我的殺手女王引爆你。")</f>
        <v>@spinningbot 你是另一個站立用戶嗎？如果你是，我就得用我的殺手女王引爆你。</v>
      </c>
      <c r="G4933" s="4" t="str">
        <f>IFERROR(__xludf.DUMMYFUNCTION("GOOGLETRANSLATE(B4933)"),"起爆")</f>
        <v>起爆</v>
      </c>
    </row>
    <row r="4934" ht="15.75" customHeight="1">
      <c r="A4934" s="4">
        <v>3839.0</v>
      </c>
      <c r="B4934" s="4" t="s">
        <v>1646</v>
      </c>
      <c r="C4934" s="4" t="s">
        <v>942</v>
      </c>
      <c r="D4934" s="4" t="s">
        <v>7289</v>
      </c>
      <c r="E4934" s="4">
        <v>0.0</v>
      </c>
      <c r="F4934" s="4" t="str">
        <f>IFERROR(__xludf.DUMMYFUNCTION("GOOGLETRANSLATE(D4934)"),"按下 M.O.P 播放@ApolloBrown 的新單曲“PLAY”。 「引爆」。 http://t.co/ZDTz3RbS6w")</f>
        <v>按下 M.O.P 播放@ApolloBrown 的新單曲“PLAY”。 「引爆」。 http://t.co/ZDTz3RbS6w</v>
      </c>
      <c r="G4934" s="4" t="str">
        <f>IFERROR(__xludf.DUMMYFUNCTION("GOOGLETRANSLATE(B4934)"),"起爆")</f>
        <v>起爆</v>
      </c>
    </row>
    <row r="4935" ht="15.75" customHeight="1">
      <c r="A4935" s="4">
        <v>3840.0</v>
      </c>
      <c r="B4935" s="4" t="s">
        <v>1646</v>
      </c>
      <c r="C4935" s="4" t="s">
        <v>3871</v>
      </c>
      <c r="D4935" s="4" t="s">
        <v>7290</v>
      </c>
      <c r="E4935" s="4">
        <v>0.0</v>
      </c>
      <c r="F4935" s="4" t="str">
        <f>IFERROR(__xludf.DUMMYFUNCTION("GOOGLETRANSLATE(D4935)"),"Apollo Brown ÛÒ Detonate ft.åÊM.O.P. http://t.co/JD7rIK7fX0 http://t.co/h6NgSw9A5b")</f>
        <v>Apollo Brown ÛÒ Detonate ft.åÊM.O.P. http://t.co/JD7rIK7fX0 http://t.co/h6NgSw9A5b</v>
      </c>
      <c r="G4935" s="4" t="str">
        <f>IFERROR(__xludf.DUMMYFUNCTION("GOOGLETRANSLATE(B4935)"),"起爆")</f>
        <v>起爆</v>
      </c>
    </row>
    <row r="4936" ht="15.75" customHeight="1">
      <c r="A4936" s="4">
        <v>3841.0</v>
      </c>
      <c r="B4936" s="4" t="s">
        <v>1646</v>
      </c>
      <c r="C4936" s="4" t="s">
        <v>7260</v>
      </c>
      <c r="D4936" s="4" t="s">
        <v>7261</v>
      </c>
      <c r="E4936" s="4">
        <v>0.0</v>
      </c>
      <c r="F4936" s="4" t="str">
        <f>IFERROR(__xludf.DUMMYFUNCTION("GOOGLETRANSLATE(D4936)"),"@TinyJecht 你是另一個站立使用者嗎？如果你是，我就得用我的殺手女王引爆你。")</f>
        <v>@TinyJecht 你是另一個站立使用者嗎？如果你是，我就得用我的殺手女王引爆你。</v>
      </c>
      <c r="G4936" s="4" t="str">
        <f>IFERROR(__xludf.DUMMYFUNCTION("GOOGLETRANSLATE(B4936)"),"起爆")</f>
        <v>起爆</v>
      </c>
    </row>
    <row r="4937" ht="15.75" customHeight="1">
      <c r="A4937" s="4">
        <v>3845.0</v>
      </c>
      <c r="B4937" s="4" t="s">
        <v>1646</v>
      </c>
      <c r="C4937" s="4" t="s">
        <v>596</v>
      </c>
      <c r="D4937" s="4" t="s">
        <v>7291</v>
      </c>
      <c r="E4937" s="4">
        <v>0.0</v>
      </c>
      <c r="F4937" s="4" t="str">
        <f>IFERROR(__xludf.DUMMYFUNCTION("GOOGLETRANSLATE(D4937)"),"@ApolloBrown 與 M.O.P. 合作的新音樂？ 《Detonate》從他的專輯《Grandeur》中刪除，即將推出 - http://t.co/m1xYkEcRzr")</f>
        <v>@ApolloBrown 與 M.O.P. 合作的新音樂？ 《Detonate》從他的專輯《Grandeur》中刪除，即將推出 - http://t.co/m1xYkEcRzr</v>
      </c>
      <c r="G4937" s="4" t="str">
        <f>IFERROR(__xludf.DUMMYFUNCTION("GOOGLETRANSLATE(B4937)"),"起爆")</f>
        <v>起爆</v>
      </c>
    </row>
    <row r="4938" ht="15.75" customHeight="1">
      <c r="A4938" s="4">
        <v>3848.0</v>
      </c>
      <c r="B4938" s="4" t="s">
        <v>1662</v>
      </c>
      <c r="D4938" s="4" t="s">
        <v>7292</v>
      </c>
      <c r="E4938" s="4">
        <v>0.0</v>
      </c>
      <c r="F4938" s="4" t="str">
        <f>IFERROR(__xludf.DUMMYFUNCTION("GOOGLETRANSLATE(D4938)"),"點火爆震（爆炸）感測器-Senso 標準適用於 03-08 馬自達 6 3.0L-V6 http://t.co/c8UXkIzwM6 http://t.co/SNxgH9R16u")</f>
        <v>點火爆震（爆炸）感測器-Senso 標準適用於 03-08 馬自達 6 3.0L-V6 http://t.co/c8UXkIzwM6 http://t.co/SNxgH9R16u</v>
      </c>
      <c r="G4938" s="4" t="str">
        <f>IFERROR(__xludf.DUMMYFUNCTION("GOOGLETRANSLATE(B4938)"),"霹靂")</f>
        <v>霹靂</v>
      </c>
    </row>
    <row r="4939" ht="15.75" customHeight="1">
      <c r="A4939" s="4">
        <v>3849.0</v>
      </c>
      <c r="B4939" s="4" t="s">
        <v>1662</v>
      </c>
      <c r="D4939" s="4" t="s">
        <v>7293</v>
      </c>
      <c r="E4939" s="4">
        <v>0.0</v>
      </c>
      <c r="F4939" s="4" t="str">
        <f>IFERROR(__xludf.DUMMYFUNCTION("GOOGLETRANSLATE(D4939)"),"點火爆震（爆炸）感測器連接器-Connecto MOTORCRAFT WPT-994 http://t.co/h2aHxpCH0Y http://t.co/VQ3Vwxj8YU")</f>
        <v>點火爆震（爆炸）感測器連接器-Connecto MOTORCRAFT WPT-994 http://t.co/h2aHxpCH0Y http://t.co/VQ3Vwxj8YU</v>
      </c>
      <c r="G4939" s="4" t="str">
        <f>IFERROR(__xludf.DUMMYFUNCTION("GOOGLETRANSLATE(B4939)"),"霹靂")</f>
        <v>霹靂</v>
      </c>
    </row>
    <row r="4940" ht="15.75" customHeight="1">
      <c r="A4940" s="4">
        <v>3850.0</v>
      </c>
      <c r="B4940" s="4" t="s">
        <v>1662</v>
      </c>
      <c r="D4940" s="4" t="s">
        <v>7294</v>
      </c>
      <c r="E4940" s="4">
        <v>0.0</v>
      </c>
      <c r="F4940" s="4" t="str">
        <f>IFERROR(__xludf.DUMMYFUNCTION("GOOGLETRANSLATE(D4940)"),"點火爆震（爆炸）感測器-Senso 標準 KS161 http://t.co/WadPP69LwJ http://t.co/yjTh2nABv5")</f>
        <v>點火爆震（爆炸）感測器-Senso 標準 KS161 http://t.co/WadPP69LwJ http://t.co/yjTh2nABv5</v>
      </c>
      <c r="G4940" s="4" t="str">
        <f>IFERROR(__xludf.DUMMYFUNCTION("GOOGLETRANSLATE(B4940)"),"霹靂")</f>
        <v>霹靂</v>
      </c>
    </row>
    <row r="4941" ht="15.75" customHeight="1">
      <c r="A4941" s="4">
        <v>3851.0</v>
      </c>
      <c r="B4941" s="4" t="s">
        <v>1662</v>
      </c>
      <c r="D4941" s="4" t="s">
        <v>7295</v>
      </c>
      <c r="E4941" s="4">
        <v>0.0</v>
      </c>
      <c r="F4941" s="4" t="str">
        <f>IFERROR(__xludf.DUMMYFUNCTION("GOOGLETRANSLATE(D4941)"),"點火爆震（爆震）感測器-Senso 標準 KS57 http://t.co/bzZdeDcthL http://t.co/OQJNUyIBxM")</f>
        <v>點火爆震（爆震）感測器-Senso 標準 KS57 http://t.co/bzZdeDcthL http://t.co/OQJNUyIBxM</v>
      </c>
      <c r="G4941" s="4" t="str">
        <f>IFERROR(__xludf.DUMMYFUNCTION("GOOGLETRANSLATE(B4941)"),"霹靂")</f>
        <v>霹靂</v>
      </c>
    </row>
    <row r="4942" ht="15.75" customHeight="1">
      <c r="A4942" s="4">
        <v>3857.0</v>
      </c>
      <c r="B4942" s="4" t="s">
        <v>1662</v>
      </c>
      <c r="D4942" s="4" t="s">
        <v>7296</v>
      </c>
      <c r="E4942" s="4">
        <v>0.0</v>
      </c>
      <c r="F4942" s="4" t="str">
        <f>IFERROR(__xludf.DUMMYFUNCTION("GOOGLETRANSLATE(D4942)"),"爆炸引述 - 我尊敬的腰帶引述最近的每一篇：EseVU http://t.co/emzn4sPwNk")</f>
        <v>爆炸引述 - 我尊敬的腰帶引述最近的每一篇：EseVU http://t.co/emzn4sPwNk</v>
      </c>
      <c r="G4942" s="4" t="str">
        <f>IFERROR(__xludf.DUMMYFUNCTION("GOOGLETRANSLATE(B4942)"),"霹靂")</f>
        <v>霹靂</v>
      </c>
    </row>
    <row r="4943" ht="15.75" customHeight="1">
      <c r="A4943" s="4">
        <v>3858.0</v>
      </c>
      <c r="B4943" s="4" t="s">
        <v>1662</v>
      </c>
      <c r="C4943" s="4" t="s">
        <v>7297</v>
      </c>
      <c r="D4943" s="4" t="s">
        <v>7298</v>
      </c>
      <c r="E4943" s="4">
        <v>0.0</v>
      </c>
      <c r="F4943" s="4" t="str">
        <f>IFERROR(__xludf.DUMMYFUNCTION("GOOGLETRANSLATE(D4943)"),"你要玩個遊戲嗎？
http://t.co/sQFp6Ecz0i
它是一個谷歌地圖混搭，可以計算核彈爆炸的影響")</f>
        <v>你要玩個遊戲嗎？
http://t.co/sQFp6Ecz0i
它是一個谷歌地圖混搭，可以計算核彈爆炸的影響</v>
      </c>
      <c r="G4943" s="4" t="str">
        <f>IFERROR(__xludf.DUMMYFUNCTION("GOOGLETRANSLATE(B4943)"),"霹靂")</f>
        <v>霹靂</v>
      </c>
    </row>
    <row r="4944" ht="15.75" customHeight="1">
      <c r="A4944" s="4">
        <v>3859.0</v>
      </c>
      <c r="B4944" s="4" t="s">
        <v>1662</v>
      </c>
      <c r="D4944" s="4" t="s">
        <v>7299</v>
      </c>
      <c r="E4944" s="4">
        <v>0.0</v>
      </c>
      <c r="F4944" s="4" t="str">
        <f>IFERROR(__xludf.DUMMYFUNCTION("GOOGLETRANSLATE(D4944)"),"鄙視獲得g級電轉錄爆炸的三種方法：BuTIQOb")</f>
        <v>鄙視獲得g級電轉錄爆炸的三種方法：BuTIQOb</v>
      </c>
      <c r="G4944" s="4" t="str">
        <f>IFERROR(__xludf.DUMMYFUNCTION("GOOGLETRANSLATE(B4944)"),"霹靂")</f>
        <v>霹靂</v>
      </c>
    </row>
    <row r="4945" ht="15.75" customHeight="1">
      <c r="A4945" s="4">
        <v>3862.0</v>
      </c>
      <c r="B4945" s="4" t="s">
        <v>1662</v>
      </c>
      <c r="D4945" s="4" t="s">
        <v>7300</v>
      </c>
      <c r="E4945" s="4">
        <v>0.0</v>
      </c>
      <c r="F4945" s="4" t="str">
        <f>IFERROR(__xludf.DUMMYFUNCTION("GOOGLETRANSLATE(D4945)"),"點火爆震（爆震）感知器 - 爆震感知器 Delphi AS10004 http://t.co/LMrKgPOrcF http://t.co/6WAdNmsTOv")</f>
        <v>點火爆震（爆震）感知器 - 爆震感知器 Delphi AS10004 http://t.co/LMrKgPOrcF http://t.co/6WAdNmsTOv</v>
      </c>
      <c r="G4945" s="4" t="str">
        <f>IFERROR(__xludf.DUMMYFUNCTION("GOOGLETRANSLATE(B4945)"),"霹靂")</f>
        <v>霹靂</v>
      </c>
    </row>
    <row r="4946" ht="15.75" customHeight="1">
      <c r="A4946" s="4">
        <v>3864.0</v>
      </c>
      <c r="B4946" s="4" t="s">
        <v>1662</v>
      </c>
      <c r="D4946" s="4" t="s">
        <v>7301</v>
      </c>
      <c r="E4946" s="4">
        <v>0.0</v>
      </c>
      <c r="F4946" s="4" t="str">
        <f>IFERROR(__xludf.DUMMYFUNCTION("GOOGLETRANSLATE(D4946)"),"點火爆震（爆炸）感測器連接器-Connecto MOTORCRAFT WPT-410 http://t.co/bSmJ2HVgwD http://t.co/bXalnEdy49")</f>
        <v>點火爆震（爆炸）感測器連接器-Connecto MOTORCRAFT WPT-410 http://t.co/bSmJ2HVgwD http://t.co/bXalnEdy49</v>
      </c>
      <c r="G4946" s="4" t="str">
        <f>IFERROR(__xludf.DUMMYFUNCTION("GOOGLETRANSLATE(B4946)"),"霹靂")</f>
        <v>霹靂</v>
      </c>
    </row>
    <row r="4947" ht="15.75" customHeight="1">
      <c r="A4947" s="4">
        <v>3868.0</v>
      </c>
      <c r="B4947" s="4" t="s">
        <v>1662</v>
      </c>
      <c r="D4947" s="4" t="s">
        <v>7302</v>
      </c>
      <c r="E4947" s="4">
        <v>0.0</v>
      </c>
      <c r="F4947" s="4" t="str">
        <f>IFERROR(__xludf.DUMMYFUNCTION("GOOGLETRANSLATE(D4947)"),"爆入現實資產進入印度：koZ http://t.co/9ZRQMd8nGZ")</f>
        <v>爆入現實資產進入印度：koZ http://t.co/9ZRQMd8nGZ</v>
      </c>
      <c r="G4947" s="4" t="str">
        <f>IFERROR(__xludf.DUMMYFUNCTION("GOOGLETRANSLATE(B4947)"),"霹靂")</f>
        <v>霹靂</v>
      </c>
    </row>
    <row r="4948" ht="15.75" customHeight="1">
      <c r="A4948" s="4">
        <v>3869.0</v>
      </c>
      <c r="B4948" s="4" t="s">
        <v>1662</v>
      </c>
      <c r="D4948" s="4" t="s">
        <v>7303</v>
      </c>
      <c r="E4948" s="4">
        <v>0.0</v>
      </c>
      <c r="F4948" s="4" t="str">
        <f>IFERROR(__xludf.DUMMYFUNCTION("GOOGLETRANSLATE(D4948)"),"新型 SMP 點火爆震（爆炸）感測器 KS315 http://t.co/aPVLH7hj1O http://t.co/1lJnTEJgmB")</f>
        <v>新型 SMP 點火爆震（爆炸）感測器 KS315 http://t.co/aPVLH7hj1O http://t.co/1lJnTEJgmB</v>
      </c>
      <c r="G4948" s="4" t="str">
        <f>IFERROR(__xludf.DUMMYFUNCTION("GOOGLETRANSLATE(B4948)"),"霹靂")</f>
        <v>霹靂</v>
      </c>
    </row>
    <row r="4949" ht="15.75" customHeight="1">
      <c r="A4949" s="4">
        <v>3870.0</v>
      </c>
      <c r="B4949" s="4" t="s">
        <v>1662</v>
      </c>
      <c r="D4949" s="4" t="s">
        <v>7304</v>
      </c>
      <c r="E4949" s="4">
        <v>0.0</v>
      </c>
      <c r="F4949" s="4" t="str">
        <f>IFERROR(__xludf.DUMMYFUNCTION("GOOGLETRANSLATE(D4949)"),"點火爆震（爆炸）感測器-Senso 標準 KS100 http://t.co/7o4lNfBe7K http://t.co/fVZSGJtBew")</f>
        <v>點火爆震（爆炸）感測器-Senso 標準 KS100 http://t.co/7o4lNfBe7K http://t.co/fVZSGJtBew</v>
      </c>
      <c r="G4949" s="4" t="str">
        <f>IFERROR(__xludf.DUMMYFUNCTION("GOOGLETRANSLATE(B4949)"),"霹靂")</f>
        <v>霹靂</v>
      </c>
    </row>
    <row r="4950" ht="15.75" customHeight="1">
      <c r="A4950" s="4">
        <v>3873.0</v>
      </c>
      <c r="B4950" s="4" t="s">
        <v>1662</v>
      </c>
      <c r="C4950" s="4" t="s">
        <v>291</v>
      </c>
      <c r="D4950" s="4" t="s">
        <v>7305</v>
      </c>
      <c r="E4950" s="4">
        <v>0.0</v>
      </c>
      <c r="F4950" s="4" t="str">
        <f>IFERROR(__xludf.DUMMYFUNCTION("GOOGLETRANSLATE(D4950)"),"2015新時尚女士金錶防水WeiQin著名品牌michel石英de lujo caÛ_ http://t.co/1JgsioUJaS http://t.co/719TZEyHFn")</f>
        <v>2015新時尚女士金錶防水WeiQin著名品牌michel石英de lujo caÛ_ http://t.co/1JgsioUJaS http://t.co/719TZEyHFn</v>
      </c>
      <c r="G4950" s="4" t="str">
        <f>IFERROR(__xludf.DUMMYFUNCTION("GOOGLETRANSLATE(B4950)"),"霹靂")</f>
        <v>霹靂</v>
      </c>
    </row>
    <row r="4951" ht="15.75" customHeight="1">
      <c r="A4951" s="4">
        <v>3874.0</v>
      </c>
      <c r="B4951" s="4" t="s">
        <v>1662</v>
      </c>
      <c r="D4951" s="4" t="s">
        <v>7306</v>
      </c>
      <c r="E4951" s="4">
        <v>0.0</v>
      </c>
      <c r="F4951" s="4" t="str">
        <f>IFERROR(__xludf.DUMMYFUNCTION("GOOGLETRANSLATE(D4951)"),"點火爆震（爆震）感知器-Senso BECK/ARNLEY 158-1017 http://t.co/ryoByQJFCE http://t.co/LW9O2kDk18")</f>
        <v>點火爆震（爆震）感知器-Senso BECK/ARNLEY 158-1017 http://t.co/ryoByQJFCE http://t.co/LW9O2kDk18</v>
      </c>
      <c r="G4951" s="4" t="str">
        <f>IFERROR(__xludf.DUMMYFUNCTION("GOOGLETRANSLATE(B4951)"),"霹靂")</f>
        <v>霹靂</v>
      </c>
    </row>
    <row r="4952" ht="15.75" customHeight="1">
      <c r="A4952" s="4">
        <v>3875.0</v>
      </c>
      <c r="B4952" s="4" t="s">
        <v>1662</v>
      </c>
      <c r="D4952" s="4" t="s">
        <v>7307</v>
      </c>
      <c r="E4952" s="4">
        <v>0.0</v>
      </c>
      <c r="F4952" s="4" t="str">
        <f>IFERROR(__xludf.DUMMYFUNCTION("GOOGLETRANSLATE(D4952)"),"點火爆震（爆炸）感知器 ACDelco GM 原廠 213-924 http://t.co/HpZHe0cjvF http://t.co/SaOhVJktqc")</f>
        <v>點火爆震（爆炸）感知器 ACDelco GM 原廠 213-924 http://t.co/HpZHe0cjvF http://t.co/SaOhVJktqc</v>
      </c>
      <c r="G4952" s="4" t="str">
        <f>IFERROR(__xludf.DUMMYFUNCTION("GOOGLETRANSLATE(B4952)"),"霹靂")</f>
        <v>霹靂</v>
      </c>
    </row>
    <row r="4953" ht="15.75" customHeight="1">
      <c r="A4953" s="4">
        <v>3876.0</v>
      </c>
      <c r="B4953" s="4" t="s">
        <v>1662</v>
      </c>
      <c r="C4953" s="4" t="s">
        <v>7308</v>
      </c>
      <c r="D4953" s="4" t="s">
        <v>7309</v>
      </c>
      <c r="E4953" s="4">
        <v>0.0</v>
      </c>
      <c r="F4953" s="4" t="str">
        <f>IFERROR(__xludf.DUMMYFUNCTION("GOOGLETRANSLATE(D4953)"),"新寵：Trivium - Detonation by @rrusa https://t.co/cubdNsNuvt on #SoundCloud")</f>
        <v>新寵：Trivium - Detonation by @rrusa https://t.co/cubdNsNuvt on #SoundCloud</v>
      </c>
      <c r="G4953" s="4" t="str">
        <f>IFERROR(__xludf.DUMMYFUNCTION("GOOGLETRANSLATE(B4953)"),"霹靂")</f>
        <v>霹靂</v>
      </c>
    </row>
    <row r="4954" ht="15.75" customHeight="1">
      <c r="A4954" s="4">
        <v>3887.0</v>
      </c>
      <c r="B4954" s="4" t="s">
        <v>1662</v>
      </c>
      <c r="D4954" s="4" t="s">
        <v>7310</v>
      </c>
      <c r="E4954" s="4">
        <v>0.0</v>
      </c>
      <c r="F4954" s="4" t="str">
        <f>IFERROR(__xludf.DUMMYFUNCTION("GOOGLETRANSLATE(D4954)"),"點火爆震（爆炸）感知器 ACDelco GM 原廠 213-4678 http://t.co/O2jD4TbrwA http://t.co/JFx6qiyiVF")</f>
        <v>點火爆震（爆炸）感知器 ACDelco GM 原廠 213-4678 http://t.co/O2jD4TbrwA http://t.co/JFx6qiyiVF</v>
      </c>
      <c r="G4954" s="4" t="str">
        <f>IFERROR(__xludf.DUMMYFUNCTION("GOOGLETRANSLATE(B4954)"),"霹靂")</f>
        <v>霹靂</v>
      </c>
    </row>
    <row r="4955" ht="15.75" customHeight="1">
      <c r="A4955" s="4">
        <v>3888.0</v>
      </c>
      <c r="B4955" s="4" t="s">
        <v>1662</v>
      </c>
      <c r="D4955" s="4" t="s">
        <v>7311</v>
      </c>
      <c r="E4955" s="4">
        <v>0.0</v>
      </c>
      <c r="F4955" s="4" t="str">
        <f>IFERROR(__xludf.DUMMYFUNCTION("GOOGLETRANSLATE(D4955)"),"點火爆震（爆炸）感應器-Senso 標準適用於 02-06 Acura RSX 2.0L-L4 http://t.co/VZaIQAMDCp http://t.co/ycecN44c8P")</f>
        <v>點火爆震（爆炸）感應器-Senso 標準適用於 02-06 Acura RSX 2.0L-L4 http://t.co/VZaIQAMDCp http://t.co/ycecN44c8P</v>
      </c>
      <c r="G4955" s="4" t="str">
        <f>IFERROR(__xludf.DUMMYFUNCTION("GOOGLETRANSLATE(B4955)"),"霹靂")</f>
        <v>霹靂</v>
      </c>
    </row>
    <row r="4956" ht="15.75" customHeight="1">
      <c r="A4956" s="4">
        <v>3889.0</v>
      </c>
      <c r="B4956" s="4" t="s">
        <v>1662</v>
      </c>
      <c r="C4956" s="4" t="s">
        <v>291</v>
      </c>
      <c r="D4956" s="4" t="s">
        <v>7312</v>
      </c>
      <c r="E4956" s="4">
        <v>0.0</v>
      </c>
      <c r="F4956" s="4" t="str">
        <f>IFERROR(__xludf.DUMMYFUNCTION("GOOGLETRANSLATE(D4956)"),"引爆時尚登山電子表防水情侶休閒錶Û_ http://t.co/UCAwg59ulJ http://t.co/eNqDfbJUMP")</f>
        <v>引爆時尚登山電子表防水情侶休閒錶Û_ http://t.co/UCAwg59ulJ http://t.co/eNqDfbJUMP</v>
      </c>
      <c r="G4956" s="4" t="str">
        <f>IFERROR(__xludf.DUMMYFUNCTION("GOOGLETRANSLATE(B4956)"),"霹靂")</f>
        <v>霹靂</v>
      </c>
    </row>
    <row r="4957" ht="15.75" customHeight="1">
      <c r="A4957" s="4">
        <v>3892.0</v>
      </c>
      <c r="B4957" s="4" t="s">
        <v>1662</v>
      </c>
      <c r="D4957" s="4" t="s">
        <v>7313</v>
      </c>
      <c r="E4957" s="4">
        <v>0.0</v>
      </c>
      <c r="F4957" s="4" t="str">
        <f>IFERROR(__xludf.DUMMYFUNCTION("GOOGLETRANSLATE(D4957)"),"點火爆震（爆炸）感知器連接器 - Connecto Dorman 917-141 http://t.co/rfJZexQgxt http://t.co/WQGsmiOiMx")</f>
        <v>點火爆震（爆炸）感知器連接器 - Connecto Dorman 917-141 http://t.co/rfJZexQgxt http://t.co/WQGsmiOiMx</v>
      </c>
      <c r="G4957" s="4" t="str">
        <f>IFERROR(__xludf.DUMMYFUNCTION("GOOGLETRANSLATE(B4957)"),"霹靂")</f>
        <v>霹靂</v>
      </c>
    </row>
    <row r="4958" ht="15.75" customHeight="1">
      <c r="A4958" s="4">
        <v>3894.0</v>
      </c>
      <c r="B4958" s="4" t="s">
        <v>1662</v>
      </c>
      <c r="C4958" s="4" t="s">
        <v>291</v>
      </c>
      <c r="D4958" s="4" t="s">
        <v>7314</v>
      </c>
      <c r="E4958" s="4">
        <v>0.0</v>
      </c>
      <c r="F4958" s="4" t="str">
        <f>IFERROR(__xludf.DUMMYFUNCTION("GOOGLETRANSLATE(D4958)"),"引爆時尚登山電子表防水情侶休閒錶¤Û_ http://t.co/E61x9Y65QD http://t.co/OVLET0gDqm")</f>
        <v>引爆時尚登山電子表防水情侶休閒錶¤Û_ http://t.co/E61x9Y65QD http://t.co/OVLET0gDqm</v>
      </c>
      <c r="G4958" s="4" t="str">
        <f>IFERROR(__xludf.DUMMYFUNCTION("GOOGLETRANSLATE(B4958)"),"霹靂")</f>
        <v>霹靂</v>
      </c>
    </row>
    <row r="4959" ht="15.75" customHeight="1">
      <c r="A4959" s="4">
        <v>3896.0</v>
      </c>
      <c r="B4959" s="4" t="s">
        <v>1662</v>
      </c>
      <c r="D4959" s="4" t="s">
        <v>7315</v>
      </c>
      <c r="E4959" s="4">
        <v>0.0</v>
      </c>
      <c r="F4959" s="4" t="str">
        <f>IFERROR(__xludf.DUMMYFUNCTION("GOOGLETRANSLATE(D4959)"),"點火爆震（爆炸）感測器-Senso 標準適用於 97-98 福特 F-250 4.6L-V8 http://t.co/cudkRyUUAN http://t.co/DKOZymvY5l")</f>
        <v>點火爆震（爆炸）感測器-Senso 標準適用於 97-98 福特 F-250 4.6L-V8 http://t.co/cudkRyUUAN http://t.co/DKOZymvY5l</v>
      </c>
      <c r="G4959" s="4" t="str">
        <f>IFERROR(__xludf.DUMMYFUNCTION("GOOGLETRANSLATE(B4959)"),"霹靂")</f>
        <v>霹靂</v>
      </c>
    </row>
    <row r="4960" ht="15.75" customHeight="1">
      <c r="A4960" s="4">
        <v>3897.0</v>
      </c>
      <c r="B4960" s="4" t="s">
        <v>1662</v>
      </c>
      <c r="D4960" s="4" t="s">
        <v>7316</v>
      </c>
      <c r="E4960" s="4">
        <v>0.0</v>
      </c>
      <c r="F4960" s="4" t="str">
        <f>IFERROR(__xludf.DUMMYFUNCTION("GOOGLETRANSLATE(D4960)"),"點火爆震（爆震）感測器-Senso 標準 KS111 http://t.co/NXLEiIJFgS http://t.co/xsGwm5zXPd")</f>
        <v>點火爆震（爆震）感測器-Senso 標準 KS111 http://t.co/NXLEiIJFgS http://t.co/xsGwm5zXPd</v>
      </c>
      <c r="G4960" s="4" t="str">
        <f>IFERROR(__xludf.DUMMYFUNCTION("GOOGLETRANSLATE(B4960)"),"霹靂")</f>
        <v>霹靂</v>
      </c>
    </row>
    <row r="4961" ht="15.75" customHeight="1">
      <c r="A4961" s="4">
        <v>3899.0</v>
      </c>
      <c r="B4961" s="4" t="s">
        <v>1673</v>
      </c>
      <c r="C4961" s="4" t="s">
        <v>1676</v>
      </c>
      <c r="D4961" s="4" t="s">
        <v>7317</v>
      </c>
      <c r="E4961" s="4">
        <v>0.0</v>
      </c>
      <c r="F4961" s="4" t="str">
        <f>IFERROR(__xludf.DUMMYFUNCTION("GOOGLETRANSLATE(D4961)"),"@Meganbee92 @kadiegrr 我只是很傷心，當它結束時我將不再在 pll xxx 上看到泰勒·布萊克本的臉")</f>
        <v>@Meganbee92 @kadiegrr 我只是很傷心，當它結束時我將不再在 pll xxx 上看到泰勒·布萊克本的臉</v>
      </c>
      <c r="G4961" s="4" t="str">
        <f>IFERROR(__xludf.DUMMYFUNCTION("GOOGLETRANSLATE(B4961)"),"被摧毀的")</f>
        <v>被摧毀的</v>
      </c>
    </row>
    <row r="4962" ht="15.75" customHeight="1">
      <c r="A4962" s="4">
        <v>3917.0</v>
      </c>
      <c r="B4962" s="4" t="s">
        <v>1673</v>
      </c>
      <c r="D4962" s="4" t="s">
        <v>7318</v>
      </c>
      <c r="E4962" s="4">
        <v>0.0</v>
      </c>
      <c r="F4962" s="4" t="str">
        <f>IFERROR(__xludf.DUMMYFUNCTION("GOOGLETRANSLATE(D4962)"),"對她有好處哈哈
http://t.co/K9cD0EFVuT")</f>
        <v>對她有好處哈哈
http://t.co/K9cD0EFVuT</v>
      </c>
      <c r="G4962" s="4" t="str">
        <f>IFERROR(__xludf.DUMMYFUNCTION("GOOGLETRANSLATE(B4962)"),"被摧毀的")</f>
        <v>被摧毀的</v>
      </c>
    </row>
    <row r="4963" ht="15.75" customHeight="1">
      <c r="A4963" s="4">
        <v>3921.0</v>
      </c>
      <c r="B4963" s="4" t="s">
        <v>1673</v>
      </c>
      <c r="C4963" s="4" t="s">
        <v>7319</v>
      </c>
      <c r="D4963" s="4" t="s">
        <v>7320</v>
      </c>
      <c r="E4963" s="4">
        <v>0.0</v>
      </c>
      <c r="F4963" s="4" t="str">
        <f>IFERROR(__xludf.DUMMYFUNCTION("GOOGLETRANSLATE(D4963)"),"照片：愛不再是我的一切。我製作的最後一張專輯 [Red] 是一張毀滅性的唱片，因為...... http://t.co/T5agPS7T2B")</f>
        <v>照片：愛不再是我的一切。我製作的最後一張專輯 [Red] 是一張毀滅性的唱片，因為...... http://t.co/T5agPS7T2B</v>
      </c>
      <c r="G4963" s="4" t="str">
        <f>IFERROR(__xludf.DUMMYFUNCTION("GOOGLETRANSLATE(B4963)"),"被摧毀的")</f>
        <v>被摧毀的</v>
      </c>
    </row>
    <row r="4964" ht="15.75" customHeight="1">
      <c r="A4964" s="4">
        <v>3922.0</v>
      </c>
      <c r="B4964" s="4" t="s">
        <v>1673</v>
      </c>
      <c r="C4964" s="4" t="s">
        <v>7321</v>
      </c>
      <c r="D4964" s="4" t="s">
        <v>7322</v>
      </c>
      <c r="E4964" s="4">
        <v>0.0</v>
      </c>
      <c r="F4964" s="4" t="str">
        <f>IFERROR(__xludf.DUMMYFUNCTION("GOOGLETRANSLATE(D4964)"),"羅斯在所有人中都不是「毀滅」這個詞#Emmerdale #SummerFate")</f>
        <v>羅斯在所有人中都不是「毀滅」這個詞#Emmerdale #SummerFate</v>
      </c>
      <c r="G4964" s="4" t="str">
        <f>IFERROR(__xludf.DUMMYFUNCTION("GOOGLETRANSLATE(B4964)"),"被摧毀的")</f>
        <v>被摧毀的</v>
      </c>
    </row>
    <row r="4965" ht="15.75" customHeight="1">
      <c r="A4965" s="4">
        <v>3923.0</v>
      </c>
      <c r="B4965" s="4" t="s">
        <v>1673</v>
      </c>
      <c r="C4965" s="4" t="s">
        <v>7323</v>
      </c>
      <c r="D4965" s="4" t="s">
        <v>7324</v>
      </c>
      <c r="E4965" s="4">
        <v>0.0</v>
      </c>
      <c r="F4965" s="4" t="str">
        <f>IFERROR(__xludf.DUMMYFUNCTION("GOOGLETRANSLATE(D4965)"),"今天一整天都以為是星期五。當我意識到事實並非如此時，我感到非常震驚？")</f>
        <v>今天一整天都以為是星期五。當我意識到事實並非如此時，我感到非常震驚？</v>
      </c>
      <c r="G4965" s="4" t="str">
        <f>IFERROR(__xludf.DUMMYFUNCTION("GOOGLETRANSLATE(B4965)"),"被摧毀的")</f>
        <v>被摧毀的</v>
      </c>
    </row>
    <row r="4966" ht="15.75" customHeight="1">
      <c r="A4966" s="4">
        <v>3924.0</v>
      </c>
      <c r="B4966" s="4" t="s">
        <v>1673</v>
      </c>
      <c r="C4966" s="4" t="s">
        <v>7325</v>
      </c>
      <c r="D4966" s="4" t="s">
        <v>7326</v>
      </c>
      <c r="E4966" s="4">
        <v>0.0</v>
      </c>
      <c r="F4966" s="4" t="str">
        <f>IFERROR(__xludf.DUMMYFUNCTION("GOOGLETRANSLATE(D4966)"),"???????????? @MikeParrActor 絕對摧毀了一個演員。會想念#RossBarton 每個女孩都愛壞男孩")</f>
        <v>???????????? @MikeParrActor 絕對摧毀了一個演員。會想念#RossBarton 每個女孩都愛壞男孩</v>
      </c>
      <c r="G4966" s="4" t="str">
        <f>IFERROR(__xludf.DUMMYFUNCTION("GOOGLETRANSLATE(B4966)"),"被摧毀的")</f>
        <v>被摧毀的</v>
      </c>
    </row>
    <row r="4967" ht="15.75" customHeight="1">
      <c r="A4967" s="4">
        <v>3926.0</v>
      </c>
      <c r="B4967" s="4" t="s">
        <v>1673</v>
      </c>
      <c r="D4967" s="4" t="s">
        <v>7327</v>
      </c>
      <c r="E4967" s="4">
        <v>0.0</v>
      </c>
      <c r="F4967" s="4" t="str">
        <f>IFERROR(__xludf.DUMMYFUNCTION("GOOGLETRANSLATE(D4967)"),"@MikeParrActor 已在他的推特上證實與 2 羅斯說再見。我該死的目瞪口呆/毀滅#emmerdale")</f>
        <v>@MikeParrActor 已在他的推特上證實與 2 羅斯說再見。我該死的目瞪口呆/毀滅#emmerdale</v>
      </c>
      <c r="G4967" s="4" t="str">
        <f>IFERROR(__xludf.DUMMYFUNCTION("GOOGLETRANSLATE(B4967)"),"被摧毀的")</f>
        <v>被摧毀的</v>
      </c>
    </row>
    <row r="4968" ht="15.75" customHeight="1">
      <c r="A4968" s="4">
        <v>3927.0</v>
      </c>
      <c r="B4968" s="4" t="s">
        <v>1673</v>
      </c>
      <c r="C4968" s="4" t="s">
        <v>7328</v>
      </c>
      <c r="D4968" s="4" t="s">
        <v>7329</v>
      </c>
      <c r="E4968" s="4">
        <v>0.0</v>
      </c>
      <c r="F4968" s="4" t="str">
        <f>IFERROR(__xludf.DUMMYFUNCTION("GOOGLETRANSLATE(D4968)"),"@MikeParrActor 崩潰了！！ ????")</f>
        <v>@MikeParrActor 崩潰了！！ ????</v>
      </c>
      <c r="G4968" s="4" t="str">
        <f>IFERROR(__xludf.DUMMYFUNCTION("GOOGLETRANSLATE(B4968)"),"被摧毀的")</f>
        <v>被摧毀的</v>
      </c>
    </row>
    <row r="4969" ht="15.75" customHeight="1">
      <c r="A4969" s="4">
        <v>3932.0</v>
      </c>
      <c r="B4969" s="4" t="s">
        <v>1673</v>
      </c>
      <c r="D4969" s="4" t="s">
        <v>7330</v>
      </c>
      <c r="E4969" s="4">
        <v>0.0</v>
      </c>
      <c r="F4969" s="4" t="str">
        <f>IFERROR(__xludf.DUMMYFUNCTION("GOOGLETRANSLATE(D4969)"),"貝爾斯托把他的自助餐券丟在那裡。為小伙子傷心了。")</f>
        <v>貝爾斯托把他的自助餐券丟在那裡。為小伙子傷心了。</v>
      </c>
      <c r="G4969" s="4" t="str">
        <f>IFERROR(__xludf.DUMMYFUNCTION("GOOGLETRANSLATE(B4969)"),"被摧毀的")</f>
        <v>被摧毀的</v>
      </c>
    </row>
    <row r="4970" ht="15.75" customHeight="1">
      <c r="A4970" s="4">
        <v>3938.0</v>
      </c>
      <c r="B4970" s="4" t="s">
        <v>1673</v>
      </c>
      <c r="C4970" s="4" t="s">
        <v>7331</v>
      </c>
      <c r="D4970" s="4" t="s">
        <v>7332</v>
      </c>
      <c r="E4970" s="4">
        <v>0.0</v>
      </c>
      <c r="F4970" s="4" t="str">
        <f>IFERROR(__xludf.DUMMYFUNCTION("GOOGLETRANSLATE(D4970)"),"對今天的指控感到震驚。")</f>
        <v>對今天的指控感到震驚。</v>
      </c>
      <c r="G4970" s="4" t="str">
        <f>IFERROR(__xludf.DUMMYFUNCTION("GOOGLETRANSLATE(B4970)"),"被摧毀的")</f>
        <v>被摧毀的</v>
      </c>
    </row>
    <row r="4971" ht="15.75" customHeight="1">
      <c r="A4971" s="4">
        <v>3940.0</v>
      </c>
      <c r="B4971" s="4" t="s">
        <v>1673</v>
      </c>
      <c r="C4971" s="4" t="s">
        <v>1205</v>
      </c>
      <c r="D4971" s="4" t="s">
        <v>7333</v>
      </c>
      <c r="E4971" s="4">
        <v>0.0</v>
      </c>
      <c r="F4971" s="4" t="str">
        <f>IFERROR(__xludf.DUMMYFUNCTION("GOOGLETRANSLATE(D4971)"),"@Keegan172 我很沮喪")</f>
        <v>@Keegan172 我很沮喪</v>
      </c>
      <c r="G4971" s="4" t="str">
        <f>IFERROR(__xludf.DUMMYFUNCTION("GOOGLETRANSLATE(B4971)"),"被摧毀的")</f>
        <v>被摧毀的</v>
      </c>
    </row>
    <row r="4972" ht="15.75" customHeight="1">
      <c r="A4972" s="4">
        <v>3944.0</v>
      </c>
      <c r="B4972" s="4" t="s">
        <v>1673</v>
      </c>
      <c r="D4972" s="4" t="s">
        <v>7334</v>
      </c>
      <c r="E4972" s="4">
        <v>0.0</v>
      </c>
      <c r="F4972" s="4" t="str">
        <f>IFERROR(__xludf.DUMMYFUNCTION("GOOGLETRANSLATE(D4972)"),"@emmerdale，如果是該隱，我會很難過…這麼偉大的角色？")</f>
        <v>@emmerdale，如果是該隱，我會很難過…這麼偉大的角色？</v>
      </c>
      <c r="G4972" s="4" t="str">
        <f>IFERROR(__xludf.DUMMYFUNCTION("GOOGLETRANSLATE(B4972)"),"被摧毀的")</f>
        <v>被摧毀的</v>
      </c>
    </row>
    <row r="4973" ht="15.75" customHeight="1">
      <c r="A4973" s="4">
        <v>3945.0</v>
      </c>
      <c r="B4973" s="4" t="s">
        <v>1673</v>
      </c>
      <c r="C4973" s="4" t="s">
        <v>7335</v>
      </c>
      <c r="D4973" s="4" t="s">
        <v>7336</v>
      </c>
      <c r="E4973" s="4">
        <v>0.0</v>
      </c>
      <c r="F4973" s="4" t="str">
        <f>IFERROR(__xludf.DUMMYFUNCTION("GOOGLETRANSLATE(D4973)"),"斯圖爾特·布羅德 (Stuart Broad) 已經就任總理了嗎？這是我多年來看到的體育運動中最好的事情。澳洲人看起來很沮喪。祝福？？？？？")</f>
        <v>斯圖爾特·布羅德 (Stuart Broad) 已經就任總理了嗎？這是我多年來看到的體育運動中最好的事情。澳洲人看起來很沮喪。祝福？？？？？</v>
      </c>
      <c r="G4973" s="4" t="str">
        <f>IFERROR(__xludf.DUMMYFUNCTION("GOOGLETRANSLATE(B4973)"),"被摧毀的")</f>
        <v>被摧毀的</v>
      </c>
    </row>
    <row r="4974" ht="15.75" customHeight="1">
      <c r="A4974" s="4">
        <v>3953.0</v>
      </c>
      <c r="B4974" s="4" t="s">
        <v>1701</v>
      </c>
      <c r="C4974" s="4" t="s">
        <v>4900</v>
      </c>
      <c r="D4974" s="4" t="s">
        <v>7337</v>
      </c>
      <c r="E4974" s="4">
        <v>0.0</v>
      </c>
      <c r="F4974" s="4" t="str">
        <f>IFERROR(__xludf.DUMMYFUNCTION("GOOGLETRANSLATE(D4974)"),"布羅德帶球造成的破壞已經過時了。魯特手裡拿著蝙蝠。美好的一天#ashes2015 #ENGvAUS http://t.co/a7TJAWWtJ7")</f>
        <v>布羅德帶球造成的破壞已經過時了。魯特手裡拿著蝙蝠。美好的一天#ashes2015 #ENGvAUS http://t.co/a7TJAWWtJ7</v>
      </c>
      <c r="G4974" s="4" t="str">
        <f>IFERROR(__xludf.DUMMYFUNCTION("GOOGLETRANSLATE(B4974)"),"破壞")</f>
        <v>破壞</v>
      </c>
    </row>
    <row r="4975" ht="15.75" customHeight="1">
      <c r="A4975" s="4">
        <v>3959.0</v>
      </c>
      <c r="B4975" s="4" t="s">
        <v>1701</v>
      </c>
      <c r="D4975" s="4" t="s">
        <v>7338</v>
      </c>
      <c r="E4975" s="4">
        <v>0.0</v>
      </c>
      <c r="F4975" s="4" t="str">
        <f>IFERROR(__xludf.DUMMYFUNCTION("GOOGLETRANSLATE(D4975)"),"@ssssnell 是的，我同意，但這是令人震驚的因素，如果人們只是表現出破壞性，那麼就會激怒我")</f>
        <v>@ssssnell 是的，我同意，但這是令人震驚的因素，如果人們只是表現出破壞性，那麼就會激怒我</v>
      </c>
      <c r="G4975" s="4" t="str">
        <f>IFERROR(__xludf.DUMMYFUNCTION("GOOGLETRANSLATE(B4975)"),"破壞")</f>
        <v>破壞</v>
      </c>
    </row>
    <row r="4976" ht="15.75" customHeight="1">
      <c r="A4976" s="4">
        <v>3969.0</v>
      </c>
      <c r="B4976" s="4" t="s">
        <v>1701</v>
      </c>
      <c r="C4976" s="4" t="s">
        <v>974</v>
      </c>
      <c r="D4976" s="4" t="s">
        <v>7339</v>
      </c>
      <c r="E4976" s="4">
        <v>0.0</v>
      </c>
      <c r="F4976" s="4" t="str">
        <f>IFERROR(__xludf.DUMMYFUNCTION("GOOGLETRANSLATE(D4976)"),"我們還沒有看到 2014 年公司違規事件造成的破壞，請做好準備！取得報告！：http://t.co/eK6KYHxPE9 http://t.co/Yn6NxOucR1")</f>
        <v>我們還沒有看到 2014 年公司違規事件造成的破壞，請做好準備！取得報告！：http://t.co/eK6KYHxPE9 http://t.co/Yn6NxOucR1</v>
      </c>
      <c r="G4976" s="4" t="str">
        <f>IFERROR(__xludf.DUMMYFUNCTION("GOOGLETRANSLATE(B4976)"),"破壞")</f>
        <v>破壞</v>
      </c>
    </row>
    <row r="4977" ht="15.75" customHeight="1">
      <c r="A4977" s="4">
        <v>3973.0</v>
      </c>
      <c r="B4977" s="4" t="s">
        <v>1701</v>
      </c>
      <c r="C4977" s="4" t="s">
        <v>7340</v>
      </c>
      <c r="D4977" s="4" t="s">
        <v>7341</v>
      </c>
      <c r="E4977" s="4">
        <v>0.0</v>
      </c>
      <c r="F4977" s="4" t="str">
        <f>IFERROR(__xludf.DUMMYFUNCTION("GOOGLETRANSLATE(D4977)"),"這個國家是拉丁美洲的下一個「阿根廷」嗎：一週前我們報道了該國的經濟破壞... http://t.co/m2y9Ym3iF6")</f>
        <v>這個國家是拉丁美洲的下一個「阿根廷」嗎：一週前我們報道了該國的經濟破壞... http://t.co/m2y9Ym3iF6</v>
      </c>
      <c r="G4977" s="4" t="str">
        <f>IFERROR(__xludf.DUMMYFUNCTION("GOOGLETRANSLATE(B4977)"),"破壞")</f>
        <v>破壞</v>
      </c>
    </row>
    <row r="4978" ht="15.75" customHeight="1">
      <c r="A4978" s="4">
        <v>3975.0</v>
      </c>
      <c r="B4978" s="4" t="s">
        <v>1701</v>
      </c>
      <c r="C4978" s="4" t="s">
        <v>7342</v>
      </c>
      <c r="D4978" s="4" t="s">
        <v>7343</v>
      </c>
      <c r="E4978" s="4">
        <v>0.0</v>
      </c>
      <c r="F4978" s="4" t="str">
        <f>IFERROR(__xludf.DUMMYFUNCTION("GOOGLETRANSLATE(D4978)"),"摔碎手機時的毀滅性打擊？？？？？？？？？？？？？？？？？？？？？？？")</f>
        <v>摔碎手機時的毀滅性打擊？？？？？？？？？？？？？？？？？？？？？？？</v>
      </c>
      <c r="G4978" s="4" t="str">
        <f>IFERROR(__xludf.DUMMYFUNCTION("GOOGLETRANSLATE(B4978)"),"破壞")</f>
        <v>破壞</v>
      </c>
    </row>
    <row r="4979" ht="15.75" customHeight="1">
      <c r="A4979" s="4">
        <v>3980.0</v>
      </c>
      <c r="B4979" s="4" t="s">
        <v>1701</v>
      </c>
      <c r="C4979" s="4" t="s">
        <v>7344</v>
      </c>
      <c r="D4979" s="4" t="s">
        <v>7345</v>
      </c>
      <c r="E4979" s="4">
        <v>0.0</v>
      </c>
      <c r="F4979" s="4" t="str">
        <f>IFERROR(__xludf.DUMMYFUNCTION("GOOGLETRANSLATE(D4979)"),"http://t.co/Gxgm1T3W0J 從毀滅到欣喜重新站起來幫助願意自助的人http://t.co/puMxLVLsgM")</f>
        <v>http://t.co/Gxgm1T3W0J 從毀滅到欣喜重新站起來幫助願意自助的人http://t.co/puMxLVLsgM</v>
      </c>
      <c r="G4979" s="4" t="str">
        <f>IFERROR(__xludf.DUMMYFUNCTION("GOOGLETRANSLATE(B4979)"),"破壞")</f>
        <v>破壞</v>
      </c>
    </row>
    <row r="4980" ht="15.75" customHeight="1">
      <c r="A4980" s="4">
        <v>3989.0</v>
      </c>
      <c r="B4980" s="4" t="s">
        <v>1701</v>
      </c>
      <c r="C4980" s="4" t="s">
        <v>1738</v>
      </c>
      <c r="D4980" s="4" t="s">
        <v>7346</v>
      </c>
      <c r="E4980" s="4">
        <v>0.0</v>
      </c>
      <c r="F4980" s="4" t="str">
        <f>IFERROR(__xludf.DUMMYFUNCTION("GOOGLETRANSLATE(D4980)"),"來自北韓境內的迷人照片。不是宣傳，不是破壞──只是人們的生活。 http://t.co/E2Dbcpwd9u")</f>
        <v>來自北韓境內的迷人照片。不是宣傳，不是破壞──只是人們的生活。 http://t.co/E2Dbcpwd9u</v>
      </c>
      <c r="G4980" s="4" t="str">
        <f>IFERROR(__xludf.DUMMYFUNCTION("GOOGLETRANSLATE(B4980)"),"破壞")</f>
        <v>破壞</v>
      </c>
    </row>
    <row r="4981" ht="15.75" customHeight="1">
      <c r="A4981" s="4">
        <v>3995.0</v>
      </c>
      <c r="B4981" s="4" t="s">
        <v>1701</v>
      </c>
      <c r="C4981" s="4" t="s">
        <v>7347</v>
      </c>
      <c r="D4981" s="4" t="s">
        <v>7348</v>
      </c>
      <c r="E4981" s="4">
        <v>0.0</v>
      </c>
      <c r="F4981" s="4" t="str">
        <f>IFERROR(__xludf.DUMMYFUNCTION("GOOGLETRANSLATE(D4981)"),"毀滅性的：來到@Target 並發現@Starbucks 關門了？ #momneedscoffee #asap #iwontmakeit")</f>
        <v>毀滅性的：來到@Target 並發現@Starbucks 關門了？ #momneedscoffee #asap #iwontmakeit</v>
      </c>
      <c r="G4981" s="4" t="str">
        <f>IFERROR(__xludf.DUMMYFUNCTION("GOOGLETRANSLATE(B4981)"),"破壞")</f>
        <v>破壞</v>
      </c>
    </row>
    <row r="4982" ht="15.75" customHeight="1">
      <c r="A4982" s="4">
        <v>3997.0</v>
      </c>
      <c r="B4982" s="4" t="s">
        <v>1701</v>
      </c>
      <c r="C4982" s="4" t="s">
        <v>7349</v>
      </c>
      <c r="D4982" s="4" t="s">
        <v>7350</v>
      </c>
      <c r="E4982" s="4">
        <v>0.0</v>
      </c>
      <c r="F4982" s="4" t="str">
        <f>IFERROR(__xludf.DUMMYFUNCTION("GOOGLETRANSLATE(D4982)"),"目前正在爆破#Benediction - #SanelessTheory -on Metal Devasation Radio - http://t.co/siGeeQ42cZ")</f>
        <v>目前正在爆破#Benediction - #SanelessTheory -on Metal Devasation Radio - http://t.co/siGeeQ42cZ</v>
      </c>
      <c r="G4982" s="4" t="str">
        <f>IFERROR(__xludf.DUMMYFUNCTION("GOOGLETRANSLATE(B4982)"),"破壞")</f>
        <v>破壞</v>
      </c>
    </row>
    <row r="4983" ht="15.75" customHeight="1">
      <c r="A4983" s="4">
        <v>3998.0</v>
      </c>
      <c r="B4983" s="4" t="s">
        <v>1741</v>
      </c>
      <c r="C4983" s="4" t="s">
        <v>7351</v>
      </c>
      <c r="D4983" s="4" t="s">
        <v>7352</v>
      </c>
      <c r="E4983" s="4">
        <v>0.0</v>
      </c>
      <c r="F4983" s="4" t="str">
        <f>IFERROR(__xludf.DUMMYFUNCTION("GOOGLETRANSLATE(D4983)"),"我忘記帶巧克力了。重大災難。")</f>
        <v>我忘記帶巧克力了。重大災難。</v>
      </c>
      <c r="G4983" s="4" t="str">
        <f>IFERROR(__xludf.DUMMYFUNCTION("GOOGLETRANSLATE(B4983)"),"災難")</f>
        <v>災難</v>
      </c>
    </row>
    <row r="4984" ht="15.75" customHeight="1">
      <c r="A4984" s="4">
        <v>4003.0</v>
      </c>
      <c r="B4984" s="4" t="s">
        <v>1741</v>
      </c>
      <c r="C4984" s="4" t="s">
        <v>7353</v>
      </c>
      <c r="D4984" s="4" t="s">
        <v>7354</v>
      </c>
      <c r="E4984" s="4">
        <v>0.0</v>
      </c>
      <c r="F4984" s="4" t="str">
        <f>IFERROR(__xludf.DUMMYFUNCTION("GOOGLETRANSLATE(D4984)"),"我是災難？？ https://t.co/VCV73BUaCZ")</f>
        <v>我是災難？？ https://t.co/VCV73BUaCZ</v>
      </c>
      <c r="G4984" s="4" t="str">
        <f>IFERROR(__xludf.DUMMYFUNCTION("GOOGLETRANSLATE(B4984)"),"災難")</f>
        <v>災難</v>
      </c>
    </row>
    <row r="4985" ht="15.75" customHeight="1">
      <c r="A4985" s="4">
        <v>4005.0</v>
      </c>
      <c r="B4985" s="4" t="s">
        <v>1741</v>
      </c>
      <c r="D4985" s="4" t="s">
        <v>7355</v>
      </c>
      <c r="E4985" s="4">
        <v>0.0</v>
      </c>
      <c r="F4985" s="4" t="str">
        <f>IFERROR(__xludf.DUMMYFUNCTION("GOOGLETRANSLATE(D4985)"),"@LovelyLikeLaura 我明白為什麼你最喜歡的書之一是《美麗的災難》，它現在可能是我的一本了？")</f>
        <v>@LovelyLikeLaura 我明白為什麼你最喜歡的書之一是《美麗的災難》，它現在可能是我的一本了？</v>
      </c>
      <c r="G4985" s="4" t="str">
        <f>IFERROR(__xludf.DUMMYFUNCTION("GOOGLETRANSLATE(B4985)"),"災難")</f>
        <v>災難</v>
      </c>
    </row>
    <row r="4986" ht="15.75" customHeight="1">
      <c r="A4986" s="4">
        <v>4008.0</v>
      </c>
      <c r="B4986" s="4" t="s">
        <v>1741</v>
      </c>
      <c r="C4986" s="4" t="s">
        <v>7356</v>
      </c>
      <c r="D4986" s="4" t="s">
        <v>7357</v>
      </c>
      <c r="E4986" s="4">
        <v>0.0</v>
      </c>
      <c r="F4986" s="4" t="str">
        <f>IFERROR(__xludf.DUMMYFUNCTION("GOOGLETRANSLATE(D4986)"),"美麗的災難//喬恩·麥克勞林真是一首好歌")</f>
        <v>美麗的災難//喬恩·麥克勞林真是一首好歌</v>
      </c>
      <c r="G4986" s="4" t="str">
        <f>IFERROR(__xludf.DUMMYFUNCTION("GOOGLETRANSLATE(B4986)"),"災難")</f>
        <v>災難</v>
      </c>
    </row>
    <row r="4987" ht="15.75" customHeight="1">
      <c r="A4987" s="4">
        <v>4012.0</v>
      </c>
      <c r="B4987" s="4" t="s">
        <v>1741</v>
      </c>
      <c r="C4987" s="4" t="s">
        <v>7358</v>
      </c>
      <c r="D4987" s="4" t="s">
        <v>7359</v>
      </c>
      <c r="E4987" s="4">
        <v>0.0</v>
      </c>
      <c r="F4987" s="4" t="str">
        <f>IFERROR(__xludf.DUMMYFUNCTION("GOOGLETRANSLATE(D4987)"),"美麗的災難 https://t.co/qm5Sz0fyU8")</f>
        <v>美麗的災難 https://t.co/qm5Sz0fyU8</v>
      </c>
      <c r="G4987" s="4" t="str">
        <f>IFERROR(__xludf.DUMMYFUNCTION("GOOGLETRANSLATE(B4987)"),"災難")</f>
        <v>災難</v>
      </c>
    </row>
    <row r="4988" ht="15.75" customHeight="1">
      <c r="A4988" s="4">
        <v>4014.0</v>
      </c>
      <c r="B4988" s="4" t="s">
        <v>1741</v>
      </c>
      <c r="D4988" s="4" t="s">
        <v>7360</v>
      </c>
      <c r="E4988" s="4">
        <v>0.0</v>
      </c>
      <c r="F4988" s="4" t="str">
        <f>IFERROR(__xludf.DUMMYFUNCTION("GOOGLETRANSLATE(D4988)"),"我的第一次染色嘗試是一場災難 https://t.co/buDmKE3nNf")</f>
        <v>我的第一次染色嘗試是一場災難 https://t.co/buDmKE3nNf</v>
      </c>
      <c r="G4988" s="4" t="str">
        <f>IFERROR(__xludf.DUMMYFUNCTION("GOOGLETRANSLATE(B4988)"),"災難")</f>
        <v>災難</v>
      </c>
    </row>
    <row r="4989" ht="15.75" customHeight="1">
      <c r="A4989" s="4">
        <v>4018.0</v>
      </c>
      <c r="B4989" s="4" t="s">
        <v>1741</v>
      </c>
      <c r="D4989" s="4" t="s">
        <v>7361</v>
      </c>
      <c r="E4989" s="4">
        <v>0.0</v>
      </c>
      <c r="F4989" s="4" t="str">
        <f>IFERROR(__xludf.DUMMYFUNCTION("GOOGLETRANSLATE(D4989)"),"我想回維加斯過我的 21 歲生日，但我覺得那會是一場災難，哈哈，需要帶很多錢")</f>
        <v>我想回維加斯過我的 21 歲生日，但我覺得那會是一場災難，哈哈，需要帶很多錢</v>
      </c>
      <c r="G4989" s="4" t="str">
        <f>IFERROR(__xludf.DUMMYFUNCTION("GOOGLETRANSLATE(B4989)"),"災難")</f>
        <v>災難</v>
      </c>
    </row>
    <row r="4990" ht="15.75" customHeight="1">
      <c r="A4990" s="4">
        <v>4027.0</v>
      </c>
      <c r="B4990" s="4" t="s">
        <v>1741</v>
      </c>
      <c r="C4990" s="4" t="s">
        <v>7362</v>
      </c>
      <c r="D4990" s="4" t="s">
        <v>7363</v>
      </c>
      <c r="E4990" s="4">
        <v>0.0</v>
      </c>
      <c r="F4990" s="4" t="str">
        <f>IFERROR(__xludf.DUMMYFUNCTION("GOOGLETRANSLATE(D4990)"),"“我是自己災難的設計者”")</f>
        <v>“我是自己災難的設計者”</v>
      </c>
      <c r="G4990" s="4" t="str">
        <f>IFERROR(__xludf.DUMMYFUNCTION("GOOGLETRANSLATE(B4990)"),"災難")</f>
        <v>災難</v>
      </c>
    </row>
    <row r="4991" ht="15.75" customHeight="1">
      <c r="A4991" s="4">
        <v>4028.0</v>
      </c>
      <c r="B4991" s="4" t="s">
        <v>1741</v>
      </c>
      <c r="C4991" s="4" t="s">
        <v>7364</v>
      </c>
      <c r="D4991" s="4" t="s">
        <v>7365</v>
      </c>
      <c r="E4991" s="4">
        <v>0.0</v>
      </c>
      <c r="F4991" s="4" t="str">
        <f>IFERROR(__xludf.DUMMYFUNCTION("GOOGLETRANSLATE(D4991)"),"@Hollyorange8 我的一天是一場情感災難")</f>
        <v>@Hollyorange8 我的一天是一場情感災難</v>
      </c>
      <c r="G4991" s="4" t="str">
        <f>IFERROR(__xludf.DUMMYFUNCTION("GOOGLETRANSLATE(B4991)"),"災難")</f>
        <v>災難</v>
      </c>
    </row>
    <row r="4992" ht="15.75" customHeight="1">
      <c r="A4992" s="4">
        <v>4029.0</v>
      </c>
      <c r="B4992" s="4" t="s">
        <v>1741</v>
      </c>
      <c r="D4992" s="4" t="s">
        <v>7366</v>
      </c>
      <c r="E4992" s="4">
        <v>0.0</v>
      </c>
      <c r="F4992" s="4" t="str">
        <f>IFERROR(__xludf.DUMMYFUNCTION("GOOGLETRANSLATE(D4992)"),"我正在為災難做好準備")</f>
        <v>我正在為災難做好準備</v>
      </c>
      <c r="G4992" s="4" t="str">
        <f>IFERROR(__xludf.DUMMYFUNCTION("GOOGLETRANSLATE(B4992)"),"災難")</f>
        <v>災難</v>
      </c>
    </row>
    <row r="4993" ht="15.75" customHeight="1">
      <c r="A4993" s="4">
        <v>4030.0</v>
      </c>
      <c r="B4993" s="4" t="s">
        <v>1741</v>
      </c>
      <c r="C4993" s="4" t="s">
        <v>7367</v>
      </c>
      <c r="D4993" s="4" t="s">
        <v>7368</v>
      </c>
      <c r="E4993" s="4">
        <v>0.0</v>
      </c>
      <c r="F4993" s="4" t="str">
        <f>IFERROR(__xludf.DUMMYFUNCTION("GOOGLETRANSLATE(D4993)"),"人與人之間到底出了什麼問題？！溝通！鐵腕統治將導致災難。不能一日不搖，隔天也不搖。")</f>
        <v>人與人之間到底出了什麼問題？！溝通！鐵腕統治將導致災難。不能一日不搖，隔天也不搖。</v>
      </c>
      <c r="G4993" s="4" t="str">
        <f>IFERROR(__xludf.DUMMYFUNCTION("GOOGLETRANSLATE(B4993)"),"災難")</f>
        <v>災難</v>
      </c>
    </row>
    <row r="4994" ht="15.75" customHeight="1">
      <c r="A4994" s="4">
        <v>4033.0</v>
      </c>
      <c r="B4994" s="4" t="s">
        <v>1741</v>
      </c>
      <c r="D4994" s="4" t="s">
        <v>7369</v>
      </c>
      <c r="E4994" s="4">
        <v>0.0</v>
      </c>
      <c r="F4994" s="4" t="str">
        <f>IFERROR(__xludf.DUMMYFUNCTION("GOOGLETRANSLATE(D4994)"),"@cncpts @SOLELINKS 真是一場災難 - 不能說我很驚訝")</f>
        <v>@cncpts @SOLELINKS 真是一場災難 - 不能說我很驚訝</v>
      </c>
      <c r="G4994" s="4" t="str">
        <f>IFERROR(__xludf.DUMMYFUNCTION("GOOGLETRANSLATE(B4994)"),"災難")</f>
        <v>災難</v>
      </c>
    </row>
    <row r="4995" ht="15.75" customHeight="1">
      <c r="A4995" s="4">
        <v>4034.0</v>
      </c>
      <c r="B4995" s="4" t="s">
        <v>1741</v>
      </c>
      <c r="C4995" s="4" t="s">
        <v>183</v>
      </c>
      <c r="D4995" s="4" t="s">
        <v>7370</v>
      </c>
      <c r="E4995" s="4">
        <v>0.0</v>
      </c>
      <c r="F4995" s="4" t="str">
        <f>IFERROR(__xludf.DUMMYFUNCTION("GOOGLETRANSLATE(D4995)"),"RT @AmznFavorites 德弗羅災難。 “令人興奮的科幻#thriller...” http://t.co/Mw9amBgAfq #SciFi #Kindle")</f>
        <v>RT @AmznFavorites 德弗羅災難。 “令人興奮的科幻#thriller...” http://t.co/Mw9amBgAfq #SciFi #Kindle</v>
      </c>
      <c r="G4995" s="4" t="str">
        <f>IFERROR(__xludf.DUMMYFUNCTION("GOOGLETRANSLATE(B4995)"),"災難")</f>
        <v>災難</v>
      </c>
    </row>
    <row r="4996" ht="15.75" customHeight="1">
      <c r="A4996" s="4">
        <v>4039.0</v>
      </c>
      <c r="B4996" s="4" t="s">
        <v>1741</v>
      </c>
      <c r="C4996" s="4" t="s">
        <v>1527</v>
      </c>
      <c r="D4996" s="4" t="s">
        <v>7371</v>
      </c>
      <c r="E4996" s="4">
        <v>0.0</v>
      </c>
      <c r="F4996" s="4" t="str">
        <f>IFERROR(__xludf.DUMMYFUNCTION("GOOGLETRANSLATE(D4996)"),"可以讓人類在環境災難中生存的四種技術 - http://t.co/4RTpJrHsqe")</f>
        <v>可以讓人類在環境災難中生存的四種技術 - http://t.co/4RTpJrHsqe</v>
      </c>
      <c r="G4996" s="4" t="str">
        <f>IFERROR(__xludf.DUMMYFUNCTION("GOOGLETRANSLATE(B4996)"),"災難")</f>
        <v>災難</v>
      </c>
    </row>
    <row r="4997" ht="15.75" customHeight="1">
      <c r="A4997" s="4">
        <v>4041.0</v>
      </c>
      <c r="B4997" s="4" t="s">
        <v>1741</v>
      </c>
      <c r="C4997" s="4" t="s">
        <v>2023</v>
      </c>
      <c r="D4997" s="4" t="s">
        <v>7372</v>
      </c>
      <c r="E4997" s="4">
        <v>0.0</v>
      </c>
      <c r="F4997" s="4" t="str">
        <f>IFERROR(__xludf.DUMMYFUNCTION("GOOGLETRANSLATE(D4997)"),"@rbcinsurance 報價網站 = 災難。嘗試了 3 個瀏覽器3台機器。由於下拉式選單不存在，總是出現「缺少資訊」錯誤。")</f>
        <v>@rbcinsurance 報價網站 = 災難。嘗試了 3 個瀏覽器3台機器。由於下拉式選單不存在，總是出現「缺少資訊」錯誤。</v>
      </c>
      <c r="G4997" s="4" t="str">
        <f>IFERROR(__xludf.DUMMYFUNCTION("GOOGLETRANSLATE(B4997)"),"災難")</f>
        <v>災難</v>
      </c>
    </row>
    <row r="4998" ht="15.75" customHeight="1">
      <c r="A4998" s="4">
        <v>4042.0</v>
      </c>
      <c r="B4998" s="4" t="s">
        <v>1741</v>
      </c>
      <c r="C4998" s="4" t="s">
        <v>7373</v>
      </c>
      <c r="D4998" s="4" t="s">
        <v>7374</v>
      </c>
      <c r="E4998" s="4">
        <v>0.0</v>
      </c>
      <c r="F4998" s="4" t="str">
        <f>IFERROR(__xludf.DUMMYFUNCTION("GOOGLETRANSLATE(D4998)"),"我想認為自己很上鏡，但每次看到我的照片時，我都會對自己說「天哪真是一場災難」xD")</f>
        <v>我想認為自己很上鏡，但每次看到我的照片時，我都會對自己說「天哪真是一場災難」xD</v>
      </c>
      <c r="G4998" s="4" t="str">
        <f>IFERROR(__xludf.DUMMYFUNCTION("GOOGLETRANSLATE(B4998)"),"災難")</f>
        <v>災難</v>
      </c>
    </row>
    <row r="4999" ht="15.75" customHeight="1">
      <c r="A4999" s="4">
        <v>4043.0</v>
      </c>
      <c r="B4999" s="4" t="s">
        <v>1741</v>
      </c>
      <c r="C4999" s="4" t="s">
        <v>7375</v>
      </c>
      <c r="D4999" s="4" t="s">
        <v>7376</v>
      </c>
      <c r="E4999" s="4">
        <v>0.0</v>
      </c>
      <c r="F4999" s="4" t="str">
        <f>IFERROR(__xludf.DUMMYFUNCTION("GOOGLETRANSLATE(D4999)"),"避免災難：警方在電影院用惡作劇裝置殺死槍手 http://t.co/5NG0FzpVdS")</f>
        <v>避免災難：警方在電影院用惡作劇裝置殺死槍手 http://t.co/5NG0FzpVdS</v>
      </c>
      <c r="G4999" s="4" t="str">
        <f>IFERROR(__xludf.DUMMYFUNCTION("GOOGLETRANSLATE(B4999)"),"災難")</f>
        <v>災難</v>
      </c>
    </row>
    <row r="5000" ht="15.75" customHeight="1">
      <c r="A5000" s="4">
        <v>4045.0</v>
      </c>
      <c r="B5000" s="4" t="s">
        <v>1741</v>
      </c>
      <c r="D5000" s="4" t="s">
        <v>7377</v>
      </c>
      <c r="E5000" s="4">
        <v>0.0</v>
      </c>
      <c r="F5000" s="4" t="str">
        <f>IFERROR(__xludf.DUMMYFUNCTION("GOOGLETRANSLATE(D5000)"),"如果洛克必須在季後賽投球，這並不是一場災難，但他們絕對不應該讓他在第六局投球。")</f>
        <v>如果洛克必須在季後賽投球，這並不是一場災難，但他們絕對不應該讓他在第六局投球。</v>
      </c>
      <c r="G5000" s="4" t="str">
        <f>IFERROR(__xludf.DUMMYFUNCTION("GOOGLETRANSLATE(B5000)"),"災難")</f>
        <v>災難</v>
      </c>
    </row>
    <row r="5001" ht="15.75" customHeight="1">
      <c r="A5001" s="4">
        <v>4046.0</v>
      </c>
      <c r="B5001" s="4" t="s">
        <v>1741</v>
      </c>
      <c r="C5001" s="4" t="s">
        <v>3057</v>
      </c>
      <c r="D5001" s="4" t="s">
        <v>7378</v>
      </c>
      <c r="E5001" s="4">
        <v>0.0</v>
      </c>
      <c r="F5001" s="4" t="str">
        <f>IFERROR(__xludf.DUMMYFUNCTION("GOOGLETRANSLATE(D5001)"),"範奈斯青少年防災活動 8 月 11 日下午 5:30 http://t.co/fXUX987vZx 來自 @VanNuysCouncil")</f>
        <v>範奈斯青少年防災活動 8 月 11 日下午 5:30 http://t.co/fXUX987vZx 來自 @VanNuysCouncil</v>
      </c>
      <c r="G5001" s="4" t="str">
        <f>IFERROR(__xludf.DUMMYFUNCTION("GOOGLETRANSLATE(B5001)"),"災難")</f>
        <v>災難</v>
      </c>
    </row>
    <row r="5002" ht="15.75" customHeight="1">
      <c r="A5002" s="4">
        <v>4047.0</v>
      </c>
      <c r="B5002" s="4" t="s">
        <v>1741</v>
      </c>
      <c r="C5002" s="4" t="s">
        <v>7379</v>
      </c>
      <c r="D5002" s="4" t="s">
        <v>7380</v>
      </c>
      <c r="E5002" s="4">
        <v>0.0</v>
      </c>
      <c r="F5002" s="4" t="str">
        <f>IFERROR(__xludf.DUMMYFUNCTION("GOOGLETRANSLATE(D5002)"),"@Youssefyamani 將非斯天氣添加到方程式中，您就擁有了應對災難的最佳方法。")</f>
        <v>@Youssefyamani 將非斯天氣添加到方程式中，您就擁有了應對災難的最佳方法。</v>
      </c>
      <c r="G5002" s="4" t="str">
        <f>IFERROR(__xludf.DUMMYFUNCTION("GOOGLETRANSLATE(B5002)"),"災難")</f>
        <v>災難</v>
      </c>
    </row>
    <row r="5003" ht="15.75" customHeight="1">
      <c r="A5003" s="4">
        <v>4055.0</v>
      </c>
      <c r="B5003" s="4" t="s">
        <v>1766</v>
      </c>
      <c r="C5003" s="4" t="s">
        <v>56</v>
      </c>
      <c r="D5003" s="4" t="s">
        <v>7381</v>
      </c>
      <c r="E5003" s="4">
        <v>0.0</v>
      </c>
      <c r="F5003" s="4" t="str">
        <f>IFERROR(__xludf.DUMMYFUNCTION("GOOGLETRANSLATE(D5003)"),"@lizhphoto 當我腦子裡有這麼多狗屎的時候，我寧願談論它，也不願爆發……流離失所的侵略性 SUX！")</f>
        <v>@lizhphoto 當我腦子裡有這麼多狗屎的時候，我寧願談論它，也不願爆發……流離失所的侵略性 SUX！</v>
      </c>
      <c r="G5003" s="4" t="str">
        <f>IFERROR(__xludf.DUMMYFUNCTION("GOOGLETRANSLATE(B5003)"),"流離失所")</f>
        <v>流離失所</v>
      </c>
    </row>
    <row r="5004" ht="15.75" customHeight="1">
      <c r="A5004" s="4">
        <v>4058.0</v>
      </c>
      <c r="B5004" s="4" t="s">
        <v>1766</v>
      </c>
      <c r="C5004" s="4" t="s">
        <v>7382</v>
      </c>
      <c r="D5004" s="4" t="s">
        <v>7383</v>
      </c>
      <c r="E5004" s="4">
        <v>0.0</v>
      </c>
      <c r="F5004" s="4" t="str">
        <f>IFERROR(__xludf.DUMMYFUNCTION("GOOGLETRANSLATE(D5004)"),"憤怒的婦女公開指責 NEMA 盜竊為國內流離失所者準備的救濟物資：一位憤怒的國內流離失所者...... http://t.co/Khd99oZ7u3")</f>
        <v>憤怒的婦女公開指責 NEMA 盜竊為國內流離失所者準備的救濟物資：一位憤怒的國內流離失所者...... http://t.co/Khd99oZ7u3</v>
      </c>
      <c r="G5004" s="4" t="str">
        <f>IFERROR(__xludf.DUMMYFUNCTION("GOOGLETRANSLATE(B5004)"),"流離失所")</f>
        <v>流離失所</v>
      </c>
    </row>
    <row r="5005" ht="15.75" customHeight="1">
      <c r="A5005" s="4">
        <v>4061.0</v>
      </c>
      <c r="B5005" s="4" t="s">
        <v>1766</v>
      </c>
      <c r="C5005" s="4" t="s">
        <v>915</v>
      </c>
      <c r="D5005" s="4" t="s">
        <v>7384</v>
      </c>
      <c r="E5005" s="4">
        <v>0.0</v>
      </c>
      <c r="F5005" s="4" t="str">
        <f>IFERROR(__xludf.DUMMYFUNCTION("GOOGLETRANSLATE(D5005)"),"2065 年，國家迷因保護協會開設了第一座博物館，展示迷因及其起源。")</f>
        <v>2065 年，國家迷因保護協會開設了第一座博物館，展示迷因及其起源。</v>
      </c>
      <c r="G5005" s="4" t="str">
        <f>IFERROR(__xludf.DUMMYFUNCTION("GOOGLETRANSLATE(B5005)"),"流離失所")</f>
        <v>流離失所</v>
      </c>
    </row>
    <row r="5006" ht="15.75" customHeight="1">
      <c r="A5006" s="4">
        <v>4076.0</v>
      </c>
      <c r="B5006" s="4" t="s">
        <v>1766</v>
      </c>
      <c r="C5006" s="4" t="s">
        <v>1767</v>
      </c>
      <c r="D5006" s="4" t="s">
        <v>1783</v>
      </c>
      <c r="E5006" s="4">
        <v>0.0</v>
      </c>
      <c r="F5006" s="4" t="str">
        <f>IFERROR(__xludf.DUMMYFUNCTION("GOOGLETRANSLATE(D5006)"),".POTUS #StrategicPatience 是 #Genocide 的策略；難民； IDP 國內流離失所者；恐怖;等 https://t.co/rqWuoy1fm4")</f>
        <v>.POTUS #StrategicPatience 是 #Genocide 的策略；難民； IDP 國內流離失所者；恐怖;等 https://t.co/rqWuoy1fm4</v>
      </c>
      <c r="G5006" s="4" t="str">
        <f>IFERROR(__xludf.DUMMYFUNCTION("GOOGLETRANSLATE(B5006)"),"流離失所")</f>
        <v>流離失所</v>
      </c>
    </row>
    <row r="5007" ht="15.75" customHeight="1">
      <c r="A5007" s="4">
        <v>4078.0</v>
      </c>
      <c r="B5007" s="4" t="s">
        <v>1766</v>
      </c>
      <c r="C5007" s="4" t="s">
        <v>1749</v>
      </c>
      <c r="D5007" s="4" t="s">
        <v>7385</v>
      </c>
      <c r="E5007" s="4">
        <v>0.0</v>
      </c>
      <c r="F5007" s="4" t="str">
        <f>IFERROR(__xludf.DUMMYFUNCTION("GOOGLETRANSLATE(D5007)"),"？圓形廢墟 - 流離失所第 4 部分？ http://t.co/Od2ratxRqS #nowplaying")</f>
        <v>？圓形廢墟 - 流離失所第 4 部分？ http://t.co/Od2ratxRqS #nowplaying</v>
      </c>
      <c r="G5007" s="4" t="str">
        <f>IFERROR(__xludf.DUMMYFUNCTION("GOOGLETRANSLATE(B5007)"),"流離失所")</f>
        <v>流離失所</v>
      </c>
    </row>
    <row r="5008" ht="15.75" customHeight="1">
      <c r="A5008" s="4">
        <v>4083.0</v>
      </c>
      <c r="B5008" s="4" t="s">
        <v>1766</v>
      </c>
      <c r="D5008" s="4" t="s">
        <v>7386</v>
      </c>
      <c r="E5008" s="4">
        <v>0.0</v>
      </c>
      <c r="F5008" s="4" t="str">
        <f>IFERROR(__xludf.DUMMYFUNCTION("GOOGLETRANSLATE(D5008)"),"流離失所者 GN（2014 年圖片）#1-1ST NM http://t.co/yEJt18sbm0 http://t.co/RcqacN91bE")</f>
        <v>流離失所者 GN（2014 年圖片）#1-1ST NM http://t.co/yEJt18sbm0 http://t.co/RcqacN91bE</v>
      </c>
      <c r="G5008" s="4" t="str">
        <f>IFERROR(__xludf.DUMMYFUNCTION("GOOGLETRANSLATE(B5008)"),"流離失所")</f>
        <v>流離失所</v>
      </c>
    </row>
    <row r="5009" ht="15.75" customHeight="1">
      <c r="A5009" s="4">
        <v>4085.0</v>
      </c>
      <c r="B5009" s="4" t="s">
        <v>1766</v>
      </c>
      <c r="C5009" s="4" t="s">
        <v>7387</v>
      </c>
      <c r="D5009" s="4" t="s">
        <v>7388</v>
      </c>
      <c r="E5009" s="4">
        <v>0.0</v>
      </c>
      <c r="F5009" s="4" t="str">
        <f>IFERROR(__xludf.DUMMYFUNCTION("GOOGLETRANSLATE(D5009)"),"置換一些脂肪需要多少錢？求個朋友。")</f>
        <v>置換一些脂肪需要多少錢？求個朋友。</v>
      </c>
      <c r="G5009" s="4" t="str">
        <f>IFERROR(__xludf.DUMMYFUNCTION("GOOGLETRANSLATE(B5009)"),"流離失所")</f>
        <v>流離失所</v>
      </c>
    </row>
    <row r="5010" ht="15.75" customHeight="1">
      <c r="A5010" s="4">
        <v>4092.0</v>
      </c>
      <c r="B5010" s="4" t="s">
        <v>1766</v>
      </c>
      <c r="C5010" s="4" t="s">
        <v>656</v>
      </c>
      <c r="D5010" s="4" t="s">
        <v>7389</v>
      </c>
      <c r="E5010" s="4">
        <v>0.0</v>
      </c>
      <c r="F5010" s="4" t="str">
        <f>IFERROR(__xludf.DUMMYFUNCTION("GOOGLETRANSLATE(D5010)"),"憤怒的婦女公開指責 NEMA 竊取為國內流離失所者準備的救濟物資：一位憤怒的國內流離失所者...... http://t.co/6ySbCSSzYS")</f>
        <v>憤怒的婦女公開指責 NEMA 竊取為國內流離失所者準備的救濟物資：一位憤怒的國內流離失所者...... http://t.co/6ySbCSSzYS</v>
      </c>
      <c r="G5010" s="4" t="str">
        <f>IFERROR(__xludf.DUMMYFUNCTION("GOOGLETRANSLATE(B5010)"),"流離失所")</f>
        <v>流離失所</v>
      </c>
    </row>
    <row r="5011" ht="15.75" customHeight="1">
      <c r="A5011" s="4">
        <v>4095.0</v>
      </c>
      <c r="B5011" s="4" t="s">
        <v>1766</v>
      </c>
      <c r="C5011" s="4" t="s">
        <v>7390</v>
      </c>
      <c r="D5011" s="4" t="s">
        <v>7391</v>
      </c>
      <c r="E5011" s="4">
        <v>0.0</v>
      </c>
      <c r="F5011" s="4" t="str">
        <f>IFERROR(__xludf.DUMMYFUNCTION("GOOGLETRANSLATE(D5011)"),"@cityofhummus @ILNewsFlash 你想聽更多嗎？我的父母流離失所，直至雙雙過世！")</f>
        <v>@cityofhummus @ILNewsFlash 你想聽更多嗎？我的父母流離失所，直至雙雙過世！</v>
      </c>
      <c r="G5011" s="4" t="str">
        <f>IFERROR(__xludf.DUMMYFUNCTION("GOOGLETRANSLATE(B5011)"),"流離失所")</f>
        <v>流離失所</v>
      </c>
    </row>
    <row r="5012" ht="15.75" customHeight="1">
      <c r="A5012" s="4">
        <v>4097.0</v>
      </c>
      <c r="B5012" s="4" t="s">
        <v>1766</v>
      </c>
      <c r="C5012" s="4" t="s">
        <v>1019</v>
      </c>
      <c r="D5012" s="4" t="s">
        <v>7392</v>
      </c>
      <c r="E5012" s="4">
        <v>0.0</v>
      </c>
      <c r="F5012" s="4" t="str">
        <f>IFERROR(__xludf.DUMMYFUNCTION("GOOGLETRANSLATE(D5012)"),"對於那些因災害而流離失所的人來說，標籤和法律地位仍然遙不可及 https://t.co/kJMgTEEklp")</f>
        <v>對於那些因災害而流離失所的人來說，標籤和法律地位仍然遙不可及 https://t.co/kJMgTEEklp</v>
      </c>
      <c r="G5012" s="4" t="str">
        <f>IFERROR(__xludf.DUMMYFUNCTION("GOOGLETRANSLATE(B5012)"),"流離失所")</f>
        <v>流離失所</v>
      </c>
    </row>
    <row r="5013" ht="15.75" customHeight="1">
      <c r="A5013" s="4">
        <v>4117.0</v>
      </c>
      <c r="B5013" s="4" t="s">
        <v>1800</v>
      </c>
      <c r="C5013" s="4" t="s">
        <v>126</v>
      </c>
      <c r="D5013" s="4" t="s">
        <v>7393</v>
      </c>
      <c r="E5013" s="4">
        <v>0.0</v>
      </c>
      <c r="F5013" s="4" t="str">
        <f>IFERROR(__xludf.DUMMYFUNCTION("GOOGLETRANSLATE(D5013)"),"@gfrost1985 @jeffpalmer16 @MLB @​​BlueJays 為什麼當我們像你說的那樣發生乾旱時你那麼鹹和害怕？")</f>
        <v>@gfrost1985 @jeffpalmer16 @MLB @​​BlueJays 為什麼當我們像你說的那樣發生乾旱時你那麼鹹和害怕？</v>
      </c>
      <c r="G5013" s="4" t="str">
        <f>IFERROR(__xludf.DUMMYFUNCTION("GOOGLETRANSLATE(B5013)"),"乾旱")</f>
        <v>乾旱</v>
      </c>
    </row>
    <row r="5014" ht="15.75" customHeight="1">
      <c r="A5014" s="4">
        <v>4119.0</v>
      </c>
      <c r="B5014" s="4" t="s">
        <v>1800</v>
      </c>
      <c r="D5014" s="4" t="s">
        <v>7394</v>
      </c>
      <c r="E5014" s="4">
        <v>0.0</v>
      </c>
      <c r="F5014" s="4" t="str">
        <f>IFERROR(__xludf.DUMMYFUNCTION("GOOGLETRANSLATE(D5014)"),"發現客戶自我乾旱的技巧：dqSVYusY")</f>
        <v>發現客戶自我乾旱的技巧：dqSVYusY</v>
      </c>
      <c r="G5014" s="4" t="str">
        <f>IFERROR(__xludf.DUMMYFUNCTION("GOOGLETRANSLATE(B5014)"),"乾旱")</f>
        <v>乾旱</v>
      </c>
    </row>
    <row r="5015" ht="15.75" customHeight="1">
      <c r="A5015" s="4">
        <v>4127.0</v>
      </c>
      <c r="B5015" s="4" t="s">
        <v>1800</v>
      </c>
      <c r="C5015" s="4" t="s">
        <v>7395</v>
      </c>
      <c r="D5015" s="4" t="s">
        <v>7396</v>
      </c>
      <c r="E5015" s="4">
        <v>0.0</v>
      </c>
      <c r="F5015" s="4" t="str">
        <f>IFERROR(__xludf.DUMMYFUNCTION("GOOGLETRANSLATE(D5015)"),"披薩乾旱結束了，我再也不能了…")</f>
        <v>披薩乾旱結束了，我再也不能了…</v>
      </c>
      <c r="G5015" s="4" t="str">
        <f>IFERROR(__xludf.DUMMYFUNCTION("GOOGLETRANSLATE(B5015)"),"乾旱")</f>
        <v>乾旱</v>
      </c>
    </row>
    <row r="5016" ht="15.75" customHeight="1">
      <c r="A5016" s="4">
        <v>4131.0</v>
      </c>
      <c r="B5016" s="4" t="s">
        <v>1800</v>
      </c>
      <c r="D5016" s="4" t="s">
        <v>7397</v>
      </c>
      <c r="E5016" s="4">
        <v>0.0</v>
      </c>
      <c r="F5016" s="4" t="str">
        <f>IFERROR(__xludf.DUMMYFUNCTION("GOOGLETRANSLATE(D5016)"),"@KarinaGarciaxo_ 我 &amp;amp;你們兩位&amp;amp;如果我得到任何乾旱花蕾我就會成為媽媽")</f>
        <v>@KarinaGarciaxo_ 我 &amp;amp;你們兩位&amp;amp;如果我得到任何乾旱花蕾我就會成為媽媽</v>
      </c>
      <c r="G5016" s="4" t="str">
        <f>IFERROR(__xludf.DUMMYFUNCTION("GOOGLETRANSLATE(B5016)"),"乾旱")</f>
        <v>乾旱</v>
      </c>
    </row>
    <row r="5017" ht="15.75" customHeight="1">
      <c r="A5017" s="4">
        <v>4135.0</v>
      </c>
      <c r="B5017" s="4" t="s">
        <v>1800</v>
      </c>
      <c r="C5017" s="4" t="s">
        <v>5132</v>
      </c>
      <c r="D5017" s="4" t="s">
        <v>7398</v>
      </c>
      <c r="E5017" s="4">
        <v>0.0</v>
      </c>
      <c r="F5017" s="4" t="str">
        <f>IFERROR(__xludf.DUMMYFUNCTION("GOOGLETRANSLATE(D5017)"),"大雨落在安德森路附近的羅克山。 #rain #scwx #drought")</f>
        <v>大雨落在安德森路附近的羅克山。 #rain #scwx #drought</v>
      </c>
      <c r="G5017" s="4" t="str">
        <f>IFERROR(__xludf.DUMMYFUNCTION("GOOGLETRANSLATE(B5017)"),"乾旱")</f>
        <v>乾旱</v>
      </c>
    </row>
    <row r="5018" ht="15.75" customHeight="1">
      <c r="A5018" s="4">
        <v>4146.0</v>
      </c>
      <c r="B5018" s="4" t="s">
        <v>1800</v>
      </c>
      <c r="C5018" s="4" t="s">
        <v>1118</v>
      </c>
      <c r="D5018" s="4" t="s">
        <v>7399</v>
      </c>
      <c r="E5018" s="4">
        <v>0.0</v>
      </c>
      <c r="F5018" s="4" t="str">
        <f>IFERROR(__xludf.DUMMYFUNCTION("GOOGLETRANSLATE(D5018)"),"“這是一種揭示我們的歷史和我們可能的命運的怪異方式。” #CADrought #LakeIsabella by @jpanzar http://t.co/pvExbIiqSK")</f>
        <v>“這是一種揭示我們的歷史和我們可能的命運的怪異方式。” #CADrought #LakeIsabella by @jpanzar http://t.co/pvExbIiqSK</v>
      </c>
      <c r="G5018" s="4" t="str">
        <f>IFERROR(__xludf.DUMMYFUNCTION("GOOGLETRANSLATE(B5018)"),"乾旱")</f>
        <v>乾旱</v>
      </c>
    </row>
    <row r="5019" ht="15.75" customHeight="1">
      <c r="A5019" s="4">
        <v>4147.0</v>
      </c>
      <c r="B5019" s="4" t="s">
        <v>1800</v>
      </c>
      <c r="C5019" s="4" t="s">
        <v>7400</v>
      </c>
      <c r="D5019" s="4" t="s">
        <v>7401</v>
      </c>
      <c r="E5019" s="4">
        <v>0.0</v>
      </c>
      <c r="F5019" s="4" t="str">
        <f>IFERROR(__xludf.DUMMYFUNCTION("GOOGLETRANSLATE(D5019)"),"馬內不是突襲者隊的球迷，但他們正處於乾旱期。他們需要 10-6 哈哈")</f>
        <v>馬內不是突襲者隊的球迷，但他們正處於乾旱期。他們需要 10-6 哈哈</v>
      </c>
      <c r="G5019" s="4" t="str">
        <f>IFERROR(__xludf.DUMMYFUNCTION("GOOGLETRANSLATE(B5019)"),"乾旱")</f>
        <v>乾旱</v>
      </c>
    </row>
    <row r="5020" ht="15.75" customHeight="1">
      <c r="A5020" s="4">
        <v>4149.0</v>
      </c>
      <c r="B5020" s="4" t="s">
        <v>1846</v>
      </c>
      <c r="D5020" s="4" t="s">
        <v>7402</v>
      </c>
      <c r="E5020" s="4">
        <v>0.0</v>
      </c>
      <c r="F5020" s="4" t="str">
        <f>IFERROR(__xludf.DUMMYFUNCTION("GOOGLETRANSLATE(D5020)"),"@美國總統，直到你被進入肺部的水淹死。你的存在讓這個偉大的國家變得一團糟，因為你是個膽小鬼")</f>
        <v>@美國總統，直到你被進入肺部的水淹死。你的存在讓這個偉大的國家變得一團糟，因為你是個膽小鬼</v>
      </c>
      <c r="G5020" s="4" t="str">
        <f>IFERROR(__xludf.DUMMYFUNCTION("GOOGLETRANSLATE(B5020)"),"淹")</f>
        <v>淹</v>
      </c>
    </row>
    <row r="5021" ht="15.75" customHeight="1">
      <c r="A5021" s="4">
        <v>4152.0</v>
      </c>
      <c r="B5021" s="4" t="s">
        <v>1846</v>
      </c>
      <c r="C5021" s="4" t="s">
        <v>7403</v>
      </c>
      <c r="D5021" s="4" t="s">
        <v>7404</v>
      </c>
      <c r="E5021" s="4">
        <v>0.0</v>
      </c>
      <c r="F5021" s="4" t="str">
        <f>IFERROR(__xludf.DUMMYFUNCTION("GOOGLETRANSLATE(D5021)"),"小壁虎在我的花園裡玩耍！我最後幫了他，我懷疑他可能會淹死！Û_ https://t.co/wXeLa91juh")</f>
        <v>小壁虎在我的花園裡玩耍！我最後幫了他，我懷疑他可能會淹死！Û_ https://t.co/wXeLa91juh</v>
      </c>
      <c r="G5021" s="4" t="str">
        <f>IFERROR(__xludf.DUMMYFUNCTION("GOOGLETRANSLATE(B5021)"),"淹")</f>
        <v>淹</v>
      </c>
    </row>
    <row r="5022" ht="15.75" customHeight="1">
      <c r="A5022" s="4">
        <v>4153.0</v>
      </c>
      <c r="B5022" s="4" t="s">
        <v>1846</v>
      </c>
      <c r="D5022" s="4" t="s">
        <v>7405</v>
      </c>
      <c r="E5022" s="4">
        <v>0.0</v>
      </c>
      <c r="F5022" s="4" t="str">
        <f>IFERROR(__xludf.DUMMYFUNCTION("GOOGLETRANSLATE(D5022)"),"「救我脫離自我，別讓我淹死」。")</f>
        <v>「救我脫離自我，別讓我淹死」。</v>
      </c>
      <c r="G5022" s="4" t="str">
        <f>IFERROR(__xludf.DUMMYFUNCTION("GOOGLETRANSLATE(B5022)"),"淹")</f>
        <v>淹</v>
      </c>
    </row>
    <row r="5023" ht="15.75" customHeight="1">
      <c r="A5023" s="4">
        <v>4154.0</v>
      </c>
      <c r="B5023" s="4" t="s">
        <v>1846</v>
      </c>
      <c r="C5023" s="4" t="s">
        <v>4358</v>
      </c>
      <c r="D5023" s="4" t="s">
        <v>7406</v>
      </c>
      <c r="E5023" s="4">
        <v>0.0</v>
      </c>
      <c r="F5023" s="4" t="str">
        <f>IFERROR(__xludf.DUMMYFUNCTION("GOOGLETRANSLATE(D5023)"),"我們都帶著這些別人看不到的東西。他們像錨一樣把我們壓住，把我們淹沒在海裡。")</f>
        <v>我們都帶著這些別人看不到的東西。他們像錨一樣把我們壓住，把我們淹沒在海裡。</v>
      </c>
      <c r="G5023" s="4" t="str">
        <f>IFERROR(__xludf.DUMMYFUNCTION("GOOGLETRANSLATE(B5023)"),"淹")</f>
        <v>淹</v>
      </c>
    </row>
    <row r="5024" ht="15.75" customHeight="1">
      <c r="A5024" s="4">
        <v>4156.0</v>
      </c>
      <c r="B5024" s="4" t="s">
        <v>1846</v>
      </c>
      <c r="C5024" s="4" t="s">
        <v>7407</v>
      </c>
      <c r="D5024" s="4" t="s">
        <v>7408</v>
      </c>
      <c r="E5024" s="4">
        <v>0.0</v>
      </c>
      <c r="F5024" s="4" t="str">
        <f>IFERROR(__xludf.DUMMYFUNCTION("GOOGLETRANSLATE(D5024)"),"#NowPlaying Porcupine Tree - Drown With Me (Live) #Listen #Live at http://t.co/iyLVzy3Cob")</f>
        <v>#NowPlaying Porcupine Tree - Drown With Me (Live) #Listen #Live at http://t.co/iyLVzy3Cob</v>
      </c>
      <c r="G5024" s="4" t="str">
        <f>IFERROR(__xludf.DUMMYFUNCTION("GOOGLETRANSLATE(B5024)"),"淹")</f>
        <v>淹</v>
      </c>
    </row>
    <row r="5025" ht="15.75" customHeight="1">
      <c r="A5025" s="4">
        <v>4157.0</v>
      </c>
      <c r="B5025" s="4" t="s">
        <v>1846</v>
      </c>
      <c r="D5025" s="4" t="s">
        <v>7409</v>
      </c>
      <c r="E5025" s="4">
        <v>0.0</v>
      </c>
      <c r="F5025" s="4" t="str">
        <f>IFERROR(__xludf.DUMMYFUNCTION("GOOGLETRANSLATE(D5025)"),"當你低調的時候就知道今年你會淹死在學校:) http://t.co/aCMrm833zq")</f>
        <v>當你低調的時候就知道今年你會淹死在學校:) http://t.co/aCMrm833zq</v>
      </c>
      <c r="G5025" s="4" t="str">
        <f>IFERROR(__xludf.DUMMYFUNCTION("GOOGLETRANSLATE(B5025)"),"淹")</f>
        <v>淹</v>
      </c>
    </row>
    <row r="5026" ht="15.75" customHeight="1">
      <c r="A5026" s="4">
        <v>4158.0</v>
      </c>
      <c r="B5026" s="4" t="s">
        <v>1846</v>
      </c>
      <c r="C5026" s="4" t="s">
        <v>7410</v>
      </c>
      <c r="D5026" s="4" t="s">
        <v>7411</v>
      </c>
      <c r="E5026" s="4">
        <v>0.0</v>
      </c>
      <c r="F5026" s="4" t="str">
        <f>IFERROR(__xludf.DUMMYFUNCTION("GOOGLETRANSLATE(D5026)"),"@chromsucks不會被淹死")</f>
        <v>@chromsucks不會被淹死</v>
      </c>
      <c r="G5026" s="4" t="str">
        <f>IFERROR(__xludf.DUMMYFUNCTION("GOOGLETRANSLATE(B5026)"),"淹")</f>
        <v>淹</v>
      </c>
    </row>
    <row r="5027" ht="15.75" customHeight="1">
      <c r="A5027" s="4">
        <v>4159.0</v>
      </c>
      <c r="B5027" s="4" t="s">
        <v>1846</v>
      </c>
      <c r="C5027" s="4" t="s">
        <v>7412</v>
      </c>
      <c r="D5027" s="4" t="s">
        <v>7413</v>
      </c>
      <c r="E5027" s="4">
        <v>0.0</v>
      </c>
      <c r="F5027" s="4" t="str">
        <f>IFERROR(__xludf.DUMMYFUNCTION("GOOGLETRANSLATE(D5027)"),"把水潑到我身上，直到我淹死，我的最後一句話讓我窒息 http://t.co/tUBE4NBqNz")</f>
        <v>把水潑到我身上，直到我淹死，我的最後一句話讓我窒息 http://t.co/tUBE4NBqNz</v>
      </c>
      <c r="G5027" s="4" t="str">
        <f>IFERROR(__xludf.DUMMYFUNCTION("GOOGLETRANSLATE(B5027)"),"淹")</f>
        <v>淹</v>
      </c>
    </row>
    <row r="5028" ht="15.75" customHeight="1">
      <c r="A5028" s="4">
        <v>4160.0</v>
      </c>
      <c r="B5028" s="4" t="s">
        <v>1846</v>
      </c>
      <c r="C5028" s="4" t="s">
        <v>1795</v>
      </c>
      <c r="D5028" s="4" t="s">
        <v>7414</v>
      </c>
      <c r="E5028" s="4">
        <v>0.0</v>
      </c>
      <c r="F5028" s="4" t="str">
        <f>IFERROR(__xludf.DUMMYFUNCTION("GOOGLETRANSLATE(D5028)"),"就淹死我吧，我不會游泳 https://t.co/sJoEing76t")</f>
        <v>就淹死我吧，我不會游泳 https://t.co/sJoEing76t</v>
      </c>
      <c r="G5028" s="4" t="str">
        <f>IFERROR(__xludf.DUMMYFUNCTION("GOOGLETRANSLATE(B5028)"),"淹")</f>
        <v>淹</v>
      </c>
    </row>
    <row r="5029" ht="15.75" customHeight="1">
      <c r="A5029" s="4">
        <v>4161.0</v>
      </c>
      <c r="B5029" s="4" t="s">
        <v>1846</v>
      </c>
      <c r="D5029" s="4" t="s">
        <v>7415</v>
      </c>
      <c r="E5029" s="4">
        <v>0.0</v>
      </c>
      <c r="F5029" s="4" t="str">
        <f>IFERROR(__xludf.DUMMYFUNCTION("GOOGLETRANSLATE(D5029)"),"有時我會淚流滿面，但我不會讓它讓我沮喪")</f>
        <v>有時我會淚流滿面，但我不會讓它讓我沮喪</v>
      </c>
      <c r="G5029" s="4" t="str">
        <f>IFERROR(__xludf.DUMMYFUNCTION("GOOGLETRANSLATE(B5029)"),"淹")</f>
        <v>淹</v>
      </c>
    </row>
    <row r="5030" ht="15.75" customHeight="1">
      <c r="A5030" s="4">
        <v>4163.0</v>
      </c>
      <c r="B5030" s="4" t="s">
        <v>1846</v>
      </c>
      <c r="D5030" s="4" t="s">
        <v>7416</v>
      </c>
      <c r="E5030" s="4">
        <v>0.0</v>
      </c>
      <c r="F5030" s="4" t="str">
        <f>IFERROR(__xludf.DUMMYFUNCTION("GOOGLETRANSLATE(D5030)"),"@cameronhigdon34 我無法淹沒我的惡魔，他們知道如何游泳。")</f>
        <v>@cameronhigdon34 我無法淹沒我的惡魔，他們知道如何游泳。</v>
      </c>
      <c r="G5030" s="4" t="str">
        <f>IFERROR(__xludf.DUMMYFUNCTION("GOOGLETRANSLATE(B5030)"),"淹")</f>
        <v>淹</v>
      </c>
    </row>
    <row r="5031" ht="15.75" customHeight="1">
      <c r="A5031" s="4">
        <v>4164.0</v>
      </c>
      <c r="B5031" s="4" t="s">
        <v>1846</v>
      </c>
      <c r="D5031" s="4" t="s">
        <v>7417</v>
      </c>
      <c r="E5031" s="4">
        <v>0.0</v>
      </c>
      <c r="F5031" s="4" t="str">
        <f>IFERROR(__xludf.DUMMYFUNCTION("GOOGLETRANSLATE(D5031)"),"@GraysonDolan 除非你讓我淹死你？")</f>
        <v>@GraysonDolan 除非你讓我淹死你？</v>
      </c>
      <c r="G5031" s="4" t="str">
        <f>IFERROR(__xludf.DUMMYFUNCTION("GOOGLETRANSLATE(B5031)"),"淹")</f>
        <v>淹</v>
      </c>
    </row>
    <row r="5032" ht="15.75" customHeight="1">
      <c r="A5032" s="4">
        <v>4166.0</v>
      </c>
      <c r="B5032" s="4" t="s">
        <v>1846</v>
      </c>
      <c r="D5032" s="4" t="s">
        <v>7418</v>
      </c>
      <c r="E5032" s="4">
        <v>0.0</v>
      </c>
      <c r="F5032" s="4" t="str">
        <f>IFERROR(__xludf.DUMMYFUNCTION("GOOGLETRANSLATE(D5032)"),"@Lwilliams_13 我會在河邊散步淹死你")</f>
        <v>@Lwilliams_13 我會在河邊散步淹死你</v>
      </c>
      <c r="G5032" s="4" t="str">
        <f>IFERROR(__xludf.DUMMYFUNCTION("GOOGLETRANSLATE(B5032)"),"淹")</f>
        <v>淹</v>
      </c>
    </row>
    <row r="5033" ht="15.75" customHeight="1">
      <c r="A5033" s="4">
        <v>4167.0</v>
      </c>
      <c r="B5033" s="4" t="s">
        <v>1846</v>
      </c>
      <c r="D5033" s="4" t="s">
        <v>7419</v>
      </c>
      <c r="E5033" s="4">
        <v>0.0</v>
      </c>
      <c r="F5033" s="4" t="str">
        <f>IFERROR(__xludf.DUMMYFUNCTION("GOOGLETRANSLATE(D5033)"),"當你的媽媽很煩人時，你就把你的節拍藥開到最大以淹沒她的聲音。")</f>
        <v>當你的媽媽很煩人時，你就把你的節拍藥開到最大以淹沒她的聲音。</v>
      </c>
      <c r="G5033" s="4" t="str">
        <f>IFERROR(__xludf.DUMMYFUNCTION("GOOGLETRANSLATE(B5033)"),"淹")</f>
        <v>淹</v>
      </c>
    </row>
    <row r="5034" ht="15.75" customHeight="1">
      <c r="A5034" s="4">
        <v>4168.0</v>
      </c>
      <c r="B5034" s="4" t="s">
        <v>1846</v>
      </c>
      <c r="C5034" s="4" t="s">
        <v>7420</v>
      </c>
      <c r="D5034" s="4" t="s">
        <v>7421</v>
      </c>
      <c r="E5034" s="4">
        <v>0.0</v>
      </c>
      <c r="F5034" s="4" t="str">
        <f>IFERROR(__xludf.DUMMYFUNCTION("GOOGLETRANSLATE(D5034)"),"Ev讓我想淹死自己，他真是個白痴")</f>
        <v>Ev讓我想淹死自己，他真是個白痴</v>
      </c>
      <c r="G5034" s="4" t="str">
        <f>IFERROR(__xludf.DUMMYFUNCTION("GOOGLETRANSLATE(B5034)"),"淹")</f>
        <v>淹</v>
      </c>
    </row>
    <row r="5035" ht="15.75" customHeight="1">
      <c r="A5035" s="4">
        <v>4170.0</v>
      </c>
      <c r="B5035" s="4" t="s">
        <v>1846</v>
      </c>
      <c r="D5035" s="4" t="s">
        <v>7422</v>
      </c>
      <c r="E5035" s="4">
        <v>0.0</v>
      </c>
      <c r="F5035" s="4" t="str">
        <f>IFERROR(__xludf.DUMMYFUNCTION("GOOGLETRANSLATE(D5035)"),"@CortneyMo_ 把這個放在底特律的黑鬼們已經表現出來了嗎？嘗試他媽的淹死mfs?????????在水中釋放他們的愛好者？ https://t.co/OAQtjawGxg")</f>
        <v>@CortneyMo_ 把這個放在底特律的黑鬼們已經表現出來了嗎？嘗試他媽的淹死mfs?????????在水中釋放他們的愛好者？ https://t.co/OAQtjawGxg</v>
      </c>
      <c r="G5035" s="4" t="str">
        <f>IFERROR(__xludf.DUMMYFUNCTION("GOOGLETRANSLATE(B5035)"),"淹")</f>
        <v>淹</v>
      </c>
    </row>
    <row r="5036" ht="15.75" customHeight="1">
      <c r="A5036" s="4">
        <v>4171.0</v>
      </c>
      <c r="B5036" s="4" t="s">
        <v>1846</v>
      </c>
      <c r="D5036" s="4" t="s">
        <v>7423</v>
      </c>
      <c r="E5036" s="4">
        <v>0.0</v>
      </c>
      <c r="F5036" s="4" t="str">
        <f>IFERROR(__xludf.DUMMYFUNCTION("GOOGLETRANSLATE(D5036)"),"@jasminehuerta24 我希望你淹死？")</f>
        <v>@jasminehuerta24 我希望你淹死？</v>
      </c>
      <c r="G5036" s="4" t="str">
        <f>IFERROR(__xludf.DUMMYFUNCTION("GOOGLETRANSLATE(B5036)"),"淹")</f>
        <v>淹</v>
      </c>
    </row>
    <row r="5037" ht="15.75" customHeight="1">
      <c r="A5037" s="4">
        <v>4173.0</v>
      </c>
      <c r="B5037" s="4" t="s">
        <v>1846</v>
      </c>
      <c r="C5037" s="4" t="s">
        <v>7424</v>
      </c>
      <c r="D5037" s="4" t="s">
        <v>7425</v>
      </c>
      <c r="E5037" s="4">
        <v>0.0</v>
      </c>
      <c r="F5037" s="4" t="str">
        <f>IFERROR(__xludf.DUMMYFUNCTION("GOOGLETRANSLATE(D5037)"),"把它淹沒在芥末和檸檬胡椒中:)")</f>
        <v>把它淹沒在芥末和檸檬胡椒中:)</v>
      </c>
      <c r="G5037" s="4" t="str">
        <f>IFERROR(__xludf.DUMMYFUNCTION("GOOGLETRANSLATE(B5037)"),"淹")</f>
        <v>淹</v>
      </c>
    </row>
    <row r="5038" ht="15.75" customHeight="1">
      <c r="A5038" s="4">
        <v>4175.0</v>
      </c>
      <c r="B5038" s="4" t="s">
        <v>1846</v>
      </c>
      <c r="C5038" s="4" t="s">
        <v>7426</v>
      </c>
      <c r="D5038" s="4" t="s">
        <v>7427</v>
      </c>
      <c r="E5038" s="4">
        <v>0.0</v>
      </c>
      <c r="F5038" s="4" t="str">
        <f>IFERROR(__xludf.DUMMYFUNCTION("GOOGLETRANSLATE(D5038)"),"我的父母不相信這個夢想。傷心。")</f>
        <v>我的父母不相信這個夢想。傷心。</v>
      </c>
      <c r="G5038" s="4" t="str">
        <f>IFERROR(__xludf.DUMMYFUNCTION("GOOGLETRANSLATE(B5038)"),"淹")</f>
        <v>淹</v>
      </c>
    </row>
    <row r="5039" ht="15.75" customHeight="1">
      <c r="A5039" s="4">
        <v>4176.0</v>
      </c>
      <c r="B5039" s="4" t="s">
        <v>1846</v>
      </c>
      <c r="D5039" s="4" t="s">
        <v>7428</v>
      </c>
      <c r="E5039" s="4">
        <v>0.0</v>
      </c>
      <c r="F5039" s="4" t="str">
        <f>IFERROR(__xludf.DUMMYFUNCTION("GOOGLETRANSLATE(D5039)"),"一些年長的澳洲原住民相信，海洋是由一位試圖淹沒世界的憤怒之神的尿液創造的。")</f>
        <v>一些年長的澳洲原住民相信，海洋是由一位試圖淹沒世界的憤怒之神的尿液創造的。</v>
      </c>
      <c r="G5039" s="4" t="str">
        <f>IFERROR(__xludf.DUMMYFUNCTION("GOOGLETRANSLATE(B5039)"),"淹")</f>
        <v>淹</v>
      </c>
    </row>
    <row r="5040" ht="15.75" customHeight="1">
      <c r="A5040" s="4">
        <v>4177.0</v>
      </c>
      <c r="B5040" s="4" t="s">
        <v>1846</v>
      </c>
      <c r="C5040" s="4" t="s">
        <v>7429</v>
      </c>
      <c r="D5040" s="4" t="s">
        <v>7430</v>
      </c>
      <c r="E5040" s="4">
        <v>0.0</v>
      </c>
      <c r="F5040" s="4" t="str">
        <f>IFERROR(__xludf.DUMMYFUNCTION("GOOGLETRANSLATE(D5040)"),"沒有人告訴我喝太多水會淹死自己。")</f>
        <v>沒有人告訴我喝太多水會淹死自己。</v>
      </c>
      <c r="G5040" s="4" t="str">
        <f>IFERROR(__xludf.DUMMYFUNCTION("GOOGLETRANSLATE(B5040)"),"淹")</f>
        <v>淹</v>
      </c>
    </row>
    <row r="5041" ht="15.75" customHeight="1">
      <c r="A5041" s="4">
        <v>4178.0</v>
      </c>
      <c r="B5041" s="4" t="s">
        <v>1846</v>
      </c>
      <c r="C5041" s="4" t="s">
        <v>7431</v>
      </c>
      <c r="D5041" s="4" t="s">
        <v>7432</v>
      </c>
      <c r="E5041" s="4">
        <v>0.0</v>
      </c>
      <c r="F5041" s="4" t="str">
        <f>IFERROR(__xludf.DUMMYFUNCTION("GOOGLETRANSLATE(D5041)"),"當一個真正的黑鬼壓制你時，你應該被淹死")</f>
        <v>當一個真正的黑鬼壓制你時，你應該被淹死</v>
      </c>
      <c r="G5041" s="4" t="str">
        <f>IFERROR(__xludf.DUMMYFUNCTION("GOOGLETRANSLATE(B5041)"),"淹")</f>
        <v>淹</v>
      </c>
    </row>
    <row r="5042" ht="15.75" customHeight="1">
      <c r="A5042" s="4">
        <v>4180.0</v>
      </c>
      <c r="B5042" s="4" t="s">
        <v>1846</v>
      </c>
      <c r="C5042" s="4" t="s">
        <v>7433</v>
      </c>
      <c r="D5042" s="4" t="s">
        <v>7434</v>
      </c>
      <c r="E5042" s="4">
        <v>0.0</v>
      </c>
      <c r="F5042" s="4" t="str">
        <f>IFERROR(__xludf.DUMMYFUNCTION("GOOGLETRANSLATE(D5042)"),"我把它壓下去，用我覺得是奉獻十倍行動的自豪感來掩蓋他們的侮辱，並在出生時追溯回溯。")</f>
        <v>我把它壓下去，用我覺得是奉獻十倍行動的自豪感來掩蓋他們的侮辱，並在出生時追溯回溯。</v>
      </c>
      <c r="G5042" s="4" t="str">
        <f>IFERROR(__xludf.DUMMYFUNCTION("GOOGLETRANSLATE(B5042)"),"淹")</f>
        <v>淹</v>
      </c>
    </row>
    <row r="5043" ht="15.75" customHeight="1">
      <c r="A5043" s="4">
        <v>4181.0</v>
      </c>
      <c r="B5043" s="4" t="s">
        <v>1846</v>
      </c>
      <c r="D5043" s="4" t="s">
        <v>7435</v>
      </c>
      <c r="E5043" s="4">
        <v>0.0</v>
      </c>
      <c r="F5043" s="4" t="str">
        <f>IFERROR(__xludf.DUMMYFUNCTION("GOOGLETRANSLATE(D5043)"),"我就是電視上那個女孩，她悲傷地把音樂開大，蓋過家人每天吵架的噪音")</f>
        <v>我就是電視上那個女孩，她悲傷地把音樂開大，蓋過家人每天吵架的噪音</v>
      </c>
      <c r="G5043" s="4" t="str">
        <f>IFERROR(__xludf.DUMMYFUNCTION("GOOGLETRANSLATE(B5043)"),"淹")</f>
        <v>淹</v>
      </c>
    </row>
    <row r="5044" ht="15.75" customHeight="1">
      <c r="A5044" s="4">
        <v>4182.0</v>
      </c>
      <c r="B5044" s="4" t="s">
        <v>1846</v>
      </c>
      <c r="C5044" s="4" t="s">
        <v>7436</v>
      </c>
      <c r="D5044" s="4" t="s">
        <v>7437</v>
      </c>
      <c r="E5044" s="4">
        <v>0.0</v>
      </c>
      <c r="F5044" s="4" t="str">
        <f>IFERROR(__xludf.DUMMYFUNCTION("GOOGLETRANSLATE(D5044)"),"一秒鐘都別以為我要淹沒你的記憶。寶貝，你不值得喝威士忌。")</f>
        <v>一秒鐘都別以為我要淹沒你的記憶。寶貝，你不值得喝威士忌。</v>
      </c>
      <c r="G5044" s="4" t="str">
        <f>IFERROR(__xludf.DUMMYFUNCTION("GOOGLETRANSLATE(B5044)"),"淹")</f>
        <v>淹</v>
      </c>
    </row>
    <row r="5045" ht="15.75" customHeight="1">
      <c r="A5045" s="4">
        <v>4183.0</v>
      </c>
      <c r="B5045" s="4" t="s">
        <v>1846</v>
      </c>
      <c r="D5045" s="4" t="s">
        <v>7438</v>
      </c>
      <c r="E5045" s="4">
        <v>0.0</v>
      </c>
      <c r="F5045" s="4" t="str">
        <f>IFERROR(__xludf.DUMMYFUNCTION("GOOGLETRANSLATE(D5045)"),"這個週末是我和內森的生日週末，所以如果你想把自己淹死在啤酒裡，那就做魯莽的事情，可能會死嗯嗯")</f>
        <v>這個週末是我和內森的生日週末，所以如果你想把自己淹死在啤酒裡，那就做魯莽的事情，可能會死嗯嗯</v>
      </c>
      <c r="G5045" s="4" t="str">
        <f>IFERROR(__xludf.DUMMYFUNCTION("GOOGLETRANSLATE(B5045)"),"淹")</f>
        <v>淹</v>
      </c>
    </row>
    <row r="5046" ht="15.75" customHeight="1">
      <c r="A5046" s="4">
        <v>4189.0</v>
      </c>
      <c r="B5046" s="4" t="s">
        <v>1846</v>
      </c>
      <c r="C5046" s="4" t="s">
        <v>7439</v>
      </c>
      <c r="D5046" s="4" t="s">
        <v>7440</v>
      </c>
      <c r="E5046" s="4">
        <v>0.0</v>
      </c>
      <c r="F5046" s="4" t="str">
        <f>IFERROR(__xludf.DUMMYFUNCTION("GOOGLETRANSLATE(D5046)"),"被《Bring Me the Horizo​​n》淹沒（在資訊資源中心 (UTP)）ÛÓ https://t.co/7vSqQSvGNI")</f>
        <v>被《Bring Me the Horizo​​n》淹沒（在資訊資源中心 (UTP)）ÛÓ https://t.co/7vSqQSvGNI</v>
      </c>
      <c r="G5046" s="4" t="str">
        <f>IFERROR(__xludf.DUMMYFUNCTION("GOOGLETRANSLATE(B5046)"),"淹")</f>
        <v>淹</v>
      </c>
    </row>
    <row r="5047" ht="15.75" customHeight="1">
      <c r="A5047" s="4">
        <v>4191.0</v>
      </c>
      <c r="B5047" s="4" t="s">
        <v>1846</v>
      </c>
      <c r="C5047" s="4" t="s">
        <v>7441</v>
      </c>
      <c r="D5047" s="4" t="s">
        <v>7442</v>
      </c>
      <c r="E5047" s="4">
        <v>0.0</v>
      </c>
      <c r="F5047" s="4" t="str">
        <f>IFERROR(__xludf.DUMMYFUNCTION("GOOGLETRANSLATE(D5047)"),"要用悲傷的音樂來澆熄我的悲傷 brb")</f>
        <v>要用悲傷的音樂來澆熄我的悲傷 brb</v>
      </c>
      <c r="G5047" s="4" t="str">
        <f>IFERROR(__xludf.DUMMYFUNCTION("GOOGLETRANSLATE(B5047)"),"淹")</f>
        <v>淹</v>
      </c>
    </row>
    <row r="5048" ht="15.75" customHeight="1">
      <c r="A5048" s="4">
        <v>4197.0</v>
      </c>
      <c r="B5048" s="4" t="s">
        <v>1846</v>
      </c>
      <c r="C5048" s="4" t="s">
        <v>7443</v>
      </c>
      <c r="D5048" s="4" t="s">
        <v>7444</v>
      </c>
      <c r="E5048" s="4">
        <v>0.0</v>
      </c>
      <c r="F5048" s="4" t="str">
        <f>IFERROR(__xludf.DUMMYFUNCTION("GOOGLETRANSLATE(D5048)"),"@kessily @mishacollins 那麼我們應該把它全部發送給他 2 嗎？把他淹死在裡面嗎？我喜歡你的想法！ #AllTheKidneyBeansAndSorbet4Misha #YES")</f>
        <v>@kessily @mishacollins 那麼我們應該把它全部發送給他 2 嗎？把他淹死在裡面嗎？我喜歡你的想法！ #AllTheKidneyBeansAndSorbet4Misha #YES</v>
      </c>
      <c r="G5048" s="4" t="str">
        <f>IFERROR(__xludf.DUMMYFUNCTION("GOOGLETRANSLATE(B5048)"),"淹")</f>
        <v>淹</v>
      </c>
    </row>
    <row r="5049" ht="15.75" customHeight="1">
      <c r="A5049" s="4">
        <v>4198.0</v>
      </c>
      <c r="B5049" s="4" t="s">
        <v>1852</v>
      </c>
      <c r="D5049" s="4" t="s">
        <v>7445</v>
      </c>
      <c r="E5049" s="4">
        <v>0.0</v>
      </c>
      <c r="F5049" s="4" t="str">
        <f>IFERROR(__xludf.DUMMYFUNCTION("GOOGLETRANSLATE(D5049)"),"@_dmerida 我的眼淚淹沒了可怕的味道，娜塔莉還給了我她的牛排和起司來讓我振作起來")</f>
        <v>@_dmerida 我的眼淚淹沒了可怕的味道，娜塔莉還給了我她的牛排和起司來讓我振作起來</v>
      </c>
      <c r="G5049" s="4" t="str">
        <f>IFERROR(__xludf.DUMMYFUNCTION("GOOGLETRANSLATE(B5049)"),"淹死的")</f>
        <v>淹死的</v>
      </c>
    </row>
    <row r="5050" ht="15.75" customHeight="1">
      <c r="A5050" s="4">
        <v>4199.0</v>
      </c>
      <c r="B5050" s="4" t="s">
        <v>1852</v>
      </c>
      <c r="D5050" s="4" t="s">
        <v>7446</v>
      </c>
      <c r="E5050" s="4">
        <v>0.0</v>
      </c>
      <c r="F5050" s="4" t="str">
        <f>IFERROR(__xludf.DUMMYFUNCTION("GOOGLETRANSLATE(D5050)"),"克萊夫：我？ |你。克萊夫：確實如此。 |你知道本發生了什麼事嗎？克萊夫：他淹死了。 |如何。克萊夫：是他父親的。 @聰明機器人")</f>
        <v>克萊夫：我？ |你。克萊夫：確實如此。 |你知道本發生了什麼事嗎？克萊夫：他淹死了。 |如何。克萊夫：是他父親的。 @聰明機器人</v>
      </c>
      <c r="G5050" s="4" t="str">
        <f>IFERROR(__xludf.DUMMYFUNCTION("GOOGLETRANSLATE(B5050)"),"淹死的")</f>
        <v>淹死的</v>
      </c>
    </row>
    <row r="5051" ht="15.75" customHeight="1">
      <c r="A5051" s="4">
        <v>4203.0</v>
      </c>
      <c r="B5051" s="4" t="s">
        <v>1852</v>
      </c>
      <c r="C5051" s="4" t="s">
        <v>7447</v>
      </c>
      <c r="D5051" s="4" t="s">
        <v>7448</v>
      </c>
      <c r="E5051" s="4">
        <v>0.0</v>
      </c>
      <c r="F5051" s="4" t="str">
        <f>IFERROR(__xludf.DUMMYFUNCTION("GOOGLETRANSLATE(D5051)"),"我在兒童泳池裡淹死了，我的軟軟的東西也丟了")</f>
        <v>我在兒童泳池裡淹死了，我的軟軟的東西也丟了</v>
      </c>
      <c r="G5051" s="4" t="str">
        <f>IFERROR(__xludf.DUMMYFUNCTION("GOOGLETRANSLATE(B5051)"),"淹死的")</f>
        <v>淹死的</v>
      </c>
    </row>
    <row r="5052" ht="15.75" customHeight="1">
      <c r="A5052" s="4">
        <v>4204.0</v>
      </c>
      <c r="B5052" s="4" t="s">
        <v>1852</v>
      </c>
      <c r="C5052" s="4" t="s">
        <v>7449</v>
      </c>
      <c r="D5052" s="4" t="s">
        <v>7450</v>
      </c>
      <c r="E5052" s="4">
        <v>0.0</v>
      </c>
      <c r="F5052" s="4" t="str">
        <f>IFERROR(__xludf.DUMMYFUNCTION("GOOGLETRANSLATE(D5052)"),"http://t.co/MoA0q0AuFa 傑克遜維爾一家人計劃聯合起來紀念幼兒... - 佛羅裡達Û_ http://t.co/NKOu7zWwRT")</f>
        <v>http://t.co/MoA0q0AuFa 傑克遜維爾一家人計劃聯合起來紀念幼兒... - 佛羅裡達Û_ http://t.co/NKOu7zWwRT</v>
      </c>
      <c r="G5052" s="4" t="str">
        <f>IFERROR(__xludf.DUMMYFUNCTION("GOOGLETRANSLATE(B5052)"),"淹死的")</f>
        <v>淹死的</v>
      </c>
    </row>
    <row r="5053" ht="15.75" customHeight="1">
      <c r="A5053" s="4">
        <v>4205.0</v>
      </c>
      <c r="B5053" s="4" t="s">
        <v>1852</v>
      </c>
      <c r="C5053" s="4" t="s">
        <v>7451</v>
      </c>
      <c r="D5053" s="4" t="s">
        <v>7452</v>
      </c>
      <c r="E5053" s="4">
        <v>0.0</v>
      </c>
      <c r="F5053" s="4" t="str">
        <f>IFERROR(__xludf.DUMMYFUNCTION("GOOGLETRANSLATE(D5053)"),"美國的未來#GamerGate http://t.co/UhF7NyAbSw")</f>
        <v>美國的未來#GamerGate http://t.co/UhF7NyAbSw</v>
      </c>
      <c r="G5053" s="4" t="str">
        <f>IFERROR(__xludf.DUMMYFUNCTION("GOOGLETRANSLATE(B5053)"),"淹死的")</f>
        <v>淹死的</v>
      </c>
    </row>
    <row r="5054" ht="15.75" customHeight="1">
      <c r="A5054" s="4">
        <v>4206.0</v>
      </c>
      <c r="B5054" s="4" t="s">
        <v>1852</v>
      </c>
      <c r="C5054" s="4" t="s">
        <v>7453</v>
      </c>
      <c r="D5054" s="4" t="s">
        <v>7454</v>
      </c>
      <c r="E5054" s="4">
        <v>0.0</v>
      </c>
      <c r="F5054" s="4" t="str">
        <f>IFERROR(__xludf.DUMMYFUNCTION("GOOGLETRANSLATE(D5054)"),"@Stephen_Georg 嘿史蒂芬還記得那次你淹沒了所有的黃色嗎
閱讀：http://t.co/0sa6Xx1oQ7")</f>
        <v>@Stephen_Georg 嘿史蒂芬還記得那次你淹沒了所有的黃色嗎
閱讀：http://t.co/0sa6Xx1oQ7</v>
      </c>
      <c r="G5054" s="4" t="str">
        <f>IFERROR(__xludf.DUMMYFUNCTION("GOOGLETRANSLATE(B5054)"),"淹死的")</f>
        <v>淹死的</v>
      </c>
    </row>
    <row r="5055" ht="15.75" customHeight="1">
      <c r="A5055" s="4">
        <v>4209.0</v>
      </c>
      <c r="B5055" s="4" t="s">
        <v>1852</v>
      </c>
      <c r="D5055" s="4" t="s">
        <v>7455</v>
      </c>
      <c r="E5055" s="4">
        <v>0.0</v>
      </c>
      <c r="F5055" s="4" t="str">
        <f>IFERROR(__xludf.DUMMYFUNCTION("GOOGLETRANSLATE(D5055)"),"@ABCNews24 @PeterDutton_MP
他還告訴你......在過去的兩年裡沒有人淹死過。 1200人在工黨統治下。但我們先不提這一點..")</f>
        <v>@ABCNews24 @PeterDutton_MP
他還告訴你......在過去的兩年裡沒有人淹死過。 1200人在工黨統治下。但我們先不提這一點..</v>
      </c>
      <c r="G5055" s="4" t="str">
        <f>IFERROR(__xludf.DUMMYFUNCTION("GOOGLETRANSLATE(B5055)"),"淹死的")</f>
        <v>淹死的</v>
      </c>
    </row>
    <row r="5056" ht="15.75" customHeight="1">
      <c r="A5056" s="4">
        <v>4210.0</v>
      </c>
      <c r="B5056" s="4" t="s">
        <v>1852</v>
      </c>
      <c r="D5056" s="4" t="s">
        <v>7456</v>
      </c>
      <c r="E5056" s="4">
        <v>0.0</v>
      </c>
      <c r="F5056" s="4" t="str">
        <f>IFERROR(__xludf.DUMMYFUNCTION("GOOGLETRANSLATE(D5056)"),"新的和現在的：不同（FNaF 同人小說）：Trixie_drowned / 2 頁嗨，我很棒的代理，它是...... http://t.co/366NhTg3Tz #wattpad #promo")</f>
        <v>新的和現在的：不同（FNaF 同人小說）：Trixie_drowned / 2 頁嗨，我很棒的代理，它是...... http://t.co/366NhTg3Tz #wattpad #promo</v>
      </c>
      <c r="G5056" s="4" t="str">
        <f>IFERROR(__xludf.DUMMYFUNCTION("GOOGLETRANSLATE(B5056)"),"淹死的")</f>
        <v>淹死的</v>
      </c>
    </row>
    <row r="5057" ht="15.75" customHeight="1">
      <c r="A5057" s="4">
        <v>4213.0</v>
      </c>
      <c r="B5057" s="4" t="s">
        <v>1852</v>
      </c>
      <c r="C5057" s="4" t="s">
        <v>7457</v>
      </c>
      <c r="D5057" s="4" t="s">
        <v>7458</v>
      </c>
      <c r="E5057" s="4">
        <v>0.0</v>
      </c>
      <c r="F5057" s="4" t="str">
        <f>IFERROR(__xludf.DUMMYFUNCTION("GOOGLETRANSLATE(D5057)"),"在湖邊
*看到一條死魚*
我：可憐的小傢伙，我想知道發生了什麼
艾希莉：我不知道，也許它被淹死了
  臥槽？？？？？？？？")</f>
        <v>在湖邊
*看到一條死魚*
我：可憐的小傢伙，我想知道發生了什麼
艾希莉：我不知道，也許它被淹死了
  臥槽？？？？？？？？</v>
      </c>
      <c r="G5057" s="4" t="str">
        <f>IFERROR(__xludf.DUMMYFUNCTION("GOOGLETRANSLATE(B5057)"),"淹死的")</f>
        <v>淹死的</v>
      </c>
    </row>
    <row r="5058" ht="15.75" customHeight="1">
      <c r="A5058" s="4">
        <v>4214.0</v>
      </c>
      <c r="B5058" s="4" t="s">
        <v>1852</v>
      </c>
      <c r="C5058" s="4" t="s">
        <v>7459</v>
      </c>
      <c r="D5058" s="4" t="s">
        <v>7460</v>
      </c>
      <c r="E5058" s="4">
        <v>0.0</v>
      </c>
      <c r="F5058" s="4" t="str">
        <f>IFERROR(__xludf.DUMMYFUNCTION("GOOGLETRANSLATE(D5058)"),"@上帝，為什麼每次下雨的時候蟲子都沒有被淹死？")</f>
        <v>@上帝，為什麼每次下雨的時候蟲子都沒有被淹死？</v>
      </c>
      <c r="G5058" s="4" t="str">
        <f>IFERROR(__xludf.DUMMYFUNCTION("GOOGLETRANSLATE(B5058)"),"淹死的")</f>
        <v>淹死的</v>
      </c>
    </row>
    <row r="5059" ht="15.75" customHeight="1">
      <c r="A5059" s="4">
        <v>4216.0</v>
      </c>
      <c r="B5059" s="4" t="s">
        <v>1852</v>
      </c>
      <c r="C5059" s="4" t="s">
        <v>7461</v>
      </c>
      <c r="D5059" s="4" t="s">
        <v>7462</v>
      </c>
      <c r="E5059" s="4">
        <v>0.0</v>
      </c>
      <c r="F5059" s="4" t="str">
        <f>IFERROR(__xludf.DUMMYFUNCTION("GOOGLETRANSLATE(D5059)"),"http://t.co/riWuP1RbHu 傑克遜維爾家庭聯合起來，為幼兒計劃舉行紀念...... - 佛羅裡達Û_ http://t.co/86pkNKCHmr")</f>
        <v>http://t.co/riWuP1RbHu 傑克遜維爾家庭聯合起來，為幼兒計劃舉行紀念...... - 佛羅裡達Û_ http://t.co/86pkNKCHmr</v>
      </c>
      <c r="G5059" s="4" t="str">
        <f>IFERROR(__xludf.DUMMYFUNCTION("GOOGLETRANSLATE(B5059)"),"淹死的")</f>
        <v>淹死的</v>
      </c>
    </row>
    <row r="5060" ht="15.75" customHeight="1">
      <c r="A5060" s="4">
        <v>4219.0</v>
      </c>
      <c r="B5060" s="4" t="s">
        <v>1852</v>
      </c>
      <c r="C5060" s="4" t="s">
        <v>627</v>
      </c>
      <c r="D5060" s="4" t="s">
        <v>7463</v>
      </c>
      <c r="E5060" s="4">
        <v>0.0</v>
      </c>
      <c r="F5060" s="4" t="str">
        <f>IFERROR(__xludf.DUMMYFUNCTION("GOOGLETRANSLATE(D5060)"),"陰戶太深了，我差點被淹死兩次")</f>
        <v>陰戶太深了，我差點被淹死兩次</v>
      </c>
      <c r="G5060" s="4" t="str">
        <f>IFERROR(__xludf.DUMMYFUNCTION("GOOGLETRANSLATE(B5060)"),"淹死的")</f>
        <v>淹死的</v>
      </c>
    </row>
    <row r="5061" ht="15.75" customHeight="1">
      <c r="A5061" s="4">
        <v>4221.0</v>
      </c>
      <c r="B5061" s="4" t="s">
        <v>1852</v>
      </c>
      <c r="C5061" s="4" t="s">
        <v>7464</v>
      </c>
      <c r="D5061" s="4" t="s">
        <v>7465</v>
      </c>
      <c r="E5061" s="4">
        <v>0.0</v>
      </c>
      <c r="F5061" s="4" t="str">
        <f>IFERROR(__xludf.DUMMYFUNCTION("GOOGLETRANSLATE(D5061)"),"有時邏輯會被情緒淹沒，但在某些時候它必須浮出水面。")</f>
        <v>有時邏輯會被情緒淹沒，但在某些時候它必須浮出水面。</v>
      </c>
      <c r="G5061" s="4" t="str">
        <f>IFERROR(__xludf.DUMMYFUNCTION("GOOGLETRANSLATE(B5061)"),"淹死的")</f>
        <v>淹死的</v>
      </c>
    </row>
    <row r="5062" ht="15.75" customHeight="1">
      <c r="A5062" s="4">
        <v>4224.0</v>
      </c>
      <c r="B5062" s="4" t="s">
        <v>1852</v>
      </c>
      <c r="C5062" s="4" t="s">
        <v>7466</v>
      </c>
      <c r="D5062" s="4" t="s">
        <v>7467</v>
      </c>
      <c r="E5062" s="4">
        <v>0.0</v>
      </c>
      <c r="F5062" s="4" t="str">
        <f>IFERROR(__xludf.DUMMYFUNCTION("GOOGLETRANSLATE(D5062)"),"@_itsdanie_ 不？？有一次我差點淹死你:))))")</f>
        <v>@_itsdanie_ 不？？有一次我差點淹死你:))))</v>
      </c>
      <c r="G5062" s="4" t="str">
        <f>IFERROR(__xludf.DUMMYFUNCTION("GOOGLETRANSLATE(B5062)"),"淹死的")</f>
        <v>淹死的</v>
      </c>
    </row>
    <row r="5063" ht="15.75" customHeight="1">
      <c r="A5063" s="4">
        <v>4230.0</v>
      </c>
      <c r="B5063" s="4" t="s">
        <v>1852</v>
      </c>
      <c r="D5063" s="4" t="s">
        <v>7468</v>
      </c>
      <c r="E5063" s="4">
        <v>0.0</v>
      </c>
      <c r="F5063" s="4" t="str">
        <f>IFERROR(__xludf.DUMMYFUNCTION("GOOGLETRANSLATE(D5063)"),"謝謝你的精神振奮。當我淹死的時候你就是個錨")</f>
        <v>謝謝你的精神振奮。當我淹死的時候你就是個錨</v>
      </c>
      <c r="G5063" s="4" t="str">
        <f>IFERROR(__xludf.DUMMYFUNCTION("GOOGLETRANSLATE(B5063)"),"淹死的")</f>
        <v>淹死的</v>
      </c>
    </row>
    <row r="5064" ht="15.75" customHeight="1">
      <c r="A5064" s="4">
        <v>4232.0</v>
      </c>
      <c r="B5064" s="4" t="s">
        <v>1852</v>
      </c>
      <c r="D5064" s="4" t="s">
        <v>7469</v>
      </c>
      <c r="E5064" s="4">
        <v>0.0</v>
      </c>
      <c r="F5064" s="4" t="str">
        <f>IFERROR(__xludf.DUMMYFUNCTION("GOOGLETRANSLATE(D5064)"),"我想看到我的@AustinPearcy22，太糟糕了，甚至一點都不好笑。當我這麼做的時候，我可能會哭泣並把他淹沒在吻中。 ????")</f>
        <v>我想看到我的@AustinPearcy22，太糟糕了，甚至一點都不好笑。當我這麼做的時候，我可能會哭泣並把他淹沒在吻中。 ????</v>
      </c>
      <c r="G5064" s="4" t="str">
        <f>IFERROR(__xludf.DUMMYFUNCTION("GOOGLETRANSLATE(B5064)"),"淹死的")</f>
        <v>淹死的</v>
      </c>
    </row>
    <row r="5065" ht="15.75" customHeight="1">
      <c r="A5065" s="4">
        <v>4239.0</v>
      </c>
      <c r="B5065" s="4" t="s">
        <v>1852</v>
      </c>
      <c r="C5065" s="4" t="s">
        <v>7470</v>
      </c>
      <c r="D5065" s="4" t="s">
        <v>7471</v>
      </c>
      <c r="E5065" s="4">
        <v>0.0</v>
      </c>
      <c r="F5065" s="4" t="str">
        <f>IFERROR(__xludf.DUMMYFUNCTION("GOOGLETRANSLATE(D5065)"),"黑鬼最喜歡的問題是你為什麼單身？婊子我不知道陰部太濕了差點淹死一個黑鬼？？？？？？？？？")</f>
        <v>黑鬼最喜歡的問題是你為什麼單身？婊子我不知道陰部太濕了差點淹死一個黑鬼？？？？？？？？？</v>
      </c>
      <c r="G5065" s="4" t="str">
        <f>IFERROR(__xludf.DUMMYFUNCTION("GOOGLETRANSLATE(B5065)"),"淹死的")</f>
        <v>淹死的</v>
      </c>
    </row>
    <row r="5066" ht="15.75" customHeight="1">
      <c r="A5066" s="4">
        <v>4240.0</v>
      </c>
      <c r="B5066" s="4" t="s">
        <v>1852</v>
      </c>
      <c r="C5066" s="4" t="s">
        <v>706</v>
      </c>
      <c r="D5066" s="4" t="s">
        <v>7472</v>
      </c>
      <c r="E5066" s="4">
        <v>0.0</v>
      </c>
      <c r="F5066" s="4" t="str">
        <f>IFERROR(__xludf.DUMMYFUNCTION("GOOGLETRANSLATE(D5066)"),"最好的事情是它淹沒了那個生氣的人的電話，因為他沒有得到跟踪號碼...... http://t.co/QYu8grOrQ1")</f>
        <v>最好的事情是它淹沒了那個生氣的人的電話，因為他沒有得到跟踪號碼...... http://t.co/QYu8grOrQ1</v>
      </c>
      <c r="G5066" s="4" t="str">
        <f>IFERROR(__xludf.DUMMYFUNCTION("GOOGLETRANSLATE(B5066)"),"淹死的")</f>
        <v>淹死的</v>
      </c>
    </row>
    <row r="5067" ht="15.75" customHeight="1">
      <c r="A5067" s="4">
        <v>4242.0</v>
      </c>
      <c r="B5067" s="4" t="s">
        <v>1852</v>
      </c>
      <c r="D5067" s="4" t="s">
        <v>7473</v>
      </c>
      <c r="E5067" s="4">
        <v>0.0</v>
      </c>
      <c r="F5067" s="4" t="str">
        <f>IFERROR(__xludf.DUMMYFUNCTION("GOOGLETRANSLATE(D5067)"),"所以今天我從岩石上摔下來，擦傷了我的整個屁股，差點被淹死#summer2k15")</f>
        <v>所以今天我從岩石上摔下來，擦傷了我的整個屁股，差點被淹死#summer2k15</v>
      </c>
      <c r="G5067" s="4" t="str">
        <f>IFERROR(__xludf.DUMMYFUNCTION("GOOGLETRANSLATE(B5067)"),"淹死的")</f>
        <v>淹死的</v>
      </c>
    </row>
    <row r="5068" ht="15.75" customHeight="1">
      <c r="A5068" s="4">
        <v>4244.0</v>
      </c>
      <c r="B5068" s="4" t="s">
        <v>1852</v>
      </c>
      <c r="D5068" s="4" t="s">
        <v>7474</v>
      </c>
      <c r="E5068" s="4">
        <v>0.0</v>
      </c>
      <c r="F5068" s="4" t="str">
        <f>IFERROR(__xludf.DUMMYFUNCTION("GOOGLETRANSLATE(D5068)"),"希望溺水者@eeasterling_2")</f>
        <v>希望溺水者@eeasterling_2</v>
      </c>
      <c r="G5068" s="4" t="str">
        <f>IFERROR(__xludf.DUMMYFUNCTION("GOOGLETRANSLATE(B5068)"),"淹死的")</f>
        <v>淹死的</v>
      </c>
    </row>
    <row r="5069" ht="15.75" customHeight="1">
      <c r="A5069" s="4">
        <v>4245.0</v>
      </c>
      <c r="B5069" s="4" t="s">
        <v>1852</v>
      </c>
      <c r="C5069" s="4" t="s">
        <v>7475</v>
      </c>
      <c r="D5069" s="4" t="s">
        <v>7476</v>
      </c>
      <c r="E5069" s="4">
        <v>0.0</v>
      </c>
      <c r="F5069" s="4" t="str">
        <f>IFERROR(__xludf.DUMMYFUNCTION("GOOGLETRANSLATE(D5069)"),".@DinosaurDracula 對失蹤的 Pam 感到悔恨，把它淹沒在這些傢伙中。真的很喜歡傑森第六部分的服裝。 http://t.co/irHh2GVSeD")</f>
        <v>.@DinosaurDracula 對失蹤的 Pam 感到悔恨，把它淹沒在這些傢伙中。真的很喜歡傑森第六部分的服裝。 http://t.co/irHh2GVSeD</v>
      </c>
      <c r="G5069" s="4" t="str">
        <f>IFERROR(__xludf.DUMMYFUNCTION("GOOGLETRANSLATE(B5069)"),"淹死的")</f>
        <v>淹死的</v>
      </c>
    </row>
    <row r="5070" ht="15.75" customHeight="1">
      <c r="A5070" s="4">
        <v>4246.0</v>
      </c>
      <c r="B5070" s="4" t="s">
        <v>1852</v>
      </c>
      <c r="C5070" s="4" t="s">
        <v>7477</v>
      </c>
      <c r="D5070" s="4" t="s">
        <v>7478</v>
      </c>
      <c r="E5070" s="4">
        <v>0.0</v>
      </c>
      <c r="F5070" s="4" t="str">
        <f>IFERROR(__xludf.DUMMYFUNCTION("GOOGLETRANSLATE(D5070)"),"鑑於美國聯盟熱衷於支持「1984」式的極權主義，他們沒有效仿真是令人驚訝... http://t.co/58wvChg1M9")</f>
        <v>鑑於美國聯盟熱衷於支持「1984」式的極權主義，他們沒有效仿真是令人驚訝... http://t.co/58wvChg1M9</v>
      </c>
      <c r="G5070" s="4" t="str">
        <f>IFERROR(__xludf.DUMMYFUNCTION("GOOGLETRANSLATE(B5070)"),"淹死的")</f>
        <v>淹死的</v>
      </c>
    </row>
    <row r="5071" ht="15.75" customHeight="1">
      <c r="A5071" s="4">
        <v>4247.0</v>
      </c>
      <c r="B5071" s="4" t="s">
        <v>1852</v>
      </c>
      <c r="C5071" s="4" t="s">
        <v>7479</v>
      </c>
      <c r="D5071" s="4" t="s">
        <v>7480</v>
      </c>
      <c r="E5071" s="4">
        <v>0.0</v>
      </c>
      <c r="F5071" s="4" t="str">
        <f>IFERROR(__xludf.DUMMYFUNCTION("GOOGLETRANSLATE(D5071)"),"@JanieTheKillr 傑克合上素描本，咬著面具下的嘴唇。 '我很好。你好嗎？'")</f>
        <v>@JanieTheKillr 傑克合上素描本，咬著面具下的嘴唇。 '我很好。你好嗎？'</v>
      </c>
      <c r="G5071" s="4" t="str">
        <f>IFERROR(__xludf.DUMMYFUNCTION("GOOGLETRANSLATE(B5071)"),"淹死的")</f>
        <v>淹死的</v>
      </c>
    </row>
    <row r="5072" ht="15.75" customHeight="1">
      <c r="A5072" s="4">
        <v>4248.0</v>
      </c>
      <c r="B5072" s="4" t="s">
        <v>1875</v>
      </c>
      <c r="D5072" s="4" t="s">
        <v>7481</v>
      </c>
      <c r="E5072" s="4">
        <v>0.0</v>
      </c>
      <c r="F5072" s="4" t="str">
        <f>IFERROR(__xludf.DUMMYFUNCTION("GOOGLETRANSLATE(D5072)"),"永遠淹沒在我的感情裡。")</f>
        <v>永遠淹沒在我的感情裡。</v>
      </c>
      <c r="G5072" s="4" t="str">
        <f>IFERROR(__xludf.DUMMYFUNCTION("GOOGLETRANSLATE(B5072)"),"溺")</f>
        <v>溺</v>
      </c>
    </row>
    <row r="5073" ht="15.75" customHeight="1">
      <c r="A5073" s="4">
        <v>4250.0</v>
      </c>
      <c r="B5073" s="4" t="s">
        <v>1875</v>
      </c>
      <c r="C5073" s="4" t="s">
        <v>291</v>
      </c>
      <c r="D5073" s="4" t="s">
        <v>7482</v>
      </c>
      <c r="E5073" s="4">
        <v>0.0</v>
      </c>
      <c r="F5073" s="4" t="str">
        <f>IFERROR(__xludf.DUMMYFUNCTION("GOOGLETRANSLATE(D5073)"),"《溺水女孩》凱特琳·R·基爾南·蜈蚣出版社簽名編號限量 - 完整版 http://t.co/mwcNVtCXVU http://t.co/ClOLmorpLd")</f>
        <v>《溺水女孩》凱特琳·R·基爾南·蜈蚣出版社簽名編號限量 - 完整版 http://t.co/mwcNVtCXVU http://t.co/ClOLmorpLd</v>
      </c>
      <c r="G5073" s="4" t="str">
        <f>IFERROR(__xludf.DUMMYFUNCTION("GOOGLETRANSLATE(B5073)"),"溺")</f>
        <v>溺</v>
      </c>
    </row>
    <row r="5074" ht="15.75" customHeight="1">
      <c r="A5074" s="4">
        <v>4251.0</v>
      </c>
      <c r="B5074" s="4" t="s">
        <v>1875</v>
      </c>
      <c r="D5074" s="4" t="s">
        <v>7483</v>
      </c>
      <c r="E5074" s="4">
        <v>0.0</v>
      </c>
      <c r="F5074" s="4" t="str">
        <f>IFERROR(__xludf.DUMMYFUNCTION("GOOGLETRANSLATE(D5074)"),"《溺水女孩》作者：Caitlin R. Kiernan Centipede Press 簽名編號限量 - 完整版 http://t.co/m2YUXNqlqY http://t.co/V8GKkfMFXT")</f>
        <v>《溺水女孩》作者：Caitlin R. Kiernan Centipede Press 簽名編號限量 - 完整版 http://t.co/m2YUXNqlqY http://t.co/V8GKkfMFXT</v>
      </c>
      <c r="G5074" s="4" t="str">
        <f>IFERROR(__xludf.DUMMYFUNCTION("GOOGLETRANSLATE(B5074)"),"溺")</f>
        <v>溺</v>
      </c>
    </row>
    <row r="5075" ht="15.75" customHeight="1">
      <c r="A5075" s="4">
        <v>4255.0</v>
      </c>
      <c r="B5075" s="4" t="s">
        <v>1875</v>
      </c>
      <c r="C5075" s="4" t="s">
        <v>1205</v>
      </c>
      <c r="D5075" s="4" t="s">
        <v>7484</v>
      </c>
      <c r="E5075" s="4">
        <v>0.0</v>
      </c>
      <c r="F5075" s="4" t="str">
        <f>IFERROR(__xludf.DUMMYFUNCTION("GOOGLETRANSLATE(D5075)"),"家人哀悼患有罕見癲癇症的「超級英雄」幼兒溺水身亡：布拉德利·迪堡 (Bradley Diebold) 患有數百例癲癇病 http://t.co/unsayJDTu7")</f>
        <v>家人哀悼患有罕見癲癇症的「超級英雄」幼兒溺水身亡：布拉德利·迪堡 (Bradley Diebold) 患有數百例癲癇病 http://t.co/unsayJDTu7</v>
      </c>
      <c r="G5075" s="4" t="str">
        <f>IFERROR(__xludf.DUMMYFUNCTION("GOOGLETRANSLATE(B5075)"),"溺")</f>
        <v>溺</v>
      </c>
    </row>
    <row r="5076" ht="15.75" customHeight="1">
      <c r="A5076" s="4">
        <v>4256.0</v>
      </c>
      <c r="B5076" s="4" t="s">
        <v>1875</v>
      </c>
      <c r="C5076" s="4" t="s">
        <v>7485</v>
      </c>
      <c r="D5076" s="4" t="s">
        <v>7486</v>
      </c>
      <c r="E5076" s="4">
        <v>0.0</v>
      </c>
      <c r="F5076" s="4" t="str">
        <f>IFERROR(__xludf.DUMMYFUNCTION("GOOGLETRANSLATE(D5076)"),"為什麼你會陷入低自我形象？參加測驗：http://t.co/Z8R6r3nBTb http://t.co/nAmffldh5h")</f>
        <v>為什麼你會陷入低自我形象？參加測驗：http://t.co/Z8R6r3nBTb http://t.co/nAmffldh5h</v>
      </c>
      <c r="G5076" s="4" t="str">
        <f>IFERROR(__xludf.DUMMYFUNCTION("GOOGLETRANSLATE(B5076)"),"溺")</f>
        <v>溺</v>
      </c>
    </row>
    <row r="5077" ht="15.75" customHeight="1">
      <c r="A5077" s="4">
        <v>4257.0</v>
      </c>
      <c r="B5077" s="4" t="s">
        <v>1875</v>
      </c>
      <c r="C5077" s="4" t="s">
        <v>7487</v>
      </c>
      <c r="D5077" s="4" t="s">
        <v>7488</v>
      </c>
      <c r="E5077" s="4">
        <v>0.0</v>
      </c>
      <c r="F5077" s="4" t="str">
        <f>IFERROR(__xludf.DUMMYFUNCTION("GOOGLETRANSLATE(D5077)"),"2/他的解釋是“只要完成工作，你就可以要求盡可能多的東西，但你總是淹沒在工作中！”")</f>
        <v>2/他的解釋是“只要完成工作，你就可以要求盡可能多的東西，但你總是淹沒在工作中！”</v>
      </c>
      <c r="G5077" s="4" t="str">
        <f>IFERROR(__xludf.DUMMYFUNCTION("GOOGLETRANSLATE(B5077)"),"溺")</f>
        <v>溺</v>
      </c>
    </row>
    <row r="5078" ht="15.75" customHeight="1">
      <c r="A5078" s="4">
        <v>4261.0</v>
      </c>
      <c r="B5078" s="4" t="s">
        <v>1875</v>
      </c>
      <c r="D5078" s="4" t="s">
        <v>7489</v>
      </c>
      <c r="E5078" s="4">
        <v>0.0</v>
      </c>
      <c r="F5078" s="4" t="str">
        <f>IFERROR(__xludf.DUMMYFUNCTION("GOOGLETRANSLATE(D5078)"),"《溺水女孩》凱特琳·R·基爾南·蜈蚣出版社簽名編號限量 - 完整版 http://t.co/tCJfCkXdZL http://t.co/EmTXtGO4CE")</f>
        <v>《溺水女孩》凱特琳·R·基爾南·蜈蚣出版社簽名編號限量 - 完整版 http://t.co/tCJfCkXdZL http://t.co/EmTXtGO4CE</v>
      </c>
      <c r="G5078" s="4" t="str">
        <f>IFERROR(__xludf.DUMMYFUNCTION("GOOGLETRANSLATE(B5078)"),"溺")</f>
        <v>溺</v>
      </c>
    </row>
    <row r="5079" ht="15.75" customHeight="1">
      <c r="A5079" s="4">
        <v>4262.0</v>
      </c>
      <c r="B5079" s="4" t="s">
        <v>1875</v>
      </c>
      <c r="C5079" s="4" t="s">
        <v>7490</v>
      </c>
      <c r="D5079" s="4" t="s">
        <v>7491</v>
      </c>
      <c r="E5079" s="4">
        <v>0.0</v>
      </c>
      <c r="F5079" s="4" t="str">
        <f>IFERROR(__xludf.DUMMYFUNCTION("GOOGLETRANSLATE(D5079)"),"#ICYMI #阿爾傑克森的公告... http://t.co/7BevuJE5eP")</f>
        <v>#ICYMI #阿爾傑克森的公告... http://t.co/7BevuJE5eP</v>
      </c>
      <c r="G5079" s="4" t="str">
        <f>IFERROR(__xludf.DUMMYFUNCTION("GOOGLETRANSLATE(B5079)"),"溺")</f>
        <v>溺</v>
      </c>
    </row>
    <row r="5080" ht="15.75" customHeight="1">
      <c r="A5080" s="4">
        <v>4265.0</v>
      </c>
      <c r="B5080" s="4" t="s">
        <v>1875</v>
      </c>
      <c r="C5080" s="4" t="s">
        <v>7492</v>
      </c>
      <c r="D5080" s="4" t="s">
        <v>7493</v>
      </c>
      <c r="E5080" s="4">
        <v>0.0</v>
      </c>
      <c r="F5080" s="4" t="str">
        <f>IFERROR(__xludf.DUMMYFUNCTION("GOOGLETRANSLATE(D5080)"),"@JLabuz 如果我溺斃了怎麼辦")</f>
        <v>@JLabuz 如果我溺斃了怎麼辦</v>
      </c>
      <c r="G5080" s="4" t="str">
        <f>IFERROR(__xludf.DUMMYFUNCTION("GOOGLETRANSLATE(B5080)"),"溺")</f>
        <v>溺</v>
      </c>
    </row>
    <row r="5081" ht="15.75" customHeight="1">
      <c r="A5081" s="4">
        <v>4268.0</v>
      </c>
      <c r="B5081" s="4" t="s">
        <v>1875</v>
      </c>
      <c r="C5081" s="4" t="s">
        <v>7494</v>
      </c>
      <c r="D5081" s="4" t="s">
        <v>7495</v>
      </c>
      <c r="E5081" s="4">
        <v>0.0</v>
      </c>
      <c r="F5081" s="4" t="str">
        <f>IFERROR(__xludf.DUMMYFUNCTION("GOOGLETRANSLATE(D5081)"),"當我溺水多年時，你不敢扮演受害者嗎？")</f>
        <v>當我溺水多年時，你不敢扮演受害者嗎？</v>
      </c>
      <c r="G5081" s="4" t="str">
        <f>IFERROR(__xludf.DUMMYFUNCTION("GOOGLETRANSLATE(B5081)"),"溺")</f>
        <v>溺</v>
      </c>
    </row>
    <row r="5082" ht="15.75" customHeight="1">
      <c r="A5082" s="4">
        <v>4269.0</v>
      </c>
      <c r="B5082" s="4" t="s">
        <v>1875</v>
      </c>
      <c r="C5082" s="4" t="s">
        <v>6220</v>
      </c>
      <c r="D5082" s="4" t="s">
        <v>7496</v>
      </c>
      <c r="E5082" s="4">
        <v>0.0</v>
      </c>
      <c r="F5082" s="4" t="str">
        <f>IFERROR(__xludf.DUMMYFUNCTION("GOOGLETRANSLATE(D5082)"),"我會一直溺水直到你觀看 #NashsNewVideo http://t.co/EpZwasEYKy http://t.co/cfevtrsc1U")</f>
        <v>我會一直溺水直到你觀看 #NashsNewVideo http://t.co/EpZwasEYKy http://t.co/cfevtrsc1U</v>
      </c>
      <c r="G5082" s="4" t="str">
        <f>IFERROR(__xludf.DUMMYFUNCTION("GOOGLETRANSLATE(B5082)"),"溺")</f>
        <v>溺</v>
      </c>
    </row>
    <row r="5083" ht="15.75" customHeight="1">
      <c r="A5083" s="4">
        <v>4270.0</v>
      </c>
      <c r="B5083" s="4" t="s">
        <v>1875</v>
      </c>
      <c r="C5083" s="4" t="s">
        <v>7497</v>
      </c>
      <c r="D5083" s="4" t="s">
        <v>7498</v>
      </c>
      <c r="E5083" s="4">
        <v>0.0</v>
      </c>
      <c r="F5083" s="4" t="str">
        <f>IFERROR(__xludf.DUMMYFUNCTION("GOOGLETRANSLATE(D5083)"),"有時我甚至無法呼吸
我感覺自己快要被淹死了，無法應付我的恐懼
#焦慮問題")</f>
        <v>有時我甚至無法呼吸
我感覺自己快要被淹死了，無法應付我的恐懼
#焦慮問題</v>
      </c>
      <c r="G5083" s="4" t="str">
        <f>IFERROR(__xludf.DUMMYFUNCTION("GOOGLETRANSLATE(B5083)"),"溺")</f>
        <v>溺</v>
      </c>
    </row>
    <row r="5084" ht="15.75" customHeight="1">
      <c r="A5084" s="4">
        <v>4275.0</v>
      </c>
      <c r="B5084" s="4" t="s">
        <v>1875</v>
      </c>
      <c r="D5084" s="4" t="s">
        <v>7499</v>
      </c>
      <c r="E5084" s="4">
        <v>0.0</v>
      </c>
      <c r="F5084" s="4" t="str">
        <f>IFERROR(__xludf.DUMMYFUNCTION("GOOGLETRANSLATE(D5084)"),"身穿紅色夾克的路易斯第二輪又被我的淚水淹沒")</f>
        <v>身穿紅色夾克的路易斯第二輪又被我的淚水淹沒</v>
      </c>
      <c r="G5084" s="4" t="str">
        <f>IFERROR(__xludf.DUMMYFUNCTION("GOOGLETRANSLATE(B5084)"),"溺")</f>
        <v>溺</v>
      </c>
    </row>
    <row r="5085" ht="15.75" customHeight="1">
      <c r="A5085" s="4">
        <v>4276.0</v>
      </c>
      <c r="B5085" s="4" t="s">
        <v>1875</v>
      </c>
      <c r="C5085" s="4" t="s">
        <v>7500</v>
      </c>
      <c r="D5085" s="4" t="s">
        <v>7501</v>
      </c>
      <c r="E5085" s="4">
        <v>0.0</v>
      </c>
      <c r="F5085" s="4" t="str">
        <f>IFERROR(__xludf.DUMMYFUNCTION("GOOGLETRANSLATE(D5085)"),"癲癇是另一個原因。很常見，但治療起來仍然是一個挑戰。患有罕見癲癇症的超級英雄幼兒 (Dravet) 溺水身亡 http://t.co/VBo1tjNdps")</f>
        <v>癲癇是另一個原因。很常見，但治療起來仍然是一個挑戰。患有罕見癲癇症的超級英雄幼兒 (Dravet) 溺水身亡 http://t.co/VBo1tjNdps</v>
      </c>
      <c r="G5085" s="4" t="str">
        <f>IFERROR(__xludf.DUMMYFUNCTION("GOOGLETRANSLATE(B5085)"),"溺")</f>
        <v>溺</v>
      </c>
    </row>
    <row r="5086" ht="15.75" customHeight="1">
      <c r="A5086" s="4">
        <v>4279.0</v>
      </c>
      <c r="B5086" s="4" t="s">
        <v>1875</v>
      </c>
      <c r="C5086" s="4" t="s">
        <v>1607</v>
      </c>
      <c r="D5086" s="4" t="s">
        <v>7502</v>
      </c>
      <c r="E5086" s="4">
        <v>0.0</v>
      </c>
      <c r="F5086" s="4" t="str">
        <f>IFERROR(__xludf.DUMMYFUNCTION("GOOGLETRANSLATE(D5086)"),"我沉浸在烈酒之中，想要把你洗掉")</f>
        <v>我沉浸在烈酒之中，想要把你洗掉</v>
      </c>
      <c r="G5086" s="4" t="str">
        <f>IFERROR(__xludf.DUMMYFUNCTION("GOOGLETRANSLATE(B5086)"),"溺")</f>
        <v>溺</v>
      </c>
    </row>
    <row r="5087" ht="15.75" customHeight="1">
      <c r="A5087" s="4">
        <v>4281.0</v>
      </c>
      <c r="B5087" s="4" t="s">
        <v>1875</v>
      </c>
      <c r="C5087" s="4" t="s">
        <v>291</v>
      </c>
      <c r="D5087" s="4" t="s">
        <v>7503</v>
      </c>
      <c r="E5087" s="4">
        <v>0.0</v>
      </c>
      <c r="F5087" s="4" t="str">
        <f>IFERROR(__xludf.DUMMYFUNCTION("GOOGLETRANSLATE(D5087)"),"《溺水女孩》作者：Caitlin R. Kiernan Centipede Press 簽名編號限量 - 完整版 http://t.co/McSEK4hX5S http://t.co/IIfGaZ0Fil")</f>
        <v>《溺水女孩》作者：Caitlin R. Kiernan Centipede Press 簽名編號限量 - 完整版 http://t.co/McSEK4hX5S http://t.co/IIfGaZ0Fil</v>
      </c>
      <c r="G5087" s="4" t="str">
        <f>IFERROR(__xludf.DUMMYFUNCTION("GOOGLETRANSLATE(B5087)"),"溺")</f>
        <v>溺</v>
      </c>
    </row>
    <row r="5088" ht="15.75" customHeight="1">
      <c r="A5088" s="4">
        <v>4282.0</v>
      </c>
      <c r="B5088" s="4" t="s">
        <v>1875</v>
      </c>
      <c r="C5088" s="4" t="s">
        <v>7504</v>
      </c>
      <c r="D5088" s="4" t="s">
        <v>7505</v>
      </c>
      <c r="E5088" s="4">
        <v>0.0</v>
      </c>
      <c r="F5088" s="4" t="str">
        <f>IFERROR(__xludf.DUMMYFUNCTION("GOOGLETRANSLATE(D5088)"),"#伊斯蘭#國家發布新假期#宣傳冊可愛的游泳池，適合在射擊場溺水，其缺點是花費#炸彈")</f>
        <v>#伊斯蘭#國家發布新假期#宣傳冊可愛的游泳池，適合在射擊場溺水，其缺點是花費#炸彈</v>
      </c>
      <c r="G5088" s="4" t="str">
        <f>IFERROR(__xludf.DUMMYFUNCTION("GOOGLETRANSLATE(B5088)"),"溺")</f>
        <v>溺</v>
      </c>
    </row>
    <row r="5089" ht="15.75" customHeight="1">
      <c r="A5089" s="4">
        <v>4284.0</v>
      </c>
      <c r="B5089" s="4" t="s">
        <v>1875</v>
      </c>
      <c r="C5089" s="4" t="s">
        <v>7506</v>
      </c>
      <c r="D5089" s="4" t="s">
        <v>7507</v>
      </c>
      <c r="E5089" s="4">
        <v>0.0</v>
      </c>
      <c r="F5089" s="4" t="str">
        <f>IFERROR(__xludf.DUMMYFUNCTION("GOOGLETRANSLATE(D5089)"),"在賈木施吸血鬼中淹沒悲傷。")</f>
        <v>在賈木施吸血鬼中淹沒悲傷。</v>
      </c>
      <c r="G5089" s="4" t="str">
        <f>IFERROR(__xludf.DUMMYFUNCTION("GOOGLETRANSLATE(B5089)"),"溺")</f>
        <v>溺</v>
      </c>
    </row>
    <row r="5090" ht="15.75" customHeight="1">
      <c r="A5090" s="4">
        <v>4288.0</v>
      </c>
      <c r="B5090" s="4" t="s">
        <v>1875</v>
      </c>
      <c r="D5090" s="4" t="s">
        <v>7508</v>
      </c>
      <c r="E5090" s="4">
        <v>0.0</v>
      </c>
      <c r="F5090" s="4" t="str">
        <f>IFERROR(__xludf.DUMMYFUNCTION("GOOGLETRANSLATE(D5090)"),"仍然可以看到它...茫然的表情...臉頰拍打著我的臉...馬文斯房間在後面微妙地演奏，但淹沒了所有的聲音")</f>
        <v>仍然可以看到它...茫然的表情...臉頰拍打著我的臉...馬文斯房間在後面微妙地演奏，但淹沒了所有的聲音</v>
      </c>
      <c r="G5090" s="4" t="str">
        <f>IFERROR(__xludf.DUMMYFUNCTION("GOOGLETRANSLATE(B5090)"),"溺")</f>
        <v>溺</v>
      </c>
    </row>
    <row r="5091" ht="15.75" customHeight="1">
      <c r="A5091" s="4">
        <v>4289.0</v>
      </c>
      <c r="B5091" s="4" t="s">
        <v>1875</v>
      </c>
      <c r="D5091" s="4" t="s">
        <v>7509</v>
      </c>
      <c r="E5091" s="4">
        <v>0.0</v>
      </c>
      <c r="F5091" s="4" t="str">
        <f>IFERROR(__xludf.DUMMYFUNCTION("GOOGLETRANSLATE(D5091)"),"我媽媽正在看一部關於橋樑斷裂/倒塌以及橋上的人在車裡淹死的節目，這也是我最大的恐懼之一？？？")</f>
        <v>我媽媽正在看一部關於橋樑斷裂/倒塌以及橋上的人在車裡淹死的節目，這也是我最大的恐懼之一？？？</v>
      </c>
      <c r="G5091" s="4" t="str">
        <f>IFERROR(__xludf.DUMMYFUNCTION("GOOGLETRANSLATE(B5091)"),"溺")</f>
        <v>溺</v>
      </c>
    </row>
    <row r="5092" ht="15.75" customHeight="1">
      <c r="A5092" s="4">
        <v>4292.0</v>
      </c>
      <c r="B5092" s="4" t="s">
        <v>1875</v>
      </c>
      <c r="C5092" s="4" t="s">
        <v>7510</v>
      </c>
      <c r="D5092" s="4" t="s">
        <v>7511</v>
      </c>
      <c r="E5092" s="4">
        <v>0.0</v>
      </c>
      <c r="F5092" s="4" t="str">
        <f>IFERROR(__xludf.DUMMYFUNCTION("GOOGLETRANSLATE(D5092)"),"阿特維斯自殺身亡")</f>
        <v>阿特維斯自殺身亡</v>
      </c>
      <c r="G5092" s="4" t="str">
        <f>IFERROR(__xludf.DUMMYFUNCTION("GOOGLETRANSLATE(B5092)"),"溺")</f>
        <v>溺</v>
      </c>
    </row>
    <row r="5093" ht="15.75" customHeight="1">
      <c r="A5093" s="4">
        <v>4293.0</v>
      </c>
      <c r="B5093" s="4" t="s">
        <v>1875</v>
      </c>
      <c r="D5093" s="4" t="s">
        <v>7512</v>
      </c>
      <c r="E5093" s="4">
        <v>0.0</v>
      </c>
      <c r="F5093" s="4" t="str">
        <f>IFERROR(__xludf.DUMMYFUNCTION("GOOGLETRANSLATE(D5093)"),"這個人為救一隻溺水松鼠所做的事情絕對令人難以置信
http://t.co/YzZXxkNiSm http://t.co/zzsEe5Hipm")</f>
        <v>這個人為救一隻溺水松鼠所做的事情絕對令人難以置信
http://t.co/YzZXxkNiSm http://t.co/zzsEe5Hipm</v>
      </c>
      <c r="G5093" s="4" t="str">
        <f>IFERROR(__xludf.DUMMYFUNCTION("GOOGLETRANSLATE(B5093)"),"溺")</f>
        <v>溺</v>
      </c>
    </row>
    <row r="5094" ht="15.75" customHeight="1">
      <c r="A5094" s="4">
        <v>4295.0</v>
      </c>
      <c r="B5094" s="4" t="s">
        <v>1875</v>
      </c>
      <c r="D5094" s="4" t="s">
        <v>7513</v>
      </c>
      <c r="E5094" s="4">
        <v>0.0</v>
      </c>
      <c r="F5094" s="4" t="str">
        <f>IFERROR(__xludf.DUMMYFUNCTION("GOOGLETRANSLATE(D5094)"),"@Homukami 只有 UR 和 SR 很重要，你會被淹沒在 Rs 中。儘管你已經被 Ns 淹沒了，哈哈。")</f>
        <v>@Homukami 只有 UR 和 SR 很重要，你會被淹沒在 Rs 中。儘管你已經被 Ns 淹沒了，哈哈。</v>
      </c>
      <c r="G5094" s="4" t="str">
        <f>IFERROR(__xludf.DUMMYFUNCTION("GOOGLETRANSLATE(B5094)"),"溺")</f>
        <v>溺</v>
      </c>
    </row>
    <row r="5095" ht="15.75" customHeight="1">
      <c r="A5095" s="4">
        <v>4296.0</v>
      </c>
      <c r="B5095" s="4" t="s">
        <v>1875</v>
      </c>
      <c r="C5095" s="4" t="s">
        <v>6433</v>
      </c>
      <c r="D5095" s="4" t="s">
        <v>7514</v>
      </c>
      <c r="E5095" s="4">
        <v>0.0</v>
      </c>
      <c r="F5095" s="4" t="str">
        <f>IFERROR(__xludf.DUMMYFUNCTION("GOOGLETRANSLATE(D5095)"),"我感覺自己快要淹沒在自己的身體裡了！！")</f>
        <v>我感覺自己快要淹沒在自己的身體裡了！！</v>
      </c>
      <c r="G5095" s="4" t="str">
        <f>IFERROR(__xludf.DUMMYFUNCTION("GOOGLETRANSLATE(B5095)"),"溺")</f>
        <v>溺</v>
      </c>
    </row>
    <row r="5096" ht="15.75" customHeight="1">
      <c r="A5096" s="4">
        <v>4297.0</v>
      </c>
      <c r="B5096" s="4" t="s">
        <v>1875</v>
      </c>
      <c r="C5096" s="4" t="s">
        <v>7515</v>
      </c>
      <c r="D5096" s="4" t="s">
        <v>7516</v>
      </c>
      <c r="E5096" s="4">
        <v>0.0</v>
      </c>
      <c r="F5096" s="4" t="str">
        <f>IFERROR(__xludf.DUMMYFUNCTION("GOOGLETRANSLATE(D5096)"),"我現在快淹死在水裡了，再也不會游泳了哦天哪")</f>
        <v>我現在快淹死在水裡了，再也不會游泳了哦天哪</v>
      </c>
      <c r="G5096" s="4" t="str">
        <f>IFERROR(__xludf.DUMMYFUNCTION("GOOGLETRANSLATE(B5096)"),"溺")</f>
        <v>溺</v>
      </c>
    </row>
    <row r="5097" ht="15.75" customHeight="1">
      <c r="A5097" s="4">
        <v>4298.0</v>
      </c>
      <c r="B5097" s="4" t="s">
        <v>1890</v>
      </c>
      <c r="C5097" s="4" t="s">
        <v>7517</v>
      </c>
      <c r="D5097" s="4" t="s">
        <v>7518</v>
      </c>
      <c r="E5097" s="4">
        <v>0.0</v>
      </c>
      <c r="F5097" s="4" t="str">
        <f>IFERROR(__xludf.DUMMYFUNCTION("GOOGLETRANSLATE(D5097)"),"@NWSPocatello BG-16：到目前為止，我們北部的風暴首當其衝。帶灰塵和灰色變灰北邊有雨，南邊藍天間有雲。")</f>
        <v>@NWSPocatello BG-16：到目前為止，我們北部的風暴首當其衝。帶灰塵和灰色變灰北邊有雨，南邊藍天間有雲。</v>
      </c>
      <c r="G5097" s="4" t="str">
        <f>IFERROR(__xludf.DUMMYFUNCTION("GOOGLETRANSLATE(B5097)"),"灰塵%20風暴")</f>
        <v>灰塵%20風暴</v>
      </c>
    </row>
    <row r="5098" ht="15.75" customHeight="1">
      <c r="A5098" s="4">
        <v>4312.0</v>
      </c>
      <c r="B5098" s="4" t="s">
        <v>1890</v>
      </c>
      <c r="C5098" s="4" t="s">
        <v>7519</v>
      </c>
      <c r="D5098" s="4" t="s">
        <v>7520</v>
      </c>
      <c r="E5098" s="4">
        <v>0.0</v>
      </c>
      <c r="F5098" s="4" t="str">
        <f>IFERROR(__xludf.DUMMYFUNCTION("GOOGLETRANSLATE(D5098)"),"我老是打噴嚏，要嘛是有人在我家放了南方沙塵暴，要嘛是有人在說話")</f>
        <v>我老是打噴嚏，要嘛是有人在我家放了南方沙塵暴，要嘛是有人在說話</v>
      </c>
      <c r="G5098" s="4" t="str">
        <f>IFERROR(__xludf.DUMMYFUNCTION("GOOGLETRANSLATE(B5098)"),"灰塵%20風暴")</f>
        <v>灰塵%20風暴</v>
      </c>
    </row>
    <row r="5099" ht="15.75" customHeight="1">
      <c r="A5099" s="4">
        <v>4313.0</v>
      </c>
      <c r="B5099" s="4" t="s">
        <v>1890</v>
      </c>
      <c r="D5099" s="4" t="s">
        <v>7521</v>
      </c>
      <c r="E5099" s="4">
        <v>0.0</v>
      </c>
      <c r="F5099" s="4" t="str">
        <f>IFERROR(__xludf.DUMMYFUNCTION("GOOGLETRANSLATE(D5099)"),"||所以……我剛剛看了《沙塵暴》的預告片，我想我的一部分已經死了……柯林太完美了，天哪。")</f>
        <v>||所以……我剛剛看了《沙塵暴》的預告片，我想我的一部分已經死了……柯林太完美了，天哪。</v>
      </c>
      <c r="G5099" s="4" t="str">
        <f>IFERROR(__xludf.DUMMYFUNCTION("GOOGLETRANSLATE(B5099)"),"灰塵%20風暴")</f>
        <v>灰塵%20風暴</v>
      </c>
    </row>
    <row r="5100" ht="15.75" customHeight="1">
      <c r="A5100" s="4">
        <v>4314.0</v>
      </c>
      <c r="B5100" s="4" t="s">
        <v>1890</v>
      </c>
      <c r="D5100" s="4" t="s">
        <v>7522</v>
      </c>
      <c r="E5100" s="4">
        <v>0.0</v>
      </c>
      <c r="F5100" s="4" t="str">
        <f>IFERROR(__xludf.DUMMYFUNCTION("GOOGLETRANSLATE(D5100)"),"塵暴維護費 - 購買旋轉風暴防護罩：UVoPWZ")</f>
        <v>塵暴維護費 - 購買旋轉風暴防護罩：UVoPWZ</v>
      </c>
      <c r="G5100" s="4" t="str">
        <f>IFERROR(__xludf.DUMMYFUNCTION("GOOGLETRANSLATE(B5100)"),"灰塵%20風暴")</f>
        <v>灰塵%20風暴</v>
      </c>
    </row>
    <row r="5101" ht="15.75" customHeight="1">
      <c r="A5101" s="4">
        <v>4323.0</v>
      </c>
      <c r="B5101" s="4" t="s">
        <v>1890</v>
      </c>
      <c r="D5101" s="4" t="s">
        <v>7523</v>
      </c>
      <c r="E5101" s="4">
        <v>0.0</v>
      </c>
      <c r="F5101" s="4" t="str">
        <f>IFERROR(__xludf.DUMMYFUNCTION("GOOGLETRANSLATE(D5101)"),"新的《瘋狂麥斯》截圖展示了可愛的沙塵暴戰鬥鉅作 http://t.co/45CmaQf8Ns")</f>
        <v>新的《瘋狂麥斯》截圖展示了可愛的沙塵暴戰鬥鉅作 http://t.co/45CmaQf8Ns</v>
      </c>
      <c r="G5101" s="4" t="str">
        <f>IFERROR(__xludf.DUMMYFUNCTION("GOOGLETRANSLATE(B5101)"),"灰塵%20風暴")</f>
        <v>灰塵%20風暴</v>
      </c>
    </row>
    <row r="5102" ht="15.75" customHeight="1">
      <c r="A5102" s="4">
        <v>4325.0</v>
      </c>
      <c r="B5102" s="4" t="s">
        <v>1890</v>
      </c>
      <c r="C5102" s="4" t="s">
        <v>7524</v>
      </c>
      <c r="D5102" s="4" t="s">
        <v>7525</v>
      </c>
      <c r="E5102" s="4">
        <v>0.0</v>
      </c>
      <c r="F5102" s="4" t="str">
        <f>IFERROR(__xludf.DUMMYFUNCTION("GOOGLETRANSLATE(D5102)"),"新《瘋狂麥斯》的新截圖展示了可愛的沙塵暴戰鬥鉅作 http://t.co/QHbzKErOTt #cogXbox #XboxOne #Xbox")</f>
        <v>新《瘋狂麥斯》的新截圖展示了可愛的沙塵暴戰鬥鉅作 http://t.co/QHbzKErOTt #cogXbox #XboxOne #Xbox</v>
      </c>
      <c r="G5102" s="4" t="str">
        <f>IFERROR(__xludf.DUMMYFUNCTION("GOOGLETRANSLATE(B5102)"),"灰塵%20風暴")</f>
        <v>灰塵%20風暴</v>
      </c>
    </row>
    <row r="5103" ht="15.75" customHeight="1">
      <c r="A5103" s="4">
        <v>4326.0</v>
      </c>
      <c r="B5103" s="4" t="s">
        <v>1890</v>
      </c>
      <c r="C5103" s="4" t="s">
        <v>1900</v>
      </c>
      <c r="D5103" s="4" t="s">
        <v>7526</v>
      </c>
      <c r="E5103" s="4">
        <v>0.0</v>
      </c>
      <c r="F5103" s="4" t="str">
        <f>IFERROR(__xludf.DUMMYFUNCTION("GOOGLETRANSLATE(D5103)"),"我的朋友在風中大喊的答案是我的最新文章http://t.co/LbMeKYphM5。請閱讀並分享-謝謝！ http://t.co/9NwAJLi9cr")</f>
        <v>我的朋友在風中大喊的答案是我的最新文章http://t.co/LbMeKYphM5。請閱讀並分享-謝謝！ http://t.co/9NwAJLi9cr</v>
      </c>
      <c r="G5103" s="4" t="str">
        <f>IFERROR(__xludf.DUMMYFUNCTION("GOOGLETRANSLATE(B5103)"),"灰塵%20風暴")</f>
        <v>灰塵%20風暴</v>
      </c>
    </row>
    <row r="5104" ht="15.75" customHeight="1">
      <c r="A5104" s="4">
        <v>4327.0</v>
      </c>
      <c r="B5104" s="4" t="s">
        <v>1890</v>
      </c>
      <c r="C5104" s="4" t="s">
        <v>7527</v>
      </c>
      <c r="D5104" s="4" t="s">
        <v>7528</v>
      </c>
      <c r="E5104" s="4">
        <v>0.0</v>
      </c>
      <c r="F5104" s="4" t="str">
        <f>IFERROR(__xludf.DUMMYFUNCTION("GOOGLETRANSLATE(D5104)"),"我盡快需要沙塵暴電影
也
*第 500 次觀看預告片* @duststormfilm")</f>
        <v>我盡快需要沙塵暴電影
也
*第 500 次觀看預告片* @duststormfilm</v>
      </c>
      <c r="G5104" s="4" t="str">
        <f>IFERROR(__xludf.DUMMYFUNCTION("GOOGLETRANSLATE(B5104)"),"灰塵%20風暴")</f>
        <v>灰塵%20風暴</v>
      </c>
    </row>
    <row r="5105" ht="15.75" customHeight="1">
      <c r="A5105" s="4">
        <v>4332.0</v>
      </c>
      <c r="B5105" s="4" t="s">
        <v>1890</v>
      </c>
      <c r="C5105" s="4" t="s">
        <v>7529</v>
      </c>
      <c r="D5105" s="4" t="s">
        <v>7530</v>
      </c>
      <c r="E5105" s="4">
        <v>0.0</v>
      </c>
      <c r="F5105" s="4" t="str">
        <f>IFERROR(__xludf.DUMMYFUNCTION("GOOGLETRANSLATE(D5105)"),"陷入沙塵暴的 6 件事充滿挑戰的房地產市場的共同點（+影片）：http://t.co/jf5Ft5cq9j")</f>
        <v>陷入沙塵暴的 6 件事充滿挑戰的房地產市場的共同點（+影片）：http://t.co/jf5Ft5cq9j</v>
      </c>
      <c r="G5105" s="4" t="str">
        <f>IFERROR(__xludf.DUMMYFUNCTION("GOOGLETRANSLATE(B5105)"),"灰塵%20風暴")</f>
        <v>灰塵%20風暴</v>
      </c>
    </row>
    <row r="5106" ht="15.75" customHeight="1">
      <c r="A5106" s="4">
        <v>4334.0</v>
      </c>
      <c r="B5106" s="4" t="s">
        <v>1890</v>
      </c>
      <c r="C5106" s="4" t="s">
        <v>7531</v>
      </c>
      <c r="D5106" s="4" t="s">
        <v>7532</v>
      </c>
      <c r="E5106" s="4">
        <v>0.0</v>
      </c>
      <c r="F5106" s="4" t="str">
        <f>IFERROR(__xludf.DUMMYFUNCTION("GOOGLETRANSLATE(D5106)"),"@LegacyOfTheSith @SagaciousSaber @Lordofbetrayal 以新月形移動，移動時留下了小塵埃痕跡。")</f>
        <v>@LegacyOfTheSith @SagaciousSaber @Lordofbetrayal 以新月形移動，移動時留下了小塵埃痕跡。</v>
      </c>
      <c r="G5106" s="4" t="str">
        <f>IFERROR(__xludf.DUMMYFUNCTION("GOOGLETRANSLATE(B5106)"),"灰塵%20風暴")</f>
        <v>灰塵%20風暴</v>
      </c>
    </row>
    <row r="5107" ht="15.75" customHeight="1">
      <c r="A5107" s="4">
        <v>4337.0</v>
      </c>
      <c r="B5107" s="4" t="s">
        <v>1890</v>
      </c>
      <c r="C5107" s="4" t="s">
        <v>283</v>
      </c>
      <c r="D5107" s="4" t="s">
        <v>7533</v>
      </c>
      <c r="E5107" s="4">
        <v>0.0</v>
      </c>
      <c r="F5107" s="4" t="str">
        <f>IFERROR(__xludf.DUMMYFUNCTION("GOOGLETRANSLATE(D5107)"),"新《瘋狂麥斯》的新截圖展示了可愛的沙塵暴戰鬥巨著 http://t.co/VRpmlcZCY")</f>
        <v>新《瘋狂麥斯》的新截圖展示了可愛的沙塵暴戰鬥巨著 http://t.co/VRpmlcZCY</v>
      </c>
      <c r="G5107" s="4" t="str">
        <f>IFERROR(__xludf.DUMMYFUNCTION("GOOGLETRANSLATE(B5107)"),"灰塵%20風暴")</f>
        <v>灰塵%20風暴</v>
      </c>
    </row>
    <row r="5108" ht="15.75" customHeight="1">
      <c r="A5108" s="4">
        <v>4345.0</v>
      </c>
      <c r="B5108" s="4" t="s">
        <v>1890</v>
      </c>
      <c r="C5108" s="4" t="s">
        <v>7534</v>
      </c>
      <c r="D5108" s="4" t="s">
        <v>7535</v>
      </c>
      <c r="E5108" s="4">
        <v>0.0</v>
      </c>
      <c r="F5108" s="4" t="str">
        <f>IFERROR(__xludf.DUMMYFUNCTION("GOOGLETRANSLATE(D5108)"),"新《瘋狂麥斯》的新截圖展示了可愛的沙塵暴戰鉅作 http://t.co/MUdgU1pUNS http://t.co/AQxwOLbCfq")</f>
        <v>新《瘋狂麥斯》的新截圖展示了可愛的沙塵暴戰鉅作 http://t.co/MUdgU1pUNS http://t.co/AQxwOLbCfq</v>
      </c>
      <c r="G5108" s="4" t="str">
        <f>IFERROR(__xludf.DUMMYFUNCTION("GOOGLETRANSLATE(B5108)"),"灰塵%20風暴")</f>
        <v>灰塵%20風暴</v>
      </c>
    </row>
    <row r="5109" ht="15.75" customHeight="1">
      <c r="A5109" s="4">
        <v>4352.0</v>
      </c>
      <c r="B5109" s="4" t="s">
        <v>1927</v>
      </c>
      <c r="D5109" s="4" t="s">
        <v>7536</v>
      </c>
      <c r="E5109" s="4">
        <v>0.0</v>
      </c>
      <c r="F5109" s="4" t="str">
        <f>IFERROR(__xludf.DUMMYFUNCTION("GOOGLETRANSLATE(D5109)"),"把合適的人放在街區#Shelli？？？權利意識是荒謬的。 #BB17。")</f>
        <v>把合適的人放在街區#Shelli？？？權利意識是荒謬的。 #BB17。</v>
      </c>
      <c r="G5109" s="4" t="str">
        <f>IFERROR(__xludf.DUMMYFUNCTION("GOOGLETRANSLATE(B5109)"),"地震")</f>
        <v>地震</v>
      </c>
    </row>
    <row r="5110" ht="15.75" customHeight="1">
      <c r="A5110" s="4">
        <v>4355.0</v>
      </c>
      <c r="B5110" s="4" t="s">
        <v>1927</v>
      </c>
      <c r="C5110" s="4" t="s">
        <v>7537</v>
      </c>
      <c r="D5110" s="4" t="s">
        <v>7538</v>
      </c>
      <c r="E5110" s="4">
        <v>0.0</v>
      </c>
      <c r="F5110" s="4" t="str">
        <f>IFERROR(__xludf.DUMMYFUNCTION("GOOGLETRANSLATE(D5110)"),"發布了一首新歌：「Earthquake」 http://t.co/RfTyyZ4GwJ http://t.co/lau0Ay7ahV")</f>
        <v>發布了一首新歌：「Earthquake」 http://t.co/RfTyyZ4GwJ http://t.co/lau0Ay7ahV</v>
      </c>
      <c r="G5110" s="4" t="str">
        <f>IFERROR(__xludf.DUMMYFUNCTION("GOOGLETRANSLATE(B5110)"),"地震")</f>
        <v>地震</v>
      </c>
    </row>
    <row r="5111" ht="15.75" customHeight="1">
      <c r="A5111" s="4">
        <v>4366.0</v>
      </c>
      <c r="B5111" s="4" t="s">
        <v>1927</v>
      </c>
      <c r="C5111" s="4" t="s">
        <v>7539</v>
      </c>
      <c r="D5111" s="4" t="s">
        <v>7540</v>
      </c>
      <c r="E5111" s="4">
        <v>0.0</v>
      </c>
      <c r="F5111" s="4" t="str">
        <f>IFERROR(__xludf.DUMMYFUNCTION("GOOGLETRANSLATE(D5111)"),"@AGeekyFangirl14 她在另一半身上的樣子：
1.美麗的眼睛。
2.幽默。
3. 放屁會引發地震。
???????")</f>
        <v>@AGeekyFangirl14 她在另一半身上的樣子：
1.美麗的眼睛。
2.幽默。
3. 放屁會引發地震。
???????</v>
      </c>
      <c r="G5111" s="4" t="str">
        <f>IFERROR(__xludf.DUMMYFUNCTION("GOOGLETRANSLATE(B5111)"),"地震")</f>
        <v>地震</v>
      </c>
    </row>
    <row r="5112" ht="15.75" customHeight="1">
      <c r="A5112" s="4">
        <v>4372.0</v>
      </c>
      <c r="B5112" s="4" t="s">
        <v>1927</v>
      </c>
      <c r="C5112" s="4" t="s">
        <v>7541</v>
      </c>
      <c r="D5112" s="4" t="s">
        <v>7542</v>
      </c>
      <c r="E5112" s="4">
        <v>0.0</v>
      </c>
      <c r="F5112" s="4" t="str">
        <f>IFERROR(__xludf.DUMMYFUNCTION("GOOGLETRANSLATE(D5112)"),"ML 2.0 義大利西西里島 http://t.co/z6hxx6d2pm #euroquake")</f>
        <v>ML 2.0 義大利西西里島 http://t.co/z6hxx6d2pm #euroquake</v>
      </c>
      <c r="G5112" s="4" t="str">
        <f>IFERROR(__xludf.DUMMYFUNCTION("GOOGLETRANSLATE(B5112)"),"地震")</f>
        <v>地震</v>
      </c>
    </row>
    <row r="5113" ht="15.75" customHeight="1">
      <c r="A5113" s="4">
        <v>4379.0</v>
      </c>
      <c r="B5113" s="4" t="s">
        <v>1927</v>
      </c>
      <c r="C5113" s="4" t="s">
        <v>7543</v>
      </c>
      <c r="D5113" s="4" t="s">
        <v>7544</v>
      </c>
      <c r="E5113" s="4">
        <v>0.0</v>
      </c>
      <c r="F5113" s="4" t="str">
        <f>IFERROR(__xludf.DUMMYFUNCTION("GOOGLETRANSLATE(D5113)"),"[GPV 風] 截至 06JST 6AUG：WNW 06JST 6AUG / E 12JST 6AUG / S 18JST 6AUG。 http://t.co/l6jBjAj8dm")</f>
        <v>[GPV 風] 截至 06JST 6AUG：WNW 06JST 6AUG / E 12JST 6AUG / S 18JST 6AUG。 http://t.co/l6jBjAj8dm</v>
      </c>
      <c r="G5113" s="4" t="str">
        <f>IFERROR(__xludf.DUMMYFUNCTION("GOOGLETRANSLATE(B5113)"),"地震")</f>
        <v>地震</v>
      </c>
    </row>
    <row r="5114" ht="15.75" customHeight="1">
      <c r="A5114" s="4">
        <v>4383.0</v>
      </c>
      <c r="B5114" s="4" t="s">
        <v>1927</v>
      </c>
      <c r="D5114" s="4" t="s">
        <v>7545</v>
      </c>
      <c r="E5114" s="4">
        <v>0.0</v>
      </c>
      <c r="F5114" s="4" t="str">
        <f>IFERROR(__xludf.DUMMYFUNCTION("GOOGLETRANSLATE(D5114)"),"在整個劇集中，#Shelli 的眼睛裡沒有流過一滴真正的淚水。 #bb17")</f>
        <v>在整個劇集中，#Shelli 的眼睛裡沒有流過一滴真正的淚水。 #bb17</v>
      </c>
      <c r="G5114" s="4" t="str">
        <f>IFERROR(__xludf.DUMMYFUNCTION("GOOGLETRANSLATE(B5114)"),"地震")</f>
        <v>地震</v>
      </c>
    </row>
    <row r="5115" ht="15.75" customHeight="1">
      <c r="A5115" s="4">
        <v>4384.0</v>
      </c>
      <c r="B5115" s="4" t="s">
        <v>1927</v>
      </c>
      <c r="D5115" s="4" t="s">
        <v>7546</v>
      </c>
      <c r="E5115" s="4">
        <v>0.0</v>
      </c>
      <c r="F5115" s="4" t="str">
        <f>IFERROR(__xludf.DUMMYFUNCTION("GOOGLETRANSLATE(D5115)"),"#USGS M 1.4 - 4km E of Interlaken California: Time2015-08-06 00:52:25 UTC2015-08-05 17:52:25 -07:00 at ep... http://t.co/zqrcptLrUM # SM")</f>
        <v>#USGS M 1.4 - 4km E of Interlaken California: Time2015-08-06 00:52:25 UTC2015-08-05 17:52:25 -07:00 at ep... http://t.co/zqrcptLrUM # SM</v>
      </c>
      <c r="G5115" s="4" t="str">
        <f>IFERROR(__xludf.DUMMYFUNCTION("GOOGLETRANSLATE(B5115)"),"地震")</f>
        <v>地震</v>
      </c>
    </row>
    <row r="5116" ht="15.75" customHeight="1">
      <c r="A5116" s="4">
        <v>4385.0</v>
      </c>
      <c r="B5116" s="4" t="s">
        <v>1927</v>
      </c>
      <c r="C5116" s="4" t="s">
        <v>1937</v>
      </c>
      <c r="D5116" s="4" t="s">
        <v>7547</v>
      </c>
      <c r="E5116" s="4">
        <v>0.0</v>
      </c>
      <c r="F5116" s="4" t="str">
        <f>IFERROR(__xludf.DUMMYFUNCTION("GOOGLETRANSLATE(D5116)"),"#Sismo M 1.3 - 1km NNE of The Geysers California: 時間2015-08-05 23:40:21 UTC2015-08-05 16:40:21 -07:00 a... http://t.co/x6el3ySYcn # CS")</f>
        <v>#Sismo M 1.3 - 1km NNE of The Geysers California: 時間2015-08-05 23:40:21 UTC2015-08-05 16:40:21 -07:00 a... http://t.co/x6el3ySYcn # CS</v>
      </c>
      <c r="G5116" s="4" t="str">
        <f>IFERROR(__xludf.DUMMYFUNCTION("GOOGLETRANSLATE(B5116)"),"地震")</f>
        <v>地震</v>
      </c>
    </row>
    <row r="5117" ht="15.75" customHeight="1">
      <c r="A5117" s="4">
        <v>4387.0</v>
      </c>
      <c r="B5117" s="4" t="s">
        <v>1927</v>
      </c>
      <c r="C5117" s="4" t="s">
        <v>7548</v>
      </c>
      <c r="D5117" s="4" t="s">
        <v>7549</v>
      </c>
      <c r="E5117" s="4">
        <v>0.0</v>
      </c>
      <c r="F5117" s="4" t="str">
        <f>IFERROR(__xludf.DUMMYFUNCTION("GOOGLETRANSLATE(D5117)"),"地震演習？？？？")</f>
        <v>地震演習？？？？</v>
      </c>
      <c r="G5117" s="4" t="str">
        <f>IFERROR(__xludf.DUMMYFUNCTION("GOOGLETRANSLATE(B5117)"),"地震")</f>
        <v>地震</v>
      </c>
    </row>
    <row r="5118" ht="15.75" customHeight="1">
      <c r="A5118" s="4">
        <v>4398.0</v>
      </c>
      <c r="B5118" s="4" t="s">
        <v>1971</v>
      </c>
      <c r="C5118" s="4" t="s">
        <v>7550</v>
      </c>
      <c r="D5118" s="4" t="s">
        <v>7551</v>
      </c>
      <c r="E5118" s="4">
        <v>0.0</v>
      </c>
      <c r="F5118" s="4" t="str">
        <f>IFERROR(__xludf.DUMMYFUNCTION("GOOGLETRANSLATE(D5118)"),"@Adanne___ 請回來")</f>
        <v>@Adanne___ 請回來</v>
      </c>
      <c r="G5118" s="4" t="str">
        <f>IFERROR(__xludf.DUMMYFUNCTION("GOOGLETRANSLATE(B5118)"),"觸電")</f>
        <v>觸電</v>
      </c>
    </row>
    <row r="5119" ht="15.75" customHeight="1">
      <c r="A5119" s="4">
        <v>4401.0</v>
      </c>
      <c r="B5119" s="4" t="s">
        <v>1971</v>
      </c>
      <c r="D5119" s="4" t="s">
        <v>7552</v>
      </c>
      <c r="E5119" s="4">
        <v>0.0</v>
      </c>
      <c r="F5119" s="4" t="str">
        <f>IFERROR(__xludf.DUMMYFUNCTION("GOOGLETRANSLATE(D5119)"),"@devon_breneman 希望它不會觸電你的電熱毯 lmao")</f>
        <v>@devon_breneman 希望它不會觸電你的電熱毯 lmao</v>
      </c>
      <c r="G5119" s="4" t="str">
        <f>IFERROR(__xludf.DUMMYFUNCTION("GOOGLETRANSLATE(B5119)"),"觸電")</f>
        <v>觸電</v>
      </c>
    </row>
    <row r="5120" ht="15.75" customHeight="1">
      <c r="A5120" s="4">
        <v>4402.0</v>
      </c>
      <c r="B5120" s="4" t="s">
        <v>1971</v>
      </c>
      <c r="D5120" s="4" t="s">
        <v>7553</v>
      </c>
      <c r="E5120" s="4">
        <v>0.0</v>
      </c>
      <c r="F5120" s="4" t="str">
        <f>IFERROR(__xludf.DUMMYFUNCTION("GOOGLETRANSLATE(D5120)"),"孩子玩迪士尼版遊戲只需要2顆AA電池嗎？我發誓我的舊版本有大約 8 個 D，幾乎會讓你電死。")</f>
        <v>孩子玩迪士尼版遊戲只需要2顆AA電池嗎？我發誓我的舊版本有大約 8 個 D，幾乎會讓你電死。</v>
      </c>
      <c r="G5120" s="4" t="str">
        <f>IFERROR(__xludf.DUMMYFUNCTION("GOOGLETRANSLATE(B5120)"),"觸電")</f>
        <v>觸電</v>
      </c>
    </row>
    <row r="5121" ht="15.75" customHeight="1">
      <c r="A5121" s="4">
        <v>4403.0</v>
      </c>
      <c r="B5121" s="4" t="s">
        <v>1971</v>
      </c>
      <c r="C5121" s="4" t="s">
        <v>7554</v>
      </c>
      <c r="D5121" s="4" t="s">
        <v>7555</v>
      </c>
      <c r="E5121" s="4">
        <v>0.0</v>
      </c>
      <c r="F5121" s="4" t="str">
        <f>IFERROR(__xludf.DUMMYFUNCTION("GOOGLETRANSLATE(D5121)"),"埃萊克曼可能會電死我，我會說謝謝。")</f>
        <v>埃萊克曼可能會電死我，我會說謝謝。</v>
      </c>
      <c r="G5121" s="4" t="str">
        <f>IFERROR(__xludf.DUMMYFUNCTION("GOOGLETRANSLATE(B5121)"),"觸電")</f>
        <v>觸電</v>
      </c>
    </row>
    <row r="5122" ht="15.75" customHeight="1">
      <c r="A5122" s="4">
        <v>4405.0</v>
      </c>
      <c r="B5122" s="4" t="s">
        <v>1971</v>
      </c>
      <c r="D5122" s="4" t="s">
        <v>7556</v>
      </c>
      <c r="E5122" s="4">
        <v>0.0</v>
      </c>
      <c r="F5122" s="4" t="str">
        <f>IFERROR(__xludf.DUMMYFUNCTION("GOOGLETRANSLATE(D5122)"),"當您有一條從床延伸到浴缸的延長線？讓我們祈禱我不要觸電身亡")</f>
        <v>當您有一條從床延伸到浴缸的延長線？讓我們祈禱我不要觸電身亡</v>
      </c>
      <c r="G5122" s="4" t="str">
        <f>IFERROR(__xludf.DUMMYFUNCTION("GOOGLETRANSLATE(B5122)"),"觸電")</f>
        <v>觸電</v>
      </c>
    </row>
    <row r="5123" ht="15.75" customHeight="1">
      <c r="A5123" s="4">
        <v>4406.0</v>
      </c>
      <c r="B5123" s="4" t="s">
        <v>1971</v>
      </c>
      <c r="C5123" s="4" t="s">
        <v>7557</v>
      </c>
      <c r="D5123" s="4" t="s">
        <v>7558</v>
      </c>
      <c r="E5123" s="4">
        <v>0.0</v>
      </c>
      <c r="F5123" s="4" t="str">
        <f>IFERROR(__xludf.DUMMYFUNCTION("GOOGLETRANSLATE(D5123)"),"我想在推特上發一條“謝謝你，沒有讓我觸電身亡”，但我害怕我會咒罵它")</f>
        <v>我想在推特上發一條“謝謝你，沒有讓我觸電身亡”，但我害怕我會咒罵它</v>
      </c>
      <c r="G5123" s="4" t="str">
        <f>IFERROR(__xludf.DUMMYFUNCTION("GOOGLETRANSLATE(B5123)"),"觸電")</f>
        <v>觸電</v>
      </c>
    </row>
    <row r="5124" ht="15.75" customHeight="1">
      <c r="A5124" s="4">
        <v>4407.0</v>
      </c>
      <c r="B5124" s="4" t="s">
        <v>1971</v>
      </c>
      <c r="C5124" s="4" t="s">
        <v>7559</v>
      </c>
      <c r="D5124" s="4" t="s">
        <v>7560</v>
      </c>
      <c r="E5124" s="4">
        <v>0.0</v>
      </c>
      <c r="F5124" s="4" t="str">
        <f>IFERROR(__xludf.DUMMYFUNCTION("GOOGLETRANSLATE(D5124)"),"湯瑪斯愛迪生製造了用來電死動物的燈泡，讓大家認為特斯拉的電力不安全，這是什麼鬼？？？自慰")</f>
        <v>湯瑪斯愛迪生製造了用來電死動物的燈泡，讓大家認為特斯拉的電力不安全，這是什麼鬼？？？自慰</v>
      </c>
      <c r="G5124" s="4" t="str">
        <f>IFERROR(__xludf.DUMMYFUNCTION("GOOGLETRANSLATE(B5124)"),"觸電")</f>
        <v>觸電</v>
      </c>
    </row>
    <row r="5125" ht="15.75" customHeight="1">
      <c r="A5125" s="4">
        <v>4408.0</v>
      </c>
      <c r="B5125" s="4" t="s">
        <v>1971</v>
      </c>
      <c r="C5125" s="4" t="s">
        <v>7561</v>
      </c>
      <c r="D5125" s="4" t="s">
        <v>7562</v>
      </c>
      <c r="E5125" s="4">
        <v>0.0</v>
      </c>
      <c r="F5125" s="4" t="str">
        <f>IFERROR(__xludf.DUMMYFUNCTION("GOOGLETRANSLATE(D5125)"),"解鎖成就：更換燈座；沒有電死自己")</f>
        <v>解鎖成就：更換燈座；沒有電死自己</v>
      </c>
      <c r="G5125" s="4" t="str">
        <f>IFERROR(__xludf.DUMMYFUNCTION("GOOGLETRANSLATE(B5125)"),"觸電")</f>
        <v>觸電</v>
      </c>
    </row>
    <row r="5126" ht="15.75" customHeight="1">
      <c r="A5126" s="4">
        <v>4410.0</v>
      </c>
      <c r="B5126" s="4" t="s">
        <v>1971</v>
      </c>
      <c r="C5126" s="4" t="s">
        <v>1757</v>
      </c>
      <c r="D5126" s="4" t="s">
        <v>7563</v>
      </c>
      <c r="E5126" s="4">
        <v>0.0</v>
      </c>
      <c r="F5126" s="4" t="str">
        <f>IFERROR(__xludf.DUMMYFUNCTION("GOOGLETRANSLATE(D5126)"),"觸電身亡")</f>
        <v>觸電身亡</v>
      </c>
      <c r="G5126" s="4" t="str">
        <f>IFERROR(__xludf.DUMMYFUNCTION("GOOGLETRANSLATE(B5126)"),"觸電")</f>
        <v>觸電</v>
      </c>
    </row>
    <row r="5127" ht="15.75" customHeight="1">
      <c r="A5127" s="4">
        <v>4411.0</v>
      </c>
      <c r="B5127" s="4" t="s">
        <v>1971</v>
      </c>
      <c r="D5127" s="4" t="s">
        <v>7564</v>
      </c>
      <c r="E5127" s="4">
        <v>0.0</v>
      </c>
      <c r="F5127" s="4" t="str">
        <f>IFERROR(__xludf.DUMMYFUNCTION("GOOGLETRANSLATE(D5127)"),"@i_electricCute 輪到你了？？")</f>
        <v>@i_electricCute 輪到你了？？</v>
      </c>
      <c r="G5127" s="4" t="str">
        <f>IFERROR(__xludf.DUMMYFUNCTION("GOOGLETRANSLATE(B5127)"),"觸電")</f>
        <v>觸電</v>
      </c>
    </row>
    <row r="5128" ht="15.75" customHeight="1">
      <c r="A5128" s="4">
        <v>4412.0</v>
      </c>
      <c r="B5128" s="4" t="s">
        <v>1971</v>
      </c>
      <c r="C5128" s="4" t="s">
        <v>7565</v>
      </c>
      <c r="D5128" s="4" t="s">
        <v>7566</v>
      </c>
      <c r="E5128" s="4">
        <v>0.0</v>
      </c>
      <c r="F5128" s="4" t="str">
        <f>IFERROR(__xludf.DUMMYFUNCTION("GOOGLETRANSLATE(D5128)"),"@ZXAThetis '你還好嗎？！我觸電你太厲害了，對嗎？")</f>
        <v>@ZXAThetis '你還好嗎？！我觸電你太厲害了，對嗎？</v>
      </c>
      <c r="G5128" s="4" t="str">
        <f>IFERROR(__xludf.DUMMYFUNCTION("GOOGLETRANSLATE(B5128)"),"觸電")</f>
        <v>觸電</v>
      </c>
    </row>
    <row r="5129" ht="15.75" customHeight="1">
      <c r="A5129" s="4">
        <v>4413.0</v>
      </c>
      <c r="B5129" s="4" t="s">
        <v>1971</v>
      </c>
      <c r="D5129" s="4" t="s">
        <v>7567</v>
      </c>
      <c r="E5129" s="4">
        <v>0.0</v>
      </c>
      <c r="F5129" s="4" t="str">
        <f>IFERROR(__xludf.DUMMYFUNCTION("GOOGLETRANSLATE(D5129)"),"大海會電死我們所有人嗎？")</f>
        <v>大海會電死我們所有人嗎？</v>
      </c>
      <c r="G5129" s="4" t="str">
        <f>IFERROR(__xludf.DUMMYFUNCTION("GOOGLETRANSLATE(B5129)"),"觸電")</f>
        <v>觸電</v>
      </c>
    </row>
    <row r="5130" ht="15.75" customHeight="1">
      <c r="A5130" s="4">
        <v>4415.0</v>
      </c>
      <c r="B5130" s="4" t="s">
        <v>1971</v>
      </c>
      <c r="D5130" s="4" t="s">
        <v>7568</v>
      </c>
      <c r="E5130" s="4">
        <v>0.0</v>
      </c>
      <c r="F5130" s="4" t="str">
        <f>IFERROR(__xludf.DUMMYFUNCTION("GOOGLETRANSLATE(D5130)"),"電與瓦斯釀造（不想觸電）問題http://t.co/26oo0fcL53")</f>
        <v>電與瓦斯釀造（不想觸電）問題http://t.co/26oo0fcL53</v>
      </c>
      <c r="G5130" s="4" t="str">
        <f>IFERROR(__xludf.DUMMYFUNCTION("GOOGLETRANSLATE(B5130)"),"觸電")</f>
        <v>觸電</v>
      </c>
    </row>
    <row r="5131" ht="15.75" customHeight="1">
      <c r="A5131" s="4">
        <v>4416.0</v>
      </c>
      <c r="B5131" s="4" t="s">
        <v>1971</v>
      </c>
      <c r="D5131" s="4" t="s">
        <v>7569</v>
      </c>
      <c r="E5131" s="4">
        <v>0.0</v>
      </c>
      <c r="F5131" s="4" t="str">
        <f>IFERROR(__xludf.DUMMYFUNCTION("GOOGLETRANSLATE(D5131)"),"@danisnotonfire 別讓菲爾幫忙，他可能會觸電身亡")</f>
        <v>@danisnotonfire 別讓菲爾幫忙，他可能會觸電身亡</v>
      </c>
      <c r="G5131" s="4" t="str">
        <f>IFERROR(__xludf.DUMMYFUNCTION("GOOGLETRANSLATE(B5131)"),"觸電")</f>
        <v>觸電</v>
      </c>
    </row>
    <row r="5132" ht="15.75" customHeight="1">
      <c r="A5132" s="4">
        <v>4421.0</v>
      </c>
      <c r="B5132" s="4" t="s">
        <v>1971</v>
      </c>
      <c r="C5132" s="4" t="s">
        <v>7570</v>
      </c>
      <c r="D5132" s="4" t="s">
        <v>7571</v>
      </c>
      <c r="E5132" s="4">
        <v>0.0</v>
      </c>
      <c r="F5132" s="4" t="str">
        <f>IFERROR(__xludf.DUMMYFUNCTION("GOOGLETRANSLATE(D5132)"),"@Mmchale13 *試圖用電話線電死自己*")</f>
        <v>@Mmchale13 *試圖用電話線電死自己*</v>
      </c>
      <c r="G5132" s="4" t="str">
        <f>IFERROR(__xludf.DUMMYFUNCTION("GOOGLETRANSLATE(B5132)"),"觸電")</f>
        <v>觸電</v>
      </c>
    </row>
    <row r="5133" ht="15.75" customHeight="1">
      <c r="A5133" s="4">
        <v>4423.0</v>
      </c>
      <c r="B5133" s="4" t="s">
        <v>1971</v>
      </c>
      <c r="C5133" s="4" t="s">
        <v>7572</v>
      </c>
      <c r="D5133" s="4" t="s">
        <v>7573</v>
      </c>
      <c r="E5133" s="4">
        <v>0.0</v>
      </c>
      <c r="F5133" s="4" t="str">
        <f>IFERROR(__xludf.DUMMYFUNCTION("GOOGLETRANSLATE(D5133)"),"我不是媽媽朋友，但我仍然將我的朋友視為我必須照顧的小嬰兒，否則他們會觸電身亡")</f>
        <v>我不是媽媽朋友，但我仍然將我的朋友視為我必須照顧的小嬰兒，否則他們會觸電身亡</v>
      </c>
      <c r="G5133" s="4" t="str">
        <f>IFERROR(__xludf.DUMMYFUNCTION("GOOGLETRANSLATE(B5133)"),"觸電")</f>
        <v>觸電</v>
      </c>
    </row>
    <row r="5134" ht="15.75" customHeight="1">
      <c r="A5134" s="4">
        <v>4424.0</v>
      </c>
      <c r="B5134" s="4" t="s">
        <v>1971</v>
      </c>
      <c r="D5134" s="4" t="s">
        <v>7574</v>
      </c>
      <c r="E5134" s="4">
        <v>0.0</v>
      </c>
      <c r="F5134" s="4" t="str">
        <f>IFERROR(__xludf.DUMMYFUNCTION("GOOGLETRANSLATE(D5134)"),"為什麼我的手機充電時會觸電")</f>
        <v>為什麼我的手機充電時會觸電</v>
      </c>
      <c r="G5134" s="4" t="str">
        <f>IFERROR(__xludf.DUMMYFUNCTION("GOOGLETRANSLATE(B5134)"),"觸電")</f>
        <v>觸電</v>
      </c>
    </row>
    <row r="5135" ht="15.75" customHeight="1">
      <c r="A5135" s="4">
        <v>4425.0</v>
      </c>
      <c r="B5135" s="4" t="s">
        <v>1971</v>
      </c>
      <c r="D5135" s="4" t="s">
        <v>7575</v>
      </c>
      <c r="E5135" s="4">
        <v>0.0</v>
      </c>
      <c r="F5135" s="4" t="str">
        <f>IFERROR(__xludf.DUMMYFUNCTION("GOOGLETRANSLATE(D5135)"),"她說她很樂意幫忙，但是
海會....
電死我們所有人…？？？？？？？？？")</f>
        <v>她說她很樂意幫忙，但是
海會....
電死我們所有人…？？？？？？？？？</v>
      </c>
      <c r="G5135" s="4" t="str">
        <f>IFERROR(__xludf.DUMMYFUNCTION("GOOGLETRANSLATE(B5135)"),"觸電")</f>
        <v>觸電</v>
      </c>
    </row>
    <row r="5136" ht="15.75" customHeight="1">
      <c r="A5136" s="4">
        <v>4426.0</v>
      </c>
      <c r="B5136" s="4" t="s">
        <v>1971</v>
      </c>
      <c r="C5136" s="4" t="s">
        <v>7576</v>
      </c>
      <c r="D5136" s="4" t="s">
        <v>7577</v>
      </c>
      <c r="E5136" s="4">
        <v>0.0</v>
      </c>
      <c r="F5136" s="4" t="str">
        <f>IFERROR(__xludf.DUMMYFUNCTION("GOOGLETRANSLATE(D5136)"),"我的房間裡很冷。我有時想拔掉交流電源，但我不想觸電而死")</f>
        <v>我的房間裡很冷。我有時想拔掉交流電源，但我不想觸電而死</v>
      </c>
      <c r="G5136" s="4" t="str">
        <f>IFERROR(__xludf.DUMMYFUNCTION("GOOGLETRANSLATE(B5136)"),"觸電")</f>
        <v>觸電</v>
      </c>
    </row>
    <row r="5137" ht="15.75" customHeight="1">
      <c r="A5137" s="4">
        <v>4427.0</v>
      </c>
      <c r="B5137" s="4" t="s">
        <v>1971</v>
      </c>
      <c r="D5137" s="4" t="s">
        <v>7578</v>
      </c>
      <c r="E5137" s="4">
        <v>0.0</v>
      </c>
      <c r="F5137" s="4" t="str">
        <f>IFERROR(__xludf.DUMMYFUNCTION("GOOGLETRANSLATE(D5137)"),"我需要你在我開始對著電腦哭泣並電死自己之前刪除它 https://t.co/9ZMWT9XYdz")</f>
        <v>我需要你在我開始對著電腦哭泣並電死自己之前刪除它 https://t.co/9ZMWT9XYdz</v>
      </c>
      <c r="G5137" s="4" t="str">
        <f>IFERROR(__xludf.DUMMYFUNCTION("GOOGLETRANSLATE(B5137)"),"觸電")</f>
        <v>觸電</v>
      </c>
    </row>
    <row r="5138" ht="15.75" customHeight="1">
      <c r="A5138" s="4">
        <v>4428.0</v>
      </c>
      <c r="B5138" s="4" t="s">
        <v>1971</v>
      </c>
      <c r="D5138" s="4" t="s">
        <v>7579</v>
      </c>
      <c r="E5138" s="4">
        <v>0.0</v>
      </c>
      <c r="F5138" s="4" t="str">
        <f>IFERROR(__xludf.DUMMYFUNCTION("GOOGLETRANSLATE(D5138)"),"@lightseraphs 生你的氣，他們的皮卡丘可能會電死你，然後：\\\")</f>
        <v>@lightseraphs 生你的氣，他們的皮卡丘可能會電死你，然後：\\\</v>
      </c>
      <c r="G5138" s="4" t="str">
        <f>IFERROR(__xludf.DUMMYFUNCTION("GOOGLETRANSLATE(B5138)"),"觸電")</f>
        <v>觸電</v>
      </c>
    </row>
    <row r="5139" ht="15.75" customHeight="1">
      <c r="A5139" s="4">
        <v>4430.0</v>
      </c>
      <c r="B5139" s="4" t="s">
        <v>1971</v>
      </c>
      <c r="C5139" s="4" t="s">
        <v>7550</v>
      </c>
      <c r="D5139" s="4" t="s">
        <v>7580</v>
      </c>
      <c r="E5139" s="4">
        <v>0.0</v>
      </c>
      <c r="F5139" s="4" t="str">
        <f>IFERROR(__xludf.DUMMYFUNCTION("GOOGLETRANSLATE(D5139)"),"讓她走的乘客")</f>
        <v>讓她走的乘客</v>
      </c>
      <c r="G5139" s="4" t="str">
        <f>IFERROR(__xludf.DUMMYFUNCTION("GOOGLETRANSLATE(B5139)"),"觸電")</f>
        <v>觸電</v>
      </c>
    </row>
    <row r="5140" ht="15.75" customHeight="1">
      <c r="A5140" s="4">
        <v>4432.0</v>
      </c>
      <c r="B5140" s="4" t="s">
        <v>1971</v>
      </c>
      <c r="C5140" s="4" t="s">
        <v>7581</v>
      </c>
      <c r="D5140" s="4" t="s">
        <v>7582</v>
      </c>
      <c r="E5140" s="4">
        <v>0.0</v>
      </c>
      <c r="F5140" s="4" t="str">
        <f>IFERROR(__xludf.DUMMYFUNCTION("GOOGLETRANSLATE(D5140)"),"@Omar_molina036 @Milioooo_ 他想電死你的屁股，哈哈，不，我不再和艾米利歐他媽的了？？？？？？")</f>
        <v>@Omar_molina036 @Milioooo_ 他想電死你的屁股，哈哈，不，我不再和艾米利歐他媽的了？？？？？？</v>
      </c>
      <c r="G5140" s="4" t="str">
        <f>IFERROR(__xludf.DUMMYFUNCTION("GOOGLETRANSLATE(B5140)"),"觸電")</f>
        <v>觸電</v>
      </c>
    </row>
    <row r="5141" ht="15.75" customHeight="1">
      <c r="A5141" s="4">
        <v>4435.0</v>
      </c>
      <c r="B5141" s="4" t="s">
        <v>1971</v>
      </c>
      <c r="C5141" s="4" t="s">
        <v>7583</v>
      </c>
      <c r="D5141" s="4" t="s">
        <v>7584</v>
      </c>
      <c r="E5141" s="4">
        <v>0.0</v>
      </c>
      <c r="F5141" s="4" t="str">
        <f>IFERROR(__xludf.DUMMYFUNCTION("GOOGLETRANSLATE(D5141)"),"凱拉即將觸電身亡。")</f>
        <v>凱拉即將觸電身亡。</v>
      </c>
      <c r="G5141" s="4" t="str">
        <f>IFERROR(__xludf.DUMMYFUNCTION("GOOGLETRANSLATE(B5141)"),"觸電")</f>
        <v>觸電</v>
      </c>
    </row>
    <row r="5142" ht="15.75" customHeight="1">
      <c r="A5142" s="4">
        <v>4436.0</v>
      </c>
      <c r="B5142" s="4" t="s">
        <v>1971</v>
      </c>
      <c r="C5142" s="4" t="s">
        <v>183</v>
      </c>
      <c r="D5142" s="4" t="s">
        <v>7585</v>
      </c>
      <c r="E5142" s="4">
        <v>0.0</v>
      </c>
      <c r="F5142" s="4" t="str">
        <f>IFERROR(__xludf.DUMMYFUNCTION("GOOGLETRANSLATE(D5142)"),"不，但是說真的，我會電死一半的英國陸軍，這樣我就可以觸摸防彈少年團了，我不玩遊戲")</f>
        <v>不，但是說真的，我會電死一半的英國陸軍，這樣我就可以觸摸防彈少年團了，我不玩遊戲</v>
      </c>
      <c r="G5142" s="4" t="str">
        <f>IFERROR(__xludf.DUMMYFUNCTION("GOOGLETRANSLATE(B5142)"),"觸電")</f>
        <v>觸電</v>
      </c>
    </row>
    <row r="5143" ht="15.75" customHeight="1">
      <c r="A5143" s="4">
        <v>4437.0</v>
      </c>
      <c r="B5143" s="4" t="s">
        <v>1971</v>
      </c>
      <c r="C5143" s="4" t="s">
        <v>5442</v>
      </c>
      <c r="D5143" s="4" t="s">
        <v>7586</v>
      </c>
      <c r="E5143" s="4">
        <v>0.0</v>
      </c>
      <c r="F5143" s="4" t="str">
        <f>IFERROR(__xludf.DUMMYFUNCTION("GOOGLETRANSLATE(D5143)"),"照片：weallheartonedirection：我不會讓大衛觸電，所以我是個混蛋 http://t.co/uWiJMEGl4E")</f>
        <v>照片：weallheartonedirection：我不會讓大衛觸電，所以我是個混蛋 http://t.co/uWiJMEGl4E</v>
      </c>
      <c r="G5143" s="4" t="str">
        <f>IFERROR(__xludf.DUMMYFUNCTION("GOOGLETRANSLATE(B5143)"),"觸電")</f>
        <v>觸電</v>
      </c>
    </row>
    <row r="5144" ht="15.75" customHeight="1">
      <c r="A5144" s="4">
        <v>4438.0</v>
      </c>
      <c r="B5144" s="4" t="s">
        <v>1971</v>
      </c>
      <c r="C5144" s="4" t="s">
        <v>5328</v>
      </c>
      <c r="D5144" s="4" t="s">
        <v>7587</v>
      </c>
      <c r="E5144" s="4">
        <v>0.0</v>
      </c>
      <c r="F5144" s="4" t="str">
        <f>IFERROR(__xludf.DUMMYFUNCTION("GOOGLETRANSLATE(D5144)"),"我想電死所有在所得稅政策中使用「公平」一詞的人。 ——小威廉·F·巴克利")</f>
        <v>我想電死所有在所得稅政策中使用「公平」一詞的人。 ——小威廉·F·巴克利</v>
      </c>
      <c r="G5144" s="4" t="str">
        <f>IFERROR(__xludf.DUMMYFUNCTION("GOOGLETRANSLATE(B5144)"),"觸電")</f>
        <v>觸電</v>
      </c>
    </row>
    <row r="5145" ht="15.75" customHeight="1">
      <c r="A5145" s="4">
        <v>4440.0</v>
      </c>
      <c r="B5145" s="4" t="s">
        <v>1971</v>
      </c>
      <c r="C5145" s="4" t="s">
        <v>5930</v>
      </c>
      <c r="D5145" s="4" t="s">
        <v>7588</v>
      </c>
      <c r="E5145" s="4">
        <v>0.0</v>
      </c>
      <c r="F5145" s="4" t="str">
        <f>IFERROR(__xludf.DUMMYFUNCTION("GOOGLETRANSLATE(D5145)"),"照片：weallheartonedirection：我不會讓大衛觸電，所以我是個混蛋 http://t.co/OEr5Hh41Ew")</f>
        <v>照片：weallheartonedirection：我不會讓大衛觸電，所以我是個混蛋 http://t.co/OEr5Hh41Ew</v>
      </c>
      <c r="G5145" s="4" t="str">
        <f>IFERROR(__xludf.DUMMYFUNCTION("GOOGLETRANSLATE(B5145)"),"觸電")</f>
        <v>觸電</v>
      </c>
    </row>
    <row r="5146" ht="15.75" customHeight="1">
      <c r="A5146" s="4">
        <v>4442.0</v>
      </c>
      <c r="B5146" s="4" t="s">
        <v>1971</v>
      </c>
      <c r="C5146" s="4" t="s">
        <v>7589</v>
      </c>
      <c r="D5146" s="4" t="s">
        <v>7590</v>
      </c>
      <c r="E5146" s="4">
        <v>0.0</v>
      </c>
      <c r="F5146" s="4" t="str">
        <f>IFERROR(__xludf.DUMMYFUNCTION("GOOGLETRANSLATE(D5146)"),"但大海會……電死我們所有人。")</f>
        <v>但大海會……電死我們所有人。</v>
      </c>
      <c r="G5146" s="4" t="str">
        <f>IFERROR(__xludf.DUMMYFUNCTION("GOOGLETRANSLATE(B5146)"),"觸電")</f>
        <v>觸電</v>
      </c>
    </row>
    <row r="5147" ht="15.75" customHeight="1">
      <c r="A5147" s="4">
        <v>4444.0</v>
      </c>
      <c r="B5147" s="4" t="s">
        <v>1971</v>
      </c>
      <c r="C5147" s="4" t="s">
        <v>40</v>
      </c>
      <c r="D5147" s="4" t="s">
        <v>7591</v>
      </c>
      <c r="E5147" s="4">
        <v>0.0</v>
      </c>
      <c r="F5147" s="4" t="str">
        <f>IFERROR(__xludf.DUMMYFUNCTION("GOOGLETRANSLATE(D5147)"),"@el_torro_loco 我們現在可以聽到對話......「對不起參議員，我們以為你說『觸電』5000萬...」等等。")</f>
        <v>@el_torro_loco 我們現在可以聽到對話......「對不起參議員，我們以為你說『觸電』5000萬...」等等。</v>
      </c>
      <c r="G5147" s="4" t="str">
        <f>IFERROR(__xludf.DUMMYFUNCTION("GOOGLETRANSLATE(B5147)"),"觸電")</f>
        <v>觸電</v>
      </c>
    </row>
    <row r="5148" ht="15.75" customHeight="1">
      <c r="A5148" s="4">
        <v>4445.0</v>
      </c>
      <c r="B5148" s="4" t="s">
        <v>1971</v>
      </c>
      <c r="D5148" s="4" t="s">
        <v>7592</v>
      </c>
      <c r="E5148" s="4">
        <v>0.0</v>
      </c>
      <c r="F5148" s="4" t="str">
        <f>IFERROR(__xludf.DUMMYFUNCTION("GOOGLETRANSLATE(D5148)"),"觀看節目的連結更好用，否則我可能會電死某人")</f>
        <v>觀看節目的連結更好用，否則我可能會電死某人</v>
      </c>
      <c r="G5148" s="4" t="str">
        <f>IFERROR(__xludf.DUMMYFUNCTION("GOOGLETRANSLATE(B5148)"),"觸電")</f>
        <v>觸電</v>
      </c>
    </row>
    <row r="5149" ht="15.75" customHeight="1">
      <c r="A5149" s="4">
        <v>4448.0</v>
      </c>
      <c r="B5149" s="4" t="s">
        <v>1974</v>
      </c>
      <c r="D5149" s="4" t="s">
        <v>7593</v>
      </c>
      <c r="E5149" s="4">
        <v>0.0</v>
      </c>
      <c r="F5149" s="4" t="str">
        <f>IFERROR(__xludf.DUMMYFUNCTION("GOOGLETRANSLATE(D5149)"),"我之前煮飯的時候觸電了一些重要的東西？？？？？？現在我很通靈哈哈")</f>
        <v>我之前煮飯的時候觸電了一些重要的東西？？？？？？現在我很通靈哈哈</v>
      </c>
      <c r="G5149" s="4" t="str">
        <f>IFERROR(__xludf.DUMMYFUNCTION("GOOGLETRANSLATE(B5149)"),"觸電")</f>
        <v>觸電</v>
      </c>
    </row>
    <row r="5150" ht="15.75" customHeight="1">
      <c r="A5150" s="4">
        <v>4450.0</v>
      </c>
      <c r="B5150" s="4" t="s">
        <v>1974</v>
      </c>
      <c r="D5150" s="4" t="s">
        <v>7594</v>
      </c>
      <c r="E5150" s="4">
        <v>0.0</v>
      </c>
      <c r="F5150" s="4" t="str">
        <f>IFERROR(__xludf.DUMMYFUNCTION("GOOGLETRANSLATE(D5150)"),"“嘿，婊子，吹我”，呃不。把你的雞巴放進水裡然後插到插座裡，這樣你就會觸電。")</f>
        <v>“嘿，婊子，吹我”，呃不。把你的雞巴放進水裡然後插到插座裡，這樣你就會觸電。</v>
      </c>
      <c r="G5150" s="4" t="str">
        <f>IFERROR(__xludf.DUMMYFUNCTION("GOOGLETRANSLATE(B5150)"),"觸電")</f>
        <v>觸電</v>
      </c>
    </row>
    <row r="5151" ht="15.75" customHeight="1">
      <c r="A5151" s="4">
        <v>4451.0</v>
      </c>
      <c r="B5151" s="4" t="s">
        <v>1974</v>
      </c>
      <c r="D5151" s="4" t="s">
        <v>7595</v>
      </c>
      <c r="E5151" s="4">
        <v>0.0</v>
      </c>
      <c r="F5151" s="4" t="str">
        <f>IFERROR(__xludf.DUMMYFUNCTION("GOOGLETRANSLATE(D5151)"),"克里斯蒂一直告訴我我需要被電死")</f>
        <v>克里斯蒂一直告訴我我需要被電死</v>
      </c>
      <c r="G5151" s="4" t="str">
        <f>IFERROR(__xludf.DUMMYFUNCTION("GOOGLETRANSLATE(B5151)"),"觸電")</f>
        <v>觸電</v>
      </c>
    </row>
    <row r="5152" ht="15.75" customHeight="1">
      <c r="A5152" s="4">
        <v>4452.0</v>
      </c>
      <c r="B5152" s="4" t="s">
        <v>1974</v>
      </c>
      <c r="D5152" s="4" t="s">
        <v>7596</v>
      </c>
      <c r="E5152" s="4">
        <v>0.0</v>
      </c>
      <c r="F5152" s="4" t="str">
        <f>IFERROR(__xludf.DUMMYFUNCTION("GOOGLETRANSLATE(D5152)"),"所以我在後院給手機充電，閃電襲擊了我，我拿著手機，它觸電了我的手？？？男人傷這麼慘？？")</f>
        <v>所以我在後院給手機充電，閃電襲擊了我，我拿著手機，它觸電了我的手？？？男人傷這麼慘？？</v>
      </c>
      <c r="G5152" s="4" t="str">
        <f>IFERROR(__xludf.DUMMYFUNCTION("GOOGLETRANSLATE(B5152)"),"觸電")</f>
        <v>觸電</v>
      </c>
    </row>
    <row r="5153" ht="15.75" customHeight="1">
      <c r="A5153" s="4">
        <v>4454.0</v>
      </c>
      <c r="B5153" s="4" t="s">
        <v>1974</v>
      </c>
      <c r="D5153" s="4" t="s">
        <v>7597</v>
      </c>
      <c r="E5153" s="4">
        <v>0.0</v>
      </c>
      <c r="F5153" s="4" t="str">
        <f>IFERROR(__xludf.DUMMYFUNCTION("GOOGLETRANSLATE(D5153)"),"今天早上我觸電了，你今天過得怎麼樣？ ??")</f>
        <v>今天早上我觸電了，你今天過得怎麼樣？ ??</v>
      </c>
      <c r="G5153" s="4" t="str">
        <f>IFERROR(__xludf.DUMMYFUNCTION("GOOGLETRANSLATE(B5153)"),"觸電")</f>
        <v>觸電</v>
      </c>
    </row>
    <row r="5154" ht="15.75" customHeight="1">
      <c r="A5154" s="4">
        <v>4455.0</v>
      </c>
      <c r="B5154" s="4" t="s">
        <v>1974</v>
      </c>
      <c r="D5154" s="4" t="s">
        <v>7598</v>
      </c>
      <c r="E5154" s="4">
        <v>0.0</v>
      </c>
      <c r="F5154" s="4" t="str">
        <f>IFERROR(__xludf.DUMMYFUNCTION("GOOGLETRANSLATE(D5154)"),"“為什麼我總是觸電？” '我不知道。您是否偶然站在仙人掌旁邊？#Borderlands #Borderlands2 #OOCVG #FTW")</f>
        <v>“為什麼我總是觸電？” '我不知道。您是否偶然站在仙人掌旁邊？#Borderlands #Borderlands2 #OOCVG #FTW</v>
      </c>
      <c r="G5154" s="4" t="str">
        <f>IFERROR(__xludf.DUMMYFUNCTION("GOOGLETRANSLATE(B5154)"),"觸電")</f>
        <v>觸電</v>
      </c>
    </row>
    <row r="5155" ht="15.75" customHeight="1">
      <c r="A5155" s="4">
        <v>4456.0</v>
      </c>
      <c r="B5155" s="4" t="s">
        <v>1974</v>
      </c>
      <c r="C5155" s="4" t="s">
        <v>291</v>
      </c>
      <c r="D5155" s="4" t="s">
        <v>7599</v>
      </c>
      <c r="E5155" s="4">
        <v>0.0</v>
      </c>
      <c r="F5155" s="4" t="str">
        <f>IFERROR(__xludf.DUMMYFUNCTION("GOOGLETRANSLATE(D5155)"),"女子觸電#Red #Redblood #videoclip http://t.co/9PYmM2RUWf #")</f>
        <v>女子觸電#Red #Redblood #videoclip http://t.co/9PYmM2RUWf #</v>
      </c>
      <c r="G5155" s="4" t="str">
        <f>IFERROR(__xludf.DUMMYFUNCTION("GOOGLETRANSLATE(B5155)"),"觸電")</f>
        <v>觸電</v>
      </c>
    </row>
    <row r="5156" ht="15.75" customHeight="1">
      <c r="A5156" s="4">
        <v>4457.0</v>
      </c>
      <c r="B5156" s="4" t="s">
        <v>1974</v>
      </c>
      <c r="C5156" s="4" t="s">
        <v>6836</v>
      </c>
      <c r="D5156" s="4" t="s">
        <v>7600</v>
      </c>
      <c r="E5156" s="4">
        <v>0.0</v>
      </c>
      <c r="F5156" s="4" t="str">
        <f>IFERROR(__xludf.DUMMYFUNCTION("GOOGLETRANSLATE(D5156)"),"@That_fat_guy 確實有一段視頻，內容是他將一頭大象綁在金屬電纜上並電死")</f>
        <v>@That_fat_guy 確實有一段視頻，內容是他將一頭大象綁在金屬電纜上並電死</v>
      </c>
      <c r="G5156" s="4" t="str">
        <f>IFERROR(__xludf.DUMMYFUNCTION("GOOGLETRANSLATE(B5156)"),"觸電")</f>
        <v>觸電</v>
      </c>
    </row>
    <row r="5157" ht="15.75" customHeight="1">
      <c r="A5157" s="4">
        <v>4458.0</v>
      </c>
      <c r="B5157" s="4" t="s">
        <v>1974</v>
      </c>
      <c r="C5157" s="4" t="s">
        <v>6660</v>
      </c>
      <c r="D5157" s="4" t="s">
        <v>7601</v>
      </c>
      <c r="E5157" s="4">
        <v>0.0</v>
      </c>
      <c r="F5157" s="4" t="str">
        <f>IFERROR(__xludf.DUMMYFUNCTION("GOOGLETRANSLATE(D5157)"),"Fr 因為我每次洗澡都有觸電的危險？ https://t.co/nWQ6wJQk1z")</f>
        <v>Fr 因為我每次洗澡都有觸電的危險？ https://t.co/nWQ6wJQk1z</v>
      </c>
      <c r="G5157" s="4" t="str">
        <f>IFERROR(__xludf.DUMMYFUNCTION("GOOGLETRANSLATE(B5157)"),"觸電")</f>
        <v>觸電</v>
      </c>
    </row>
    <row r="5158" ht="15.75" customHeight="1">
      <c r="A5158" s="4">
        <v>4465.0</v>
      </c>
      <c r="B5158" s="4" t="s">
        <v>1974</v>
      </c>
      <c r="D5158" s="4" t="s">
        <v>7602</v>
      </c>
      <c r="E5158" s="4">
        <v>0.0</v>
      </c>
      <c r="F5158" s="4" t="str">
        <f>IFERROR(__xludf.DUMMYFUNCTION("GOOGLETRANSLATE(D5158)"),"@steveycheese99 @MapMyRun 你在那裡被電死了？地圖確實看起來像這樣。")</f>
        <v>@steveycheese99 @MapMyRun 你在那裡被電死了？地圖確實看起來像這樣。</v>
      </c>
      <c r="G5158" s="4" t="str">
        <f>IFERROR(__xludf.DUMMYFUNCTION("GOOGLETRANSLATE(B5158)"),"觸電")</f>
        <v>觸電</v>
      </c>
    </row>
    <row r="5159" ht="15.75" customHeight="1">
      <c r="A5159" s="4">
        <v>4468.0</v>
      </c>
      <c r="B5159" s="4" t="s">
        <v>1974</v>
      </c>
      <c r="D5159" s="4" t="s">
        <v>7603</v>
      </c>
      <c r="E5159" s="4">
        <v>0.0</v>
      </c>
      <c r="F5159" s="4" t="str">
        <f>IFERROR(__xludf.DUMMYFUNCTION("GOOGLETRANSLATE(D5159)"),"昨晚在工作時我一生中第一次觸電……太奇怪了？？？")</f>
        <v>昨晚在工作時我一生中第一次觸電……太奇怪了？？？</v>
      </c>
      <c r="G5159" s="4" t="str">
        <f>IFERROR(__xludf.DUMMYFUNCTION("GOOGLETRANSLATE(B5159)"),"觸電")</f>
        <v>觸電</v>
      </c>
    </row>
    <row r="5160" ht="15.75" customHeight="1">
      <c r="A5160" s="4">
        <v>4470.0</v>
      </c>
      <c r="B5160" s="4" t="s">
        <v>1974</v>
      </c>
      <c r="C5160" s="4" t="s">
        <v>7604</v>
      </c>
      <c r="D5160" s="4" t="s">
        <v>7605</v>
      </c>
      <c r="E5160" s="4">
        <v>0.0</v>
      </c>
      <c r="F5160" s="4" t="str">
        <f>IFERROR(__xludf.DUMMYFUNCTION("GOOGLETRANSLATE(D5160)"),".@BBCNews .@mwlippert #SouthKorea Dogs 準備好了！電煮水毛機全部還活著 http://t.co/3a50DhZ7YI")</f>
        <v>.@BBCNews .@mwlippert #SouthKorea Dogs 準備好了！電煮水毛機全部還活著 http://t.co/3a50DhZ7YI</v>
      </c>
      <c r="G5160" s="4" t="str">
        <f>IFERROR(__xludf.DUMMYFUNCTION("GOOGLETRANSLATE(B5160)"),"觸電")</f>
        <v>觸電</v>
      </c>
    </row>
    <row r="5161" ht="15.75" customHeight="1">
      <c r="A5161" s="4">
        <v>4471.0</v>
      </c>
      <c r="B5161" s="4" t="s">
        <v>1974</v>
      </c>
      <c r="C5161" s="4" t="s">
        <v>7606</v>
      </c>
      <c r="D5161" s="4" t="s">
        <v>7607</v>
      </c>
      <c r="E5161" s="4">
        <v>0.0</v>
      </c>
      <c r="F5161" s="4" t="str">
        <f>IFERROR(__xludf.DUMMYFUNCTION("GOOGLETRANSLATE(D5161)"),"只是想讓大家知道...
當吹風機潮濕時插入電源可能不是一個好主意，否則會觸電。")</f>
        <v>只是想讓大家知道...
當吹風機潮濕時插入電源可能不是一個好主意，否則會觸電。</v>
      </c>
      <c r="G5161" s="4" t="str">
        <f>IFERROR(__xludf.DUMMYFUNCTION("GOOGLETRANSLATE(B5161)"),"觸電")</f>
        <v>觸電</v>
      </c>
    </row>
    <row r="5162" ht="15.75" customHeight="1">
      <c r="A5162" s="4">
        <v>4478.0</v>
      </c>
      <c r="B5162" s="4" t="s">
        <v>1974</v>
      </c>
      <c r="C5162" s="4" t="s">
        <v>4636</v>
      </c>
      <c r="D5162" s="4" t="s">
        <v>7608</v>
      </c>
      <c r="E5162" s="4">
        <v>0.0</v>
      </c>
      <c r="F5162" s="4" t="str">
        <f>IFERROR(__xludf.DUMMYFUNCTION("GOOGLETRANSLATE(D5162)"),"我今天在鍛煉，出了很多汗，就像我以為我會被耳塞電死天哪")</f>
        <v>我今天在鍛煉，出了很多汗，就像我以為我會被耳塞電死天哪</v>
      </c>
      <c r="G5162" s="4" t="str">
        <f>IFERROR(__xludf.DUMMYFUNCTION("GOOGLETRANSLATE(B5162)"),"觸電")</f>
        <v>觸電</v>
      </c>
    </row>
    <row r="5163" ht="15.75" customHeight="1">
      <c r="A5163" s="4">
        <v>4480.0</v>
      </c>
      <c r="B5163" s="4" t="s">
        <v>1974</v>
      </c>
      <c r="C5163" s="4" t="s">
        <v>7609</v>
      </c>
      <c r="D5163" s="4" t="s">
        <v>7610</v>
      </c>
      <c r="E5163" s="4">
        <v>0.0</v>
      </c>
      <c r="F5163" s="4" t="str">
        <f>IFERROR(__xludf.DUMMYFUNCTION("GOOGLETRANSLATE(D5163)"),"我的 iPhone 充電器也壞了，我自己也觸電了。")</f>
        <v>我的 iPhone 充電器也壞了，我自己也觸電了。</v>
      </c>
      <c r="G5163" s="4" t="str">
        <f>IFERROR(__xludf.DUMMYFUNCTION("GOOGLETRANSLATE(B5163)"),"觸電")</f>
        <v>觸電</v>
      </c>
    </row>
    <row r="5164" ht="15.75" customHeight="1">
      <c r="A5164" s="4">
        <v>4482.0</v>
      </c>
      <c r="B5164" s="4" t="s">
        <v>1974</v>
      </c>
      <c r="C5164" s="4" t="s">
        <v>140</v>
      </c>
      <c r="D5164" s="4" t="s">
        <v>7611</v>
      </c>
      <c r="E5164" s="4">
        <v>0.0</v>
      </c>
      <c r="F5164" s="4" t="str">
        <f>IFERROR(__xludf.DUMMYFUNCTION("GOOGLETRANSLATE(D5164)"),"那是一個奇怪悶熱的夏天，他們觸電了羅森伯格一家，我不知道自己在紐約做什麼。")</f>
        <v>那是一個奇怪悶熱的夏天，他們觸電了羅森伯格一家，我不知道自己在紐約做什麼。</v>
      </c>
      <c r="G5164" s="4" t="str">
        <f>IFERROR(__xludf.DUMMYFUNCTION("GOOGLETRANSLATE(B5164)"),"觸電")</f>
        <v>觸電</v>
      </c>
    </row>
    <row r="5165" ht="15.75" customHeight="1">
      <c r="A5165" s="4">
        <v>4486.0</v>
      </c>
      <c r="B5165" s="4" t="s">
        <v>1974</v>
      </c>
      <c r="D5165" s="4" t="s">
        <v>7612</v>
      </c>
      <c r="E5165" s="4">
        <v>0.0</v>
      </c>
      <c r="F5165" s="4" t="str">
        <f>IFERROR(__xludf.DUMMYFUNCTION("GOOGLETRANSLATE(D5165)"),"吹乾頭髮後真的看起來像觸電一樣，真的很吸引人？？")</f>
        <v>吹乾頭髮後真的看起來像觸電一樣，真的很吸引人？？</v>
      </c>
      <c r="G5165" s="4" t="str">
        <f>IFERROR(__xludf.DUMMYFUNCTION("GOOGLETRANSLATE(B5165)"),"觸電")</f>
        <v>觸電</v>
      </c>
    </row>
    <row r="5166" ht="15.75" customHeight="1">
      <c r="A5166" s="4">
        <v>4489.0</v>
      </c>
      <c r="B5166" s="4" t="s">
        <v>1974</v>
      </c>
      <c r="D5166" s="4" t="s">
        <v>7613</v>
      </c>
      <c r="E5166" s="4">
        <v>0.0</v>
      </c>
      <c r="F5166" s="4" t="str">
        <f>IFERROR(__xludf.DUMMYFUNCTION("GOOGLETRANSLATE(D5166)"),"他媽的！！！我自己觸電了？？")</f>
        <v>他媽的！！！我自己觸電了？？</v>
      </c>
      <c r="G5166" s="4" t="str">
        <f>IFERROR(__xludf.DUMMYFUNCTION("GOOGLETRANSLATE(B5166)"),"觸電")</f>
        <v>觸電</v>
      </c>
    </row>
    <row r="5167" ht="15.75" customHeight="1">
      <c r="A5167" s="4">
        <v>4492.0</v>
      </c>
      <c r="B5167" s="4" t="s">
        <v>1974</v>
      </c>
      <c r="D5167" s="4" t="s">
        <v>7614</v>
      </c>
      <c r="E5167" s="4">
        <v>0.0</v>
      </c>
      <c r="F5167" s="4" t="str">
        <f>IFERROR(__xludf.DUMMYFUNCTION("GOOGLETRANSLATE(D5167)"),"艾莎最終會觸電身亡。她最終會像聖誕假期裡的那隻貓一樣。")</f>
        <v>艾莎最終會觸電身亡。她最終會像聖誕假期裡的那隻貓一樣。</v>
      </c>
      <c r="G5167" s="4" t="str">
        <f>IFERROR(__xludf.DUMMYFUNCTION("GOOGLETRANSLATE(B5167)"),"觸電")</f>
        <v>觸電</v>
      </c>
    </row>
    <row r="5168" ht="15.75" customHeight="1">
      <c r="A5168" s="4">
        <v>4493.0</v>
      </c>
      <c r="B5168" s="4" t="s">
        <v>1974</v>
      </c>
      <c r="D5168" s="4" t="s">
        <v>7615</v>
      </c>
      <c r="E5168" s="4">
        <v>0.0</v>
      </c>
      <c r="F5168" s="4" t="str">
        <f>IFERROR(__xludf.DUMMYFUNCTION("GOOGLETRANSLATE(D5168)"),"我在洗澡，想去換首歌，當然我他媽的被電線觸電了")</f>
        <v>我在洗澡，想去換首歌，當然我他媽的被電線觸電了</v>
      </c>
      <c r="G5168" s="4" t="str">
        <f>IFERROR(__xludf.DUMMYFUNCTION("GOOGLETRANSLATE(B5168)"),"觸電")</f>
        <v>觸電</v>
      </c>
    </row>
    <row r="5169" ht="15.75" customHeight="1">
      <c r="A5169" s="4">
        <v>4494.0</v>
      </c>
      <c r="B5169" s="4" t="s">
        <v>1974</v>
      </c>
      <c r="D5169" s="4" t="s">
        <v>7616</v>
      </c>
      <c r="E5169" s="4">
        <v>0.0</v>
      </c>
      <c r="F5169" s="4" t="str">
        <f>IFERROR(__xludf.DUMMYFUNCTION("GOOGLETRANSLATE(D5169)"),"無法觸摸 Penneys 中的任何東西或任何人而不會觸電？")</f>
        <v>無法觸摸 Penneys 中的任何東西或任何人而不會觸電？</v>
      </c>
      <c r="G5169" s="4" t="str">
        <f>IFERROR(__xludf.DUMMYFUNCTION("GOOGLETRANSLATE(B5169)"),"觸電")</f>
        <v>觸電</v>
      </c>
    </row>
    <row r="5170" ht="15.75" customHeight="1">
      <c r="A5170" s="4">
        <v>4498.0</v>
      </c>
      <c r="B5170" s="4" t="s">
        <v>1994</v>
      </c>
      <c r="C5170" s="4" t="s">
        <v>2483</v>
      </c>
      <c r="D5170" s="4" t="s">
        <v>7617</v>
      </c>
      <c r="E5170" s="4">
        <v>0.0</v>
      </c>
      <c r="F5170" s="4" t="str">
        <f>IFERROR(__xludf.DUMMYFUNCTION("GOOGLETRANSLATE(D5170)"),"據官員稱，舉報人訴訟指控該主管不只一次在工作中睡覺。
http://t.co/IPwySnik0G")</f>
        <v>據官員稱，舉報人訴訟指控該主管不只一次在工作中睡覺。
http://t.co/IPwySnik0G</v>
      </c>
      <c r="G5170" s="4" t="str">
        <f>IFERROR(__xludf.DUMMYFUNCTION("GOOGLETRANSLATE(B5170)"),"緊急狀況")</f>
        <v>緊急狀況</v>
      </c>
    </row>
    <row r="5171" ht="15.75" customHeight="1">
      <c r="A5171" s="4">
        <v>4504.0</v>
      </c>
      <c r="B5171" s="4" t="s">
        <v>1994</v>
      </c>
      <c r="C5171" s="4" t="s">
        <v>5061</v>
      </c>
      <c r="D5171" s="4" t="s">
        <v>7618</v>
      </c>
      <c r="E5171" s="4">
        <v>0.0</v>
      </c>
      <c r="F5171" s="4" t="str">
        <f>IFERROR(__xludf.DUMMYFUNCTION("GOOGLETRANSLATE(D5171)"),"布恩縣的緊急調度員陷入困境 http://t.co/5fHkxtrhYU")</f>
        <v>布恩縣的緊急調度員陷入困境 http://t.co/5fHkxtrhYU</v>
      </c>
      <c r="G5171" s="4" t="str">
        <f>IFERROR(__xludf.DUMMYFUNCTION("GOOGLETRANSLATE(B5171)"),"緊急狀況")</f>
        <v>緊急狀況</v>
      </c>
    </row>
    <row r="5172" ht="15.75" customHeight="1">
      <c r="A5172" s="4">
        <v>4507.0</v>
      </c>
      <c r="B5172" s="4" t="s">
        <v>1994</v>
      </c>
      <c r="C5172" s="4" t="s">
        <v>291</v>
      </c>
      <c r="D5172" s="4" t="s">
        <v>7619</v>
      </c>
      <c r="E5172" s="4">
        <v>0.0</v>
      </c>
      <c r="F5172" s="4" t="str">
        <f>IFERROR(__xludf.DUMMYFUNCTION("GOOGLETRANSLATE(D5172)"),"生存套件 哨子 起火器 繩鋸 Cree 火炬 應急毯 S 刀 - 全套 reÛ_ http://t.co/2OroYUNYM2 http://t.co/C9JnXz3DXC")</f>
        <v>生存套件 哨子 起火器 繩鋸 Cree 火炬 應急毯 S 刀 - 全套 reÛ_ http://t.co/2OroYUNYM2 http://t.co/C9JnXz3DXC</v>
      </c>
      <c r="G5172" s="4" t="str">
        <f>IFERROR(__xludf.DUMMYFUNCTION("GOOGLETRANSLATE(B5172)"),"緊急狀況")</f>
        <v>緊急狀況</v>
      </c>
    </row>
    <row r="5173" ht="15.75" customHeight="1">
      <c r="A5173" s="4">
        <v>4508.0</v>
      </c>
      <c r="B5173" s="4" t="s">
        <v>1994</v>
      </c>
      <c r="C5173" s="4" t="s">
        <v>7620</v>
      </c>
      <c r="D5173" s="4" t="s">
        <v>7621</v>
      </c>
      <c r="E5173" s="4">
        <v>0.0</v>
      </c>
      <c r="F5173" s="4" t="str">
        <f>IFERROR(__xludf.DUMMYFUNCTION("GOOGLETRANSLATE(D5173)"),"緊急手術")</f>
        <v>緊急手術</v>
      </c>
      <c r="G5173" s="4" t="str">
        <f>IFERROR(__xludf.DUMMYFUNCTION("GOOGLETRANSLATE(B5173)"),"緊急狀況")</f>
        <v>緊急狀況</v>
      </c>
    </row>
    <row r="5174" ht="15.75" customHeight="1">
      <c r="A5174" s="4">
        <v>4509.0</v>
      </c>
      <c r="B5174" s="4" t="s">
        <v>1994</v>
      </c>
      <c r="C5174" s="4" t="s">
        <v>38</v>
      </c>
      <c r="D5174" s="4" t="s">
        <v>7622</v>
      </c>
      <c r="E5174" s="4">
        <v>0.0</v>
      </c>
      <c r="F5174" s="4" t="str">
        <f>IFERROR(__xludf.DUMMYFUNCTION("GOOGLETRANSLATE(D5174)"),"優惠：http://t.co/ddhWoRI5w1 #37592 暫時性假牙替換套件緊急牙科口腔護理 CosmeÛ_ http://t.co/ZCvfC500yY")</f>
        <v>優惠：http://t.co/ddhWoRI5w1 #37592 暫時性假牙替換套件緊急牙科口腔護理 CosmeÛ_ http://t.co/ZCvfC500yY</v>
      </c>
      <c r="G5174" s="4" t="str">
        <f>IFERROR(__xludf.DUMMYFUNCTION("GOOGLETRANSLATE(B5174)"),"緊急狀況")</f>
        <v>緊急狀況</v>
      </c>
    </row>
    <row r="5175" ht="15.75" customHeight="1">
      <c r="A5175" s="4">
        <v>4511.0</v>
      </c>
      <c r="B5175" s="4" t="s">
        <v>1994</v>
      </c>
      <c r="C5175" s="4" t="s">
        <v>3759</v>
      </c>
      <c r="D5175" s="4" t="s">
        <v>7623</v>
      </c>
      <c r="E5175" s="4">
        <v>0.0</v>
      </c>
      <c r="F5175" s="4" t="str">
        <f>IFERROR(__xludf.DUMMYFUNCTION("GOOGLETRANSLATE(D5175)"),"上帝禁止我家裡有人知道如何接電話。我需要新的緊急聯絡人。")</f>
        <v>上帝禁止我家裡有人知道如何接電話。我需要新的緊急聯絡人。</v>
      </c>
      <c r="G5175" s="4" t="str">
        <f>IFERROR(__xludf.DUMMYFUNCTION("GOOGLETRANSLATE(B5175)"),"緊急狀況")</f>
        <v>緊急狀況</v>
      </c>
    </row>
    <row r="5176" ht="15.75" customHeight="1">
      <c r="A5176" s="4">
        <v>4515.0</v>
      </c>
      <c r="B5176" s="4" t="s">
        <v>1994</v>
      </c>
      <c r="C5176" s="4" t="s">
        <v>7624</v>
      </c>
      <c r="D5176" s="4" t="s">
        <v>7625</v>
      </c>
      <c r="E5176" s="4">
        <v>0.0</v>
      </c>
      <c r="F5176" s="4" t="str">
        <f>IFERROR(__xludf.DUMMYFUNCTION("GOOGLETRANSLATE(D5176)"),"“當你了解到緊急出口的重要性的那一天，你的心跳就不再聽起來那麼熟悉了。”")</f>
        <v>“當你了解到緊急出口的重要性的那一天，你的心跳就不再聽起來那麼熟悉了。”</v>
      </c>
      <c r="G5176" s="4" t="str">
        <f>IFERROR(__xludf.DUMMYFUNCTION("GOOGLETRANSLATE(B5176)"),"緊急狀況")</f>
        <v>緊急狀況</v>
      </c>
    </row>
    <row r="5177" ht="15.75" customHeight="1">
      <c r="A5177" s="4">
        <v>4516.0</v>
      </c>
      <c r="B5177" s="4" t="s">
        <v>1994</v>
      </c>
      <c r="C5177" s="4" t="s">
        <v>7626</v>
      </c>
      <c r="D5177" s="4" t="s">
        <v>7627</v>
      </c>
      <c r="E5177" s="4">
        <v>0.0</v>
      </c>
      <c r="F5177" s="4" t="str">
        <f>IFERROR(__xludf.DUMMYFUNCTION("GOOGLETRANSLATE(D5177)"),"@newyorkcity 與 Lennox Hill 醫院和 #drjustinmazur 一起參加 #international 急診醫學會議")</f>
        <v>@newyorkcity 與 Lennox Hill 醫院和 #drjustinmazur 一起參加 #international 急診醫學會議</v>
      </c>
      <c r="G5177" s="4" t="str">
        <f>IFERROR(__xludf.DUMMYFUNCTION("GOOGLETRANSLATE(B5177)"),"緊急狀況")</f>
        <v>緊急狀況</v>
      </c>
    </row>
    <row r="5178" ht="15.75" customHeight="1">
      <c r="A5178" s="4">
        <v>4518.0</v>
      </c>
      <c r="B5178" s="4" t="s">
        <v>1994</v>
      </c>
      <c r="C5178" s="4" t="s">
        <v>7628</v>
      </c>
      <c r="D5178" s="4" t="s">
        <v>7629</v>
      </c>
      <c r="E5178" s="4">
        <v>0.0</v>
      </c>
      <c r="F5178" s="4" t="str">
        <f>IFERROR(__xludf.DUMMYFUNCTION("GOOGLETRANSLATE(D5178)"),"當您的孩子需要緊急護理時，@radychildrens 專家可以到我們的急診室就診！ http://t.co/IGwsTTTkWK")</f>
        <v>當您的孩子需要緊急護理時，@radychildrens 專家可以到我們的急診室就診！ http://t.co/IGwsTTTkWK</v>
      </c>
      <c r="G5178" s="4" t="str">
        <f>IFERROR(__xludf.DUMMYFUNCTION("GOOGLETRANSLATE(B5178)"),"緊急狀況")</f>
        <v>緊急狀況</v>
      </c>
    </row>
    <row r="5179" ht="15.75" customHeight="1">
      <c r="A5179" s="4">
        <v>4519.0</v>
      </c>
      <c r="B5179" s="4" t="s">
        <v>1994</v>
      </c>
      <c r="D5179" s="4" t="s">
        <v>7630</v>
      </c>
      <c r="E5179" s="4">
        <v>0.0</v>
      </c>
      <c r="F5179" s="4" t="str">
        <f>IFERROR(__xludf.DUMMYFUNCTION("GOOGLETRANSLATE(D5179)"),"STL Ace 格柵 - 表面安裝 SpeedTech 燈 - 琥珀色緊急燈 - 544 http://t.co/t6Seku4yvm http://t.co/TJOZ4u4txl")</f>
        <v>STL Ace 格柵 - 表面安裝 SpeedTech 燈 - 琥珀色緊急燈 - 544 http://t.co/t6Seku4yvm http://t.co/TJOZ4u4txl</v>
      </c>
      <c r="G5179" s="4" t="str">
        <f>IFERROR(__xludf.DUMMYFUNCTION("GOOGLETRANSLATE(B5179)"),"緊急狀況")</f>
        <v>緊急狀況</v>
      </c>
    </row>
    <row r="5180" ht="15.75" customHeight="1">
      <c r="A5180" s="4">
        <v>4520.0</v>
      </c>
      <c r="B5180" s="4" t="s">
        <v>1994</v>
      </c>
      <c r="C5180" s="4" t="s">
        <v>7631</v>
      </c>
      <c r="D5180" s="4" t="s">
        <v>7632</v>
      </c>
      <c r="E5180" s="4">
        <v>0.0</v>
      </c>
      <c r="F5180" s="4" t="str">
        <f>IFERROR(__xludf.DUMMYFUNCTION("GOOGLETRANSLATE(D5180)"),"新的任務類型是「升級任務」。這是一個始終存在的任務，具有 x2 exp，旨在幫助人們在緊急任務之外升級")</f>
        <v>新的任務類型是「升級任務」。這是一個始終存在的任務，具有 x2 exp，旨在幫助人們在緊急任務之外升級</v>
      </c>
      <c r="G5180" s="4" t="str">
        <f>IFERROR(__xludf.DUMMYFUNCTION("GOOGLETRANSLATE(B5180)"),"緊急狀況")</f>
        <v>緊急狀況</v>
      </c>
    </row>
    <row r="5181" ht="15.75" customHeight="1">
      <c r="A5181" s="4">
        <v>4521.0</v>
      </c>
      <c r="B5181" s="4" t="s">
        <v>1994</v>
      </c>
      <c r="C5181" s="4" t="s">
        <v>291</v>
      </c>
      <c r="D5181" s="4" t="s">
        <v>7633</v>
      </c>
      <c r="E5181" s="4">
        <v>0.0</v>
      </c>
      <c r="F5181" s="4" t="str">
        <f>IFERROR(__xludf.DUMMYFUNCTION("GOOGLETRANSLATE(D5181)"),"11,000 顆種子 30 種蔬果品種花園套件緊急求生裝備 MRE - 全面積 http://t.co/DchfPXgY2m http://t.co/UgHpTzjuLK")</f>
        <v>11,000 顆種子 30 種蔬果品種花園套件緊急求生裝備 MRE - 全面積 http://t.co/DchfPXgY2m http://t.co/UgHpTzjuLK</v>
      </c>
      <c r="G5181" s="4" t="str">
        <f>IFERROR(__xludf.DUMMYFUNCTION("GOOGLETRANSLATE(B5181)"),"緊急狀況")</f>
        <v>緊急狀況</v>
      </c>
    </row>
    <row r="5182" ht="15.75" customHeight="1">
      <c r="A5182" s="4">
        <v>4524.0</v>
      </c>
      <c r="B5182" s="4" t="s">
        <v>1994</v>
      </c>
      <c r="D5182" s="4" t="s">
        <v>7634</v>
      </c>
      <c r="E5182" s="4">
        <v>0.0</v>
      </c>
      <c r="F5182" s="4" t="str">
        <f>IFERROR(__xludf.DUMMYFUNCTION("GOOGLETRANSLATE(D5182)"),"緊急根管治療！！ #tookitlikeaman #lovemydentist #sore")</f>
        <v>緊急根管治療！！ #tookitlikeaman #lovemydentist #sore</v>
      </c>
      <c r="G5182" s="4" t="str">
        <f>IFERROR(__xludf.DUMMYFUNCTION("GOOGLETRANSLATE(B5182)"),"緊急狀況")</f>
        <v>緊急狀況</v>
      </c>
    </row>
    <row r="5183" ht="15.75" customHeight="1">
      <c r="A5183" s="4">
        <v>4525.0</v>
      </c>
      <c r="B5183" s="4" t="s">
        <v>1994</v>
      </c>
      <c r="D5183" s="4" t="s">
        <v>7635</v>
      </c>
      <c r="E5183" s="4">
        <v>0.0</v>
      </c>
      <c r="F5183" s="4" t="str">
        <f>IFERROR(__xludf.DUMMYFUNCTION("GOOGLETRANSLATE(D5183)"),"@runner_joy 是的；尤其是那些走進來並認為疣是緊急情況的新客戶。")</f>
        <v>@runner_joy 是的；尤其是那些走進來並認為疣是緊急情況的新客戶。</v>
      </c>
      <c r="G5183" s="4" t="str">
        <f>IFERROR(__xludf.DUMMYFUNCTION("GOOGLETRANSLATE(B5183)"),"緊急狀況")</f>
        <v>緊急狀況</v>
      </c>
    </row>
    <row r="5184" ht="15.75" customHeight="1">
      <c r="A5184" s="4">
        <v>4527.0</v>
      </c>
      <c r="B5184" s="4" t="s">
        <v>1994</v>
      </c>
      <c r="C5184" s="4" t="s">
        <v>1506</v>
      </c>
      <c r="D5184" s="4" t="s">
        <v>7636</v>
      </c>
      <c r="E5184" s="4">
        <v>0.0</v>
      </c>
      <c r="F5184" s="4" t="str">
        <f>IFERROR(__xludf.DUMMYFUNCTION("GOOGLETRANSLATE(D5184)"),"#安克雷奇 #Jobs 急診醫學 - 執業護理師 - 醫療保健招聘顧問（Wasilla AK）：Em... http://t.co/LKz5cNYNxX")</f>
        <v>#安克雷奇 #Jobs 急診醫學 - 執業護理師 - 醫療保健招聘顧問（Wasilla AK）：Em... http://t.co/LKz5cNYNxX</v>
      </c>
      <c r="G5184" s="4" t="str">
        <f>IFERROR(__xludf.DUMMYFUNCTION("GOOGLETRANSLATE(B5184)"),"緊急狀況")</f>
        <v>緊急狀況</v>
      </c>
    </row>
    <row r="5185" ht="15.75" customHeight="1">
      <c r="A5185" s="4">
        <v>4528.0</v>
      </c>
      <c r="B5185" s="4" t="s">
        <v>1994</v>
      </c>
      <c r="C5185" s="4" t="s">
        <v>376</v>
      </c>
      <c r="D5185" s="4" t="s">
        <v>7637</v>
      </c>
      <c r="E5185" s="4">
        <v>0.0</v>
      </c>
      <c r="F5185" s="4" t="str">
        <f>IFERROR(__xludf.DUMMYFUNCTION("GOOGLETRANSLATE(D5185)"),"只需 3 個簡單步驟即可設立應急基金：您永遠不知道什麼時候會突然出現意外開支。所以努力吧... http://t.co/Iz17kLelZC")</f>
        <v>只需 3 個簡單步驟即可設立應急基金：您永遠不知道什麼時候會突然出現意外開支。所以努力吧... http://t.co/Iz17kLelZC</v>
      </c>
      <c r="G5185" s="4" t="str">
        <f>IFERROR(__xludf.DUMMYFUNCTION("GOOGLETRANSLATE(B5185)"),"緊急狀況")</f>
        <v>緊急狀況</v>
      </c>
    </row>
    <row r="5186" ht="15.75" customHeight="1">
      <c r="A5186" s="4">
        <v>4529.0</v>
      </c>
      <c r="B5186" s="4" t="s">
        <v>1994</v>
      </c>
      <c r="D5186" s="4" t="s">
        <v>7638</v>
      </c>
      <c r="E5186" s="4">
        <v>0.0</v>
      </c>
      <c r="F5186" s="4" t="str">
        <f>IFERROR(__xludf.DUMMYFUNCTION("GOOGLETRANSLATE(D5186)"),"國家和人民的目光更廣泛的保護社區正在#Alaska @AKGovBillWalker 恢復緊急緩衝區#ProtectDenaliWolves")</f>
        <v>國家和人民的目光更廣泛的保護社區正在#Alaska @AKGovBillWalker 恢復緊急緩衝區#ProtectDenaliWolves</v>
      </c>
      <c r="G5186" s="4" t="str">
        <f>IFERROR(__xludf.DUMMYFUNCTION("GOOGLETRANSLATE(B5186)"),"緊急狀況")</f>
        <v>緊急狀況</v>
      </c>
    </row>
    <row r="5187" ht="15.75" customHeight="1">
      <c r="A5187" s="4">
        <v>4531.0</v>
      </c>
      <c r="B5187" s="4" t="s">
        <v>1994</v>
      </c>
      <c r="D5187" s="4" t="s">
        <v>7639</v>
      </c>
      <c r="E5187" s="4">
        <v>0.0</v>
      </c>
      <c r="F5187" s="4" t="str">
        <f>IFERROR(__xludf.DUMMYFUNCTION("GOOGLETRANSLATE(D5187)"),"貸款直到結算日??ÛÏ緊急資金預付款寶庫自我超越您的以下帶回家：AKx")</f>
        <v>貸款直到結算日??ÛÏ緊急資金預付款寶庫自我超越您的以下帶回家：AKx</v>
      </c>
      <c r="G5187" s="4" t="str">
        <f>IFERROR(__xludf.DUMMYFUNCTION("GOOGLETRANSLATE(B5187)"),"緊急狀況")</f>
        <v>緊急狀況</v>
      </c>
    </row>
    <row r="5188" ht="15.75" customHeight="1">
      <c r="A5188" s="4">
        <v>4534.0</v>
      </c>
      <c r="B5188" s="4" t="s">
        <v>1994</v>
      </c>
      <c r="C5188" s="4" t="s">
        <v>1145</v>
      </c>
      <c r="D5188" s="4" t="s">
        <v>7640</v>
      </c>
      <c r="E5188" s="4">
        <v>0.0</v>
      </c>
      <c r="F5188" s="4" t="str">
        <f>IFERROR(__xludf.DUMMYFUNCTION("GOOGLETRANSLATE(D5188)"),"來自 @LeanDOTorg：精益思維加快警察緊急響應時間 http://t.co/suZBkyW5TT")</f>
        <v>來自 @LeanDOTorg：精益思維加快警察緊急響應時間 http://t.co/suZBkyW5TT</v>
      </c>
      <c r="G5188" s="4" t="str">
        <f>IFERROR(__xludf.DUMMYFUNCTION("GOOGLETRANSLATE(B5188)"),"緊急狀況")</f>
        <v>緊急狀況</v>
      </c>
    </row>
    <row r="5189" ht="15.75" customHeight="1">
      <c r="A5189" s="4">
        <v>4538.0</v>
      </c>
      <c r="B5189" s="4" t="s">
        <v>1994</v>
      </c>
      <c r="D5189" s="4" t="s">
        <v>7641</v>
      </c>
      <c r="E5189" s="4">
        <v>0.0</v>
      </c>
      <c r="F5189" s="4" t="str">
        <f>IFERROR(__xludf.DUMMYFUNCTION("GOOGLETRANSLATE(D5189)"),"豐滿的金髮少女 Natalia Starr 在片場操保安 http://t.co/qew4c5M1xd 觀看和下載視頻")</f>
        <v>豐滿的金髮少女 Natalia Starr 在片場操保安 http://t.co/qew4c5M1xd 觀看和下載視頻</v>
      </c>
      <c r="G5189" s="4" t="str">
        <f>IFERROR(__xludf.DUMMYFUNCTION("GOOGLETRANSLATE(B5189)"),"緊急狀況")</f>
        <v>緊急狀況</v>
      </c>
    </row>
    <row r="5190" ht="15.75" customHeight="1">
      <c r="A5190" s="4">
        <v>4541.0</v>
      </c>
      <c r="B5190" s="4" t="s">
        <v>1994</v>
      </c>
      <c r="C5190" s="4" t="s">
        <v>7642</v>
      </c>
      <c r="D5190" s="4" t="s">
        <v>7643</v>
      </c>
      <c r="E5190" s="4">
        <v>0.0</v>
      </c>
      <c r="F5190" s="4" t="str">
        <f>IFERROR(__xludf.DUMMYFUNCTION("GOOGLETRANSLATE(D5190)"),"@batfanuk 我們很喜歡今天的演出。非常有趣。緊急不疏散很有趣。祝你跑得愉快。")</f>
        <v>@batfanuk 我們很喜歡今天的演出。非常有趣。緊急不疏散很有趣。祝你跑得愉快。</v>
      </c>
      <c r="G5190" s="4" t="str">
        <f>IFERROR(__xludf.DUMMYFUNCTION("GOOGLETRANSLATE(B5190)"),"緊急狀況")</f>
        <v>緊急狀況</v>
      </c>
    </row>
    <row r="5191" ht="15.75" customHeight="1">
      <c r="A5191" s="4">
        <v>4544.0</v>
      </c>
      <c r="B5191" s="4" t="s">
        <v>1994</v>
      </c>
      <c r="D5191" s="4" t="s">
        <v>7644</v>
      </c>
      <c r="E5191" s="4">
        <v>0.0</v>
      </c>
      <c r="F5191" s="4" t="str">
        <f>IFERROR(__xludf.DUMMYFUNCTION("GOOGLETRANSLATE(D5191)"),"我很高興當我打電話給某人時這不是緊急情況，因為他們從不接電話或回電？")</f>
        <v>我很高興當我打電話給某人時這不是緊急情況，因為他們從不接電話或回電？</v>
      </c>
      <c r="G5191" s="4" t="str">
        <f>IFERROR(__xludf.DUMMYFUNCTION("GOOGLETRANSLATE(B5191)"),"緊急狀況")</f>
        <v>緊急狀況</v>
      </c>
    </row>
    <row r="5192" ht="15.75" customHeight="1">
      <c r="A5192" s="4">
        <v>4546.0</v>
      </c>
      <c r="B5192" s="4" t="s">
        <v>1994</v>
      </c>
      <c r="C5192" s="4" t="s">
        <v>7645</v>
      </c>
      <c r="D5192" s="4" t="s">
        <v>7646</v>
      </c>
      <c r="E5192" s="4">
        <v>0.0</v>
      </c>
      <c r="F5192" s="4" t="str">
        <f>IFERROR(__xludf.DUMMYFUNCTION("GOOGLETRANSLATE(D5192)"),"為馬來西亞 Tunas KijangBank Negara 供應和安裝新的 FRP 緊急滑梯 [截止日期：2015-08-14]... http://t.co/ZpqwKHFhNf")</f>
        <v>為馬來西亞 Tunas KijangBank Negara 供應和安裝新的 FRP 緊急滑梯 [截止日期：2015-08-14]... http://t.co/ZpqwKHFhNf</v>
      </c>
      <c r="G5192" s="4" t="str">
        <f>IFERROR(__xludf.DUMMYFUNCTION("GOOGLETRANSLATE(B5192)"),"緊急狀況")</f>
        <v>緊急狀況</v>
      </c>
    </row>
    <row r="5193" ht="15.75" customHeight="1">
      <c r="A5193" s="4">
        <v>4548.0</v>
      </c>
      <c r="B5193" s="4" t="s">
        <v>2018</v>
      </c>
      <c r="C5193" s="4" t="s">
        <v>7647</v>
      </c>
      <c r="D5193" s="4" t="s">
        <v>7648</v>
      </c>
      <c r="E5193" s="4">
        <v>0.0</v>
      </c>
      <c r="F5193" s="4" t="str">
        <f>IFERROR(__xludf.DUMMYFUNCTION("GOOGLETRANSLATE(D5193)"),"4 個可列印的緊急應變計畫模板
http://t.co/nAex0Q1Ax0")</f>
        <v>4 個可列印的緊急應變計畫模板
http://t.co/nAex0Q1Ax0</v>
      </c>
      <c r="G5193" s="4" t="str">
        <f>IFERROR(__xludf.DUMMYFUNCTION("GOOGLETRANSLATE(B5193)"),"緊急%20計劃")</f>
        <v>緊急%20計劃</v>
      </c>
    </row>
    <row r="5194" ht="15.75" customHeight="1">
      <c r="A5194" s="4">
        <v>4556.0</v>
      </c>
      <c r="B5194" s="4" t="s">
        <v>2018</v>
      </c>
      <c r="C5194" s="4" t="s">
        <v>7649</v>
      </c>
      <c r="D5194" s="4" t="s">
        <v>7650</v>
      </c>
      <c r="E5194" s="4">
        <v>0.0</v>
      </c>
      <c r="F5194" s="4" t="str">
        <f>IFERROR(__xludf.DUMMYFUNCTION("GOOGLETRANSLATE(D5194)"),"http://t.co/F7LJwxJ5jp #GamerGate Reddit 的結束即將到來。我們是時候制定緊急疏散計畫了。")</f>
        <v>http://t.co/F7LJwxJ5jp #GamerGate Reddit 的結束即將到來。我們是時候制定緊急疏散計畫了。</v>
      </c>
      <c r="G5194" s="4" t="str">
        <f>IFERROR(__xludf.DUMMYFUNCTION("GOOGLETRANSLATE(B5194)"),"緊急%20計劃")</f>
        <v>緊急%20計劃</v>
      </c>
    </row>
    <row r="5195" ht="15.75" customHeight="1">
      <c r="A5195" s="4">
        <v>4557.0</v>
      </c>
      <c r="B5195" s="4" t="s">
        <v>2018</v>
      </c>
      <c r="C5195" s="4" t="s">
        <v>48</v>
      </c>
      <c r="D5195" s="4" t="s">
        <v>7651</v>
      </c>
      <c r="E5195" s="4">
        <v>0.0</v>
      </c>
      <c r="F5195" s="4" t="str">
        <f>IFERROR(__xludf.DUMMYFUNCTION("GOOGLETRANSLATE(D5195)"),"姪女們，這些對你和孩子特別有好處。
梅根·斯旺格 魯森·麥考密克 黛西·亨利... http://t.co/Dl60JA06TW")</f>
        <v>姪女們，這些對你和孩子特別有好處。
梅根·斯旺格 魯森·麥考密克 黛西·亨利... http://t.co/Dl60JA06TW</v>
      </c>
      <c r="G5195" s="4" t="str">
        <f>IFERROR(__xludf.DUMMYFUNCTION("GOOGLETRANSLATE(B5195)"),"緊急%20計劃")</f>
        <v>緊急%20計劃</v>
      </c>
    </row>
    <row r="5196" ht="15.75" customHeight="1">
      <c r="A5196" s="4">
        <v>4561.0</v>
      </c>
      <c r="B5196" s="4" t="s">
        <v>2018</v>
      </c>
      <c r="C5196" s="4" t="s">
        <v>7652</v>
      </c>
      <c r="D5196" s="4" t="s">
        <v>7653</v>
      </c>
      <c r="E5196" s="4">
        <v>0.0</v>
      </c>
      <c r="F5196" s="4" t="str">
        <f>IFERROR(__xludf.DUMMYFUNCTION("GOOGLETRANSLATE(D5196)"),"好提示！您的家人有應急計劃嗎？ ... http://t.co/r5BgVLqPJt http://t.co/MEHWKZwtXD")</f>
        <v>好提示！您的家人有應急計劃嗎？ ... http://t.co/r5BgVLqPJt http://t.co/MEHWKZwtXD</v>
      </c>
      <c r="G5196" s="4" t="str">
        <f>IFERROR(__xludf.DUMMYFUNCTION("GOOGLETRANSLATE(B5196)"),"緊急%20計劃")</f>
        <v>緊急%20計劃</v>
      </c>
    </row>
    <row r="5197" ht="15.75" customHeight="1">
      <c r="A5197" s="4">
        <v>4564.0</v>
      </c>
      <c r="B5197" s="4" t="s">
        <v>2018</v>
      </c>
      <c r="C5197" s="4" t="s">
        <v>7654</v>
      </c>
      <c r="D5197" s="4" t="s">
        <v>7655</v>
      </c>
      <c r="E5197" s="4">
        <v>0.0</v>
      </c>
      <c r="F5197" s="4" t="str">
        <f>IFERROR(__xludf.DUMMYFUNCTION("GOOGLETRANSLATE(D5197)"),"政府計劃向 F​​CI 提供 40000Cr 的生命線浪費金錢，要求人們儲存穀物 fr 3_6_12 個月 fr 緊急情況下有足夠的可用容量")</f>
        <v>政府計劃向 F​​CI 提供 40000Cr 的生命線浪費金錢，要求人們儲存穀物 fr 3_6_12 個月 fr 緊急情況下有足夠的可用容量</v>
      </c>
      <c r="G5197" s="4" t="str">
        <f>IFERROR(__xludf.DUMMYFUNCTION("GOOGLETRANSLATE(B5197)"),"緊急%20計劃")</f>
        <v>緊急%20計劃</v>
      </c>
    </row>
    <row r="5198" ht="15.75" customHeight="1">
      <c r="A5198" s="4">
        <v>4565.0</v>
      </c>
      <c r="B5198" s="4" t="s">
        <v>2018</v>
      </c>
      <c r="C5198" s="4" t="s">
        <v>1118</v>
      </c>
      <c r="D5198" s="4" t="s">
        <v>7656</v>
      </c>
      <c r="E5198" s="4">
        <v>0.0</v>
      </c>
      <c r="F5198" s="4" t="str">
        <f>IFERROR(__xludf.DUMMYFUNCTION("GOOGLETRANSLATE(D5198)"),"您知道您工作場所的緊急應變計畫嗎？如果沒有，請詢問您的主管或營運經理。 ＃零售")</f>
        <v>您知道您工作場所的緊急應變計畫嗎？如果沒有，請詢問您的主管或營運經理。 ＃零售</v>
      </c>
      <c r="G5198" s="4" t="str">
        <f>IFERROR(__xludf.DUMMYFUNCTION("GOOGLETRANSLATE(B5198)"),"緊急%20計劃")</f>
        <v>緊急%20計劃</v>
      </c>
    </row>
    <row r="5199" ht="15.75" customHeight="1">
      <c r="A5199" s="4">
        <v>4567.0</v>
      </c>
      <c r="B5199" s="4" t="s">
        <v>2018</v>
      </c>
      <c r="C5199" s="4" t="s">
        <v>7657</v>
      </c>
      <c r="D5199" s="4" t="s">
        <v>7658</v>
      </c>
      <c r="E5199" s="4">
        <v>0.0</v>
      </c>
      <c r="F5199" s="4" t="str">
        <f>IFERROR(__xludf.DUMMYFUNCTION("GOOGLETRANSLATE(D5199)"),"英國 NHS 宣布實現緊急護理目標的新計劃 http://t.co/0x2BIEqXPV")</f>
        <v>英國 NHS 宣布實現緊急護理目標的新計劃 http://t.co/0x2BIEqXPV</v>
      </c>
      <c r="G5199" s="4" t="str">
        <f>IFERROR(__xludf.DUMMYFUNCTION("GOOGLETRANSLATE(B5199)"),"緊急%20計劃")</f>
        <v>緊急%20計劃</v>
      </c>
    </row>
    <row r="5200" ht="15.75" customHeight="1">
      <c r="A5200" s="4">
        <v>4573.0</v>
      </c>
      <c r="B5200" s="4" t="s">
        <v>2018</v>
      </c>
      <c r="C5200" s="4" t="s">
        <v>7659</v>
      </c>
      <c r="D5200" s="4" t="s">
        <v>7660</v>
      </c>
      <c r="E5200" s="4">
        <v>0.0</v>
      </c>
      <c r="F5200" s="4" t="str">
        <f>IFERROR(__xludf.DUMMYFUNCTION("GOOGLETRANSLATE(D5200)"),"來自 Counterstrike Security &amp;amp; 的朋友們的精彩提示聲音.... http://t.co/z5Y4Xr14W6")</f>
        <v>來自 Counterstrike Security &amp;amp; 的朋友們的精彩提示聲音.... http://t.co/z5Y4Xr14W6</v>
      </c>
      <c r="G5200" s="4" t="str">
        <f>IFERROR(__xludf.DUMMYFUNCTION("GOOGLETRANSLATE(B5200)"),"緊急%20計劃")</f>
        <v>緊急%20計劃</v>
      </c>
    </row>
    <row r="5201" ht="15.75" customHeight="1">
      <c r="A5201" s="4">
        <v>4577.0</v>
      </c>
      <c r="B5201" s="4" t="s">
        <v>2018</v>
      </c>
      <c r="C5201" s="4" t="s">
        <v>1887</v>
      </c>
      <c r="D5201" s="4" t="s">
        <v>7661</v>
      </c>
      <c r="E5201" s="4">
        <v>0.0</v>
      </c>
      <c r="F5201" s="4" t="str">
        <f>IFERROR(__xludf.DUMMYFUNCTION("GOOGLETRANSLATE(D5201)"),"@RebeccaforReal 代表 @GovWalker #nbc15 http://t.co/Pis0aiVRbR 接受威斯康辛州緊急應變計劃")</f>
        <v>@RebeccaforReal 代表 @GovWalker #nbc15 http://t.co/Pis0aiVRbR 接受威斯康辛州緊急應變計劃</v>
      </c>
      <c r="G5201" s="4" t="str">
        <f>IFERROR(__xludf.DUMMYFUNCTION("GOOGLETRANSLATE(B5201)"),"緊急%20計劃")</f>
        <v>緊急%20計劃</v>
      </c>
    </row>
    <row r="5202" ht="15.75" customHeight="1">
      <c r="A5202" s="4">
        <v>4578.0</v>
      </c>
      <c r="B5202" s="4" t="s">
        <v>2018</v>
      </c>
      <c r="C5202" s="4" t="s">
        <v>2747</v>
      </c>
      <c r="D5202" s="4" t="s">
        <v>7662</v>
      </c>
      <c r="E5202" s="4">
        <v>0.0</v>
      </c>
      <c r="F5202" s="4" t="str">
        <f>IFERROR(__xludf.DUMMYFUNCTION("GOOGLETRANSLATE(D5202)"),"克魯斯的「M:I 5」緊急計畫：令人敬畏的失敗http://t.co/H3dCh6Fyaw")</f>
        <v>克魯斯的「M:I 5」緊急計畫：令人敬畏的失敗http://t.co/H3dCh6Fyaw</v>
      </c>
      <c r="G5202" s="4" t="str">
        <f>IFERROR(__xludf.DUMMYFUNCTION("GOOGLETRANSLATE(B5202)"),"緊急%20計劃")</f>
        <v>緊急%20計劃</v>
      </c>
    </row>
    <row r="5203" ht="15.75" customHeight="1">
      <c r="A5203" s="4">
        <v>4579.0</v>
      </c>
      <c r="B5203" s="4" t="s">
        <v>2018</v>
      </c>
      <c r="C5203" s="4" t="s">
        <v>7663</v>
      </c>
      <c r="D5203" s="4" t="s">
        <v>7664</v>
      </c>
      <c r="E5203" s="4">
        <v>0.0</v>
      </c>
      <c r="F5203" s="4" t="str">
        <f>IFERROR(__xludf.DUMMYFUNCTION("GOOGLETRANSLATE(D5203)"),"練習您的家庭火災逃生計劃，以便每個人都知道在緊急情況下該怎麼做。")</f>
        <v>練習您的家庭火災逃生計劃，以便每個人都知道在緊急情況下該怎麼做。</v>
      </c>
      <c r="G5203" s="4" t="str">
        <f>IFERROR(__xludf.DUMMYFUNCTION("GOOGLETRANSLATE(B5203)"),"緊急%20計劃")</f>
        <v>緊急%20計劃</v>
      </c>
    </row>
    <row r="5204" ht="15.75" customHeight="1">
      <c r="A5204" s="4">
        <v>4584.0</v>
      </c>
      <c r="B5204" s="4" t="s">
        <v>2018</v>
      </c>
      <c r="C5204" s="4" t="s">
        <v>7665</v>
      </c>
      <c r="D5204" s="4" t="s">
        <v>7666</v>
      </c>
      <c r="E5204" s="4">
        <v>0.0</v>
      </c>
      <c r="F5204" s="4" t="str">
        <f>IFERROR(__xludf.DUMMYFUNCTION("GOOGLETRANSLATE(D5204)"),"你有計劃嗎？ #Families 的緊急準備
有特殊需求的兒童 http://t.co/RdOVqaUAx5 #autism #specialneeds")</f>
        <v>你有計劃嗎？ #Families 的緊急準備
有特殊需求的兒童 http://t.co/RdOVqaUAx5 #autism #specialneeds</v>
      </c>
      <c r="G5204" s="4" t="str">
        <f>IFERROR(__xludf.DUMMYFUNCTION("GOOGLETRANSLATE(B5204)"),"緊急%20計劃")</f>
        <v>緊急%20計劃</v>
      </c>
    </row>
    <row r="5205" ht="15.75" customHeight="1">
      <c r="A5205" s="4">
        <v>4589.0</v>
      </c>
      <c r="B5205" s="4" t="s">
        <v>2018</v>
      </c>
      <c r="D5205" s="4" t="s">
        <v>7667</v>
      </c>
      <c r="E5205" s="4">
        <v>0.0</v>
      </c>
      <c r="F5205" s="4" t="str">
        <f>IFERROR(__xludf.DUMMYFUNCTION("GOOGLETRANSLATE(D5205)"),"您有緊急飲用水計畫嗎？下載英語、西班牙語、法語、阿拉伯語或越南語指南。 http://t.co/S0ktilisKq")</f>
        <v>您有緊急飲用水計畫嗎？下載英語、西班牙語、法語、阿拉伯語或越南語指南。 http://t.co/S0ktilisKq</v>
      </c>
      <c r="G5205" s="4" t="str">
        <f>IFERROR(__xludf.DUMMYFUNCTION("GOOGLETRANSLATE(B5205)"),"緊急%20計劃")</f>
        <v>緊急%20計劃</v>
      </c>
    </row>
    <row r="5206" ht="15.75" customHeight="1">
      <c r="A5206" s="4">
        <v>4596.0</v>
      </c>
      <c r="B5206" s="4" t="s">
        <v>2018</v>
      </c>
      <c r="C5206" s="4" t="s">
        <v>7668</v>
      </c>
      <c r="D5206" s="4" t="s">
        <v>7669</v>
      </c>
      <c r="E5206" s="4">
        <v>0.0</v>
      </c>
      <c r="F5206" s="4" t="str">
        <f>IFERROR(__xludf.DUMMYFUNCTION("GOOGLETRANSLATE(D5206)"),"縣 911 超載提示在 7 月 4 日慶祝活動期間使用應急計劃 http://t.co/HXTUPrA5bc http://t.co/DqxKJibbKy")</f>
        <v>縣 911 超載提示在 7 月 4 日慶祝活動期間使用應急計劃 http://t.co/HXTUPrA5bc http://t.co/DqxKJibbKy</v>
      </c>
      <c r="G5206" s="4" t="str">
        <f>IFERROR(__xludf.DUMMYFUNCTION("GOOGLETRANSLATE(B5206)"),"緊急%20計劃")</f>
        <v>緊急%20計劃</v>
      </c>
    </row>
    <row r="5207" ht="15.75" customHeight="1">
      <c r="A5207" s="4">
        <v>4598.0</v>
      </c>
      <c r="B5207" s="4" t="s">
        <v>2052</v>
      </c>
      <c r="D5207" s="4" t="s">
        <v>7670</v>
      </c>
      <c r="E5207" s="4">
        <v>0.0</v>
      </c>
      <c r="F5207" s="4" t="str">
        <f>IFERROR(__xludf.DUMMYFUNCTION("GOOGLETRANSLATE(D5207)"),"@chillimik @HushLegs 哈哈 ??????..你真的把自己與緊急服務部門進行比較嗎！太精彩了！談論你自己的屁股！")</f>
        <v>@chillimik @HushLegs 哈哈 ??????..你真的把自己與緊急服務部門進行比較嗎！太精彩了！談論你自己的屁股！</v>
      </c>
      <c r="G5207" s="4" t="str">
        <f>IFERROR(__xludf.DUMMYFUNCTION("GOOGLETRANSLATE(B5207)"),"緊急%20服務")</f>
        <v>緊急%20服務</v>
      </c>
    </row>
    <row r="5208" ht="15.75" customHeight="1">
      <c r="A5208" s="4">
        <v>4601.0</v>
      </c>
      <c r="B5208" s="4" t="s">
        <v>2052</v>
      </c>
      <c r="C5208" s="4" t="s">
        <v>7671</v>
      </c>
      <c r="D5208" s="4" t="s">
        <v>7672</v>
      </c>
      <c r="E5208" s="4">
        <v>0.0</v>
      </c>
      <c r="F5208" s="4" t="str">
        <f>IFERROR(__xludf.DUMMYFUNCTION("GOOGLETRANSLATE(D5208)"),"加入普羅維登斯健康與醫療中心服務團隊！請參閱我們最新的#Nursing #job 職缺：http://t.co/i3hZemlDpU #Torrance CA #Hiring")</f>
        <v>加入普羅維登斯健康與醫療中心服務團隊！請參閱我們最新的#Nursing #job 職缺：http://t.co/i3hZemlDpU #Torrance CA #Hiring</v>
      </c>
      <c r="G5208" s="4" t="str">
        <f>IFERROR(__xludf.DUMMYFUNCTION("GOOGLETRANSLATE(B5208)"),"緊急%20服務")</f>
        <v>緊急%20服務</v>
      </c>
    </row>
    <row r="5209" ht="15.75" customHeight="1">
      <c r="A5209" s="4">
        <v>4607.0</v>
      </c>
      <c r="B5209" s="4" t="s">
        <v>2052</v>
      </c>
      <c r="D5209" s="4" t="s">
        <v>7673</v>
      </c>
      <c r="E5209" s="4">
        <v>0.0</v>
      </c>
      <c r="F5209" s="4" t="str">
        <f>IFERROR(__xludf.DUMMYFUNCTION("GOOGLETRANSLATE(D5209)"),"週四晚上緊急服務委員會和人事委員會會議 http://t.co/DrBcRyPj4p")</f>
        <v>週四晚上緊急服務委員會和人事委員會會議 http://t.co/DrBcRyPj4p</v>
      </c>
      <c r="G5209" s="4" t="str">
        <f>IFERROR(__xludf.DUMMYFUNCTION("GOOGLETRANSLATE(B5209)"),"緊急%20服務")</f>
        <v>緊急%20服務</v>
      </c>
    </row>
    <row r="5210" ht="15.75" customHeight="1">
      <c r="A5210" s="4">
        <v>4609.0</v>
      </c>
      <c r="B5210" s="4" t="s">
        <v>2052</v>
      </c>
      <c r="C5210" s="4" t="s">
        <v>7674</v>
      </c>
      <c r="D5210" s="4" t="s">
        <v>7675</v>
      </c>
      <c r="E5210" s="4">
        <v>0.0</v>
      </c>
      <c r="F5210" s="4" t="str">
        <f>IFERROR(__xludf.DUMMYFUNCTION("GOOGLETRANSLATE(D5210)"),"我們正在招募！在這裡閱讀我們最新的 #job 空缺資訊：RN 護理師輪班經理緊急服務 - 全職... - http://t.co/sNuBZA6KSC")</f>
        <v>我們正在招募！在這裡閱讀我們最新的 #job 空缺資訊：RN 護理師輪班經理緊急服務 - 全職... - http://t.co/sNuBZA6KSC</v>
      </c>
      <c r="G5210" s="4" t="str">
        <f>IFERROR(__xludf.DUMMYFUNCTION("GOOGLETRANSLATE(B5210)"),"緊急%20服務")</f>
        <v>緊急%20服務</v>
      </c>
    </row>
    <row r="5211" ht="15.75" customHeight="1">
      <c r="A5211" s="4">
        <v>4610.0</v>
      </c>
      <c r="B5211" s="4" t="s">
        <v>2052</v>
      </c>
      <c r="C5211" s="4" t="s">
        <v>2533</v>
      </c>
      <c r="D5211" s="4" t="s">
        <v>7676</v>
      </c>
      <c r="E5211" s="4">
        <v>0.0</v>
      </c>
      <c r="F5211" s="4" t="str">
        <f>IFERROR(__xludf.DUMMYFUNCTION("GOOGLETRANSLATE(D5211)"),"#veterans VET 法案將確保每位退伍軍人都能獲得最高水準的緊急護理服務：適當的治療...#followme")</f>
        <v>#veterans VET 法案將確保每位退伍軍人都能獲得最高水準的緊急護理服務：適當的治療...#followme</v>
      </c>
      <c r="G5211" s="4" t="str">
        <f>IFERROR(__xludf.DUMMYFUNCTION("GOOGLETRANSLATE(B5211)"),"緊急%20服務")</f>
        <v>緊急%20服務</v>
      </c>
    </row>
    <row r="5212" ht="15.75" customHeight="1">
      <c r="A5212" s="4">
        <v>4611.0</v>
      </c>
      <c r="B5212" s="4" t="s">
        <v>2052</v>
      </c>
      <c r="C5212" s="4" t="s">
        <v>3190</v>
      </c>
      <c r="D5212" s="4" t="s">
        <v>7677</v>
      </c>
      <c r="E5212" s="4">
        <v>0.0</v>
      </c>
      <c r="F5212" s="4" t="str">
        <f>IFERROR(__xludf.DUMMYFUNCTION("GOOGLETRANSLATE(D5212)"),"緊急服務部門不確定如何應對尋呼網路的遺失 http://t.co/UXqKIeqDyf")</f>
        <v>緊急服務部門不確定如何應對尋呼網路的遺失 http://t.co/UXqKIeqDyf</v>
      </c>
      <c r="G5212" s="4" t="str">
        <f>IFERROR(__xludf.DUMMYFUNCTION("GOOGLETRANSLATE(B5212)"),"緊急%20服務")</f>
        <v>緊急%20服務</v>
      </c>
    </row>
    <row r="5213" ht="15.75" customHeight="1">
      <c r="A5213" s="4">
        <v>4614.0</v>
      </c>
      <c r="B5213" s="4" t="s">
        <v>2052</v>
      </c>
      <c r="D5213" s="4" t="s">
        <v>7678</v>
      </c>
      <c r="E5213" s="4">
        <v>0.0</v>
      </c>
      <c r="F5213" s="4" t="str">
        <f>IFERROR(__xludf.DUMMYFUNCTION("GOOGLETRANSLATE(D5213)"),"布魯克林鎖匠：圍繞時鐘運動馴化緊急機械服務！：gba http://t.co/1Q6ccFfzV6")</f>
        <v>布魯克林鎖匠：圍繞時鐘運動馴化緊急機械服務！：gba http://t.co/1Q6ccFfzV6</v>
      </c>
      <c r="G5213" s="4" t="str">
        <f>IFERROR(__xludf.DUMMYFUNCTION("GOOGLETRANSLATE(B5213)"),"緊急%20服務")</f>
        <v>緊急%20服務</v>
      </c>
    </row>
    <row r="5214" ht="15.75" customHeight="1">
      <c r="A5214" s="4">
        <v>4616.0</v>
      </c>
      <c r="B5214" s="4" t="s">
        <v>2052</v>
      </c>
      <c r="C5214" s="4" t="s">
        <v>7679</v>
      </c>
      <c r="D5214" s="4" t="s">
        <v>7680</v>
      </c>
      <c r="E5214" s="4">
        <v>0.0</v>
      </c>
      <c r="F5214" s="4" t="str">
        <f>IFERROR(__xludf.DUMMYFUNCTION("GOOGLETRANSLATE(D5214)"),"2015-16 @SUNY_Orange 預算公開聽證會於 8 月 6 日星期四 3:15 戈申緊急服務中心舉行。 http://t.co/80DzgCo6Vc")</f>
        <v>2015-16 @SUNY_Orange 預算公開聽證會於 8 月 6 日星期四 3:15 戈申緊急服務中心舉行。 http://t.co/80DzgCo6Vc</v>
      </c>
      <c r="G5214" s="4" t="str">
        <f>IFERROR(__xludf.DUMMYFUNCTION("GOOGLETRANSLATE(B5214)"),"緊急%20服務")</f>
        <v>緊急%20服務</v>
      </c>
    </row>
    <row r="5215" ht="15.75" customHeight="1">
      <c r="A5215" s="4">
        <v>4617.0</v>
      </c>
      <c r="B5215" s="4" t="s">
        <v>2052</v>
      </c>
      <c r="C5215" s="4" t="s">
        <v>7681</v>
      </c>
      <c r="D5215" s="4" t="s">
        <v>7682</v>
      </c>
      <c r="E5215" s="4">
        <v>0.0</v>
      </c>
      <c r="F5215" s="4" t="str">
        <f>IFERROR(__xludf.DUMMYFUNCTION("GOOGLETRANSLATE(D5215)"),"立即申請作為 #RN #Emergency Services 全職 7a-7:30p 錫耶納校區 #Henderson #jobs 為 Dignity Health 工作 http://t.co/FDiU44jLDJ")</f>
        <v>立即申請作為 #RN #Emergency Services 全職 7a-7:30p 錫耶納校區 #Henderson #jobs 為 Dignity Health 工作 http://t.co/FDiU44jLDJ</v>
      </c>
      <c r="G5215" s="4" t="str">
        <f>IFERROR(__xludf.DUMMYFUNCTION("GOOGLETRANSLATE(B5215)"),"緊急%20服務")</f>
        <v>緊急%20服務</v>
      </c>
    </row>
    <row r="5216" ht="15.75" customHeight="1">
      <c r="A5216" s="4">
        <v>4619.0</v>
      </c>
      <c r="B5216" s="4" t="s">
        <v>2052</v>
      </c>
      <c r="C5216" s="4" t="s">
        <v>1118</v>
      </c>
      <c r="D5216" s="4" t="s">
        <v>7683</v>
      </c>
      <c r="E5216" s="4">
        <v>0.0</v>
      </c>
      <c r="F5216" s="4" t="str">
        <f>IFERROR(__xludf.DUMMYFUNCTION("GOOGLETRANSLATE(D5216)"),"想在#MissionHills CA 工作嗎？查看我們最新的職缺：http://t.co/ZsnSaR1Tw1 #Nursing #Job #Jobs #Hiring")</f>
        <v>想在#MissionHills CA 工作嗎？查看我們最新的職缺：http://t.co/ZsnSaR1Tw1 #Nursing #Job #Jobs #Hiring</v>
      </c>
      <c r="G5216" s="4" t="str">
        <f>IFERROR(__xludf.DUMMYFUNCTION("GOOGLETRANSLATE(B5216)"),"緊急%20服務")</f>
        <v>緊急%20服務</v>
      </c>
    </row>
    <row r="5217" ht="15.75" customHeight="1">
      <c r="A5217" s="4">
        <v>4622.0</v>
      </c>
      <c r="B5217" s="4" t="s">
        <v>2052</v>
      </c>
      <c r="C5217" s="4" t="s">
        <v>3292</v>
      </c>
      <c r="D5217" s="4" t="s">
        <v>7684</v>
      </c>
      <c r="E5217" s="4">
        <v>0.0</v>
      </c>
      <c r="F5217" s="4" t="str">
        <f>IFERROR(__xludf.DUMMYFUNCTION("GOOGLETRANSLATE(D5217)"),"#tubestrike 是因為 TFL 工作人員可能無法規劃停機時間。我希望沒有人需要緊急服務。 http://t.co/iCSFDSiFqb")</f>
        <v>#tubestrike 是因為 TFL 工作人員可能無法規劃停機時間。我希望沒有人需要緊急服務。 http://t.co/iCSFDSiFqb</v>
      </c>
      <c r="G5217" s="4" t="str">
        <f>IFERROR(__xludf.DUMMYFUNCTION("GOOGLETRANSLATE(B5217)"),"緊急%20服務")</f>
        <v>緊急%20服務</v>
      </c>
    </row>
    <row r="5218" ht="15.75" customHeight="1">
      <c r="A5218" s="4">
        <v>4625.0</v>
      </c>
      <c r="B5218" s="4" t="s">
        <v>2052</v>
      </c>
      <c r="C5218" s="4" t="s">
        <v>7685</v>
      </c>
      <c r="D5218" s="4" t="s">
        <v>7686</v>
      </c>
      <c r="E5218" s="4">
        <v>0.0</v>
      </c>
      <c r="F5218" s="4" t="str">
        <f>IFERROR(__xludf.DUMMYFUNCTION("GOOGLETRANSLATE(D5218)"),"你能推薦任何人來做這個#job嗎？ RN 緊急服務全日制 3p - 3\:30a Rose de Lima 校區 - http://t.co/xQrLEWiA4x #Hiring")</f>
        <v>你能推薦任何人來做這個#job嗎？ RN 緊急服務全日制 3p - 3\:30a Rose de Lima 校區 - http://t.co/xQrLEWiA4x #Hiring</v>
      </c>
      <c r="G5218" s="4" t="str">
        <f>IFERROR(__xludf.DUMMYFUNCTION("GOOGLETRANSLATE(B5218)"),"緊急%20服務")</f>
        <v>緊急%20服務</v>
      </c>
    </row>
    <row r="5219" ht="15.75" customHeight="1">
      <c r="A5219" s="4">
        <v>4628.0</v>
      </c>
      <c r="B5219" s="4" t="s">
        <v>2052</v>
      </c>
      <c r="C5219" s="4" t="s">
        <v>7687</v>
      </c>
      <c r="D5219" s="4" t="s">
        <v>7688</v>
      </c>
      <c r="E5219" s="4">
        <v>0.0</v>
      </c>
      <c r="F5219" s="4" t="str">
        <f>IFERROR(__xludf.DUMMYFUNCTION("GOOGLETRANSLATE(D5219)"),"#醫療保健 #Kodiak AK 的工作：緊急服務主管 - 緊急...在普羅維登斯健康與醫療中心服務 http://t.co/8KJ1wDAiGj #Jobs")</f>
        <v>#醫療保健 #Kodiak AK 的工作：緊急服務主管 - 緊急...在普羅維登斯健康與醫療中心服務 http://t.co/8KJ1wDAiGj #Jobs</v>
      </c>
      <c r="G5219" s="4" t="str">
        <f>IFERROR(__xludf.DUMMYFUNCTION("GOOGLETRANSLATE(B5219)"),"緊急%20服務")</f>
        <v>緊急%20服務</v>
      </c>
    </row>
    <row r="5220" ht="15.75" customHeight="1">
      <c r="A5220" s="4">
        <v>4630.0</v>
      </c>
      <c r="B5220" s="4" t="s">
        <v>2052</v>
      </c>
      <c r="C5220" s="4" t="s">
        <v>7689</v>
      </c>
      <c r="D5220" s="4" t="s">
        <v>7690</v>
      </c>
      <c r="E5220" s="4">
        <v>0.0</v>
      </c>
      <c r="F5220" s="4" t="str">
        <f>IFERROR(__xludf.DUMMYFUNCTION("GOOGLETRANSLATE(D5220)"),"航空集團來救援！我們有 24/7 緊急服務！在這裡了解更多 - http://t.co/9lyx7zMtHE http://t.co/5PbC96rTMJ")</f>
        <v>航空集團來救援！我們有 24/7 緊急服務！在這裡了解更多 - http://t.co/9lyx7zMtHE http://t.co/5PbC96rTMJ</v>
      </c>
      <c r="G5220" s="4" t="str">
        <f>IFERROR(__xludf.DUMMYFUNCTION("GOOGLETRANSLATE(B5220)"),"緊急%20服務")</f>
        <v>緊急%20服務</v>
      </c>
    </row>
    <row r="5221" ht="15.75" customHeight="1">
      <c r="A5221" s="4">
        <v>4631.0</v>
      </c>
      <c r="B5221" s="4" t="s">
        <v>2052</v>
      </c>
      <c r="C5221" s="4" t="s">
        <v>800</v>
      </c>
      <c r="D5221" s="4" t="s">
        <v>7691</v>
      </c>
      <c r="E5221" s="4">
        <v>0.0</v>
      </c>
      <c r="F5221" s="4" t="str">
        <f>IFERROR(__xludf.DUMMYFUNCTION("GOOGLETRANSLATE(D5221)"),"想在瑞典衛生服務部門工作嗎？我們正在#西澳西雅圖#招募！點擊查看詳情：http://t.co/4KDThCtEmV #Nursing #Job #Jobs")</f>
        <v>想在瑞典衛生服務部門工作嗎？我們正在#西澳西雅圖#招募！點擊查看詳情：http://t.co/4KDThCtEmV #Nursing #Job #Jobs</v>
      </c>
      <c r="G5221" s="4" t="str">
        <f>IFERROR(__xludf.DUMMYFUNCTION("GOOGLETRANSLATE(B5221)"),"緊急%20服務")</f>
        <v>緊急%20服務</v>
      </c>
    </row>
    <row r="5222" ht="15.75" customHeight="1">
      <c r="A5222" s="4">
        <v>4634.0</v>
      </c>
      <c r="B5222" s="4" t="s">
        <v>2052</v>
      </c>
      <c r="C5222" s="4" t="s">
        <v>2057</v>
      </c>
      <c r="D5222" s="4" t="s">
        <v>7692</v>
      </c>
      <c r="E5222" s="4">
        <v>0.0</v>
      </c>
      <c r="F5222" s="4" t="str">
        <f>IFERROR(__xludf.DUMMYFUNCTION("GOOGLETRANSLATE(D5222)"),"我們正在招募！在這裡閱讀我們最新的 #job 空缺資訊：急診精神病學 RN（.90 FTE Day） - http://t.co/zOEpZsOkY1")</f>
        <v>我們正在招募！在這裡閱讀我們最新的 #job 空缺資訊：急診精神病學 RN（.90 FTE Day） - http://t.co/zOEpZsOkY1</v>
      </c>
      <c r="G5222" s="4" t="str">
        <f>IFERROR(__xludf.DUMMYFUNCTION("GOOGLETRANSLATE(B5222)"),"緊急%20服務")</f>
        <v>緊急%20服務</v>
      </c>
    </row>
    <row r="5223" ht="15.75" customHeight="1">
      <c r="A5223" s="4">
        <v>4635.0</v>
      </c>
      <c r="B5223" s="4" t="s">
        <v>2052</v>
      </c>
      <c r="C5223" s="4" t="s">
        <v>7693</v>
      </c>
      <c r="D5223" s="4" t="s">
        <v>7694</v>
      </c>
      <c r="E5223" s="4">
        <v>0.0</v>
      </c>
      <c r="F5223" s="4" t="str">
        <f>IFERROR(__xludf.DUMMYFUNCTION("GOOGLETRANSLATE(D5223)"),"普羅維登斯健康與服務：緊急服務主管 - 急診室... (#Kodiak AK) http://t.co/AQcSUSqbDy #Healthcare #Job")</f>
        <v>普羅維登斯健康與服務：緊急服務主管 - 急診室... (#Kodiak AK) http://t.co/AQcSUSqbDy #Healthcare #Job</v>
      </c>
      <c r="G5223" s="4" t="str">
        <f>IFERROR(__xludf.DUMMYFUNCTION("GOOGLETRANSLATE(B5223)"),"緊急%20服務")</f>
        <v>緊急%20服務</v>
      </c>
    </row>
    <row r="5224" ht="15.75" customHeight="1">
      <c r="A5224" s="4">
        <v>4637.0</v>
      </c>
      <c r="B5224" s="4" t="s">
        <v>2052</v>
      </c>
      <c r="C5224" s="4" t="s">
        <v>1118</v>
      </c>
      <c r="D5224" s="4" t="s">
        <v>7695</v>
      </c>
      <c r="E5224" s="4">
        <v>0.0</v>
      </c>
      <c r="F5224" s="4" t="str">
        <f>IFERROR(__xludf.DUMMYFUNCTION("GOOGLETRANSLATE(D5224)"),"想在#Tarzana CA 工作嗎？查看我們最新的職缺：http://t.co/hkyFKug5zW #Nursing #Job #Jobs #Hiring")</f>
        <v>想在#Tarzana CA 工作嗎？查看我們最新的職缺：http://t.co/hkyFKug5zW #Nursing #Job #Jobs #Hiring</v>
      </c>
      <c r="G5224" s="4" t="str">
        <f>IFERROR(__xludf.DUMMYFUNCTION("GOOGLETRANSLATE(B5224)"),"緊急%20服務")</f>
        <v>緊急%20服務</v>
      </c>
    </row>
    <row r="5225" ht="15.75" customHeight="1">
      <c r="A5225" s="4">
        <v>4639.0</v>
      </c>
      <c r="B5225" s="4" t="s">
        <v>2052</v>
      </c>
      <c r="C5225" s="4" t="s">
        <v>4636</v>
      </c>
      <c r="D5225" s="4" t="s">
        <v>7696</v>
      </c>
      <c r="E5225" s="4">
        <v>0.0</v>
      </c>
      <c r="F5225" s="4" t="str">
        <f>IFERROR(__xludf.DUMMYFUNCTION("GOOGLETRANSLATE(D5225)"),"除了壓力之外，除了歇斯底里之外，我的大腦中除了緊急服務之外，還完全關閉了所有的灰色、迷濛的冷漠。")</f>
        <v>除了壓力之外，除了歇斯底里之外，我的大腦中除了緊急服務之外，還完全關閉了所有的灰色、迷濛的冷漠。</v>
      </c>
      <c r="G5225" s="4" t="str">
        <f>IFERROR(__xludf.DUMMYFUNCTION("GOOGLETRANSLATE(B5225)"),"緊急%20服務")</f>
        <v>緊急%20服務</v>
      </c>
    </row>
    <row r="5226" ht="15.75" customHeight="1">
      <c r="A5226" s="4">
        <v>4642.0</v>
      </c>
      <c r="B5226" s="4" t="s">
        <v>2052</v>
      </c>
      <c r="C5226" s="4" t="s">
        <v>3185</v>
      </c>
      <c r="D5226" s="4" t="s">
        <v>7697</v>
      </c>
      <c r="E5226" s="4">
        <v>0.0</v>
      </c>
      <c r="F5226" s="4" t="str">
        <f>IFERROR(__xludf.DUMMYFUNCTION("GOOGLETRANSLATE(D5226)"),"@swayoung01 嗨，我以為我認出了你的微笑。我相信緊急服務部門是西蒙最好的表演藝術追隨者。")</f>
        <v>@swayoung01 嗨，我以為我認出了你的微笑。我相信緊急服務部門是西蒙最好的表演藝術追隨者。</v>
      </c>
      <c r="G5226" s="4" t="str">
        <f>IFERROR(__xludf.DUMMYFUNCTION("GOOGLETRANSLATE(B5226)"),"緊急%20服務")</f>
        <v>緊急%20服務</v>
      </c>
    </row>
    <row r="5227" ht="15.75" customHeight="1">
      <c r="A5227" s="4">
        <v>4644.0</v>
      </c>
      <c r="B5227" s="4" t="s">
        <v>2052</v>
      </c>
      <c r="C5227" s="4" t="s">
        <v>7698</v>
      </c>
      <c r="D5227" s="4" t="s">
        <v>7699</v>
      </c>
      <c r="E5227" s="4">
        <v>0.0</v>
      </c>
      <c r="F5227" s="4" t="str">
        <f>IFERROR(__xludf.DUMMYFUNCTION("GOOGLETRANSLATE(D5227)"),"我們新的兒科急診科的醫生和護士都是兒童服務專業人士！ http://t.co/k1TMLWvjmJ")</f>
        <v>我們新的兒科急診科的醫生和護士都是兒童服務專業人士！ http://t.co/k1TMLWvjmJ</v>
      </c>
      <c r="G5227" s="4" t="str">
        <f>IFERROR(__xludf.DUMMYFUNCTION("GOOGLETRANSLATE(B5227)"),"緊急%20服務")</f>
        <v>緊急%20服務</v>
      </c>
    </row>
    <row r="5228" ht="15.75" customHeight="1">
      <c r="A5228" s="4">
        <v>4646.0</v>
      </c>
      <c r="B5228" s="4" t="s">
        <v>2052</v>
      </c>
      <c r="C5228" s="4" t="s">
        <v>1118</v>
      </c>
      <c r="D5228" s="4" t="s">
        <v>7700</v>
      </c>
      <c r="E5228" s="4">
        <v>0.0</v>
      </c>
      <c r="F5228" s="4" t="str">
        <f>IFERROR(__xludf.DUMMYFUNCTION("GOOGLETRANSLATE(D5228)"),"#MissionHills CA #護理：註冊護理師 - 急診室（全職...在普羅維登斯健康與服務中心 http://t.co/Z5grLREy6V")</f>
        <v>#MissionHills CA #護理：註冊護理師 - 急診室（全職...在普羅維登斯健康與服務中心 http://t.co/Z5grLREy6V</v>
      </c>
      <c r="G5228" s="4" t="str">
        <f>IFERROR(__xludf.DUMMYFUNCTION("GOOGLETRANSLATE(B5228)"),"緊急%20服務")</f>
        <v>緊急%20服務</v>
      </c>
    </row>
    <row r="5229" ht="15.75" customHeight="1">
      <c r="A5229" s="4">
        <v>4656.0</v>
      </c>
      <c r="B5229" s="4" t="s">
        <v>2067</v>
      </c>
      <c r="D5229" s="4" t="s">
        <v>2076</v>
      </c>
      <c r="E5229" s="4">
        <v>0.0</v>
      </c>
      <c r="F5229" s="4" t="str">
        <f>IFERROR(__xludf.DUMMYFUNCTION("GOOGLETRANSLATE(D5229)"),"他來到了一片飽受部落戰爭的土地，並將其變成了和平之地，即麥地那。 #先知穆罕默德#islam")</f>
        <v>他來到了一片飽受部落戰爭的土地，並將其變成了和平之地，即麥地那。 #先知穆罕默德#islam</v>
      </c>
      <c r="G5229" s="4" t="str">
        <f>IFERROR(__xludf.DUMMYFUNCTION("GOOGLETRANSLATE(B5229)"),"被吞沒")</f>
        <v>被吞沒</v>
      </c>
    </row>
    <row r="5230" ht="15.75" customHeight="1">
      <c r="A5230" s="4">
        <v>4664.0</v>
      </c>
      <c r="B5230" s="4" t="s">
        <v>2067</v>
      </c>
      <c r="C5230" s="4" t="s">
        <v>7701</v>
      </c>
      <c r="D5230" s="4" t="s">
        <v>7702</v>
      </c>
      <c r="E5230" s="4">
        <v>0.0</v>
      </c>
      <c r="F5230" s="4" t="str">
        <f>IFERROR(__xludf.DUMMYFUNCTION("GOOGLETRANSLATE(D5230)"),"剛剛在跑步時被汽車引發的海嘯吞沒了……我以為這只會發生在電影裡？？？")</f>
        <v>剛剛在跑步時被汽車引發的海嘯吞沒了……我以為這只會發生在電影裡？？？</v>
      </c>
      <c r="G5230" s="4" t="str">
        <f>IFERROR(__xludf.DUMMYFUNCTION("GOOGLETRANSLATE(B5230)"),"被吞沒")</f>
        <v>被吞沒</v>
      </c>
    </row>
    <row r="5231" ht="15.75" customHeight="1">
      <c r="A5231" s="4">
        <v>4666.0</v>
      </c>
      <c r="B5231" s="4" t="s">
        <v>2067</v>
      </c>
      <c r="D5231" s="4" t="s">
        <v>7703</v>
      </c>
      <c r="E5231" s="4">
        <v>0.0</v>
      </c>
      <c r="F5231" s="4" t="str">
        <f>IFERROR(__xludf.DUMMYFUNCTION("GOOGLETRANSLATE(D5231)"),"@FNAF_TalkMC *站在那裡微笑著被火焰吞沒*")</f>
        <v>@FNAF_TalkMC *站在那裡微笑著被火焰吞沒*</v>
      </c>
      <c r="G5231" s="4" t="str">
        <f>IFERROR(__xludf.DUMMYFUNCTION("GOOGLETRANSLATE(B5231)"),"被吞沒")</f>
        <v>被吞沒</v>
      </c>
    </row>
    <row r="5232" ht="15.75" customHeight="1">
      <c r="A5232" s="4">
        <v>4670.0</v>
      </c>
      <c r="B5232" s="4" t="s">
        <v>2067</v>
      </c>
      <c r="C5232" s="4" t="s">
        <v>7485</v>
      </c>
      <c r="D5232" s="4" t="s">
        <v>7704</v>
      </c>
      <c r="E5232" s="4">
        <v>0.0</v>
      </c>
      <c r="F5232" s="4" t="str">
        <f>IFERROR(__xludf.DUMMYFUNCTION("GOOGLETRANSLATE(D5232)"),"您是否感到自我形象低落？參加測驗：http://t.co/ykVsttvDWo http://t.co/IFQQpUr99X")</f>
        <v>您是否感到自我形象低落？參加測驗：http://t.co/ykVsttvDWo http://t.co/IFQQpUr99X</v>
      </c>
      <c r="G5232" s="4" t="str">
        <f>IFERROR(__xludf.DUMMYFUNCTION("GOOGLETRANSLATE(B5232)"),"被吞沒")</f>
        <v>被吞沒</v>
      </c>
    </row>
    <row r="5233" ht="15.75" customHeight="1">
      <c r="A5233" s="4">
        <v>4672.0</v>
      </c>
      <c r="B5233" s="4" t="s">
        <v>2067</v>
      </c>
      <c r="D5233" s="4" t="s">
        <v>2076</v>
      </c>
      <c r="E5233" s="4">
        <v>0.0</v>
      </c>
      <c r="F5233" s="4" t="str">
        <f>IFERROR(__xludf.DUMMYFUNCTION("GOOGLETRANSLATE(D5233)"),"他來到了一片飽受部落戰爭的土地，並將其變成了和平之地，即麥地那。 #先知穆罕默德#islam")</f>
        <v>他來到了一片飽受部落戰爭的土地，並將其變成了和平之地，即麥地那。 #先知穆罕默德#islam</v>
      </c>
      <c r="G5233" s="4" t="str">
        <f>IFERROR(__xludf.DUMMYFUNCTION("GOOGLETRANSLATE(B5233)"),"被吞沒")</f>
        <v>被吞沒</v>
      </c>
    </row>
    <row r="5234" ht="15.75" customHeight="1">
      <c r="A5234" s="4">
        <v>4673.0</v>
      </c>
      <c r="B5234" s="4" t="s">
        <v>2067</v>
      </c>
      <c r="D5234" s="4" t="s">
        <v>7705</v>
      </c>
      <c r="E5234" s="4">
        <v>0.0</v>
      </c>
      <c r="F5234" s="4" t="str">
        <f>IFERROR(__xludf.DUMMYFUNCTION("GOOGLETRANSLATE(D5234)"),"麥可被那件毛衣吞沒了")</f>
        <v>麥可被那件毛衣吞沒了</v>
      </c>
      <c r="G5234" s="4" t="str">
        <f>IFERROR(__xludf.DUMMYFUNCTION("GOOGLETRANSLATE(B5234)"),"被吞沒")</f>
        <v>被吞沒</v>
      </c>
    </row>
    <row r="5235" ht="15.75" customHeight="1">
      <c r="A5235" s="4">
        <v>4674.0</v>
      </c>
      <c r="B5235" s="4" t="s">
        <v>2067</v>
      </c>
      <c r="C5235" s="4" t="s">
        <v>3923</v>
      </c>
      <c r="D5235" s="4" t="s">
        <v>7706</v>
      </c>
      <c r="E5235" s="4">
        <v>0.0</v>
      </c>
      <c r="F5235" s="4" t="str">
        <f>IFERROR(__xludf.DUMMYFUNCTION("GOOGLETRANSLATE(D5235)"),"為什麼你會陷入自我形象低落的境地？參加測驗：http://t.co/CImUbwEyiB http://t.co/9R5FstS7Bd")</f>
        <v>為什麼你會陷入自我形象低落的境地？參加測驗：http://t.co/CImUbwEyiB http://t.co/9R5FstS7Bd</v>
      </c>
      <c r="G5235" s="4" t="str">
        <f>IFERROR(__xludf.DUMMYFUNCTION("GOOGLETRANSLATE(B5235)"),"被吞沒")</f>
        <v>被吞沒</v>
      </c>
    </row>
    <row r="5236" ht="15.75" customHeight="1">
      <c r="A5236" s="4">
        <v>4677.0</v>
      </c>
      <c r="B5236" s="4" t="s">
        <v>2067</v>
      </c>
      <c r="C5236" s="4" t="s">
        <v>7707</v>
      </c>
      <c r="D5236" s="4" t="s">
        <v>7708</v>
      </c>
      <c r="E5236" s="4">
        <v>0.0</v>
      </c>
      <c r="F5236" s="4" t="str">
        <f>IFERROR(__xludf.DUMMYFUNCTION("GOOGLETRANSLATE(D5236)"),"當你的蛋糕被火焰吞噬#LiteraryCakes")</f>
        <v>當你的蛋糕被火焰吞噬#LiteraryCakes</v>
      </c>
      <c r="G5236" s="4" t="str">
        <f>IFERROR(__xludf.DUMMYFUNCTION("GOOGLETRANSLATE(B5236)"),"被吞沒")</f>
        <v>被吞沒</v>
      </c>
    </row>
    <row r="5237" ht="15.75" customHeight="1">
      <c r="A5237" s="4">
        <v>4679.0</v>
      </c>
      <c r="B5237" s="4" t="s">
        <v>2067</v>
      </c>
      <c r="C5237" s="4" t="s">
        <v>289</v>
      </c>
      <c r="D5237" s="4" t="s">
        <v>7709</v>
      </c>
      <c r="E5237" s="4">
        <v>0.0</v>
      </c>
      <c r="F5237" s="4" t="str">
        <f>IFERROR(__xludf.DUMMYFUNCTION("GOOGLETRANSLATE(D5237)"),"我為什麼決定今天運動？我的身體感覺像是被一團熾熱的蔑視所吞沒。")</f>
        <v>我為什麼決定今天運動？我的身體感覺像是被一團熾熱的蔑視所吞沒。</v>
      </c>
      <c r="G5237" s="4" t="str">
        <f>IFERROR(__xludf.DUMMYFUNCTION("GOOGLETRANSLATE(B5237)"),"被吞沒")</f>
        <v>被吞沒</v>
      </c>
    </row>
    <row r="5238" ht="15.75" customHeight="1">
      <c r="A5238" s="4">
        <v>4680.0</v>
      </c>
      <c r="B5238" s="4" t="s">
        <v>2067</v>
      </c>
      <c r="D5238" s="4" t="s">
        <v>7710</v>
      </c>
      <c r="E5238" s="4">
        <v>0.0</v>
      </c>
      <c r="F5238" s="4" t="str">
        <f>IFERROR(__xludf.DUMMYFUNCTION("GOOGLETRANSLATE(D5238)"),"您是否感到自我形象低落？參加測驗：http://t.co/YzDmouXQBO http://t.co/PeXfgawrG1")</f>
        <v>您是否感到自我形象低落？參加測驗：http://t.co/YzDmouXQBO http://t.co/PeXfgawrG1</v>
      </c>
      <c r="G5238" s="4" t="str">
        <f>IFERROR(__xludf.DUMMYFUNCTION("GOOGLETRANSLATE(B5238)"),"被吞沒")</f>
        <v>被吞沒</v>
      </c>
    </row>
    <row r="5239" ht="15.75" customHeight="1">
      <c r="A5239" s="4">
        <v>4681.0</v>
      </c>
      <c r="B5239" s="4" t="s">
        <v>2067</v>
      </c>
      <c r="C5239" s="4" t="s">
        <v>7711</v>
      </c>
      <c r="D5239" s="4" t="s">
        <v>7712</v>
      </c>
      <c r="E5239" s="4">
        <v>0.0</v>
      </c>
      <c r="F5239" s="4" t="str">
        <f>IFERROR(__xludf.DUMMYFUNCTION("GOOGLETRANSLATE(D5239)"),"人同樣無法看到他從中出現的虛無和他被吞沒的無限——布萊斯·帕斯卡")</f>
        <v>人同樣無法看到他從中出現的虛無和他被吞沒的無限——布萊斯·帕斯卡</v>
      </c>
      <c r="G5239" s="4" t="str">
        <f>IFERROR(__xludf.DUMMYFUNCTION("GOOGLETRANSLATE(B5239)"),"被吞沒")</f>
        <v>被吞沒</v>
      </c>
    </row>
    <row r="5240" ht="15.75" customHeight="1">
      <c r="A5240" s="4">
        <v>4684.0</v>
      </c>
      <c r="B5240" s="4" t="s">
        <v>2067</v>
      </c>
      <c r="D5240" s="4" t="s">
        <v>2076</v>
      </c>
      <c r="E5240" s="4">
        <v>0.0</v>
      </c>
      <c r="F5240" s="4" t="str">
        <f>IFERROR(__xludf.DUMMYFUNCTION("GOOGLETRANSLATE(D5240)"),"他來到了一片飽受部落戰爭的土地，並將其變成了和平之地，即麥地那。 #先知穆罕默德#islam")</f>
        <v>他來到了一片飽受部落戰爭的土地，並將其變成了和平之地，即麥地那。 #先知穆罕默德#islam</v>
      </c>
      <c r="G5240" s="4" t="str">
        <f>IFERROR(__xludf.DUMMYFUNCTION("GOOGLETRANSLATE(B5240)"),"被吞沒")</f>
        <v>被吞沒</v>
      </c>
    </row>
    <row r="5241" ht="15.75" customHeight="1">
      <c r="A5241" s="4">
        <v>4687.0</v>
      </c>
      <c r="B5241" s="4" t="s">
        <v>2067</v>
      </c>
      <c r="C5241" s="4" t="s">
        <v>3021</v>
      </c>
      <c r="D5241" s="4" t="s">
        <v>7713</v>
      </c>
      <c r="E5241" s="4">
        <v>0.0</v>
      </c>
      <c r="F5241" s="4" t="str">
        <f>IFERROR(__xludf.DUMMYFUNCTION("GOOGLETRANSLATE(D5241)"),"@suelinflower 無法用言語來形容身體上的痛苦當你尖叫著求親愛的生命時他們將你撕碎就像被吞沒了")</f>
        <v>@suelinflower 無法用言語來形容身體上的痛苦當你尖叫著求親愛的生命時他們將你撕碎就像被吞沒了</v>
      </c>
      <c r="G5241" s="4" t="str">
        <f>IFERROR(__xludf.DUMMYFUNCTION("GOOGLETRANSLATE(B5241)"),"被吞沒")</f>
        <v>被吞沒</v>
      </c>
    </row>
    <row r="5242" ht="15.75" customHeight="1">
      <c r="A5242" s="4">
        <v>4688.0</v>
      </c>
      <c r="B5242" s="4" t="s">
        <v>2067</v>
      </c>
      <c r="D5242" s="4" t="s">
        <v>7714</v>
      </c>
      <c r="E5242" s="4">
        <v>0.0</v>
      </c>
      <c r="F5242" s="4" t="str">
        <f>IFERROR(__xludf.DUMMYFUNCTION("GOOGLETRANSLATE(D5242)"),"@ZachZaidman @670TheScore 如果那輛高爾夫球車被火焰吞沒，那真是太可惜了。 #抵制熊")</f>
        <v>@ZachZaidman @670TheScore 如果那輛高爾夫球車被火焰吞沒，那真是太可惜了。 #抵制熊</v>
      </c>
      <c r="G5242" s="4" t="str">
        <f>IFERROR(__xludf.DUMMYFUNCTION("GOOGLETRANSLATE(B5242)"),"被吞沒")</f>
        <v>被吞沒</v>
      </c>
    </row>
    <row r="5243" ht="15.75" customHeight="1">
      <c r="A5243" s="4">
        <v>4690.0</v>
      </c>
      <c r="B5243" s="4" t="s">
        <v>2067</v>
      </c>
      <c r="C5243" s="4" t="s">
        <v>7715</v>
      </c>
      <c r="D5243" s="4" t="s">
        <v>7716</v>
      </c>
      <c r="E5243" s="4">
        <v>0.0</v>
      </c>
      <c r="F5243" s="4" t="str">
        <f>IFERROR(__xludf.DUMMYFUNCTION("GOOGLETRANSLATE(D5243)"),"為什麼你會陷入自我形象低落的境地？參加測驗：http://t.co/I9dSPDKrUK http://t.co/NEp5aZwKNA")</f>
        <v>為什麼你會陷入自我形象低落的境地？參加測驗：http://t.co/I9dSPDKrUK http://t.co/NEp5aZwKNA</v>
      </c>
      <c r="G5243" s="4" t="str">
        <f>IFERROR(__xludf.DUMMYFUNCTION("GOOGLETRANSLATE(B5243)"),"被吞沒")</f>
        <v>被吞沒</v>
      </c>
    </row>
    <row r="5244" ht="15.75" customHeight="1">
      <c r="A5244" s="4">
        <v>4691.0</v>
      </c>
      <c r="B5244" s="4" t="s">
        <v>2067</v>
      </c>
      <c r="D5244" s="4" t="s">
        <v>2076</v>
      </c>
      <c r="E5244" s="4">
        <v>0.0</v>
      </c>
      <c r="F5244" s="4" t="str">
        <f>IFERROR(__xludf.DUMMYFUNCTION("GOOGLETRANSLATE(D5244)"),"他來到了一片飽受部落戰爭的土地，並將其變成了和平之地，即麥地那。 #先知穆罕默德#islam")</f>
        <v>他來到了一片飽受部落戰爭的土地，並將其變成了和平之地，即麥地那。 #先知穆罕默德#islam</v>
      </c>
      <c r="G5244" s="4" t="str">
        <f>IFERROR(__xludf.DUMMYFUNCTION("GOOGLETRANSLATE(B5244)"),"被吞沒")</f>
        <v>被吞沒</v>
      </c>
    </row>
    <row r="5245" ht="15.75" customHeight="1">
      <c r="A5245" s="4">
        <v>4695.0</v>
      </c>
      <c r="B5245" s="4" t="s">
        <v>2067</v>
      </c>
      <c r="C5245" s="4" t="s">
        <v>7485</v>
      </c>
      <c r="D5245" s="4" t="s">
        <v>7717</v>
      </c>
      <c r="E5245" s="4">
        <v>0.0</v>
      </c>
      <c r="F5245" s="4" t="str">
        <f>IFERROR(__xludf.DUMMYFUNCTION("GOOGLETRANSLATE(D5245)"),"您是否感到自我形象低落？參加測驗：http://t.co/WPlrhBFHeE http://t.co/eelEx4SSVF")</f>
        <v>您是否感到自我形象低落？參加測驗：http://t.co/WPlrhBFHeE http://t.co/eelEx4SSVF</v>
      </c>
      <c r="G5245" s="4" t="str">
        <f>IFERROR(__xludf.DUMMYFUNCTION("GOOGLETRANSLATE(B5245)"),"被吞沒")</f>
        <v>被吞沒</v>
      </c>
    </row>
    <row r="5246" ht="15.75" customHeight="1">
      <c r="A5246" s="4">
        <v>4698.0</v>
      </c>
      <c r="B5246" s="4" t="s">
        <v>2092</v>
      </c>
      <c r="C5246" s="4" t="s">
        <v>7718</v>
      </c>
      <c r="D5246" s="4" t="s">
        <v>7719</v>
      </c>
      <c r="E5246" s="4">
        <v>0.0</v>
      </c>
      <c r="F5246" s="4" t="str">
        <f>IFERROR(__xludf.DUMMYFUNCTION("GOOGLETRANSLATE(D5246)"),"@carneross 確實是一個非常微不足道的想法，可以將其置於新的後資本主義時代的中心")</f>
        <v>@carneross 確實是一個非常微不足道的想法，可以將其置於新的後資本主義時代的中心</v>
      </c>
      <c r="G5246" s="4" t="str">
        <f>IFERROR(__xludf.DUMMYFUNCTION("GOOGLETRANSLATE(B5246)"),"震央")</f>
        <v>震央</v>
      </c>
    </row>
    <row r="5247" ht="15.75" customHeight="1">
      <c r="A5247" s="4">
        <v>4699.0</v>
      </c>
      <c r="B5247" s="4" t="s">
        <v>2092</v>
      </c>
      <c r="D5247" s="4" t="s">
        <v>7720</v>
      </c>
      <c r="E5247" s="4">
        <v>0.0</v>
      </c>
      <c r="F5247" s="4" t="str">
        <f>IFERROR(__xludf.DUMMYFUNCTION("GOOGLETRANSLATE(D5247)"),"[問題]還有人遇到Epicentre中「7」圈的問題嗎？ http://t.co/dsPWS6hJ8w")</f>
        <v>[問題]還有人遇到Epicentre中「7」圈的問題嗎？ http://t.co/dsPWS6hJ8w</v>
      </c>
      <c r="G5247" s="4" t="str">
        <f>IFERROR(__xludf.DUMMYFUNCTION("GOOGLETRANSLATE(B5247)"),"震央")</f>
        <v>震央</v>
      </c>
    </row>
    <row r="5248" ht="15.75" customHeight="1">
      <c r="A5248" s="4">
        <v>4700.0</v>
      </c>
      <c r="B5248" s="4" t="s">
        <v>2092</v>
      </c>
      <c r="C5248" s="4" t="s">
        <v>1821</v>
      </c>
      <c r="D5248" s="4" t="s">
        <v>7721</v>
      </c>
      <c r="E5248" s="4">
        <v>0.0</v>
      </c>
      <c r="F5248" s="4" t="str">
        <f>IFERROR(__xludf.DUMMYFUNCTION("GOOGLETRANSLATE(D5248)"),"明天，用飲料和啤酒開始您的週末。娛樂@AliveAfter5 http://t.co/sC4TWJkxr1 http://t.co/yN6DuOtimr")</f>
        <v>明天，用飲料和啤酒開始您的週末。娛樂@AliveAfter5 http://t.co/sC4TWJkxr1 http://t.co/yN6DuOtimr</v>
      </c>
      <c r="G5248" s="4" t="str">
        <f>IFERROR(__xludf.DUMMYFUNCTION("GOOGLETRANSLATE(B5248)"),"震央")</f>
        <v>震央</v>
      </c>
    </row>
    <row r="5249" ht="15.75" customHeight="1">
      <c r="A5249" s="4">
        <v>4702.0</v>
      </c>
      <c r="B5249" s="4" t="s">
        <v>2092</v>
      </c>
      <c r="C5249" s="4" t="s">
        <v>3915</v>
      </c>
      <c r="D5249" s="4" t="s">
        <v>7722</v>
      </c>
      <c r="E5249" s="4">
        <v>0.0</v>
      </c>
      <c r="F5249" s="4" t="str">
        <f>IFERROR(__xludf.DUMMYFUNCTION("GOOGLETRANSLATE(D5249)"),"@elisagxrcia 我每次去震央都會想起這個哈哈")</f>
        <v>@elisagxrcia 我每次去震央都會想起這個哈哈</v>
      </c>
      <c r="G5249" s="4" t="str">
        <f>IFERROR(__xludf.DUMMYFUNCTION("GOOGLETRANSLATE(B5249)"),"震央")</f>
        <v>震央</v>
      </c>
    </row>
    <row r="5250" ht="15.75" customHeight="1">
      <c r="A5250" s="4">
        <v>4703.0</v>
      </c>
      <c r="B5250" s="4" t="s">
        <v>2092</v>
      </c>
      <c r="C5250" s="4" t="s">
        <v>1821</v>
      </c>
      <c r="D5250" s="4" t="s">
        <v>7723</v>
      </c>
      <c r="E5250" s="4">
        <v>0.0</v>
      </c>
      <c r="F5250" s="4" t="str">
        <f>IFERROR(__xludf.DUMMYFUNCTION("GOOGLETRANSLATE(D5250)"),"這個星期五！！！ Club Vault 3 樓震央 http://t.co/7nU7pRxeul")</f>
        <v>這個星期五！！！ Club Vault 3 樓震央 http://t.co/7nU7pRxeul</v>
      </c>
      <c r="G5250" s="4" t="str">
        <f>IFERROR(__xludf.DUMMYFUNCTION("GOOGLETRANSLATE(B5250)"),"震央")</f>
        <v>震央</v>
      </c>
    </row>
    <row r="5251" ht="15.75" customHeight="1">
      <c r="A5251" s="4">
        <v>4704.0</v>
      </c>
      <c r="B5251" s="4" t="s">
        <v>2092</v>
      </c>
      <c r="C5251" s="4" t="s">
        <v>1337</v>
      </c>
      <c r="D5251" s="4" t="s">
        <v>7724</v>
      </c>
      <c r="E5251" s="4">
        <v>0.0</v>
      </c>
      <c r="F5251" s="4" t="str">
        <f>IFERROR(__xludf.DUMMYFUNCTION("GOOGLETRANSLATE(D5251)"),"#坦尚尼亞大象數量在五年內下降了 60% 人口普查 http://t.co/YxtZbTVMhm http://t.co/7jGgqwbv6S")</f>
        <v>#坦尚尼亞大象數量在五年內下降了 60% 人口普查 http://t.co/YxtZbTVMhm http://t.co/7jGgqwbv6S</v>
      </c>
      <c r="G5251" s="4" t="str">
        <f>IFERROR(__xludf.DUMMYFUNCTION("GOOGLETRANSLATE(B5251)"),"震央")</f>
        <v>震央</v>
      </c>
    </row>
    <row r="5252" ht="15.75" customHeight="1">
      <c r="A5252" s="4">
        <v>4705.0</v>
      </c>
      <c r="B5252" s="4" t="s">
        <v>2092</v>
      </c>
      <c r="C5252" s="4" t="s">
        <v>7725</v>
      </c>
      <c r="D5252" s="4" t="s">
        <v>7726</v>
      </c>
      <c r="E5252" s="4">
        <v>0.0</v>
      </c>
      <c r="F5252" s="4" t="str">
        <f>IFERROR(__xludf.DUMMYFUNCTION("GOOGLETRANSLATE(D5252)"),"我需要一個位置w|一些特價飲品。我有點厭倦了震央")</f>
        <v>我需要一個位置w|一些特價飲品。我有點厭倦了震央</v>
      </c>
      <c r="G5252" s="4" t="str">
        <f>IFERROR(__xludf.DUMMYFUNCTION("GOOGLETRANSLATE(B5252)"),"震央")</f>
        <v>震央</v>
      </c>
    </row>
    <row r="5253" ht="15.75" customHeight="1">
      <c r="A5253" s="4">
        <v>4707.0</v>
      </c>
      <c r="B5253" s="4" t="s">
        <v>2092</v>
      </c>
      <c r="C5253" s="4" t="s">
        <v>3915</v>
      </c>
      <c r="D5253" s="4" t="s">
        <v>7727</v>
      </c>
      <c r="E5253" s="4">
        <v>0.0</v>
      </c>
      <c r="F5253" s="4" t="str">
        <f>IFERROR(__xludf.DUMMYFUNCTION("GOOGLETRANSLATE(D5253)"),"9 月 15 日震央地獄的失敗者 yeaahh")</f>
        <v>9 月 15 日震央地獄的失敗者 yeaahh</v>
      </c>
      <c r="G5253" s="4" t="str">
        <f>IFERROR(__xludf.DUMMYFUNCTION("GOOGLETRANSLATE(B5253)"),"震央")</f>
        <v>震央</v>
      </c>
    </row>
    <row r="5254" ht="15.75" customHeight="1">
      <c r="A5254" s="4">
        <v>4708.0</v>
      </c>
      <c r="B5254" s="4" t="s">
        <v>2092</v>
      </c>
      <c r="D5254" s="4" t="s">
        <v>7728</v>
      </c>
      <c r="E5254" s="4">
        <v>0.0</v>
      </c>
      <c r="F5254" s="4" t="str">
        <f>IFERROR(__xludf.DUMMYFUNCTION("GOOGLETRANSLATE(D5254)"),"一個偏僻的小工作室如何成為溝通的中心。 http://t.co/iCRgseAGYA http://t.co/KpvYmHM2uB")</f>
        <v>一個偏僻的小工作室如何成為溝通的中心。 http://t.co/iCRgseAGYA http://t.co/KpvYmHM2uB</v>
      </c>
      <c r="G5254" s="4" t="str">
        <f>IFERROR(__xludf.DUMMYFUNCTION("GOOGLETRANSLATE(B5254)"),"震央")</f>
        <v>震央</v>
      </c>
    </row>
    <row r="5255" ht="15.75" customHeight="1">
      <c r="A5255" s="4">
        <v>4709.0</v>
      </c>
      <c r="B5255" s="4" t="s">
        <v>2092</v>
      </c>
      <c r="D5255" s="4" t="s">
        <v>7729</v>
      </c>
      <c r="E5255" s="4">
        <v>0.0</v>
      </c>
      <c r="F5255" s="4" t="str">
        <f>IFERROR(__xludf.DUMMYFUNCTION("GOOGLETRANSLATE(D5255)"),"Epicenter - Cydia Tweak - https://t.co/WKmfDig3nT |感謝@phillipten。")</f>
        <v>Epicenter - Cydia Tweak - https://t.co/WKmfDig3nT |感謝@phillipten。</v>
      </c>
      <c r="G5255" s="4" t="str">
        <f>IFERROR(__xludf.DUMMYFUNCTION("GOOGLETRANSLATE(B5255)"),"震央")</f>
        <v>震央</v>
      </c>
    </row>
    <row r="5256" ht="15.75" customHeight="1">
      <c r="A5256" s="4">
        <v>4710.0</v>
      </c>
      <c r="B5256" s="4" t="s">
        <v>2092</v>
      </c>
      <c r="C5256" s="4" t="s">
        <v>7730</v>
      </c>
      <c r="D5256" s="4" t="s">
        <v>7731</v>
      </c>
      <c r="E5256" s="4">
        <v>0.0</v>
      </c>
      <c r="F5256" s="4" t="str">
        <f>IFERROR(__xludf.DUMMYFUNCTION("GOOGLETRANSLATE(D5256)"),"[問題]還有人遇到Epicentre中「7」圈的問題嗎？通過/r/jailbreak http://t.co/48TPnmbJVG")</f>
        <v>[問題]還有人遇到Epicentre中「7」圈的問題嗎？通過/r/jailbreak http://t.co/48TPnmbJVG</v>
      </c>
      <c r="G5256" s="4" t="str">
        <f>IFERROR(__xludf.DUMMYFUNCTION("GOOGLETRANSLATE(B5256)"),"震央")</f>
        <v>震央</v>
      </c>
    </row>
    <row r="5257" ht="15.75" customHeight="1">
      <c r="A5257" s="4">
        <v>4715.0</v>
      </c>
      <c r="B5257" s="4" t="s">
        <v>2095</v>
      </c>
      <c r="C5257" s="4" t="s">
        <v>1616</v>
      </c>
      <c r="D5257" s="4" t="s">
        <v>7732</v>
      </c>
      <c r="E5257" s="4">
        <v>0.0</v>
      </c>
      <c r="F5257" s="4" t="str">
        <f>IFERROR(__xludf.DUMMYFUNCTION("GOOGLETRANSLATE(D5257)"),"「所以再次確保疏散經過防火門。任何問題？是的？'
“為什麼我們要打開火門！！！？？！？”
我...我..我不能")</f>
        <v>「所以再次確保疏散經過防火門。任何問題？是的？'
“為什麼我們要打開火門！！！？？！？”
我...我..我不能</v>
      </c>
      <c r="G5257" s="4" t="str">
        <f>IFERROR(__xludf.DUMMYFUNCTION("GOOGLETRANSLATE(B5257)"),"撤離")</f>
        <v>撤離</v>
      </c>
    </row>
    <row r="5258" ht="15.75" customHeight="1">
      <c r="A5258" s="4">
        <v>4722.0</v>
      </c>
      <c r="B5258" s="4" t="s">
        <v>2095</v>
      </c>
      <c r="C5258" s="4" t="s">
        <v>7733</v>
      </c>
      <c r="D5258" s="4" t="s">
        <v>7734</v>
      </c>
      <c r="E5258" s="4">
        <v>0.0</v>
      </c>
      <c r="F5258" s="4" t="str">
        <f>IFERROR(__xludf.DUMMYFUNCTION("GOOGLETRANSLATE(D5258)"),"好吧，我需要你們所有人撤離房子，這樣我才能寫這首詩")</f>
        <v>好吧，我需要你們所有人撤離房子，這樣我才能寫這首詩</v>
      </c>
      <c r="G5258" s="4" t="str">
        <f>IFERROR(__xludf.DUMMYFUNCTION("GOOGLETRANSLATE(B5258)"),"撤離")</f>
        <v>撤離</v>
      </c>
    </row>
    <row r="5259" ht="15.75" customHeight="1">
      <c r="A5259" s="4">
        <v>4724.0</v>
      </c>
      <c r="B5259" s="4" t="s">
        <v>2095</v>
      </c>
      <c r="C5259" s="4" t="s">
        <v>7735</v>
      </c>
      <c r="D5259" s="4" t="s">
        <v>7736</v>
      </c>
      <c r="E5259" s="4">
        <v>0.0</v>
      </c>
      <c r="F5259" s="4" t="str">
        <f>IFERROR(__xludf.DUMMYFUNCTION("GOOGLETRANSLATE(D5259)"),"Cascada - 疏散舞池（官方影片）https://t.co/OHCx3y8l4s 來自 @YouTube")</f>
        <v>Cascada - 疏散舞池（官方影片）https://t.co/OHCx3y8l4s 來自 @YouTube</v>
      </c>
      <c r="G5259" s="4" t="str">
        <f>IFERROR(__xludf.DUMMYFUNCTION("GOOGLETRANSLATE(B5259)"),"撤離")</f>
        <v>撤離</v>
      </c>
    </row>
    <row r="5260" ht="15.75" customHeight="1">
      <c r="A5260" s="4">
        <v>4726.0</v>
      </c>
      <c r="B5260" s="4" t="s">
        <v>2095</v>
      </c>
      <c r="D5260" s="4" t="s">
        <v>7737</v>
      </c>
      <c r="E5260" s="4">
        <v>0.0</v>
      </c>
      <c r="F5260" s="4" t="str">
        <f>IFERROR(__xludf.DUMMYFUNCTION("GOOGLETRANSLATE(D5260)"),"FWD：我真的從床上跳起來，穿上沙灘服，跑出了家門，就像我必須撤離以應對世界末日一樣")</f>
        <v>FWD：我真的從床上跳起來，穿上沙灘服，跑出了家門，就像我必須撤離以應對世界末日一樣</v>
      </c>
      <c r="G5260" s="4" t="str">
        <f>IFERROR(__xludf.DUMMYFUNCTION("GOOGLETRANSLATE(B5260)"),"撤離")</f>
        <v>撤離</v>
      </c>
    </row>
    <row r="5261" ht="15.75" customHeight="1">
      <c r="A5261" s="4">
        <v>4729.0</v>
      </c>
      <c r="B5261" s="4" t="s">
        <v>2095</v>
      </c>
      <c r="D5261" s="4" t="s">
        <v>7738</v>
      </c>
      <c r="E5261" s="4">
        <v>0.0</v>
      </c>
      <c r="F5261" s="4" t="str">
        <f>IFERROR(__xludf.DUMMYFUNCTION("GOOGLETRANSLATE(D5261)"),"請大家都撤離斯托克韋爾")</f>
        <v>請大家都撤離斯托克韋爾</v>
      </c>
      <c r="G5261" s="4" t="str">
        <f>IFERROR(__xludf.DUMMYFUNCTION("GOOGLETRANSLATE(B5261)"),"撤離")</f>
        <v>撤離</v>
      </c>
    </row>
    <row r="5262" ht="15.75" customHeight="1">
      <c r="A5262" s="4">
        <v>4730.0</v>
      </c>
      <c r="B5262" s="4" t="s">
        <v>2095</v>
      </c>
      <c r="D5262" s="4" t="s">
        <v>7739</v>
      </c>
      <c r="E5262" s="4">
        <v>0.0</v>
      </c>
      <c r="F5262" s="4" t="str">
        <f>IFERROR(__xludf.DUMMYFUNCTION("GOOGLETRANSLATE(D5262)"),"取消他媽的表演。疏散大都會人壽 https://t.co/SkQ8oUcM3R")</f>
        <v>取消他媽的表演。疏散大都會人壽 https://t.co/SkQ8oUcM3R</v>
      </c>
      <c r="G5262" s="4" t="str">
        <f>IFERROR(__xludf.DUMMYFUNCTION("GOOGLETRANSLATE(B5262)"),"撤離")</f>
        <v>撤離</v>
      </c>
    </row>
    <row r="5263" ht="15.75" customHeight="1">
      <c r="A5263" s="4">
        <v>4734.0</v>
      </c>
      <c r="B5263" s="4" t="s">
        <v>2095</v>
      </c>
      <c r="C5263" s="4" t="s">
        <v>7740</v>
      </c>
      <c r="D5263" s="4" t="s">
        <v>7741</v>
      </c>
      <c r="E5263" s="4">
        <v>0.0</v>
      </c>
      <c r="F5263" s="4" t="str">
        <f>IFERROR(__xludf.DUMMYFUNCTION("GOOGLETRANSLATE(D5263)"),"傑伊和亞歷克西斯分手了，你所有的信仰和目標都消失了，人們…撤離吧")</f>
        <v>傑伊和亞歷克西斯分手了，你所有的信仰和目標都消失了，人們…撤離吧</v>
      </c>
      <c r="G5263" s="4" t="str">
        <f>IFERROR(__xludf.DUMMYFUNCTION("GOOGLETRANSLATE(B5263)"),"撤離")</f>
        <v>撤離</v>
      </c>
    </row>
    <row r="5264" ht="15.75" customHeight="1">
      <c r="A5264" s="4">
        <v>4737.0</v>
      </c>
      <c r="B5264" s="4" t="s">
        <v>2095</v>
      </c>
      <c r="D5264" s="4" t="s">
        <v>7742</v>
      </c>
      <c r="E5264" s="4">
        <v>0.0</v>
      </c>
      <c r="F5264" s="4" t="str">
        <f>IFERROR(__xludf.DUMMYFUNCTION("GOOGLETRANSLATE(D5264)"),"路易斯很傷心。現在取消演出。每個人都離開。撤離.這不能再繼續下去了。")</f>
        <v>路易斯很傷心。現在取消演出。每個人都離開。撤離.這不能再繼續下去了。</v>
      </c>
      <c r="G5264" s="4" t="str">
        <f>IFERROR(__xludf.DUMMYFUNCTION("GOOGLETRANSLATE(B5264)"),"撤離")</f>
        <v>撤離</v>
      </c>
    </row>
    <row r="5265" ht="15.75" customHeight="1">
      <c r="A5265" s="4">
        <v>4738.0</v>
      </c>
      <c r="B5265" s="4" t="s">
        <v>2095</v>
      </c>
      <c r="C5265" s="4" t="s">
        <v>7743</v>
      </c>
      <c r="D5265" s="4" t="s">
        <v>7744</v>
      </c>
      <c r="E5265" s="4">
        <v>0.0</v>
      </c>
      <c r="F5265" s="4" t="str">
        <f>IFERROR(__xludf.DUMMYFUNCTION("GOOGLETRANSLATE(D5265)"),"不，不要疏散學生，直接把他們丟進地牢裡。那是愚蠢的。")</f>
        <v>不，不要疏散學生，直接把他們丟進地牢裡。那是愚蠢的。</v>
      </c>
      <c r="G5265" s="4" t="str">
        <f>IFERROR(__xludf.DUMMYFUNCTION("GOOGLETRANSLATE(B5265)"),"撤離")</f>
        <v>撤離</v>
      </c>
    </row>
    <row r="5266" ht="15.75" customHeight="1">
      <c r="A5266" s="4">
        <v>4744.0</v>
      </c>
      <c r="B5266" s="4" t="s">
        <v>2095</v>
      </c>
      <c r="D5266" s="4" t="s">
        <v>7745</v>
      </c>
      <c r="E5266" s="4">
        <v>0.0</v>
      </c>
      <c r="F5266" s="4" t="str">
        <f>IFERROR(__xludf.DUMMYFUNCTION("GOOGLETRANSLATE(D5266)"),"我工作的暑期計畫去了城市游泳池，我們不得不撤離，因為我的一個孩子留下了一個驚喜。 @jimmyfallon #WorstSummerJob")</f>
        <v>我工作的暑期計畫去了城市游泳池，我們不得不撤離，因為我的一個孩子留下了一個驚喜。 @jimmyfallon #WorstSummerJob</v>
      </c>
      <c r="G5266" s="4" t="str">
        <f>IFERROR(__xludf.DUMMYFUNCTION("GOOGLETRANSLATE(B5266)"),"撤離")</f>
        <v>撤離</v>
      </c>
    </row>
    <row r="5267" ht="15.75" customHeight="1">
      <c r="A5267" s="4">
        <v>4748.0</v>
      </c>
      <c r="B5267" s="4" t="s">
        <v>2095</v>
      </c>
      <c r="C5267" s="4" t="s">
        <v>7746</v>
      </c>
      <c r="D5267" s="4" t="s">
        <v>7747</v>
      </c>
      <c r="E5267" s="4">
        <v>0.0</v>
      </c>
      <c r="F5267" s="4" t="str">
        <f>IFERROR(__xludf.DUMMYFUNCTION("GOOGLETRANSLATE(D5267)"),"30秒讓我的母狗撤離??????")</f>
        <v>30秒讓我的母狗撤離??????</v>
      </c>
      <c r="G5267" s="4" t="str">
        <f>IFERROR(__xludf.DUMMYFUNCTION("GOOGLETRANSLATE(B5267)"),"撤離")</f>
        <v>撤離</v>
      </c>
    </row>
    <row r="5268" ht="15.75" customHeight="1">
      <c r="A5268" s="4">
        <v>4752.0</v>
      </c>
      <c r="B5268" s="4" t="s">
        <v>2095</v>
      </c>
      <c r="D5268" s="4" t="s">
        <v>7748</v>
      </c>
      <c r="E5268" s="4">
        <v>0.0</v>
      </c>
      <c r="F5268" s="4" t="str">
        <f>IFERROR(__xludf.DUMMYFUNCTION("GOOGLETRANSLATE(D5268)"),"迅速關閉演出，撤下舞台，疏散現場所有人，路易斯很不安")</f>
        <v>迅速關閉演出，撤下舞台，疏散現場所有人，路易斯很不安</v>
      </c>
      <c r="G5268" s="4" t="str">
        <f>IFERROR(__xludf.DUMMYFUNCTION("GOOGLETRANSLATE(B5268)"),"撤離")</f>
        <v>撤離</v>
      </c>
    </row>
    <row r="5269" ht="15.75" customHeight="1">
      <c r="A5269" s="4">
        <v>4754.0</v>
      </c>
      <c r="B5269" s="4" t="s">
        <v>2095</v>
      </c>
      <c r="C5269" s="4" t="s">
        <v>7749</v>
      </c>
      <c r="D5269" s="4" t="s">
        <v>7750</v>
      </c>
      <c r="E5269" s="4">
        <v>0.0</v>
      </c>
      <c r="F5269" s="4" t="str">
        <f>IFERROR(__xludf.DUMMYFUNCTION("GOOGLETRANSLATE(D5269)"),"從你的生活撤離。")</f>
        <v>從你的生活撤離。</v>
      </c>
      <c r="G5269" s="4" t="str">
        <f>IFERROR(__xludf.DUMMYFUNCTION("GOOGLETRANSLATE(B5269)"),"撤離")</f>
        <v>撤離</v>
      </c>
    </row>
    <row r="5270" ht="15.75" customHeight="1">
      <c r="A5270" s="4">
        <v>4759.0</v>
      </c>
      <c r="B5270" s="4" t="s">
        <v>2095</v>
      </c>
      <c r="C5270" s="4" t="s">
        <v>3292</v>
      </c>
      <c r="D5270" s="4" t="s">
        <v>7751</v>
      </c>
      <c r="E5270" s="4">
        <v>0.0</v>
      </c>
      <c r="F5270" s="4" t="str">
        <f>IFERROR(__xludf.DUMMYFUNCTION("GOOGLETRANSLATE(D5270)"),"哇。 #FIFA16 在職業生涯模式中有季前錦標賽。該死的，撤離大樓#whocares")</f>
        <v>哇。 #FIFA16 在職業生涯模式中有季前錦標賽。該死的，撤離大樓#whocares</v>
      </c>
      <c r="G5270" s="4" t="str">
        <f>IFERROR(__xludf.DUMMYFUNCTION("GOOGLETRANSLATE(B5270)"),"撤離")</f>
        <v>撤離</v>
      </c>
    </row>
    <row r="5271" ht="15.75" customHeight="1">
      <c r="A5271" s="4">
        <v>4760.0</v>
      </c>
      <c r="B5271" s="4" t="s">
        <v>2095</v>
      </c>
      <c r="D5271" s="4" t="s">
        <v>7752</v>
      </c>
      <c r="E5271" s="4">
        <v>0.0</v>
      </c>
      <c r="F5271" s="4" t="str">
        <f>IFERROR(__xludf.DUMMYFUNCTION("GOOGLETRANSLATE(D5271)"),"也許犯罪的兇殘#nazis應該收拾行李並離開。從倫敦和倫敦撤離全部#UK？ #TubeStrike 幹得好！")</f>
        <v>也許犯罪的兇殘#nazis應該收拾行李並離開。從倫敦和倫敦撤離全部#UK？ #TubeStrike 幹得好！</v>
      </c>
      <c r="G5271" s="4" t="str">
        <f>IFERROR(__xludf.DUMMYFUNCTION("GOOGLETRANSLATE(B5271)"),"撤離")</f>
        <v>撤離</v>
      </c>
    </row>
    <row r="5272" ht="15.75" customHeight="1">
      <c r="A5272" s="4">
        <v>4782.0</v>
      </c>
      <c r="B5272" s="4" t="s">
        <v>2136</v>
      </c>
      <c r="C5272" s="4" t="s">
        <v>7753</v>
      </c>
      <c r="D5272" s="4" t="s">
        <v>7754</v>
      </c>
      <c r="E5272" s="4">
        <v>0.0</v>
      </c>
      <c r="F5272" s="4" t="str">
        <f>IFERROR(__xludf.DUMMYFUNCTION("GOOGLETRANSLATE(D5272)"),"@missleylaha 上次倫敦演出後我沒能買一個，因為火警警報響了，每個人都必須疏散。哈哈哈哈")</f>
        <v>@missleylaha 上次倫敦演出後我沒能買一個，因為火警警報響了，每個人都必須疏散。哈哈哈哈</v>
      </c>
      <c r="G5272" s="4" t="str">
        <f>IFERROR(__xludf.DUMMYFUNCTION("GOOGLETRANSLATE(B5272)"),"疏散")</f>
        <v>疏散</v>
      </c>
    </row>
    <row r="5273" ht="15.75" customHeight="1">
      <c r="A5273" s="4">
        <v>4787.0</v>
      </c>
      <c r="B5273" s="4" t="s">
        <v>2136</v>
      </c>
      <c r="C5273" s="4" t="s">
        <v>7755</v>
      </c>
      <c r="D5273" s="4" t="s">
        <v>7756</v>
      </c>
      <c r="E5273" s="4">
        <v>0.0</v>
      </c>
      <c r="F5273" s="4" t="str">
        <f>IFERROR(__xludf.DUMMYFUNCTION("GOOGLETRANSLATE(D5273)"),"Odeon 電影院因誤報火警而疏散，特拉福德中心影迷感到憤怒 http://t.co/6GLDwx71DA")</f>
        <v>Odeon 電影院因誤報火警而疏散，特拉福德中心影迷感到憤怒 http://t.co/6GLDwx71DA</v>
      </c>
      <c r="G5273" s="4" t="str">
        <f>IFERROR(__xludf.DUMMYFUNCTION("GOOGLETRANSLATE(B5273)"),"疏散")</f>
        <v>疏散</v>
      </c>
    </row>
    <row r="5274" ht="15.75" customHeight="1">
      <c r="A5274" s="4">
        <v>4798.0</v>
      </c>
      <c r="B5274" s="4" t="s">
        <v>2136</v>
      </c>
      <c r="D5274" s="4" t="s">
        <v>7757</v>
      </c>
      <c r="E5274" s="4">
        <v>0.0</v>
      </c>
      <c r="F5274" s="4" t="str">
        <f>IFERROR(__xludf.DUMMYFUNCTION("GOOGLETRANSLATE(D5274)"),"Ahrar Al Sham：在我們與伊朗就扎巴達尼進行談判時，他們希望所有遜尼派人士從扎巴達尼撤離！")</f>
        <v>Ahrar Al Sham：在我們與伊朗就扎巴達尼進行談判時，他們希望所有遜尼派人士從扎巴達尼撤離！</v>
      </c>
      <c r="G5274" s="4" t="str">
        <f>IFERROR(__xludf.DUMMYFUNCTION("GOOGLETRANSLATE(B5274)"),"疏散")</f>
        <v>疏散</v>
      </c>
    </row>
    <row r="5275" ht="15.75" customHeight="1">
      <c r="A5275" s="4">
        <v>4808.0</v>
      </c>
      <c r="B5275" s="4" t="s">
        <v>2136</v>
      </c>
      <c r="D5275" s="4" t="s">
        <v>7758</v>
      </c>
      <c r="E5275" s="4">
        <v>0.0</v>
      </c>
      <c r="F5275" s="4" t="str">
        <f>IFERROR(__xludf.DUMMYFUNCTION("GOOGLETRANSLATE(D5275)"),"《腦筋急轉彎》30 分鐘後我就從電影院撤離了
殺了我算了")</f>
        <v>《腦筋急轉彎》30 分鐘後我就從電影院撤離了
殺了我算了</v>
      </c>
      <c r="G5275" s="4" t="str">
        <f>IFERROR(__xludf.DUMMYFUNCTION("GOOGLETRANSLATE(B5275)"),"疏散")</f>
        <v>疏散</v>
      </c>
    </row>
    <row r="5276" ht="15.75" customHeight="1">
      <c r="A5276" s="4">
        <v>4814.0</v>
      </c>
      <c r="B5276" s="4" t="s">
        <v>2188</v>
      </c>
      <c r="D5276" s="4" t="s">
        <v>7759</v>
      </c>
      <c r="E5276" s="4">
        <v>0.0</v>
      </c>
      <c r="F5276" s="4" t="str">
        <f>IFERROR(__xludf.DUMMYFUNCTION("GOOGLETRANSLATE(D5276)"),"FAAN 透過 @todayng 命令疏散 MMA 廢棄飛機 http://t.co/dEvYbnVXGQ")</f>
        <v>FAAN 透過 @todayng 命令疏散 MMA 廢棄飛機 http://t.co/dEvYbnVXGQ</v>
      </c>
      <c r="G5276" s="4" t="str">
        <f>IFERROR(__xludf.DUMMYFUNCTION("GOOGLETRANSLATE(B5276)"),"疏散")</f>
        <v>疏散</v>
      </c>
    </row>
    <row r="5277" ht="15.75" customHeight="1">
      <c r="A5277" s="4">
        <v>4835.0</v>
      </c>
      <c r="B5277" s="4" t="s">
        <v>2188</v>
      </c>
      <c r="C5277" s="4" t="s">
        <v>7760</v>
      </c>
      <c r="D5277" s="4" t="s">
        <v>7761</v>
      </c>
      <c r="E5277" s="4">
        <v>0.0</v>
      </c>
      <c r="F5277" s="4" t="str">
        <f>IFERROR(__xludf.DUMMYFUNCTION("GOOGLETRANSLATE(D5277)"),"@Eric_Bulak @jaclynsonne @_OliviaAnn_ 我在直播中尋找你們。我猜你因疏散而損失了前線費用？")</f>
        <v>@Eric_Bulak @jaclynsonne @_OliviaAnn_ 我在直播中尋找你們。我猜你因疏散而損失了前線費用？</v>
      </c>
      <c r="G5277" s="4" t="str">
        <f>IFERROR(__xludf.DUMMYFUNCTION("GOOGLETRANSLATE(B5277)"),"疏散")</f>
        <v>疏散</v>
      </c>
    </row>
    <row r="5278" ht="15.75" customHeight="1">
      <c r="A5278" s="4">
        <v>4844.0</v>
      </c>
      <c r="B5278" s="4" t="s">
        <v>2188</v>
      </c>
      <c r="C5278" s="4" t="s">
        <v>7642</v>
      </c>
      <c r="D5278" s="4" t="s">
        <v>7643</v>
      </c>
      <c r="E5278" s="4">
        <v>0.0</v>
      </c>
      <c r="F5278" s="4" t="str">
        <f>IFERROR(__xludf.DUMMYFUNCTION("GOOGLETRANSLATE(D5278)"),"@batfanuk 我們很喜歡今天的演出。非常有趣。緊急不疏散很有趣。祝你跑得愉快。")</f>
        <v>@batfanuk 我們很喜歡今天的演出。非常有趣。緊急不疏散很有趣。祝你跑得愉快。</v>
      </c>
      <c r="G5278" s="4" t="str">
        <f>IFERROR(__xludf.DUMMYFUNCTION("GOOGLETRANSLATE(B5278)"),"疏散")</f>
        <v>疏散</v>
      </c>
    </row>
    <row r="5279" ht="15.75" customHeight="1">
      <c r="A5279" s="4">
        <v>4845.0</v>
      </c>
      <c r="B5279" s="4" t="s">
        <v>2188</v>
      </c>
      <c r="C5279" s="4" t="s">
        <v>7762</v>
      </c>
      <c r="D5279" s="4" t="s">
        <v>7763</v>
      </c>
      <c r="E5279" s="4">
        <v>0.0</v>
      </c>
      <c r="F5279" s="4" t="str">
        <f>IFERROR(__xludf.DUMMYFUNCTION("GOOGLETRANSLATE(D5279)"),"我的學校剛剛不小心拉響了疏散警報，同時進行了兩次不同的試考，你在開玩笑吧")</f>
        <v>我的學校剛剛不小心拉響了疏散警報，同時進行了兩次不同的試考，你在開玩笑吧</v>
      </c>
      <c r="G5279" s="4" t="str">
        <f>IFERROR(__xludf.DUMMYFUNCTION("GOOGLETRANSLATE(B5279)"),"疏散")</f>
        <v>疏散</v>
      </c>
    </row>
    <row r="5280" ht="15.75" customHeight="1">
      <c r="A5280" s="4">
        <v>4847.0</v>
      </c>
      <c r="B5280" s="4" t="s">
        <v>2188</v>
      </c>
      <c r="C5280" s="4" t="s">
        <v>7764</v>
      </c>
      <c r="D5280" s="4" t="s">
        <v>7765</v>
      </c>
      <c r="E5280" s="4">
        <v>0.0</v>
      </c>
      <c r="F5280" s="4" t="str">
        <f>IFERROR(__xludf.DUMMYFUNCTION("GOOGLETRANSLATE(D5280)"),"INK Entertainment 解決了 Veld 疏散和退款狀態 http://t.co/vKu3RtOZ1J #TRC via @TorontoRC")</f>
        <v>INK Entertainment 解決了 Veld 疏散和退款狀態 http://t.co/vKu3RtOZ1J #TRC via @TorontoRC</v>
      </c>
      <c r="G5280" s="4" t="str">
        <f>IFERROR(__xludf.DUMMYFUNCTION("GOOGLETRANSLATE(B5280)"),"疏散")</f>
        <v>疏散</v>
      </c>
    </row>
    <row r="5281" ht="15.75" customHeight="1">
      <c r="A5281" s="4">
        <v>4856.0</v>
      </c>
      <c r="B5281" s="4" t="s">
        <v>2188</v>
      </c>
      <c r="D5281" s="4" t="s">
        <v>7766</v>
      </c>
      <c r="E5281" s="4">
        <v>0.0</v>
      </c>
      <c r="F5281" s="4" t="str">
        <f>IFERROR(__xludf.DUMMYFUNCTION("GOOGLETRANSLATE(D5281)"),"這是邪惡的一代
搖滾疏散！
一望無際！
（嘿嘿嘿嘿嘿！）")</f>
        <v>這是邪惡的一代
搖滾疏散！
一望無際！
（嘿嘿嘿嘿嘿！）</v>
      </c>
      <c r="G5281" s="4" t="str">
        <f>IFERROR(__xludf.DUMMYFUNCTION("GOOGLETRANSLATE(B5281)"),"疏散")</f>
        <v>疏散</v>
      </c>
    </row>
    <row r="5282" ht="15.75" customHeight="1">
      <c r="A5282" s="4">
        <v>4857.0</v>
      </c>
      <c r="B5282" s="4" t="s">
        <v>2188</v>
      </c>
      <c r="C5282" s="4" t="s">
        <v>7767</v>
      </c>
      <c r="D5282" s="4" t="s">
        <v>7768</v>
      </c>
      <c r="E5282" s="4">
        <v>0.0</v>
      </c>
      <c r="F5282" s="4" t="str">
        <f>IFERROR(__xludf.DUMMYFUNCTION("GOOGLETRANSLATE(D5282)"),"@ariabrisard @leiaorganasolo 好。和她一起玩。你可以從死星開始你的行動。疏散工作已接近完成。")</f>
        <v>@ariabrisard @leiaorganasolo 好。和她一起玩。你可以從死星開始你的行動。疏散工作已接近完成。</v>
      </c>
      <c r="G5282" s="4" t="str">
        <f>IFERROR(__xludf.DUMMYFUNCTION("GOOGLETRANSLATE(B5282)"),"疏散")</f>
        <v>疏散</v>
      </c>
    </row>
    <row r="5283" ht="15.75" customHeight="1">
      <c r="A5283" s="4">
        <v>4858.0</v>
      </c>
      <c r="B5283" s="4" t="s">
        <v>2188</v>
      </c>
      <c r="C5283" s="4" t="s">
        <v>7769</v>
      </c>
      <c r="D5283" s="4" t="s">
        <v>7770</v>
      </c>
      <c r="E5283" s="4">
        <v>0.0</v>
      </c>
      <c r="F5283" s="4" t="str">
        <f>IFERROR(__xludf.DUMMYFUNCTION("GOOGLETRANSLATE(D5283)"),"工作中進行疏散演練。防火門打不開，所以我必須砸碎緊急釋放玻璃#feelingmanly")</f>
        <v>工作中進行疏散演練。防火門打不開，所以我必須砸碎緊急釋放玻璃#feelingmanly</v>
      </c>
      <c r="G5283" s="4" t="str">
        <f>IFERROR(__xludf.DUMMYFUNCTION("GOOGLETRANSLATE(B5283)"),"疏散")</f>
        <v>疏散</v>
      </c>
    </row>
    <row r="5284" ht="15.75" customHeight="1">
      <c r="A5284" s="4">
        <v>4864.0</v>
      </c>
      <c r="B5284" s="4" t="s">
        <v>2225</v>
      </c>
      <c r="C5284" s="4" t="s">
        <v>7771</v>
      </c>
      <c r="D5284" s="4" t="s">
        <v>7772</v>
      </c>
      <c r="E5284" s="4">
        <v>0.0</v>
      </c>
      <c r="F5284" s="4" t="str">
        <f>IFERROR(__xludf.DUMMYFUNCTION("GOOGLETRANSLATE(D5284)"),"如果 Ryan 不盡快發布新音樂我可能會爆炸")</f>
        <v>如果 Ryan 不盡快發布新音樂我可能會爆炸</v>
      </c>
      <c r="G5284" s="4" t="str">
        <f>IFERROR(__xludf.DUMMYFUNCTION("GOOGLETRANSLATE(B5284)"),"霹靂")</f>
        <v>霹靂</v>
      </c>
    </row>
    <row r="5285" ht="15.75" customHeight="1">
      <c r="A5285" s="4">
        <v>4866.0</v>
      </c>
      <c r="B5285" s="4" t="s">
        <v>2225</v>
      </c>
      <c r="D5285" s="4" t="s">
        <v>7773</v>
      </c>
      <c r="E5285" s="4">
        <v>0.0</v>
      </c>
      <c r="F5285" s="4" t="str">
        <f>IFERROR(__xludf.DUMMYFUNCTION("GOOGLETRANSLATE(D5285)"),"了解我如何獲得最高收入者和最高收入者的秘密用它們來爆炸我的家庭生意：http://t.co/SGXP1U5OL1 請#RT")</f>
        <v>了解我如何獲得最高收入者和最高收入者的秘密用它們來爆炸我的家庭生意：http://t.co/SGXP1U5OL1 請#RT</v>
      </c>
      <c r="G5285" s="4" t="str">
        <f>IFERROR(__xludf.DUMMYFUNCTION("GOOGLETRANSLATE(B5285)"),"霹靂")</f>
        <v>霹靂</v>
      </c>
    </row>
    <row r="5286" ht="15.75" customHeight="1">
      <c r="A5286" s="4">
        <v>4867.0</v>
      </c>
      <c r="B5286" s="4" t="s">
        <v>2225</v>
      </c>
      <c r="D5286" s="4" t="s">
        <v>7774</v>
      </c>
      <c r="E5286" s="4">
        <v>0.0</v>
      </c>
      <c r="F5286" s="4" t="str">
        <f>IFERROR(__xludf.DUMMYFUNCTION("GOOGLETRANSLATE(D5286)"),"@NoahCRothman 讓他厭倦了提供劣質香檳的細節。他可能會爆炸。")</f>
        <v>@NoahCRothman 讓他厭倦了提供劣質香檳的細節。他可能會爆炸。</v>
      </c>
      <c r="G5286" s="4" t="str">
        <f>IFERROR(__xludf.DUMMYFUNCTION("GOOGLETRANSLATE(B5286)"),"霹靂")</f>
        <v>霹靂</v>
      </c>
    </row>
    <row r="5287" ht="15.75" customHeight="1">
      <c r="A5287" s="4">
        <v>4868.0</v>
      </c>
      <c r="B5287" s="4" t="s">
        <v>2225</v>
      </c>
      <c r="C5287" s="4" t="s">
        <v>7775</v>
      </c>
      <c r="D5287" s="4" t="s">
        <v>7776</v>
      </c>
      <c r="E5287" s="4">
        <v>0.0</v>
      </c>
      <c r="F5287" s="4" t="str">
        <f>IFERROR(__xludf.DUMMYFUNCTION("GOOGLETRANSLATE(D5287)"),"“我吃東西是因為它讓我的嘴巴充滿喜悅，讓我的靈魂升騰。” 〜http://t.co/mOdM8X1Ot9 http://t.co/oSsC7Q12iR")</f>
        <v>“我吃東西是因為它讓我的嘴巴充滿喜悅，讓我的靈魂升騰。” 〜http://t.co/mOdM8X1Ot9 http://t.co/oSsC7Q12iR</v>
      </c>
      <c r="G5287" s="4" t="str">
        <f>IFERROR(__xludf.DUMMYFUNCTION("GOOGLETRANSLATE(B5287)"),"霹靂")</f>
        <v>霹靂</v>
      </c>
    </row>
    <row r="5288" ht="15.75" customHeight="1">
      <c r="A5288" s="4">
        <v>4869.0</v>
      </c>
      <c r="B5288" s="4" t="s">
        <v>2225</v>
      </c>
      <c r="C5288" s="4" t="s">
        <v>7777</v>
      </c>
      <c r="D5288" s="4" t="s">
        <v>7778</v>
      </c>
      <c r="E5288" s="4">
        <v>0.0</v>
      </c>
      <c r="F5288" s="4" t="str">
        <f>IFERROR(__xludf.DUMMYFUNCTION("GOOGLETRANSLATE(D5288)"),"新屋開工激增 http://t.co/IGlnQpgbNW http://t.co/aOesBVns45")</f>
        <v>新屋開工激增 http://t.co/IGlnQpgbNW http://t.co/aOesBVns45</v>
      </c>
      <c r="G5288" s="4" t="str">
        <f>IFERROR(__xludf.DUMMYFUNCTION("GOOGLETRANSLATE(B5288)"),"霹靂")</f>
        <v>霹靂</v>
      </c>
    </row>
    <row r="5289" ht="15.75" customHeight="1">
      <c r="A5289" s="4">
        <v>4870.0</v>
      </c>
      <c r="B5289" s="4" t="s">
        <v>2225</v>
      </c>
      <c r="D5289" s="4" t="s">
        <v>7779</v>
      </c>
      <c r="E5289" s="4">
        <v>0.0</v>
      </c>
      <c r="F5289" s="4" t="str">
        <f>IFERROR(__xludf.DUMMYFUNCTION("GOOGLETRANSLATE(D5289)"),"@Annealiz1 西蒙博士會讓網路爆炸。 O_o...他是獨自一人還是附近有個紅頭髮的人？哈哈")</f>
        <v>@Annealiz1 西蒙博士會讓網路爆炸。 O_o...他是獨自一人還是附近有個紅頭髮的人？哈哈</v>
      </c>
      <c r="G5289" s="4" t="str">
        <f>IFERROR(__xludf.DUMMYFUNCTION("GOOGLETRANSLATE(B5289)"),"霹靂")</f>
        <v>霹靂</v>
      </c>
    </row>
    <row r="5290" ht="15.75" customHeight="1">
      <c r="A5290" s="4">
        <v>4872.0</v>
      </c>
      <c r="B5290" s="4" t="s">
        <v>2225</v>
      </c>
      <c r="C5290" s="4" t="s">
        <v>7780</v>
      </c>
      <c r="D5290" s="4" t="s">
        <v>7781</v>
      </c>
      <c r="E5290" s="4">
        <v>0.0</v>
      </c>
      <c r="F5290" s="4" t="str">
        <f>IFERROR(__xludf.DUMMYFUNCTION("GOOGLETRANSLATE(D5290)"),"@attjcdemos @folieacat 我們都知道她的老用戶就像一顆定時炸彈......注定會爆炸：/")</f>
        <v>@attjcdemos @folieacat 我們都知道她的老用戶就像一顆定時炸彈......注定會爆炸：/</v>
      </c>
      <c r="G5290" s="4" t="str">
        <f>IFERROR(__xludf.DUMMYFUNCTION("GOOGLETRANSLATE(B5290)"),"霹靂")</f>
        <v>霹靂</v>
      </c>
    </row>
    <row r="5291" ht="15.75" customHeight="1">
      <c r="A5291" s="4">
        <v>4874.0</v>
      </c>
      <c r="B5291" s="4" t="s">
        <v>2225</v>
      </c>
      <c r="C5291" s="4" t="s">
        <v>7782</v>
      </c>
      <c r="D5291" s="4" t="s">
        <v>7783</v>
      </c>
      <c r="E5291" s="4">
        <v>0.0</v>
      </c>
      <c r="F5291" s="4" t="str">
        <f>IFERROR(__xludf.DUMMYFUNCTION("GOOGLETRANSLATE(D5291)"),"看到這些傢伙伸出前腳承受肩膀的負荷並旋轉嗎？我也不！ #hitting #load&amp;amp;explode http://t.co/6VeI1mheA4")</f>
        <v>看到這些傢伙伸出前腳承受肩膀的負荷並旋轉嗎？我也不！ #hitting #load&amp;amp;explode http://t.co/6VeI1mheA4</v>
      </c>
      <c r="G5291" s="4" t="str">
        <f>IFERROR(__xludf.DUMMYFUNCTION("GOOGLETRANSLATE(B5291)"),"霹靂")</f>
        <v>霹靂</v>
      </c>
    </row>
    <row r="5292" ht="15.75" customHeight="1">
      <c r="A5292" s="4">
        <v>4875.0</v>
      </c>
      <c r="B5292" s="4" t="s">
        <v>2225</v>
      </c>
      <c r="C5292" s="4" t="s">
        <v>7784</v>
      </c>
      <c r="D5292" s="4" t="s">
        <v>7785</v>
      </c>
      <c r="E5292" s="4">
        <v>0.0</v>
      </c>
      <c r="F5292" s="4" t="str">
        <f>IFERROR(__xludf.DUMMYFUNCTION("GOOGLETRANSLATE(D5292)"),"KS，除了每個角色都是靜音。
世界將會爆炸。")</f>
        <v>KS，除了每個角色都是靜音。
世界將會爆炸。</v>
      </c>
      <c r="G5292" s="4" t="str">
        <f>IFERROR(__xludf.DUMMYFUNCTION("GOOGLETRANSLATE(B5292)"),"霹靂")</f>
        <v>霹靂</v>
      </c>
    </row>
    <row r="5293" ht="15.75" customHeight="1">
      <c r="A5293" s="4">
        <v>4876.0</v>
      </c>
      <c r="B5293" s="4" t="s">
        <v>2225</v>
      </c>
      <c r="D5293" s="4" t="s">
        <v>7786</v>
      </c>
      <c r="E5293" s="4">
        <v>0.0</v>
      </c>
      <c r="F5293" s="4" t="str">
        <f>IFERROR(__xludf.DUMMYFUNCTION("GOOGLETRANSLATE(D5293)"),"不管你喜歡與否，一切都從黑暗中出現，準備好讓那狗屎爆炸嗎？")</f>
        <v>不管你喜歡與否，一切都從黑暗中出現，準備好讓那狗屎爆炸嗎？</v>
      </c>
      <c r="G5293" s="4" t="str">
        <f>IFERROR(__xludf.DUMMYFUNCTION("GOOGLETRANSLATE(B5293)"),"霹靂")</f>
        <v>霹靂</v>
      </c>
    </row>
    <row r="5294" ht="15.75" customHeight="1">
      <c r="A5294" s="4">
        <v>4877.0</v>
      </c>
      <c r="B5294" s="4" t="s">
        <v>2225</v>
      </c>
      <c r="C5294" s="4" t="s">
        <v>54</v>
      </c>
      <c r="D5294" s="4" t="s">
        <v>7787</v>
      </c>
      <c r="E5294" s="4">
        <v>0.0</v>
      </c>
      <c r="F5294" s="4" t="str">
        <f>IFERROR(__xludf.DUMMYFUNCTION("GOOGLETRANSLATE(D5294)"),"天氣很冷，我的頭快要爆炸了。在家工作的樂趣 - 我要回去睡覺/安靜了？？？")</f>
        <v>天氣很冷，我的頭快要爆炸了。在家工作的樂趣 - 我要回去睡覺/安靜了？？？</v>
      </c>
      <c r="G5294" s="4" t="str">
        <f>IFERROR(__xludf.DUMMYFUNCTION("GOOGLETRANSLATE(B5294)"),"霹靂")</f>
        <v>霹靂</v>
      </c>
    </row>
    <row r="5295" ht="15.75" customHeight="1">
      <c r="A5295" s="4">
        <v>4878.0</v>
      </c>
      <c r="B5295" s="4" t="s">
        <v>2225</v>
      </c>
      <c r="C5295" s="4" t="s">
        <v>7788</v>
      </c>
      <c r="D5295" s="4" t="s">
        <v>7789</v>
      </c>
      <c r="E5295" s="4">
        <v>0.0</v>
      </c>
      <c r="F5295" s="4" t="str">
        <f>IFERROR(__xludf.DUMMYFUNCTION("GOOGLETRANSLATE(D5295)"),"如果施瓦伯撞上我，我會炸成碎片")</f>
        <v>如果施瓦伯撞上我，我會炸成碎片</v>
      </c>
      <c r="G5295" s="4" t="str">
        <f>IFERROR(__xludf.DUMMYFUNCTION("GOOGLETRANSLATE(B5295)"),"霹靂")</f>
        <v>霹靂</v>
      </c>
    </row>
    <row r="5296" ht="15.75" customHeight="1">
      <c r="A5296" s="4">
        <v>4881.0</v>
      </c>
      <c r="B5296" s="4" t="s">
        <v>2225</v>
      </c>
      <c r="D5296" s="4" t="s">
        <v>7790</v>
      </c>
      <c r="E5296" s="4">
        <v>0.0</v>
      </c>
      <c r="F5296" s="4" t="str">
        <f>IFERROR(__xludf.DUMMYFUNCTION("GOOGLETRANSLATE(D5296)"),"我發誓感覺我快要爆炸了？")</f>
        <v>我發誓感覺我快要爆炸了？</v>
      </c>
      <c r="G5296" s="4" t="str">
        <f>IFERROR(__xludf.DUMMYFUNCTION("GOOGLETRANSLATE(B5296)"),"霹靂")</f>
        <v>霹靂</v>
      </c>
    </row>
    <row r="5297" ht="15.75" customHeight="1">
      <c r="A5297" s="4">
        <v>4883.0</v>
      </c>
      <c r="B5297" s="4" t="s">
        <v>2225</v>
      </c>
      <c r="C5297" s="4" t="s">
        <v>756</v>
      </c>
      <c r="D5297" s="4" t="s">
        <v>7791</v>
      </c>
      <c r="E5297" s="4">
        <v>0.0</v>
      </c>
      <c r="F5297" s="4" t="str">
        <f>IFERROR(__xludf.DUMMYFUNCTION("GOOGLETRANSLATE(D5297)"),"我的大腦快要爆炸了 lmao")</f>
        <v>我的大腦快要爆炸了 lmao</v>
      </c>
      <c r="G5297" s="4" t="str">
        <f>IFERROR(__xludf.DUMMYFUNCTION("GOOGLETRANSLATE(B5297)"),"霹靂")</f>
        <v>霹靂</v>
      </c>
    </row>
    <row r="5298" ht="15.75" customHeight="1">
      <c r="A5298" s="4">
        <v>4884.0</v>
      </c>
      <c r="B5298" s="4" t="s">
        <v>2225</v>
      </c>
      <c r="C5298" s="4" t="s">
        <v>7792</v>
      </c>
      <c r="D5298" s="4" t="s">
        <v>7793</v>
      </c>
      <c r="E5298" s="4">
        <v>0.0</v>
      </c>
      <c r="F5298" s="4" t="str">
        <f>IFERROR(__xludf.DUMMYFUNCTION("GOOGLETRANSLATE(D5298)"),"兩罐爆炸後，我想喝剩下的，但這些...（Kaldi Coffee Stout）http://t.co/u6isXv2F3V #photo")</f>
        <v>兩罐爆炸後，我想喝剩下的，但這些...（Kaldi Coffee Stout）http://t.co/u6isXv2F3V #photo</v>
      </c>
      <c r="G5298" s="4" t="str">
        <f>IFERROR(__xludf.DUMMYFUNCTION("GOOGLETRANSLATE(B5298)"),"霹靂")</f>
        <v>霹靂</v>
      </c>
    </row>
    <row r="5299" ht="15.75" customHeight="1">
      <c r="A5299" s="4">
        <v>4887.0</v>
      </c>
      <c r="B5299" s="4" t="s">
        <v>2225</v>
      </c>
      <c r="D5299" s="4" t="s">
        <v>7794</v>
      </c>
      <c r="E5299" s="4">
        <v>0.0</v>
      </c>
      <c r="F5299" s="4" t="str">
        <f>IFERROR(__xludf.DUMMYFUNCTION("GOOGLETRANSLATE(D5299)"),"了解我如何獲得最高收入者和最高收入者的秘密用它們來爆炸我的家庭生意：http://t.co/UcLVIhwOEC 請#RT")</f>
        <v>了解我如何獲得最高收入者和最高收入者的秘密用它們來爆炸我的家庭生意：http://t.co/UcLVIhwOEC 請#RT</v>
      </c>
      <c r="G5299" s="4" t="str">
        <f>IFERROR(__xludf.DUMMYFUNCTION("GOOGLETRANSLATE(B5299)"),"霹靂")</f>
        <v>霹靂</v>
      </c>
    </row>
    <row r="5300" ht="15.75" customHeight="1">
      <c r="A5300" s="4">
        <v>4888.0</v>
      </c>
      <c r="B5300" s="4" t="s">
        <v>2225</v>
      </c>
      <c r="C5300" s="4" t="s">
        <v>7784</v>
      </c>
      <c r="D5300" s="4" t="s">
        <v>7795</v>
      </c>
      <c r="E5300" s="4">
        <v>0.0</v>
      </c>
      <c r="F5300" s="4" t="str">
        <f>IFERROR(__xludf.DUMMYFUNCTION("GOOGLETRANSLATE(D5300)"),"KS 的版本中，如果一個角色是/每個/角色，世界就會爆炸。
凜
靜根
米沙
惠美
賢二
優子
野宮
久雄")</f>
        <v>KS 的版本中，如果一個角色是/每個/角色，世界就會爆炸。
凜
靜根
米沙
惠美
賢二
優子
野宮
久雄</v>
      </c>
      <c r="G5300" s="4" t="str">
        <f>IFERROR(__xludf.DUMMYFUNCTION("GOOGLETRANSLATE(B5300)"),"霹靂")</f>
        <v>霹靂</v>
      </c>
    </row>
    <row r="5301" ht="15.75" customHeight="1">
      <c r="A5301" s="4">
        <v>4889.0</v>
      </c>
      <c r="B5301" s="4" t="s">
        <v>2225</v>
      </c>
      <c r="C5301" s="4" t="s">
        <v>627</v>
      </c>
      <c r="D5301" s="4" t="s">
        <v>7796</v>
      </c>
      <c r="E5301" s="4">
        <v>0.0</v>
      </c>
      <c r="F5301" s="4" t="str">
        <f>IFERROR(__xludf.DUMMYFUNCTION("GOOGLETRANSLATE(D5301)"),"費城老鷹隊喬丹馬修斯將在 2015 年爆發 http://t.co/rRq1ildkiL #news #hotnewscake")</f>
        <v>費城老鷹隊喬丹馬修斯將在 2015 年爆發 http://t.co/rRq1ildkiL #news #hotnewscake</v>
      </c>
      <c r="G5301" s="4" t="str">
        <f>IFERROR(__xludf.DUMMYFUNCTION("GOOGLETRANSLATE(B5301)"),"霹靂")</f>
        <v>霹靂</v>
      </c>
    </row>
    <row r="5302" ht="15.75" customHeight="1">
      <c r="A5302" s="4">
        <v>4890.0</v>
      </c>
      <c r="B5302" s="4" t="s">
        <v>2225</v>
      </c>
      <c r="C5302" s="4" t="s">
        <v>7797</v>
      </c>
      <c r="D5302" s="4" t="s">
        <v>7798</v>
      </c>
      <c r="E5302" s="4">
        <v>0.0</v>
      </c>
      <c r="F5302" s="4" t="str">
        <f>IFERROR(__xludf.DUMMYFUNCTION("GOOGLETRANSLATE(D5302)"),"我要爆炸了？？？")</f>
        <v>我要爆炸了？？？</v>
      </c>
      <c r="G5302" s="4" t="str">
        <f>IFERROR(__xludf.DUMMYFUNCTION("GOOGLETRANSLATE(B5302)"),"霹靂")</f>
        <v>霹靂</v>
      </c>
    </row>
    <row r="5303" ht="15.75" customHeight="1">
      <c r="A5303" s="4">
        <v>4891.0</v>
      </c>
      <c r="B5303" s="4" t="s">
        <v>2225</v>
      </c>
      <c r="D5303" s="4" t="s">
        <v>7799</v>
      </c>
      <c r="E5303" s="4">
        <v>0.0</v>
      </c>
      <c r="F5303" s="4" t="str">
        <f>IFERROR(__xludf.DUMMYFUNCTION("GOOGLETRANSLATE(D5303)"),"了解我如何獲得最高收入者和最高收入者的秘密用它們來爆炸我的家庭生意：http://t.co/8rABhQrTh5 請#RT")</f>
        <v>了解我如何獲得最高收入者和最高收入者的秘密用它們來爆炸我的家庭生意：http://t.co/8rABhQrTh5 請#RT</v>
      </c>
      <c r="G5303" s="4" t="str">
        <f>IFERROR(__xludf.DUMMYFUNCTION("GOOGLETRANSLATE(B5303)"),"霹靂")</f>
        <v>霹靂</v>
      </c>
    </row>
    <row r="5304" ht="15.75" customHeight="1">
      <c r="A5304" s="4">
        <v>4892.0</v>
      </c>
      <c r="B5304" s="4" t="s">
        <v>2225</v>
      </c>
      <c r="C5304" s="4" t="s">
        <v>7800</v>
      </c>
      <c r="D5304" s="4" t="s">
        <v>7801</v>
      </c>
      <c r="E5304" s="4">
        <v>0.0</v>
      </c>
      <c r="F5304" s="4" t="str">
        <f>IFERROR(__xludf.DUMMYFUNCTION("GOOGLETRANSLATE(D5304)"),"我的頭很快就會爆炸")</f>
        <v>我的頭很快就會爆炸</v>
      </c>
      <c r="G5304" s="4" t="str">
        <f>IFERROR(__xludf.DUMMYFUNCTION("GOOGLETRANSLATE(B5304)"),"霹靂")</f>
        <v>霹靂</v>
      </c>
    </row>
    <row r="5305" ht="15.75" customHeight="1">
      <c r="A5305" s="4">
        <v>4893.0</v>
      </c>
      <c r="B5305" s="4" t="s">
        <v>2225</v>
      </c>
      <c r="C5305" s="4" t="s">
        <v>295</v>
      </c>
      <c r="D5305" s="4" t="s">
        <v>7802</v>
      </c>
      <c r="E5305" s="4">
        <v>0.0</v>
      </c>
      <c r="F5305" s="4" t="str">
        <f>IFERROR(__xludf.DUMMYFUNCTION("GOOGLETRANSLATE(D5305)"),"@deniseromano @megynkelly @GOP 這是讓他們頭腦爆炸的一種方法...")</f>
        <v>@deniseromano @megynkelly @GOP 這是讓他們頭腦爆炸的一種方法...</v>
      </c>
      <c r="G5305" s="4" t="str">
        <f>IFERROR(__xludf.DUMMYFUNCTION("GOOGLETRANSLATE(B5305)"),"霹靂")</f>
        <v>霹靂</v>
      </c>
    </row>
    <row r="5306" ht="15.75" customHeight="1">
      <c r="A5306" s="4">
        <v>4894.0</v>
      </c>
      <c r="B5306" s="4" t="s">
        <v>2225</v>
      </c>
      <c r="D5306" s="4" t="s">
        <v>7803</v>
      </c>
      <c r="E5306" s="4">
        <v>0.0</v>
      </c>
      <c r="F5306" s="4" t="str">
        <f>IFERROR(__xludf.DUMMYFUNCTION("GOOGLETRANSLATE(D5306)"),"用沿著塞爾韋利線衝鋒的施瓦伯擋住盤子。我賭你。你會爆炸成一小股煙霧")</f>
        <v>用沿著塞爾韋利線衝鋒的施瓦伯擋住盤子。我賭你。你會爆炸成一小股煙霧</v>
      </c>
      <c r="G5306" s="4" t="str">
        <f>IFERROR(__xludf.DUMMYFUNCTION("GOOGLETRANSLATE(B5306)"),"霹靂")</f>
        <v>霹靂</v>
      </c>
    </row>
    <row r="5307" ht="15.75" customHeight="1">
      <c r="A5307" s="4">
        <v>4896.0</v>
      </c>
      <c r="B5307" s="4" t="s">
        <v>2225</v>
      </c>
      <c r="C5307" s="4" t="s">
        <v>7804</v>
      </c>
      <c r="D5307" s="4" t="s">
        <v>7805</v>
      </c>
      <c r="E5307" s="4">
        <v>0.0</v>
      </c>
      <c r="F5307" s="4" t="str">
        <f>IFERROR(__xludf.DUMMYFUNCTION("GOOGLETRANSLATE(D5307)"),"我的大腦快要爆炸了，我需要離開這棟房子。如果你需要我，我會出去抽煙")</f>
        <v>我的大腦快要爆炸了，我需要離開這棟房子。如果你需要我，我會出去抽煙</v>
      </c>
      <c r="G5307" s="4" t="str">
        <f>IFERROR(__xludf.DUMMYFUNCTION("GOOGLETRANSLATE(B5307)"),"霹靂")</f>
        <v>霹靂</v>
      </c>
    </row>
    <row r="5308" ht="15.75" customHeight="1">
      <c r="A5308" s="4">
        <v>4897.0</v>
      </c>
      <c r="B5308" s="4" t="s">
        <v>2225</v>
      </c>
      <c r="C5308" s="4" t="s">
        <v>7806</v>
      </c>
      <c r="D5308" s="4" t="s">
        <v>7807</v>
      </c>
      <c r="E5308" s="4">
        <v>0.0</v>
      </c>
      <c r="F5308" s="4" t="str">
        <f>IFERROR(__xludf.DUMMYFUNCTION("GOOGLETRANSLATE(D5308)"),"年度藤蔓天啊我快要爆炸了 https://t.co/cnxXmfFRae")</f>
        <v>年度藤蔓天啊我快要爆炸了 https://t.co/cnxXmfFRae</v>
      </c>
      <c r="G5308" s="4" t="str">
        <f>IFERROR(__xludf.DUMMYFUNCTION("GOOGLETRANSLATE(B5308)"),"霹靂")</f>
        <v>霹靂</v>
      </c>
    </row>
    <row r="5309" ht="15.75" customHeight="1">
      <c r="A5309" s="4">
        <v>4898.0</v>
      </c>
      <c r="B5309" s="4" t="s">
        <v>2225</v>
      </c>
      <c r="C5309" s="4" t="s">
        <v>7808</v>
      </c>
      <c r="D5309" s="4" t="s">
        <v>7809</v>
      </c>
      <c r="E5309" s="4">
        <v>0.0</v>
      </c>
      <c r="F5309" s="4" t="str">
        <f>IFERROR(__xludf.DUMMYFUNCTION("GOOGLETRANSLATE(D5309)"),"由@attackonstiles標記
百萬
龐克
高舉他們
阿爾法狗
是的，男孩和娃娃臉
善意的謊言
爆炸 http://t.co/latsSUo4wS")</f>
        <v>由@attackonstiles標記
百萬
龐克
高舉他們
阿爾法狗
是的，男孩和娃娃臉
善意的謊言
爆炸 http://t.co/latsSUo4wS</v>
      </c>
      <c r="G5309" s="4" t="str">
        <f>IFERROR(__xludf.DUMMYFUNCTION("GOOGLETRANSLATE(B5309)"),"霹靂")</f>
        <v>霹靂</v>
      </c>
    </row>
    <row r="5310" ht="15.75" customHeight="1">
      <c r="A5310" s="4">
        <v>4899.0</v>
      </c>
      <c r="B5310" s="4" t="s">
        <v>2225</v>
      </c>
      <c r="D5310" s="4" t="s">
        <v>7810</v>
      </c>
      <c r="E5310" s="4">
        <v>0.0</v>
      </c>
      <c r="F5310" s="4" t="str">
        <f>IFERROR(__xludf.DUMMYFUNCTION("GOOGLETRANSLATE(D5310)"),"了解我如何獲得最高收入者和最高收入者的秘密用它們來爆炸我的家庭生意：http://t.co/e84IFMCczN 請#RT")</f>
        <v>了解我如何獲得最高收入者和最高收入者的秘密用它們來爆炸我的家庭生意：http://t.co/e84IFMCczN 請#RT</v>
      </c>
      <c r="G5310" s="4" t="str">
        <f>IFERROR(__xludf.DUMMYFUNCTION("GOOGLETRANSLATE(B5310)"),"霹靂")</f>
        <v>霹靂</v>
      </c>
    </row>
    <row r="5311" ht="15.75" customHeight="1">
      <c r="A5311" s="4">
        <v>4900.0</v>
      </c>
      <c r="B5311" s="4" t="s">
        <v>2225</v>
      </c>
      <c r="C5311" s="4" t="s">
        <v>7811</v>
      </c>
      <c r="D5311" s="4" t="s">
        <v>7812</v>
      </c>
      <c r="E5311" s="4">
        <v>0.0</v>
      </c>
      <c r="F5311" s="4" t="str">
        <f>IFERROR(__xludf.DUMMYFUNCTION("GOOGLETRANSLATE(D5311)"),"如果我想操鴨子直到爆炸怎麼辦？可能很油膩")</f>
        <v>如果我想操鴨子直到爆炸怎麼辦？可能很油膩</v>
      </c>
      <c r="G5311" s="4" t="str">
        <f>IFERROR(__xludf.DUMMYFUNCTION("GOOGLETRANSLATE(B5311)"),"霹靂")</f>
        <v>霹靂</v>
      </c>
    </row>
    <row r="5312" ht="15.75" customHeight="1">
      <c r="A5312" s="4">
        <v>4901.0</v>
      </c>
      <c r="B5312" s="4" t="s">
        <v>2225</v>
      </c>
      <c r="D5312" s="4" t="s">
        <v>7813</v>
      </c>
      <c r="E5312" s="4">
        <v>0.0</v>
      </c>
      <c r="F5312" s="4" t="str">
        <f>IFERROR(__xludf.DUMMYFUNCTION("GOOGLETRANSLATE(D5312)"),"這些人都炸了？？？")</f>
        <v>這些人都炸了？？？</v>
      </c>
      <c r="G5312" s="4" t="str">
        <f>IFERROR(__xludf.DUMMYFUNCTION("GOOGLETRANSLATE(B5312)"),"霹靂")</f>
        <v>霹靂</v>
      </c>
    </row>
    <row r="5313" ht="15.75" customHeight="1">
      <c r="A5313" s="4">
        <v>4903.0</v>
      </c>
      <c r="B5313" s="4" t="s">
        <v>2225</v>
      </c>
      <c r="D5313" s="4" t="s">
        <v>7814</v>
      </c>
      <c r="E5313" s="4">
        <v>0.0</v>
      </c>
      <c r="F5313" s="4" t="str">
        <f>IFERROR(__xludf.DUMMYFUNCTION("GOOGLETRANSLATE(D5313)"),"了解我如何獲得最高收入者和最高收入者的秘密用它們來爆炸我的家庭生意：http://t.co/dHaMbP54Ya 請#RT")</f>
        <v>了解我如何獲得最高收入者和最高收入者的秘密用它們來爆炸我的家庭生意：http://t.co/dHaMbP54Ya 請#RT</v>
      </c>
      <c r="G5313" s="4" t="str">
        <f>IFERROR(__xludf.DUMMYFUNCTION("GOOGLETRANSLATE(B5313)"),"霹靂")</f>
        <v>霹靂</v>
      </c>
    </row>
    <row r="5314" ht="15.75" customHeight="1">
      <c r="A5314" s="4">
        <v>4905.0</v>
      </c>
      <c r="B5314" s="4" t="s">
        <v>2225</v>
      </c>
      <c r="D5314" s="4" t="s">
        <v>7815</v>
      </c>
      <c r="E5314" s="4">
        <v>0.0</v>
      </c>
      <c r="F5314" s="4" t="str">
        <f>IFERROR(__xludf.DUMMYFUNCTION("GOOGLETRANSLATE(D5314)"),"@Anonchimp 認為它與雷暴有關，儘管它們讓我的靈魂爆炸...")</f>
        <v>@Anonchimp 認為它與雷暴有關，儘管它們讓我的靈魂爆炸...</v>
      </c>
      <c r="G5314" s="4" t="str">
        <f>IFERROR(__xludf.DUMMYFUNCTION("GOOGLETRANSLATE(B5314)"),"霹靂")</f>
        <v>霹靂</v>
      </c>
    </row>
    <row r="5315" ht="15.75" customHeight="1">
      <c r="A5315" s="4">
        <v>4906.0</v>
      </c>
      <c r="B5315" s="4" t="s">
        <v>2225</v>
      </c>
      <c r="D5315" s="4" t="s">
        <v>7816</v>
      </c>
      <c r="E5315" s="4">
        <v>0.0</v>
      </c>
      <c r="F5315" s="4" t="str">
        <f>IFERROR(__xludf.DUMMYFUNCTION("GOOGLETRANSLATE(D5315)"),"我的頭要爆炸了")</f>
        <v>我的頭要爆炸了</v>
      </c>
      <c r="G5315" s="4" t="str">
        <f>IFERROR(__xludf.DUMMYFUNCTION("GOOGLETRANSLATE(B5315)"),"霹靂")</f>
        <v>霹靂</v>
      </c>
    </row>
    <row r="5316" ht="15.75" customHeight="1">
      <c r="A5316" s="4">
        <v>4908.0</v>
      </c>
      <c r="B5316" s="4" t="s">
        <v>2225</v>
      </c>
      <c r="C5316" s="4" t="s">
        <v>2337</v>
      </c>
      <c r="D5316" s="4" t="s">
        <v>7817</v>
      </c>
      <c r="E5316" s="4">
        <v>0.0</v>
      </c>
      <c r="F5316" s="4" t="str">
        <f>IFERROR(__xludf.DUMMYFUNCTION("GOOGLETRANSLATE(D5316)"),"我已經準備好爆炸了！ http://t.co/OwJe3i6yGN")</f>
        <v>我已經準備好爆炸了！ http://t.co/OwJe3i6yGN</v>
      </c>
      <c r="G5316" s="4" t="str">
        <f>IFERROR(__xludf.DUMMYFUNCTION("GOOGLETRANSLATE(B5316)"),"霹靂")</f>
        <v>霹靂</v>
      </c>
    </row>
    <row r="5317" ht="15.75" customHeight="1">
      <c r="A5317" s="4">
        <v>4909.0</v>
      </c>
      <c r="B5317" s="4" t="s">
        <v>2225</v>
      </c>
      <c r="C5317" s="4" t="s">
        <v>706</v>
      </c>
      <c r="D5317" s="4" t="s">
        <v>7818</v>
      </c>
      <c r="E5317" s="4">
        <v>0.0</v>
      </c>
      <c r="F5317" s="4" t="str">
        <f>IFERROR(__xludf.DUMMYFUNCTION("GOOGLETRANSLATE(D5317)"),"@DelDryden 如果我按下抽搐我的頭會爆炸嗎？")</f>
        <v>@DelDryden 如果我按下抽搐我的頭會爆炸嗎？</v>
      </c>
      <c r="G5317" s="4" t="str">
        <f>IFERROR(__xludf.DUMMYFUNCTION("GOOGLETRANSLATE(B5317)"),"霹靂")</f>
        <v>霹靂</v>
      </c>
    </row>
    <row r="5318" ht="15.75" customHeight="1">
      <c r="A5318" s="4">
        <v>4910.0</v>
      </c>
      <c r="B5318" s="4" t="s">
        <v>2225</v>
      </c>
      <c r="D5318" s="4" t="s">
        <v>7819</v>
      </c>
      <c r="E5318" s="4">
        <v>0.0</v>
      </c>
      <c r="F5318" s="4" t="str">
        <f>IFERROR(__xludf.DUMMYFUNCTION("GOOGLETRANSLATE(D5318)"),"多倫多為藍鳥隊瘋狂。你能想像葉子會變好嗎？這座城市可能真的會爆炸。")</f>
        <v>多倫多為藍鳥隊瘋狂。你能想像葉子會變好嗎？這座城市可能真的會爆炸。</v>
      </c>
      <c r="G5318" s="4" t="str">
        <f>IFERROR(__xludf.DUMMYFUNCTION("GOOGLETRANSLATE(B5318)"),"霹靂")</f>
        <v>霹靂</v>
      </c>
    </row>
    <row r="5319" ht="15.75" customHeight="1">
      <c r="A5319" s="4">
        <v>4912.0</v>
      </c>
      <c r="B5319" s="4" t="s">
        <v>2230</v>
      </c>
      <c r="C5319" s="4" t="s">
        <v>7820</v>
      </c>
      <c r="D5319" s="4" t="s">
        <v>7821</v>
      </c>
      <c r="E5319" s="4">
        <v>0.0</v>
      </c>
      <c r="F5319" s="4" t="str">
        <f>IFERROR(__xludf.DUMMYFUNCTION("GOOGLETRANSLATE(D5319)"),"@CrimsonFuckingV @BitchL0veCannon 即使你也不得不承認 Seras，Sasha 是個可愛的混蛋。然後她在人行道上爆炸了。")</f>
        <v>@CrimsonFuckingV @BitchL0veCannon 即使你也不得不承認 Seras，Sasha 是個可愛的混蛋。然後她在人行道上爆炸了。</v>
      </c>
      <c r="G5319" s="4" t="str">
        <f>IFERROR(__xludf.DUMMYFUNCTION("GOOGLETRANSLATE(B5319)"),"爆炸了")</f>
        <v>爆炸了</v>
      </c>
    </row>
    <row r="5320" ht="15.75" customHeight="1">
      <c r="A5320" s="4">
        <v>4914.0</v>
      </c>
      <c r="B5320" s="4" t="s">
        <v>2230</v>
      </c>
      <c r="C5320" s="4" t="s">
        <v>183</v>
      </c>
      <c r="D5320" s="4" t="s">
        <v>7822</v>
      </c>
      <c r="E5320" s="4">
        <v>0.0</v>
      </c>
      <c r="F5320" s="4" t="str">
        <f>IFERROR(__xludf.DUMMYFUNCTION("GOOGLETRANSLATE(D5320)"),"一罐特易購狗糧「爆炸」並引發了此投訴 - 來自@chelsea_dogs #pets #dogs #animals #puppy http://t.co/QzvKPaHsQ7")</f>
        <v>一罐特易購狗糧「爆炸」並引發了此投訴 - 來自@chelsea_dogs #pets #dogs #animals #puppy http://t.co/QzvKPaHsQ7</v>
      </c>
      <c r="G5320" s="4" t="str">
        <f>IFERROR(__xludf.DUMMYFUNCTION("GOOGLETRANSLATE(B5320)"),"爆炸了")</f>
        <v>爆炸了</v>
      </c>
    </row>
    <row r="5321" ht="15.75" customHeight="1">
      <c r="A5321" s="4">
        <v>4917.0</v>
      </c>
      <c r="B5321" s="4" t="s">
        <v>2230</v>
      </c>
      <c r="D5321" s="4" t="s">
        <v>7823</v>
      </c>
      <c r="E5321" s="4">
        <v>0.0</v>
      </c>
      <c r="F5321" s="4" t="str">
        <f>IFERROR(__xludf.DUMMYFUNCTION("GOOGLETRANSLATE(D5321)"),"我死了！！！我的兩個愛在一張照片中！我的心爆炸成一百萬顆！！！ ??????????????? @BrandonSkeie @samsmithworld http://t.co/yEtagC2d8A")</f>
        <v>我死了！！！我的兩個愛在一張照片中！我的心爆炸成一百萬顆！！！ ??????????????? @BrandonSkeie @samsmithworld http://t.co/yEtagC2d8A</v>
      </c>
      <c r="G5321" s="4" t="str">
        <f>IFERROR(__xludf.DUMMYFUNCTION("GOOGLETRANSLATE(B5321)"),"爆炸了")</f>
        <v>爆炸了</v>
      </c>
    </row>
    <row r="5322" ht="15.75" customHeight="1">
      <c r="A5322" s="4">
        <v>4920.0</v>
      </c>
      <c r="B5322" s="4" t="s">
        <v>2230</v>
      </c>
      <c r="C5322" s="4" t="s">
        <v>7824</v>
      </c>
      <c r="D5322" s="4" t="s">
        <v>7825</v>
      </c>
      <c r="E5322" s="4">
        <v>0.0</v>
      </c>
      <c r="F5322" s="4" t="str">
        <f>IFERROR(__xludf.DUMMYFUNCTION("GOOGLETRANSLATE(D5322)"),"好吧，當我更換 iPad 螢幕時，它他媽地爆炸了，玻璃散得到處都是。看來我的工作需要一份新的了。")</f>
        <v>好吧，當我更換 iPad 螢幕時，它他媽地爆炸了，玻璃散得到處都是。看來我的工作需要一份新的了。</v>
      </c>
      <c r="G5322" s="4" t="str">
        <f>IFERROR(__xludf.DUMMYFUNCTION("GOOGLETRANSLATE(B5322)"),"爆炸了")</f>
        <v>爆炸了</v>
      </c>
    </row>
    <row r="5323" ht="15.75" customHeight="1">
      <c r="A5323" s="4">
        <v>4922.0</v>
      </c>
      <c r="B5323" s="4" t="s">
        <v>2230</v>
      </c>
      <c r="C5323" s="4" t="s">
        <v>38</v>
      </c>
      <c r="D5323" s="4" t="s">
        <v>7826</v>
      </c>
      <c r="E5323" s="4">
        <v>0.0</v>
      </c>
      <c r="F5323" s="4" t="str">
        <f>IFERROR(__xludf.DUMMYFUNCTION("GOOGLETRANSLATE(D5323)"),"洋裝迷因已在網路上正式爆發 http://t.co/yG32yb2jDY")</f>
        <v>洋裝迷因已在網路上正式爆發 http://t.co/yG32yb2jDY</v>
      </c>
      <c r="G5323" s="4" t="str">
        <f>IFERROR(__xludf.DUMMYFUNCTION("GOOGLETRANSLATE(B5323)"),"爆炸了")</f>
        <v>爆炸了</v>
      </c>
    </row>
    <row r="5324" ht="15.75" customHeight="1">
      <c r="A5324" s="4">
        <v>4923.0</v>
      </c>
      <c r="B5324" s="4" t="s">
        <v>2230</v>
      </c>
      <c r="D5324" s="4" t="s">
        <v>7827</v>
      </c>
      <c r="E5324" s="4">
        <v>0.0</v>
      </c>
      <c r="F5324" s="4" t="str">
        <f>IFERROR(__xludf.DUMMYFUNCTION("GOOGLETRANSLATE(D5324)"),"我的小心臟剛剛爆炸#OTRAMETLIFE #MTVHottest 單向 https://t.co/pQsLUg4jK5")</f>
        <v>我的小心臟剛剛爆炸#OTRAMETLIFE #MTVHottest 單向 https://t.co/pQsLUg4jK5</v>
      </c>
      <c r="G5324" s="4" t="str">
        <f>IFERROR(__xludf.DUMMYFUNCTION("GOOGLETRANSLATE(B5324)"),"爆炸了")</f>
        <v>爆炸了</v>
      </c>
    </row>
    <row r="5325" ht="15.75" customHeight="1">
      <c r="A5325" s="4">
        <v>4926.0</v>
      </c>
      <c r="B5325" s="4" t="s">
        <v>2230</v>
      </c>
      <c r="C5325" s="4" t="s">
        <v>7828</v>
      </c>
      <c r="D5325" s="4" t="s">
        <v>7829</v>
      </c>
      <c r="E5325" s="4">
        <v>0.0</v>
      </c>
      <c r="F5325" s="4" t="str">
        <f>IFERROR(__xludf.DUMMYFUNCTION("GOOGLETRANSLATE(D5325)"),"剛剛看了《心靈爆炸的男人》。應該有一個德拉科·扎哈扎爾日。")</f>
        <v>剛剛看了《心靈爆炸的男人》。應該有一個德拉科·扎哈扎爾日。</v>
      </c>
      <c r="G5325" s="4" t="str">
        <f>IFERROR(__xludf.DUMMYFUNCTION("GOOGLETRANSLATE(B5325)"),"爆炸了")</f>
        <v>爆炸了</v>
      </c>
    </row>
    <row r="5326" ht="15.75" customHeight="1">
      <c r="A5326" s="4">
        <v>4929.0</v>
      </c>
      <c r="B5326" s="4" t="s">
        <v>2230</v>
      </c>
      <c r="D5326" s="4" t="s">
        <v>7830</v>
      </c>
      <c r="E5326" s="4">
        <v>0.0</v>
      </c>
      <c r="F5326" s="4" t="str">
        <f>IFERROR(__xludf.DUMMYFUNCTION("GOOGLETRANSLATE(D5326)"),"在 Twitter 注意到之前，我讀了好幾個小時才注意到這個中斷，但我認為這沒什麼好擔心的，因為 Twitter 並沒有因此而爆炸。")</f>
        <v>在 Twitter 注意到之前，我讀了好幾個小時才注意到這個中斷，但我認為這沒什麼好擔心的，因為 Twitter 並沒有因此而爆炸。</v>
      </c>
      <c r="G5326" s="4" t="str">
        <f>IFERROR(__xludf.DUMMYFUNCTION("GOOGLETRANSLATE(B5326)"),"爆炸了")</f>
        <v>爆炸了</v>
      </c>
    </row>
    <row r="5327" ht="15.75" customHeight="1">
      <c r="A5327" s="4">
        <v>4931.0</v>
      </c>
      <c r="B5327" s="4" t="s">
        <v>2230</v>
      </c>
      <c r="D5327" s="4" t="s">
        <v>7831</v>
      </c>
      <c r="E5327" s="4">
        <v>0.0</v>
      </c>
      <c r="F5327" s="4" t="str">
        <f>IFERROR(__xludf.DUMMYFUNCTION("GOOGLETRANSLATE(D5327)"),"爆炸了&amp;amp;帶來了
宇宙的開始與什麼相匹配
詩中提到天地
（因此宇宙）")</f>
        <v>爆炸了&amp;amp;帶來了
宇宙的開始與什麼相匹配
詩中提到天地
（因此宇宙）</v>
      </c>
      <c r="G5327" s="4" t="str">
        <f>IFERROR(__xludf.DUMMYFUNCTION("GOOGLETRANSLATE(B5327)"),"爆炸了")</f>
        <v>爆炸了</v>
      </c>
    </row>
    <row r="5328" ht="15.75" customHeight="1">
      <c r="A5328" s="4">
        <v>4934.0</v>
      </c>
      <c r="B5328" s="4" t="s">
        <v>2230</v>
      </c>
      <c r="C5328" s="4" t="s">
        <v>38</v>
      </c>
      <c r="D5328" s="4" t="s">
        <v>7832</v>
      </c>
      <c r="E5328" s="4">
        <v>0.0</v>
      </c>
      <c r="F5328" s="4" t="str">
        <f>IFERROR(__xludf.DUMMYFUNCTION("GOOGLETRANSLATE(D5328)"),"如果十年前你告​​訴我我會在大銀幕上看動漫…我可能會爆炸")</f>
        <v>如果十年前你告​​訴我我會在大銀幕上看動漫…我可能會爆炸</v>
      </c>
      <c r="G5328" s="4" t="str">
        <f>IFERROR(__xludf.DUMMYFUNCTION("GOOGLETRANSLATE(B5328)"),"爆炸了")</f>
        <v>爆炸了</v>
      </c>
    </row>
    <row r="5329" ht="15.75" customHeight="1">
      <c r="A5329" s="4">
        <v>4935.0</v>
      </c>
      <c r="B5329" s="4" t="s">
        <v>2230</v>
      </c>
      <c r="D5329" s="4" t="s">
        <v>7833</v>
      </c>
      <c r="E5329" s="4">
        <v>0.0</v>
      </c>
      <c r="F5329" s="4" t="str">
        <f>IFERROR(__xludf.DUMMYFUNCTION("GOOGLETRANSLATE(D5329)"),"洋裝迷因已在網路上正式爆發 http://t.co/iBsVy2R3PH")</f>
        <v>洋裝迷因已在網路上正式爆發 http://t.co/iBsVy2R3PH</v>
      </c>
      <c r="G5329" s="4" t="str">
        <f>IFERROR(__xludf.DUMMYFUNCTION("GOOGLETRANSLATE(B5329)"),"爆炸了")</f>
        <v>爆炸了</v>
      </c>
    </row>
    <row r="5330" ht="15.75" customHeight="1">
      <c r="A5330" s="4">
        <v>4936.0</v>
      </c>
      <c r="B5330" s="4" t="s">
        <v>2230</v>
      </c>
      <c r="D5330" s="4" t="s">
        <v>7834</v>
      </c>
      <c r="E5330" s="4">
        <v>0.0</v>
      </c>
      <c r="F5330" s="4" t="str">
        <f>IFERROR(__xludf.DUMMYFUNCTION("GOOGLETRANSLATE(D5330)"),"@BlueWestlo 在 @YouTube #38745 上爆炸的原因：https://t.co/Upgd2cy9il")</f>
        <v>@BlueWestlo 在 @YouTube #38745 上爆炸的原因：https://t.co/Upgd2cy9il</v>
      </c>
      <c r="G5330" s="4" t="str">
        <f>IFERROR(__xludf.DUMMYFUNCTION("GOOGLETRANSLATE(B5330)"),"爆炸了")</f>
        <v>爆炸了</v>
      </c>
    </row>
    <row r="5331" ht="15.75" customHeight="1">
      <c r="A5331" s="4">
        <v>4938.0</v>
      </c>
      <c r="B5331" s="4" t="s">
        <v>2230</v>
      </c>
      <c r="C5331" s="4" t="s">
        <v>7835</v>
      </c>
      <c r="D5331" s="4" t="s">
        <v>7836</v>
      </c>
      <c r="E5331" s="4">
        <v>0.0</v>
      </c>
      <c r="F5331" s="4" t="str">
        <f>IFERROR(__xludf.DUMMYFUNCTION("GOOGLETRANSLATE(D5331)"),"盧克+麥克風=卵巢爆炸")</f>
        <v>盧克+麥克風=卵巢爆炸</v>
      </c>
      <c r="G5331" s="4" t="str">
        <f>IFERROR(__xludf.DUMMYFUNCTION("GOOGLETRANSLATE(B5331)"),"爆炸了")</f>
        <v>爆炸了</v>
      </c>
    </row>
    <row r="5332" ht="15.75" customHeight="1">
      <c r="A5332" s="4">
        <v>4940.0</v>
      </c>
      <c r="B5332" s="4" t="s">
        <v>2230</v>
      </c>
      <c r="C5332" s="4" t="s">
        <v>7837</v>
      </c>
      <c r="D5332" s="4" t="s">
        <v>7838</v>
      </c>
      <c r="E5332" s="4">
        <v>0.0</v>
      </c>
      <c r="F5332" s="4" t="str">
        <f>IFERROR(__xludf.DUMMYFUNCTION("GOOGLETRANSLATE(D5332)"),"天啊@KingMyth1999 我的手機剛剛爆了。哈哈")</f>
        <v>天啊@KingMyth1999 我的手機剛剛爆了。哈哈</v>
      </c>
      <c r="G5332" s="4" t="str">
        <f>IFERROR(__xludf.DUMMYFUNCTION("GOOGLETRANSLATE(B5332)"),"爆炸了")</f>
        <v>爆炸了</v>
      </c>
    </row>
    <row r="5333" ht="15.75" customHeight="1">
      <c r="A5333" s="4">
        <v>4943.0</v>
      </c>
      <c r="B5333" s="4" t="s">
        <v>2230</v>
      </c>
      <c r="C5333" s="4" t="s">
        <v>7839</v>
      </c>
      <c r="D5333" s="4" t="s">
        <v>7840</v>
      </c>
      <c r="E5333" s="4">
        <v>0.0</v>
      </c>
      <c r="F5333" s="4" t="str">
        <f>IFERROR(__xludf.DUMMYFUNCTION("GOOGLETRANSLATE(D5333)"),"這個男人是徒手捏住另一個男人的頭，直到它真的爆炸了？？？？？？")</f>
        <v>這個男人是徒手捏住另一個男人的頭，直到它真的爆炸了？？？？？？</v>
      </c>
      <c r="G5333" s="4" t="str">
        <f>IFERROR(__xludf.DUMMYFUNCTION("GOOGLETRANSLATE(B5333)"),"爆炸了")</f>
        <v>爆炸了</v>
      </c>
    </row>
    <row r="5334" ht="15.75" customHeight="1">
      <c r="A5334" s="4">
        <v>4944.0</v>
      </c>
      <c r="B5334" s="4" t="s">
        <v>2230</v>
      </c>
      <c r="C5334" s="4" t="s">
        <v>826</v>
      </c>
      <c r="D5334" s="4" t="s">
        <v>7841</v>
      </c>
      <c r="E5334" s="4">
        <v>0.0</v>
      </c>
      <c r="F5334" s="4" t="str">
        <f>IFERROR(__xludf.DUMMYFUNCTION("GOOGLETRANSLATE(D5334)"),"@ItsNasB 現在我必須去更換剛剛爆炸的諷刺儀。 -__-")</f>
        <v>@ItsNasB 現在我必須去更換剛剛爆炸的諷刺儀。 -__-</v>
      </c>
      <c r="G5334" s="4" t="str">
        <f>IFERROR(__xludf.DUMMYFUNCTION("GOOGLETRANSLATE(B5334)"),"爆炸了")</f>
        <v>爆炸了</v>
      </c>
    </row>
    <row r="5335" ht="15.75" customHeight="1">
      <c r="A5335" s="4">
        <v>4946.0</v>
      </c>
      <c r="B5335" s="4" t="s">
        <v>2230</v>
      </c>
      <c r="D5335" s="4" t="s">
        <v>7842</v>
      </c>
      <c r="E5335" s="4">
        <v>0.0</v>
      </c>
      <c r="F5335" s="4" t="str">
        <f>IFERROR(__xludf.DUMMYFUNCTION("GOOGLETRANSLATE(D5335)"),"@MeryCormier哈哈！確切地！科西瑪無疑處於困境。哈哈
“是謝伊。”和爆炸的炸彈沒有什麼不同。")</f>
        <v>@MeryCormier哈哈！確切地！科西瑪無疑處於困境。哈哈
“是謝伊。”和爆炸的炸彈沒有什麼不同。</v>
      </c>
      <c r="G5335" s="4" t="str">
        <f>IFERROR(__xludf.DUMMYFUNCTION("GOOGLETRANSLATE(B5335)"),"爆炸了")</f>
        <v>爆炸了</v>
      </c>
    </row>
    <row r="5336" ht="15.75" customHeight="1">
      <c r="A5336" s="4">
        <v>4948.0</v>
      </c>
      <c r="B5336" s="4" t="s">
        <v>2230</v>
      </c>
      <c r="C5336" s="4" t="s">
        <v>7843</v>
      </c>
      <c r="D5336" s="4" t="s">
        <v>7844</v>
      </c>
      <c r="E5336" s="4">
        <v>0.0</v>
      </c>
      <c r="F5336" s="4" t="str">
        <f>IFERROR(__xludf.DUMMYFUNCTION("GOOGLETRANSLATE(D5336)"),"我發誓我的頭爆炸了")</f>
        <v>我發誓我的頭爆炸了</v>
      </c>
      <c r="G5336" s="4" t="str">
        <f>IFERROR(__xludf.DUMMYFUNCTION("GOOGLETRANSLATE(B5336)"),"爆炸了")</f>
        <v>爆炸了</v>
      </c>
    </row>
    <row r="5337" ht="15.75" customHeight="1">
      <c r="A5337" s="4">
        <v>4951.0</v>
      </c>
      <c r="B5337" s="4" t="s">
        <v>2230</v>
      </c>
      <c r="D5337" s="4" t="s">
        <v>7845</v>
      </c>
      <c r="E5337" s="4">
        <v>0.0</v>
      </c>
      <c r="F5337" s="4" t="str">
        <f>IFERROR(__xludf.DUMMYFUNCTION("GOOGLETRANSLATE(D5337)"),"當火焰升到空中並猝不及防地爆炸時，由美子嚇了一跳~「哇…」她－(@LenkaIsWaifu)")</f>
        <v>當火焰升到空中並猝不及防地爆炸時，由美子嚇了一跳~「哇…」她－(@LenkaIsWaifu)</v>
      </c>
      <c r="G5337" s="4" t="str">
        <f>IFERROR(__xludf.DUMMYFUNCTION("GOOGLETRANSLATE(B5337)"),"爆炸了")</f>
        <v>爆炸了</v>
      </c>
    </row>
    <row r="5338" ht="15.75" customHeight="1">
      <c r="A5338" s="4">
        <v>4952.0</v>
      </c>
      <c r="B5338" s="4" t="s">
        <v>2230</v>
      </c>
      <c r="D5338" s="4" t="s">
        <v>7831</v>
      </c>
      <c r="E5338" s="4">
        <v>0.0</v>
      </c>
      <c r="F5338" s="4" t="str">
        <f>IFERROR(__xludf.DUMMYFUNCTION("GOOGLETRANSLATE(D5338)"),"爆炸了&amp;amp;帶來了
宇宙的開始與什麼相匹配
詩中提到天地
（因此宇宙）")</f>
        <v>爆炸了&amp;amp;帶來了
宇宙的開始與什麼相匹配
詩中提到天地
（因此宇宙）</v>
      </c>
      <c r="G5338" s="4" t="str">
        <f>IFERROR(__xludf.DUMMYFUNCTION("GOOGLETRANSLATE(B5338)"),"爆炸了")</f>
        <v>爆炸了</v>
      </c>
    </row>
    <row r="5339" ht="15.75" customHeight="1">
      <c r="A5339" s="4">
        <v>4954.0</v>
      </c>
      <c r="B5339" s="4" t="s">
        <v>2230</v>
      </c>
      <c r="C5339" s="4" t="s">
        <v>2251</v>
      </c>
      <c r="D5339" s="4" t="s">
        <v>7846</v>
      </c>
      <c r="E5339" s="4">
        <v>0.0</v>
      </c>
      <c r="F5339" s="4" t="str">
        <f>IFERROR(__xludf.DUMMYFUNCTION("GOOGLETRANSLATE(D5339)"),"@lunasagalle @synapsenkotze
《爆炸——私生子比恩》")</f>
        <v>@lunasagalle @synapsenkotze
《爆炸——私生子比恩》</v>
      </c>
      <c r="G5339" s="4" t="str">
        <f>IFERROR(__xludf.DUMMYFUNCTION("GOOGLETRANSLATE(B5339)"),"爆炸了")</f>
        <v>爆炸了</v>
      </c>
    </row>
    <row r="5340" ht="15.75" customHeight="1">
      <c r="A5340" s="4">
        <v>4955.0</v>
      </c>
      <c r="B5340" s="4" t="s">
        <v>2230</v>
      </c>
      <c r="D5340" s="4" t="s">
        <v>7847</v>
      </c>
      <c r="E5340" s="4">
        <v>0.0</v>
      </c>
      <c r="F5340" s="4" t="str">
        <f>IFERROR(__xludf.DUMMYFUNCTION("GOOGLETRANSLATE(D5340)"),"#dating #meet #sex 熱辣青少年屁股被大雞巴爆炸 http://t.co/X39JwSyrqR")</f>
        <v>#dating #meet #sex 熱辣青少年屁股被大雞巴爆炸 http://t.co/X39JwSyrqR</v>
      </c>
      <c r="G5340" s="4" t="str">
        <f>IFERROR(__xludf.DUMMYFUNCTION("GOOGLETRANSLATE(B5340)"),"爆炸了")</f>
        <v>爆炸了</v>
      </c>
    </row>
    <row r="5341" ht="15.75" customHeight="1">
      <c r="A5341" s="4">
        <v>4958.0</v>
      </c>
      <c r="B5341" s="4" t="s">
        <v>2230</v>
      </c>
      <c r="D5341" s="4" t="s">
        <v>7848</v>
      </c>
      <c r="E5341" s="4">
        <v>0.0</v>
      </c>
      <c r="F5341" s="4" t="str">
        <f>IFERROR(__xludf.DUMMYFUNCTION("GOOGLETRANSLATE(D5341)"),"@OKgooner 哈哈哈 很棒的歌。 “花了15年的時間才裝滿東西。” 15年後，他的肝臟爆炸了。現在鮑伯要做什麼，他…”")</f>
        <v>@OKgooner 哈哈哈 很棒的歌。 “花了15年的時間才裝滿東西。” 15年後，他的肝臟爆炸了。現在鮑伯要做什麼，他…”</v>
      </c>
      <c r="G5341" s="4" t="str">
        <f>IFERROR(__xludf.DUMMYFUNCTION("GOOGLETRANSLATE(B5341)"),"爆炸了")</f>
        <v>爆炸了</v>
      </c>
    </row>
    <row r="5342" ht="15.75" customHeight="1">
      <c r="A5342" s="4">
        <v>4959.0</v>
      </c>
      <c r="B5342" s="4" t="s">
        <v>2230</v>
      </c>
      <c r="D5342" s="4" t="s">
        <v>7849</v>
      </c>
      <c r="E5342" s="4">
        <v>0.0</v>
      </c>
      <c r="F5342" s="4" t="str">
        <f>IFERROR(__xludf.DUMMYFUNCTION("GOOGLETRANSLATE(D5342)"),"在快餐店工作。將燒焦的熱油倒入水槽。它碰到了陷阱裡的水並爆炸了。 @FallonTonight #WORSTSUMMERJOB")</f>
        <v>在快餐店工作。將燒焦的熱油倒入水槽。它碰到了陷阱裡的水並爆炸了。 @FallonTonight #WORSTSUMMERJOB</v>
      </c>
      <c r="G5342" s="4" t="str">
        <f>IFERROR(__xludf.DUMMYFUNCTION("GOOGLETRANSLATE(B5342)"),"爆炸了")</f>
        <v>爆炸了</v>
      </c>
    </row>
    <row r="5343" ht="15.75" customHeight="1">
      <c r="A5343" s="4">
        <v>4961.0</v>
      </c>
      <c r="B5343" s="4" t="s">
        <v>2244</v>
      </c>
      <c r="C5343" s="4" t="s">
        <v>291</v>
      </c>
      <c r="D5343" s="4" t="s">
        <v>7850</v>
      </c>
      <c r="E5343" s="4">
        <v>0.0</v>
      </c>
      <c r="F5343" s="4" t="str">
        <f>IFERROR(__xludf.DUMMYFUNCTION("GOOGLETRANSLATE(D5343)"),"適用於黑莓 Z10 的新型防爆強化玻璃螢幕保護貼 - 全文閱讀：Û_ http://t.co/ModqNaLWsB http://t.co/4C58oOaVhY")</f>
        <v>適用於黑莓 Z10 的新型防爆強化玻璃螢幕保護貼 - 全文閱讀：Û_ http://t.co/ModqNaLWsB http://t.co/4C58oOaVhY</v>
      </c>
      <c r="G5343" s="4" t="str">
        <f>IFERROR(__xludf.DUMMYFUNCTION("GOOGLETRANSLATE(B5343)"),"霹靂")</f>
        <v>霹靂</v>
      </c>
    </row>
    <row r="5344" ht="15.75" customHeight="1">
      <c r="A5344" s="4">
        <v>4971.0</v>
      </c>
      <c r="B5344" s="4" t="s">
        <v>2244</v>
      </c>
      <c r="C5344" s="4" t="s">
        <v>7851</v>
      </c>
      <c r="D5344" s="4" t="s">
        <v>7852</v>
      </c>
      <c r="E5344" s="4">
        <v>0.0</v>
      </c>
      <c r="F5344" s="4" t="str">
        <f>IFERROR(__xludf.DUMMYFUNCTION("GOOGLETRANSLATE(D5344)"),"……我想我這麼久以來從來沒有如此接近過精神爆炸")</f>
        <v>……我想我這麼久以來從來沒有如此接近過精神爆炸</v>
      </c>
      <c r="G5344" s="4" t="str">
        <f>IFERROR(__xludf.DUMMYFUNCTION("GOOGLETRANSLATE(B5344)"),"霹靂")</f>
        <v>霹靂</v>
      </c>
    </row>
    <row r="5345" ht="15.75" customHeight="1">
      <c r="A5345" s="4">
        <v>4979.0</v>
      </c>
      <c r="B5345" s="4" t="s">
        <v>2244</v>
      </c>
      <c r="C5345" s="4" t="s">
        <v>7853</v>
      </c>
      <c r="D5345" s="4" t="s">
        <v>7854</v>
      </c>
      <c r="E5345" s="4">
        <v>0.0</v>
      </c>
      <c r="F5345" s="4" t="str">
        <f>IFERROR(__xludf.DUMMYFUNCTION("GOOGLETRANSLATE(D5345)"),"@KirCut1 讓我們一起拍一張令人興奮的照片並進行最令人興奮的爆炸？？？")</f>
        <v>@KirCut1 讓我們一起拍一張令人興奮的照片並進行最令人興奮的爆炸？？？</v>
      </c>
      <c r="G5345" s="4" t="str">
        <f>IFERROR(__xludf.DUMMYFUNCTION("GOOGLETRANSLATE(B5345)"),"霹靂")</f>
        <v>霹靂</v>
      </c>
    </row>
    <row r="5346" ht="15.75" customHeight="1">
      <c r="A5346" s="4">
        <v>4980.0</v>
      </c>
      <c r="B5346" s="4" t="s">
        <v>2244</v>
      </c>
      <c r="D5346" s="4" t="s">
        <v>7855</v>
      </c>
      <c r="E5346" s="4">
        <v>0.0</v>
      </c>
      <c r="F5346" s="4" t="str">
        <f>IFERROR(__xludf.DUMMYFUNCTION("GOOGLETRANSLATE(D5346)"),"大數據和社交資訊爆炸：可以發展您的零售策略的聯盟...HUa")</f>
        <v>大數據和社交資訊爆炸：可以發展您的零售策略的聯盟...HUa</v>
      </c>
      <c r="G5346" s="4" t="str">
        <f>IFERROR(__xludf.DUMMYFUNCTION("GOOGLETRANSLATE(B5346)"),"霹靂")</f>
        <v>霹靂</v>
      </c>
    </row>
    <row r="5347" ht="15.75" customHeight="1">
      <c r="A5347" s="4">
        <v>4981.0</v>
      </c>
      <c r="B5347" s="4" t="s">
        <v>2244</v>
      </c>
      <c r="D5347" s="4" t="s">
        <v>7856</v>
      </c>
      <c r="E5347" s="4">
        <v>0.0</v>
      </c>
      <c r="F5347" s="4" t="str">
        <f>IFERROR(__xludf.DUMMYFUNCTION("GOOGLETRANSLATE(D5347)"),"有抱負的音樂家和歌曲作者在上週六的 GMMBC Youth Explosion 上分享了她的才華。 http://t.co/OmjMTU9kFG")</f>
        <v>有抱負的音樂家和歌曲作者在上週六的 GMMBC Youth Explosion 上分享了她的才華。 http://t.co/OmjMTU9kFG</v>
      </c>
      <c r="G5347" s="4" t="str">
        <f>IFERROR(__xludf.DUMMYFUNCTION("GOOGLETRANSLATE(B5347)"),"霹靂")</f>
        <v>霹靂</v>
      </c>
    </row>
    <row r="5348" ht="15.75" customHeight="1">
      <c r="A5348" s="4">
        <v>4984.0</v>
      </c>
      <c r="B5348" s="4" t="s">
        <v>2244</v>
      </c>
      <c r="C5348" s="4" t="s">
        <v>1205</v>
      </c>
      <c r="D5348" s="4" t="s">
        <v>7857</v>
      </c>
      <c r="E5348" s="4">
        <v>0.0</v>
      </c>
      <c r="F5348" s="4" t="str">
        <f>IFERROR(__xludf.DUMMYFUNCTION("GOOGLETRANSLATE(D5348)"),"@AminESPN 孟子的眼淚更糟糕，對嗎？每天都會經歷爆炸和更多的痛苦，對嗎？")</f>
        <v>@AminESPN 孟子的眼淚更糟糕，對嗎？每天都會經歷爆炸和更多的痛苦，對嗎？</v>
      </c>
      <c r="G5348" s="4" t="str">
        <f>IFERROR(__xludf.DUMMYFUNCTION("GOOGLETRANSLATE(B5348)"),"霹靂")</f>
        <v>霹靂</v>
      </c>
    </row>
    <row r="5349" ht="15.75" customHeight="1">
      <c r="A5349" s="4">
        <v>4986.0</v>
      </c>
      <c r="B5349" s="4" t="s">
        <v>2244</v>
      </c>
      <c r="D5349" s="4" t="s">
        <v>7858</v>
      </c>
      <c r="E5349" s="4">
        <v>0.0</v>
      </c>
      <c r="F5349" s="4" t="str">
        <f>IFERROR(__xludf.DUMMYFUNCTION("GOOGLETRANSLATE(D5349)"),"適用於黑莓 Z10 的新款防爆強化玻璃螢幕保護貼 - 全文閱讀：Û_ http://t.co/tOYU16mxBO http://t.co/P10hNDc0Mm")</f>
        <v>適用於黑莓 Z10 的新款防爆強化玻璃螢幕保護貼 - 全文閱讀：Û_ http://t.co/tOYU16mxBO http://t.co/P10hNDc0Mm</v>
      </c>
      <c r="G5349" s="4" t="str">
        <f>IFERROR(__xludf.DUMMYFUNCTION("GOOGLETRANSLATE(B5349)"),"霹靂")</f>
        <v>霹靂</v>
      </c>
    </row>
    <row r="5350" ht="15.75" customHeight="1">
      <c r="A5350" s="4">
        <v>4989.0</v>
      </c>
      <c r="B5350" s="4" t="s">
        <v>2244</v>
      </c>
      <c r="D5350" s="4" t="s">
        <v>7859</v>
      </c>
      <c r="E5350" s="4">
        <v>0.0</v>
      </c>
      <c r="F5350" s="4" t="str">
        <f>IFERROR(__xludf.DUMMYFUNCTION("GOOGLETRANSLATE(D5350)"),"#暨爆炸！
@begforcum
@allday_cumshots
@cumcovered
@性感射精
@卡姆敦
@BJ_納特
@cumslut_2
@GirlsLoveCum http://t.co/2CX1yjjoZ9")</f>
        <v>#暨爆炸！
@begforcum
@allday_cumshots
@cumcovered
@性感射精
@卡姆敦
@BJ_納特
@cumslut_2
@GirlsLoveCum http://t.co/2CX1yjjoZ9</v>
      </c>
      <c r="G5350" s="4" t="str">
        <f>IFERROR(__xludf.DUMMYFUNCTION("GOOGLETRANSLATE(B5350)"),"霹靂")</f>
        <v>霹靂</v>
      </c>
    </row>
    <row r="5351" ht="15.75" customHeight="1">
      <c r="A5351" s="4">
        <v>4990.0</v>
      </c>
      <c r="B5351" s="4" t="s">
        <v>2244</v>
      </c>
      <c r="D5351" s="4" t="s">
        <v>7860</v>
      </c>
      <c r="E5351" s="4">
        <v>0.0</v>
      </c>
      <c r="F5351" s="4" t="str">
        <f>IFERROR(__xludf.DUMMYFUNCTION("GOOGLETRANSLATE(D5351)"),"為財務高層提供負責任的資訊爆炸提示：tawFMCAw")</f>
        <v>為財務高層提供負責任的資訊爆炸提示：tawFMCAw</v>
      </c>
      <c r="G5351" s="4" t="str">
        <f>IFERROR(__xludf.DUMMYFUNCTION("GOOGLETRANSLATE(B5351)"),"霹靂")</f>
        <v>霹靂</v>
      </c>
    </row>
    <row r="5352" ht="15.75" customHeight="1">
      <c r="A5352" s="4">
        <v>4992.0</v>
      </c>
      <c r="B5352" s="4" t="s">
        <v>2244</v>
      </c>
      <c r="C5352" s="4" t="s">
        <v>291</v>
      </c>
      <c r="D5352" s="4" t="s">
        <v>7861</v>
      </c>
      <c r="E5352" s="4">
        <v>0.0</v>
      </c>
      <c r="F5352" s="4" t="str">
        <f>IFERROR(__xludf.DUMMYFUNCTION("GOOGLETRANSLATE(D5352)"),"適用於黑莓 Z10 的新款防爆強化玻璃螢幕保護貼 - 全文閱讀：Û_ http://t.co/z4IlB9y9nU http://t.co/j295MD1SOW")</f>
        <v>適用於黑莓 Z10 的新款防爆強化玻璃螢幕保護貼 - 全文閱讀：Û_ http://t.co/z4IlB9y9nU http://t.co/j295MD1SOW</v>
      </c>
      <c r="G5352" s="4" t="str">
        <f>IFERROR(__xludf.DUMMYFUNCTION("GOOGLETRANSLATE(B5352)"),"霹靂")</f>
        <v>霹靂</v>
      </c>
    </row>
    <row r="5353" ht="15.75" customHeight="1">
      <c r="A5353" s="4">
        <v>4993.0</v>
      </c>
      <c r="B5353" s="4" t="s">
        <v>2244</v>
      </c>
      <c r="C5353" s="4" t="s">
        <v>291</v>
      </c>
      <c r="D5353" s="4" t="s">
        <v>7862</v>
      </c>
      <c r="E5353" s="4">
        <v>0.0</v>
      </c>
      <c r="F5353" s="4" t="str">
        <f>IFERROR(__xludf.DUMMYFUNCTION("GOOGLETRANSLATE(D5353)"),"適用於黑莓 Z10 的新款防爆強化玻璃螢幕保護貼 - 全文閱讀：Û_ http://t.co/SD7lOww9nu http://t.co/7hKavTVx81")</f>
        <v>適用於黑莓 Z10 的新款防爆強化玻璃螢幕保護貼 - 全文閱讀：Û_ http://t.co/SD7lOww9nu http://t.co/7hKavTVx81</v>
      </c>
      <c r="G5353" s="4" t="str">
        <f>IFERROR(__xludf.DUMMYFUNCTION("GOOGLETRANSLATE(B5353)"),"霹靂")</f>
        <v>霹靂</v>
      </c>
    </row>
    <row r="5354" ht="15.75" customHeight="1">
      <c r="A5354" s="4">
        <v>4995.0</v>
      </c>
      <c r="B5354" s="4" t="s">
        <v>2244</v>
      </c>
      <c r="D5354" s="4" t="s">
        <v>7863</v>
      </c>
      <c r="E5354" s="4">
        <v>0.0</v>
      </c>
      <c r="F5354" s="4" t="str">
        <f>IFERROR(__xludf.DUMMYFUNCTION("GOOGLETRANSLATE(D5354)"),"您錯過了 #BitCoin 爆炸嗎 - 不要錯過 - #Hangout 今晚 8:30 PM EST ===&amp;gt;&amp;gt;&amp;gt; http://t.co/qKaHXwLWXa")</f>
        <v>您錯過了 #BitCoin 爆炸嗎 - 不要錯過 - #Hangout 今晚 8:30 PM EST ===&amp;gt;&amp;gt;&amp;gt; http://t.co/qKaHXwLWXa</v>
      </c>
      <c r="G5354" s="4" t="str">
        <f>IFERROR(__xludf.DUMMYFUNCTION("GOOGLETRANSLATE(B5354)"),"霹靂")</f>
        <v>霹靂</v>
      </c>
    </row>
    <row r="5355" ht="15.75" customHeight="1">
      <c r="A5355" s="4">
        <v>4997.0</v>
      </c>
      <c r="B5355" s="4" t="s">
        <v>2244</v>
      </c>
      <c r="C5355" s="4" t="s">
        <v>2145</v>
      </c>
      <c r="D5355" s="4" t="s">
        <v>7864</v>
      </c>
      <c r="E5355" s="4">
        <v>0.0</v>
      </c>
      <c r="F5355" s="4" t="str">
        <f>IFERROR(__xludf.DUMMYFUNCTION("GOOGLETRANSLATE(D5355)"),"#Tampa：超級自由式爆炸現場音樂會在阿馬利亞競技場 - 9 月 19 日
？門票資訊：http://t.co/ooGotO76uZ")</f>
        <v>#Tampa：超級自由式爆炸現場音樂會在阿馬利亞競技場 - 9 月 19 日
？門票資訊：http://t.co/ooGotO76uZ</v>
      </c>
      <c r="G5355" s="4" t="str">
        <f>IFERROR(__xludf.DUMMYFUNCTION("GOOGLETRANSLATE(B5355)"),"霹靂")</f>
        <v>霹靂</v>
      </c>
    </row>
    <row r="5356" ht="15.75" customHeight="1">
      <c r="A5356" s="4">
        <v>5000.0</v>
      </c>
      <c r="B5356" s="4" t="s">
        <v>2244</v>
      </c>
      <c r="D5356" s="4" t="s">
        <v>7865</v>
      </c>
      <c r="E5356" s="4">
        <v>0.0</v>
      </c>
      <c r="F5356" s="4" t="str">
        <f>IFERROR(__xludf.DUMMYFUNCTION("GOOGLETRANSLATE(D5356)"),"今天心情很糟糕，在學校搭電梯時，決定每次有人按下按鈕就做出爆炸鼻？")</f>
        <v>今天心情很糟糕，在學校搭電梯時，決定每次有人按下按鈕就做出爆炸鼻？</v>
      </c>
      <c r="G5356" s="4" t="str">
        <f>IFERROR(__xludf.DUMMYFUNCTION("GOOGLETRANSLATE(B5356)"),"霹靂")</f>
        <v>霹靂</v>
      </c>
    </row>
    <row r="5357" ht="15.75" customHeight="1">
      <c r="A5357" s="4">
        <v>5001.0</v>
      </c>
      <c r="B5357" s="4" t="s">
        <v>2244</v>
      </c>
      <c r="D5357" s="4" t="s">
        <v>7866</v>
      </c>
      <c r="E5357" s="4">
        <v>0.0</v>
      </c>
      <c r="F5357" s="4" t="str">
        <f>IFERROR(__xludf.DUMMYFUNCTION("GOOGLETRANSLATE(D5357)"),"查看所有 NURGLE 規則和規則Khrone WD 中潛入的功能！ http://t.co/he7Q7H3nZf http://t.co/rpvZBEsUQJ")</f>
        <v>查看所有 NURGLE 規則和規則Khrone WD 中潛入的功能！ http://t.co/he7Q7H3nZf http://t.co/rpvZBEsUQJ</v>
      </c>
      <c r="G5357" s="4" t="str">
        <f>IFERROR(__xludf.DUMMYFUNCTION("GOOGLETRANSLATE(B5357)"),"霹靂")</f>
        <v>霹靂</v>
      </c>
    </row>
    <row r="5358" ht="15.75" customHeight="1">
      <c r="A5358" s="4">
        <v>5002.0</v>
      </c>
      <c r="B5358" s="4" t="s">
        <v>2244</v>
      </c>
      <c r="C5358" s="4" t="s">
        <v>291</v>
      </c>
      <c r="D5358" s="4" t="s">
        <v>7867</v>
      </c>
      <c r="E5358" s="4">
        <v>0.0</v>
      </c>
      <c r="F5358" s="4" t="str">
        <f>IFERROR(__xludf.DUMMYFUNCTION("GOOGLETRANSLATE(D5358)"),"適用於黑莓 Z10 的新款防爆強化玻璃螢幕保護貼 - 全文閱讀：Û_ http://t.co/hQZFcXxRsB http://t.co/0VWPdIzckO")</f>
        <v>適用於黑莓 Z10 的新款防爆強化玻璃螢幕保護貼 - 全文閱讀：Û_ http://t.co/hQZFcXxRsB http://t.co/0VWPdIzckO</v>
      </c>
      <c r="G5358" s="4" t="str">
        <f>IFERROR(__xludf.DUMMYFUNCTION("GOOGLETRANSLATE(B5358)"),"霹靂")</f>
        <v>霹靂</v>
      </c>
    </row>
    <row r="5359" ht="15.75" customHeight="1">
      <c r="A5359" s="4">
        <v>5007.0</v>
      </c>
      <c r="B5359" s="4" t="s">
        <v>2244</v>
      </c>
      <c r="D5359" s="4" t="s">
        <v>7868</v>
      </c>
      <c r="E5359" s="4">
        <v>0.0</v>
      </c>
      <c r="F5359" s="4" t="str">
        <f>IFERROR(__xludf.DUMMYFUNCTION("GOOGLETRANSLATE(D5359)"),"爆炸盒內部結構..
按照您想要的方式訂製！
#dcubecrafts #greetingcardsÛ_ https://t.co/T07qxP5cBE")</f>
        <v>爆炸盒內部結構..
按照您想要的方式訂製！
#dcubecrafts #greetingcardsÛ_ https://t.co/T07qxP5cBE</v>
      </c>
      <c r="G5359" s="4" t="str">
        <f>IFERROR(__xludf.DUMMYFUNCTION("GOOGLETRANSLATE(B5359)"),"霹靂")</f>
        <v>霹靂</v>
      </c>
    </row>
    <row r="5360" ht="15.75" customHeight="1">
      <c r="A5360" s="4">
        <v>5008.0</v>
      </c>
      <c r="B5360" s="4" t="s">
        <v>2244</v>
      </c>
      <c r="D5360" s="4" t="s">
        <v>7869</v>
      </c>
      <c r="E5360" s="4">
        <v>0.0</v>
      </c>
      <c r="F5360" s="4" t="str">
        <f>IFERROR(__xludf.DUMMYFUNCTION("GOOGLETRANSLATE(D5360)"),"對於那些對「神學美學導論」末尾討論的火藥藝術感興趣的人http://t.co/BZ3iR4GMWj")</f>
        <v>對於那些對「神學美學導論」末尾討論的火藥藝術感興趣的人http://t.co/BZ3iR4GMWj</v>
      </c>
      <c r="G5360" s="4" t="str">
        <f>IFERROR(__xludf.DUMMYFUNCTION("GOOGLETRANSLATE(B5360)"),"霹靂")</f>
        <v>霹靂</v>
      </c>
    </row>
    <row r="5361" ht="15.75" customHeight="1">
      <c r="A5361" s="4">
        <v>5010.0</v>
      </c>
      <c r="B5361" s="4" t="s">
        <v>2244</v>
      </c>
      <c r="C5361" s="4" t="s">
        <v>7870</v>
      </c>
      <c r="D5361" s="4" t="s">
        <v>7871</v>
      </c>
      <c r="E5361" s="4">
        <v>0.0</v>
      </c>
      <c r="F5361" s="4" t="str">
        <f>IFERROR(__xludf.DUMMYFUNCTION("GOOGLETRANSLATE(D5361)"),"政府擔心人口爆炸，民眾也擔心政府爆炸。 ——喬·摩爾")</f>
        <v>政府擔心人口爆炸，民眾也擔心政府爆炸。 ——喬·摩爾</v>
      </c>
      <c r="G5361" s="4" t="str">
        <f>IFERROR(__xludf.DUMMYFUNCTION("GOOGLETRANSLATE(B5361)"),"霹靂")</f>
        <v>霹靂</v>
      </c>
    </row>
    <row r="5362" ht="15.75" customHeight="1">
      <c r="A5362" s="4">
        <v>5013.0</v>
      </c>
      <c r="B5362" s="4" t="s">
        <v>2273</v>
      </c>
      <c r="D5362" s="4" t="s">
        <v>7872</v>
      </c>
      <c r="E5362" s="4">
        <v>0.0</v>
      </c>
      <c r="F5362" s="4" t="str">
        <f>IFERROR(__xludf.DUMMYFUNCTION("GOOGLETRANSLATE(D5362)"),"記住匹茲堡鋼鐵城的目擊歷史 作者：Len Barcousky PB Penn http://t.co/dhGAVw8bSW http://t.co/0lMhEAEX9k")</f>
        <v>記住匹茲堡鋼鐵城的目擊歷史 作者：Len Barcousky PB Penn http://t.co/dhGAVw8bSW http://t.co/0lMhEAEX9k</v>
      </c>
      <c r="G5362" s="4" t="str">
        <f>IFERROR(__xludf.DUMMYFUNCTION("GOOGLETRANSLATE(B5362)"),"目擊者")</f>
        <v>目擊者</v>
      </c>
    </row>
    <row r="5363" ht="15.75" customHeight="1">
      <c r="A5363" s="4">
        <v>5015.0</v>
      </c>
      <c r="B5363" s="4" t="s">
        <v>2273</v>
      </c>
      <c r="C5363" s="4" t="s">
        <v>7873</v>
      </c>
      <c r="D5363" s="4" t="s">
        <v>7874</v>
      </c>
      <c r="E5363" s="4">
        <v>0.0</v>
      </c>
      <c r="F5363" s="4" t="str">
        <f>IFERROR(__xludf.DUMMYFUNCTION("GOOGLETRANSLATE(D5363)"),"@Squibby_我是目擊者HA")</f>
        <v>@Squibby_我是目擊者HA</v>
      </c>
      <c r="G5363" s="4" t="str">
        <f>IFERROR(__xludf.DUMMYFUNCTION("GOOGLETRANSLATE(B5363)"),"目擊者")</f>
        <v>目擊者</v>
      </c>
    </row>
    <row r="5364" ht="15.75" customHeight="1">
      <c r="A5364" s="4">
        <v>5016.0</v>
      </c>
      <c r="B5364" s="4" t="s">
        <v>2273</v>
      </c>
      <c r="D5364" s="4" t="s">
        <v>7875</v>
      </c>
      <c r="E5364" s="4">
        <v>0.0</v>
      </c>
      <c r="F5364" s="4" t="str">
        <f>IFERROR(__xludf.DUMMYFUNCTION("GOOGLETRANSLATE(D5364)"),"透過 reddit 進行目擊者辨識 http://t.co/bQV3QtTuxR http://t.co/0DrqlrsGY5")</f>
        <v>透過 reddit 進行目擊者辨識 http://t.co/bQV3QtTuxR http://t.co/0DrqlrsGY5</v>
      </c>
      <c r="G5364" s="4" t="str">
        <f>IFERROR(__xludf.DUMMYFUNCTION("GOOGLETRANSLATE(B5364)"),"目擊者")</f>
        <v>目擊者</v>
      </c>
    </row>
    <row r="5365" ht="15.75" customHeight="1">
      <c r="A5365" s="4">
        <v>5017.0</v>
      </c>
      <c r="B5365" s="4" t="s">
        <v>2273</v>
      </c>
      <c r="C5365" s="4" t="s">
        <v>7876</v>
      </c>
      <c r="D5365" s="4" t="s">
        <v>7877</v>
      </c>
      <c r="E5365" s="4">
        <v>0.0</v>
      </c>
      <c r="F5365" s="4" t="str">
        <f>IFERROR(__xludf.DUMMYFUNCTION("GOOGLETRANSLATE(D5365)"),"WPRI 12 目擊者新聞 羅德島州將對其投票設備進行現代化改造 WPRI 12 目擊者Û_ http://t.co/aP9JBrPmQg")</f>
        <v>WPRI 12 目擊者新聞 羅德島州將對其投票設備進行現代化改造 WPRI 12 目擊者Û_ http://t.co/aP9JBrPmQg</v>
      </c>
      <c r="G5365" s="4" t="str">
        <f>IFERROR(__xludf.DUMMYFUNCTION("GOOGLETRANSLATE(B5365)"),"目擊者")</f>
        <v>目擊者</v>
      </c>
    </row>
    <row r="5366" ht="15.75" customHeight="1">
      <c r="A5366" s="4">
        <v>5022.0</v>
      </c>
      <c r="B5366" s="4" t="s">
        <v>2273</v>
      </c>
      <c r="D5366" s="4" t="s">
        <v>7878</v>
      </c>
      <c r="E5366" s="4">
        <v>0.0</v>
      </c>
      <c r="F5366" s="4" t="str">
        <f>IFERROR(__xludf.DUMMYFUNCTION("GOOGLETRANSLATE(D5366)"),"#Eyewitness 媒體受到#UK 觀眾的積極歡迎。閱讀 @emhub 關於#UGC 在新聞中的影響的報告：http://t.co/6mBPvwiTxf")</f>
        <v>#Eyewitness 媒體受到#UK 觀眾的積極歡迎。閱讀 @emhub 關於#UGC 在新聞中的影響的報告：http://t.co/6mBPvwiTxf</v>
      </c>
      <c r="G5366" s="4" t="str">
        <f>IFERROR(__xludf.DUMMYFUNCTION("GOOGLETRANSLATE(B5366)"),"目擊者")</f>
        <v>目擊者</v>
      </c>
    </row>
    <row r="5367" ht="15.75" customHeight="1">
      <c r="A5367" s="4">
        <v>5028.0</v>
      </c>
      <c r="B5367" s="4" t="s">
        <v>2273</v>
      </c>
      <c r="C5367" s="4" t="s">
        <v>1205</v>
      </c>
      <c r="D5367" s="4" t="s">
        <v>7879</v>
      </c>
      <c r="E5367" s="4">
        <v>0.0</v>
      </c>
      <c r="F5367" s="4" t="str">
        <f>IFERROR(__xludf.DUMMYFUNCTION("GOOGLETRANSLATE(D5367)"),"@kaputt21 漢堡警察局長 Gregory Wickett 告訴 7 目擊者新聞，他「無法證實或否認」調查正在進行中。")</f>
        <v>@kaputt21 漢堡警察局長 Gregory Wickett 告訴 7 目擊者新聞，他「無法證實或否認」調查正在進行中。</v>
      </c>
      <c r="G5367" s="4" t="str">
        <f>IFERROR(__xludf.DUMMYFUNCTION("GOOGLETRANSLATE(B5367)"),"目擊者")</f>
        <v>目擊者</v>
      </c>
    </row>
    <row r="5368" ht="15.75" customHeight="1">
      <c r="A5368" s="4">
        <v>5029.0</v>
      </c>
      <c r="B5368" s="4" t="s">
        <v>2273</v>
      </c>
      <c r="C5368" s="4" t="s">
        <v>7880</v>
      </c>
      <c r="D5368" s="4" t="s">
        <v>7881</v>
      </c>
      <c r="E5368" s="4">
        <v>0.0</v>
      </c>
      <c r="F5368" s="4" t="str">
        <f>IFERROR(__xludf.DUMMYFUNCTION("GOOGLETRANSLATE(D5368)"),"我喜歡 @YouTube 影片 http://t.co/YdgiUYdqgb 迷你小馬威力十足。 CBS3 目擊者現場報道塞勒姆縣集市")</f>
        <v>我喜歡 @YouTube 影片 http://t.co/YdgiUYdqgb 迷你小馬威力十足。 CBS3 目擊者現場報道塞勒姆縣集市</v>
      </c>
      <c r="G5368" s="4" t="str">
        <f>IFERROR(__xludf.DUMMYFUNCTION("GOOGLETRANSLATE(B5368)"),"目擊者")</f>
        <v>目擊者</v>
      </c>
    </row>
    <row r="5369" ht="15.75" customHeight="1">
      <c r="A5369" s="4">
        <v>5033.0</v>
      </c>
      <c r="B5369" s="4" t="s">
        <v>2273</v>
      </c>
      <c r="D5369" s="4" t="s">
        <v>7882</v>
      </c>
      <c r="E5369" s="4">
        <v>0.0</v>
      </c>
      <c r="F5369" s="4" t="str">
        <f>IFERROR(__xludf.DUMMYFUNCTION("GOOGLETRANSLATE(D5369)"),"民權運動（目擊者歷史系列）Wexler Sanford 精裝 http://t.co/kK0qFKGqcY http://t.co/SMc1Ro09Fs")</f>
        <v>民權運動（目擊者歷史系列）Wexler Sanford 精裝 http://t.co/kK0qFKGqcY http://t.co/SMc1Ro09Fs</v>
      </c>
      <c r="G5369" s="4" t="str">
        <f>IFERROR(__xludf.DUMMYFUNCTION("GOOGLETRANSLATE(B5369)"),"目擊者")</f>
        <v>目擊者</v>
      </c>
    </row>
    <row r="5370" ht="15.75" customHeight="1">
      <c r="A5370" s="4">
        <v>5038.0</v>
      </c>
      <c r="B5370" s="4" t="s">
        <v>2273</v>
      </c>
      <c r="C5370" s="4" t="s">
        <v>7883</v>
      </c>
      <c r="D5370" s="4" t="s">
        <v>7884</v>
      </c>
      <c r="E5370" s="4">
        <v>0.0</v>
      </c>
      <c r="F5370" s="4" t="str">
        <f>IFERROR(__xludf.DUMMYFUNCTION("GOOGLETRANSLATE(D5370)"),"WFTV 目擊者新聞：田納西州學校心理學家因兒童色情指控在佛羅裡達州被捕 http://t.co/lgGLf5yrMe")</f>
        <v>WFTV 目擊者新聞：田納西州學校心理學家因兒童色情指控在佛羅裡達州被捕 http://t.co/lgGLf5yrMe</v>
      </c>
      <c r="G5370" s="4" t="str">
        <f>IFERROR(__xludf.DUMMYFUNCTION("GOOGLETRANSLATE(B5370)"),"目擊者")</f>
        <v>目擊者</v>
      </c>
    </row>
    <row r="5371" ht="15.75" customHeight="1">
      <c r="A5371" s="4">
        <v>5041.0</v>
      </c>
      <c r="B5371" s="4" t="s">
        <v>2273</v>
      </c>
      <c r="C5371" s="4" t="s">
        <v>7885</v>
      </c>
      <c r="D5371" s="4" t="s">
        <v>7886</v>
      </c>
      <c r="E5371" s="4">
        <v>0.0</v>
      </c>
      <c r="F5371" s="4" t="str">
        <f>IFERROR(__xludf.DUMMYFUNCTION("GOOGLETRANSLATE(D5371)"),"八月 06 2015 廣播節目文章 ÛÒ
1]計劃生育組織摘取墮胎器官的目擊者描述：http://t.co/49izkbOHri")</f>
        <v>八月 06 2015 廣播節目文章 ÛÒ
1]計劃生育組織摘取墮胎器官的目擊者描述：http://t.co/49izkbOHri</v>
      </c>
      <c r="G5371" s="4" t="str">
        <f>IFERROR(__xludf.DUMMYFUNCTION("GOOGLETRANSLATE(B5371)"),"目擊者")</f>
        <v>目擊者</v>
      </c>
    </row>
    <row r="5372" ht="15.75" customHeight="1">
      <c r="A5372" s="4">
        <v>5043.0</v>
      </c>
      <c r="B5372" s="4" t="s">
        <v>2273</v>
      </c>
      <c r="D5372" s="4" t="s">
        <v>7887</v>
      </c>
      <c r="E5372" s="4">
        <v>0.0</v>
      </c>
      <c r="F5372" s="4" t="str">
        <f>IFERROR(__xludf.DUMMYFUNCTION("GOOGLETRANSLATE(D5372)"),"DK 目擊者旅遊指南：丹麥：旅遊指南 eBay 拍賣您應該關注：http://t.co/qPUr3Vd7Hl")</f>
        <v>DK 目擊者旅遊指南：丹麥：旅遊指南 eBay 拍賣您應該關注：http://t.co/qPUr3Vd7Hl</v>
      </c>
      <c r="G5372" s="4" t="str">
        <f>IFERROR(__xludf.DUMMYFUNCTION("GOOGLETRANSLATE(B5372)"),"目擊者")</f>
        <v>目擊者</v>
      </c>
    </row>
    <row r="5373" ht="15.75" customHeight="1">
      <c r="A5373" s="4">
        <v>5044.0</v>
      </c>
      <c r="B5373" s="4" t="s">
        <v>2273</v>
      </c>
      <c r="D5373" s="4" t="s">
        <v>7888</v>
      </c>
      <c r="E5373" s="4">
        <v>0.0</v>
      </c>
      <c r="F5373" s="4" t="str">
        <f>IFERROR(__xludf.DUMMYFUNCTION("GOOGLETRANSLATE(D5373)"),"DK 目擊者旅遊指南：丹麥：旅遊指南 eBay 拍賣您應該關注：http://t.co/l9EKHNkBar")</f>
        <v>DK 目擊者旅遊指南：丹麥：旅遊指南 eBay 拍賣您應該關注：http://t.co/l9EKHNkBar</v>
      </c>
      <c r="G5373" s="4" t="str">
        <f>IFERROR(__xludf.DUMMYFUNCTION("GOOGLETRANSLATE(B5373)"),"目擊者")</f>
        <v>目擊者</v>
      </c>
    </row>
    <row r="5374" ht="15.75" customHeight="1">
      <c r="A5374" s="4">
        <v>5047.0</v>
      </c>
      <c r="B5374" s="4" t="s">
        <v>2273</v>
      </c>
      <c r="D5374" s="4" t="s">
        <v>7889</v>
      </c>
      <c r="E5374" s="4">
        <v>0.0</v>
      </c>
      <c r="F5374" s="4" t="str">
        <f>IFERROR(__xludf.DUMMYFUNCTION("GOOGLETRANSLATE(D5374)"),"臭名昭著的實驗室經銷商虐待猴子| PETA 目擊者投資... https://t.co/QGqlpmRfJd 來自 @YouTube")</f>
        <v>臭名昭著的實驗室經銷商虐待猴子| PETA 目擊者投資... https://t.co/QGqlpmRfJd 來自 @YouTube</v>
      </c>
      <c r="G5374" s="4" t="str">
        <f>IFERROR(__xludf.DUMMYFUNCTION("GOOGLETRANSLATE(B5374)"),"目擊者")</f>
        <v>目擊者</v>
      </c>
    </row>
    <row r="5375" ht="15.75" customHeight="1">
      <c r="A5375" s="4">
        <v>5049.0</v>
      </c>
      <c r="B5375" s="4" t="s">
        <v>2273</v>
      </c>
      <c r="C5375" s="4" t="s">
        <v>94</v>
      </c>
      <c r="D5375" s="4" t="s">
        <v>7890</v>
      </c>
      <c r="E5375" s="4">
        <v>0.0</v>
      </c>
      <c r="F5375" s="4" t="str">
        <f>IFERROR(__xludf.DUMMYFUNCTION("GOOGLETRANSLATE(D5375)"),"真正的 #TBT 目擊者新聞 WBRE WYOU http://t.co/JHVigsX5Jg")</f>
        <v>真正的 #TBT 目擊者新聞 WBRE WYOU http://t.co/JHVigsX5Jg</v>
      </c>
      <c r="G5375" s="4" t="str">
        <f>IFERROR(__xludf.DUMMYFUNCTION("GOOGLETRANSLATE(B5375)"),"目擊者")</f>
        <v>目擊者</v>
      </c>
    </row>
    <row r="5376" ht="15.75" customHeight="1">
      <c r="A5376" s="4">
        <v>5050.0</v>
      </c>
      <c r="B5376" s="4" t="s">
        <v>2273</v>
      </c>
      <c r="D5376" s="4" t="s">
        <v>7891</v>
      </c>
      <c r="E5376" s="4">
        <v>0.0</v>
      </c>
      <c r="F5376" s="4" t="str">
        <f>IFERROR(__xludf.DUMMYFUNCTION("GOOGLETRANSLATE(D5376)"),"DK 目擊者旅遊指南：芝加哥，Dorling Kindersley 出版人員Û_：旅遊書籍 eBay 拍賣您... http://t.co/tj3LtPZfW1")</f>
        <v>DK 目擊者旅遊指南：芝加哥，Dorling Kindersley 出版人員Û_：旅遊書籍 eBay 拍賣您... http://t.co/tj3LtPZfW1</v>
      </c>
      <c r="G5376" s="4" t="str">
        <f>IFERROR(__xludf.DUMMYFUNCTION("GOOGLETRANSLATE(B5376)"),"目擊者")</f>
        <v>目擊者</v>
      </c>
    </row>
    <row r="5377" ht="15.75" customHeight="1">
      <c r="A5377" s="4">
        <v>5052.0</v>
      </c>
      <c r="B5377" s="4" t="s">
        <v>2273</v>
      </c>
      <c r="C5377" s="4" t="s">
        <v>40</v>
      </c>
      <c r="D5377" s="4" t="s">
        <v>7892</v>
      </c>
      <c r="E5377" s="4">
        <v>0.0</v>
      </c>
      <c r="F5377" s="4" t="str">
        <f>IFERROR(__xludf.DUMMYFUNCTION("GOOGLETRANSLATE(D5377)"),"第二階段減載再次熄燈：第二階段減載將於下午 5 點至晚上 10 點之間生效。 http://t.co/vxVfAEEY0q")</f>
        <v>第二階段減載再次熄燈：第二階段減載將於下午 5 點至晚上 10 點之間生效。 http://t.co/vxVfAEEY0q</v>
      </c>
      <c r="G5377" s="4" t="str">
        <f>IFERROR(__xludf.DUMMYFUNCTION("GOOGLETRANSLATE(B5377)"),"目擊者")</f>
        <v>目擊者</v>
      </c>
    </row>
    <row r="5378" ht="15.75" customHeight="1">
      <c r="A5378" s="4">
        <v>5055.0</v>
      </c>
      <c r="B5378" s="4" t="s">
        <v>2273</v>
      </c>
      <c r="D5378" s="4" t="s">
        <v>7893</v>
      </c>
      <c r="E5378" s="4">
        <v>0.0</v>
      </c>
      <c r="F5378" s="4" t="str">
        <f>IFERROR(__xludf.DUMMYFUNCTION("GOOGLETRANSLATE(D5378)"),"DK 目擊者旅遊指南：丹麥：旅遊指南 eBay 拍賣您應該關注：http://t.co/xpwkodpqtO")</f>
        <v>DK 目擊者旅遊指南：丹麥：旅遊指南 eBay 拍賣您應該關注：http://t.co/xpwkodpqtO</v>
      </c>
      <c r="G5378" s="4" t="str">
        <f>IFERROR(__xludf.DUMMYFUNCTION("GOOGLETRANSLATE(B5378)"),"目擊者")</f>
        <v>目擊者</v>
      </c>
    </row>
    <row r="5379" ht="15.75" customHeight="1">
      <c r="A5379" s="4">
        <v>5056.0</v>
      </c>
      <c r="B5379" s="4" t="s">
        <v>2273</v>
      </c>
      <c r="C5379" s="4" t="s">
        <v>7883</v>
      </c>
      <c r="D5379" s="4" t="s">
        <v>7894</v>
      </c>
      <c r="E5379" s="4">
        <v>0.0</v>
      </c>
      <c r="F5379" s="4" t="str">
        <f>IFERROR(__xludf.DUMMYFUNCTION("GOOGLETRANSLATE(D5379)"),"WFTV 目擊者新聞：聯邦調查局：竊取美國機密的男子「與」洪都拉斯未成年人發生性關係 http://t.co/NdwEp6IZDQ")</f>
        <v>WFTV 目擊者新聞：聯邦調查局：竊取美國機密的男子「與」洪都拉斯未成年人發生性關係 http://t.co/NdwEp6IZDQ</v>
      </c>
      <c r="G5379" s="4" t="str">
        <f>IFERROR(__xludf.DUMMYFUNCTION("GOOGLETRANSLATE(B5379)"),"目擊者")</f>
        <v>目擊者</v>
      </c>
    </row>
    <row r="5380" ht="15.75" customHeight="1">
      <c r="A5380" s="4">
        <v>5059.0</v>
      </c>
      <c r="B5380" s="4" t="s">
        <v>2273</v>
      </c>
      <c r="C5380" s="4" t="s">
        <v>942</v>
      </c>
      <c r="D5380" s="4" t="s">
        <v>7895</v>
      </c>
      <c r="E5380" s="4">
        <v>0.0</v>
      </c>
      <c r="F5380" s="4" t="str">
        <f>IFERROR(__xludf.DUMMYFUNCTION("GOOGLETRANSLATE(D5380)"),"被釋放的#BokoHaram 俘虜大聲疾呼：“我會確保她去上學。” @guardian http://t.co/PK8dgVripw http://t.co/RZ0adzursW")</f>
        <v>被釋放的#BokoHaram 俘虜大聲疾呼：“我會確保她去上學。” @guardian http://t.co/PK8dgVripw http://t.co/RZ0adzursW</v>
      </c>
      <c r="G5380" s="4" t="str">
        <f>IFERROR(__xludf.DUMMYFUNCTION("GOOGLETRANSLATE(B5380)"),"目擊者")</f>
        <v>目擊者</v>
      </c>
    </row>
    <row r="5381" ht="15.75" customHeight="1">
      <c r="A5381" s="4">
        <v>5060.0</v>
      </c>
      <c r="B5381" s="4" t="s">
        <v>2273</v>
      </c>
      <c r="C5381" s="4" t="s">
        <v>40</v>
      </c>
      <c r="D5381" s="4" t="s">
        <v>7896</v>
      </c>
      <c r="E5381" s="4">
        <v>0.0</v>
      </c>
      <c r="F5381" s="4" t="str">
        <f>IFERROR(__xludf.DUMMYFUNCTION("GOOGLETRANSLATE(D5381)"),"「我試圖拯救米多·馬西亞」：一名謀殺被告作證說，他試圖拯救米多·馬西亞的生命。 http://t.co/vxVfAEEY0q")</f>
        <v>「我試圖拯救米多·馬西亞」：一名謀殺被告作證說，他試圖拯救米多·馬西亞的生命。 http://t.co/vxVfAEEY0q</v>
      </c>
      <c r="G5381" s="4" t="str">
        <f>IFERROR(__xludf.DUMMYFUNCTION("GOOGLETRANSLATE(B5381)"),"目擊者")</f>
        <v>目擊者</v>
      </c>
    </row>
    <row r="5382" ht="15.75" customHeight="1">
      <c r="A5382" s="4">
        <v>5062.0</v>
      </c>
      <c r="B5382" s="4" t="s">
        <v>2292</v>
      </c>
      <c r="C5382" s="4" t="s">
        <v>7897</v>
      </c>
      <c r="D5382" s="4" t="s">
        <v>7898</v>
      </c>
      <c r="E5382" s="4">
        <v>0.0</v>
      </c>
      <c r="F5382" s="4" t="str">
        <f>IFERROR(__xludf.DUMMYFUNCTION("GOOGLETRANSLATE(D5382)"),"@OCT336 夥計們，這些母狗不是飢荒嗎？")</f>
        <v>@OCT336 夥計們，這些母狗不是飢荒嗎？</v>
      </c>
      <c r="G5382" s="4" t="str">
        <f>IFERROR(__xludf.DUMMYFUNCTION("GOOGLETRANSLATE(B5382)"),"飢荒")</f>
        <v>飢荒</v>
      </c>
    </row>
    <row r="5383" ht="15.75" customHeight="1">
      <c r="A5383" s="4">
        <v>5065.0</v>
      </c>
      <c r="B5383" s="4" t="s">
        <v>2292</v>
      </c>
      <c r="D5383" s="4" t="s">
        <v>7899</v>
      </c>
      <c r="E5383" s="4">
        <v>0.0</v>
      </c>
      <c r="F5383" s="4" t="str">
        <f>IFERROR(__xludf.DUMMYFUNCTION("GOOGLETRANSLATE(D5383)"),"飢餓襲擊了我，我無法正常工作，在飢荒地區可能活不了多久***感謝上帝***")</f>
        <v>飢餓襲擊了我，我無法正常工作，在飢荒地區可能活不了多久***感謝上帝***</v>
      </c>
      <c r="G5383" s="4" t="str">
        <f>IFERROR(__xludf.DUMMYFUNCTION("GOOGLETRANSLATE(B5383)"),"飢荒")</f>
        <v>飢荒</v>
      </c>
    </row>
    <row r="5384" ht="15.75" customHeight="1">
      <c r="A5384" s="4">
        <v>5067.0</v>
      </c>
      <c r="B5384" s="4" t="s">
        <v>2292</v>
      </c>
      <c r="D5384" s="4" t="s">
        <v>7900</v>
      </c>
      <c r="E5384" s="4">
        <v>0.0</v>
      </c>
      <c r="F5384" s="4" t="str">
        <f>IFERROR(__xludf.DUMMYFUNCTION("GOOGLETRANSLATE(D5384)"),"根據 2011 年蓋洛普民意調查，你擁有的錢越多，你就越有可能遭受時間飢荒。阿里Û_ http://t.co/QdmVTJ4lZJ")</f>
        <v>根據 2011 年蓋洛普民意調查，你擁有的錢越多，你就越有可能遭受時間飢荒。阿里Û_ http://t.co/QdmVTJ4lZJ</v>
      </c>
      <c r="G5384" s="4" t="str">
        <f>IFERROR(__xludf.DUMMYFUNCTION("GOOGLETRANSLATE(B5384)"),"飢荒")</f>
        <v>飢荒</v>
      </c>
    </row>
    <row r="5385" ht="15.75" customHeight="1">
      <c r="A5385" s="4">
        <v>5068.0</v>
      </c>
      <c r="B5385" s="4" t="s">
        <v>2292</v>
      </c>
      <c r="C5385" s="4" t="s">
        <v>7901</v>
      </c>
      <c r="D5385" s="4" t="s">
        <v>7902</v>
      </c>
      <c r="E5385" s="4">
        <v>0.0</v>
      </c>
      <c r="F5385" s="4" t="str">
        <f>IFERROR(__xludf.DUMMYFUNCTION("GOOGLETRANSLATE(D5385)"),"人們喜歡今天的聯合國大學盛宴，明天的飢荒")</f>
        <v>人們喜歡今天的聯合國大學盛宴，明天的飢荒</v>
      </c>
      <c r="G5385" s="4" t="str">
        <f>IFERROR(__xludf.DUMMYFUNCTION("GOOGLETRANSLATE(B5385)"),"飢荒")</f>
        <v>飢荒</v>
      </c>
    </row>
    <row r="5386" ht="15.75" customHeight="1">
      <c r="A5386" s="4">
        <v>5069.0</v>
      </c>
      <c r="B5386" s="4" t="s">
        <v>2292</v>
      </c>
      <c r="C5386" s="4" t="s">
        <v>7903</v>
      </c>
      <c r="D5386" s="4" t="s">
        <v>7904</v>
      </c>
      <c r="E5386" s="4">
        <v>0.0</v>
      </c>
      <c r="F5386" s="4" t="str">
        <f>IFERROR(__xludf.DUMMYFUNCTION("GOOGLETRANSLATE(D5386)"),"前 3 名：
*開啟黑暗
* 國王兌換 - 寧靜女王
* 飢荒狼")</f>
        <v>前 3 名：
*開啟黑暗
* 國王兌換 - 寧靜女王
* 飢荒狼</v>
      </c>
      <c r="G5386" s="4" t="str">
        <f>IFERROR(__xludf.DUMMYFUNCTION("GOOGLETRANSLATE(B5386)"),"飢荒")</f>
        <v>飢荒</v>
      </c>
    </row>
    <row r="5387" ht="15.75" customHeight="1">
      <c r="A5387" s="4">
        <v>5072.0</v>
      </c>
      <c r="B5387" s="4" t="s">
        <v>2292</v>
      </c>
      <c r="D5387" s="4" t="s">
        <v>7905</v>
      </c>
      <c r="E5387" s="4">
        <v>0.0</v>
      </c>
      <c r="F5387" s="4" t="str">
        <f>IFERROR(__xludf.DUMMYFUNCTION("GOOGLETRANSLATE(D5387)"),"@robertmeyer9回覆：你的例子是低食品價格導致農民破產=明年發生飢荒。意味著簡單的資本主義無法養活人民&gt;")</f>
        <v>@robertmeyer9回覆：你的例子是低食品價格導致農民破產=明年發生飢荒。意味著簡單的資本主義無法養活人民&gt;</v>
      </c>
      <c r="G5387" s="4" t="str">
        <f>IFERROR(__xludf.DUMMYFUNCTION("GOOGLETRANSLATE(B5387)"),"飢荒")</f>
        <v>飢荒</v>
      </c>
    </row>
    <row r="5388" ht="15.75" customHeight="1">
      <c r="A5388" s="4">
        <v>5078.0</v>
      </c>
      <c r="B5388" s="4" t="s">
        <v>2292</v>
      </c>
      <c r="C5388" s="4" t="s">
        <v>7906</v>
      </c>
      <c r="D5388" s="4" t="s">
        <v>7907</v>
      </c>
      <c r="E5388" s="4">
        <v>0.0</v>
      </c>
      <c r="F5388" s="4" t="str">
        <f>IFERROR(__xludf.DUMMYFUNCTION("GOOGLETRANSLATE(D5388)"),"透過大餐和飢荒餵食來增強肌肉大多數飲食計劃都是以減肥為基礎的，但你應該怎麼做 https://t.co/lUe3waeGpI")</f>
        <v>透過大餐和飢荒餵食來增強肌肉大多數飲食計劃都是以減肥為基礎的，但你應該怎麼做 https://t.co/lUe3waeGpI</v>
      </c>
      <c r="G5388" s="4" t="str">
        <f>IFERROR(__xludf.DUMMYFUNCTION("GOOGLETRANSLATE(B5388)"),"飢荒")</f>
        <v>飢荒</v>
      </c>
    </row>
    <row r="5389" ht="15.75" customHeight="1">
      <c r="A5389" s="4">
        <v>5080.0</v>
      </c>
      <c r="B5389" s="4" t="s">
        <v>2292</v>
      </c>
      <c r="C5389" s="4" t="s">
        <v>7908</v>
      </c>
      <c r="D5389" s="4" t="s">
        <v>7909</v>
      </c>
      <c r="E5389" s="4">
        <v>0.0</v>
      </c>
      <c r="F5389" s="4" t="str">
        <f>IFERROR(__xludf.DUMMYFUNCTION("GOOGLETRANSLATE(D5389)"),"「她嘗起來就像飢荒後的盛宴。他快餓死了。信任傑克@writes4coffee http://t.co/sTo58qa94c #IARTG #RWA #tw4rw #RRBC")</f>
        <v>「她嘗起來就像飢荒後的盛宴。他快餓死了。信任傑克@writes4coffee http://t.co/sTo58qa94c #IARTG #RWA #tw4rw #RRBC</v>
      </c>
      <c r="G5389" s="4" t="str">
        <f>IFERROR(__xludf.DUMMYFUNCTION("GOOGLETRANSLATE(B5389)"),"飢荒")</f>
        <v>飢荒</v>
      </c>
    </row>
    <row r="5390" ht="15.75" customHeight="1">
      <c r="A5390" s="4">
        <v>5088.0</v>
      </c>
      <c r="B5390" s="4" t="s">
        <v>2292</v>
      </c>
      <c r="D5390" s="4" t="s">
        <v>7910</v>
      </c>
      <c r="E5390" s="4">
        <v>0.0</v>
      </c>
      <c r="F5390" s="4" t="str">
        <f>IFERROR(__xludf.DUMMYFUNCTION("GOOGLETRANSLATE(D5390)"),"黑馬飢荒[MEGA]中的一個等級。分數0840728
http://t.co/pdiit0AF3Q
#Dynamix http://t.co/ZQ5KDOx7BY")</f>
        <v>黑馬飢荒[MEGA]中的一個等級。分數0840728
http://t.co/pdiit0AF3Q
#Dynamix http://t.co/ZQ5KDOx7BY</v>
      </c>
      <c r="G5390" s="4" t="str">
        <f>IFERROR(__xludf.DUMMYFUNCTION("GOOGLETRANSLATE(B5390)"),"飢荒")</f>
        <v>飢荒</v>
      </c>
    </row>
    <row r="5391" ht="15.75" customHeight="1">
      <c r="A5391" s="4">
        <v>5097.0</v>
      </c>
      <c r="B5391" s="4" t="s">
        <v>2292</v>
      </c>
      <c r="D5391" s="4" t="s">
        <v>7911</v>
      </c>
      <c r="E5391" s="4">
        <v>0.0</v>
      </c>
      <c r="F5391" s="4" t="str">
        <f>IFERROR(__xludf.DUMMYFUNCTION("GOOGLETRANSLATE(D5391)"),"當事情變得比埃塞俄比亞大饑荒更可怕時...")</f>
        <v>當事情變得比埃塞俄比亞大饑荒更可怕時...</v>
      </c>
      <c r="G5391" s="4" t="str">
        <f>IFERROR(__xludf.DUMMYFUNCTION("GOOGLETRANSLATE(B5391)"),"飢荒")</f>
        <v>飢荒</v>
      </c>
    </row>
    <row r="5392" ht="15.75" customHeight="1">
      <c r="A5392" s="4">
        <v>5103.0</v>
      </c>
      <c r="B5392" s="4" t="s">
        <v>2292</v>
      </c>
      <c r="D5392" s="4" t="s">
        <v>7912</v>
      </c>
      <c r="E5392" s="4">
        <v>0.0</v>
      </c>
      <c r="F5392" s="4" t="str">
        <f>IFERROR(__xludf.DUMMYFUNCTION("GOOGLETRANSLATE(D5392)"),"羅伯特征服飢荒博物館基輔 @GuidoFawkes @MediaGuido https://t.co/WE40iUX7Ib")</f>
        <v>羅伯特征服飢荒博物館基輔 @GuidoFawkes @MediaGuido https://t.co/WE40iUX7Ib</v>
      </c>
      <c r="G5392" s="4" t="str">
        <f>IFERROR(__xludf.DUMMYFUNCTION("GOOGLETRANSLATE(B5392)"),"飢荒")</f>
        <v>飢荒</v>
      </c>
    </row>
    <row r="5393" ht="15.75" customHeight="1">
      <c r="A5393" s="4">
        <v>5105.0</v>
      </c>
      <c r="B5393" s="4" t="s">
        <v>2292</v>
      </c>
      <c r="D5393" s="4" t="s">
        <v>7913</v>
      </c>
      <c r="E5393" s="4">
        <v>0.0</v>
      </c>
      <c r="F5393" s="4" t="str">
        <f>IFERROR(__xludf.DUMMYFUNCTION("GOOGLETRANSLATE(D5393)"),"@CNN 時代的終結即將來臨。飢荒戰爭死亡瘟疫。存在感越來越強。")</f>
        <v>@CNN 時代的終結即將來臨。飢荒戰爭死亡瘟疫。存在感越來越強。</v>
      </c>
      <c r="G5393" s="4" t="str">
        <f>IFERROR(__xludf.DUMMYFUNCTION("GOOGLETRANSLATE(B5393)"),"飢荒")</f>
        <v>飢荒</v>
      </c>
    </row>
    <row r="5394" ht="15.75" customHeight="1">
      <c r="A5394" s="4">
        <v>5109.0</v>
      </c>
      <c r="B5394" s="4" t="s">
        <v>2292</v>
      </c>
      <c r="D5394" s="4" t="s">
        <v>7914</v>
      </c>
      <c r="E5394" s="4">
        <v>0.0</v>
      </c>
      <c r="F5394" s="4" t="str">
        <f>IFERROR(__xludf.DUMMYFUNCTION("GOOGLETRANSLATE(D5394)"),"@Surf_Photo 我擠出了眼淚。飢荒瘟疫海嘯沒有機會。樂高——鯨脂！")</f>
        <v>@Surf_Photo 我擠出了眼淚。飢荒瘟疫海嘯沒有機會。樂高——鯨脂！</v>
      </c>
      <c r="G5394" s="4" t="str">
        <f>IFERROR(__xludf.DUMMYFUNCTION("GOOGLETRANSLATE(B5394)"),"飢荒")</f>
        <v>飢荒</v>
      </c>
    </row>
    <row r="5395" ht="15.75" customHeight="1">
      <c r="A5395" s="4">
        <v>5114.0</v>
      </c>
      <c r="B5395" s="4" t="s">
        <v>2329</v>
      </c>
      <c r="C5395" s="4" t="s">
        <v>7915</v>
      </c>
      <c r="D5395" s="4" t="s">
        <v>7916</v>
      </c>
      <c r="E5395" s="4">
        <v>0.0</v>
      </c>
      <c r="F5395" s="4" t="str">
        <f>IFERROR(__xludf.DUMMYFUNCTION("GOOGLETRANSLATE(D5395)"),"羅傑古德爾的致命錯誤：湯姆布雷迪是一個無辜的人 http://t.co/UCNcKrnLow")</f>
        <v>羅傑古德爾的致命錯誤：湯姆布雷迪是一個無辜的人 http://t.co/UCNcKrnLow</v>
      </c>
      <c r="G5395" s="4" t="str">
        <f>IFERROR(__xludf.DUMMYFUNCTION("GOOGLETRANSLATE(B5395)"),"致命的")</f>
        <v>致命的</v>
      </c>
    </row>
    <row r="5396" ht="15.75" customHeight="1">
      <c r="A5396" s="4">
        <v>5116.0</v>
      </c>
      <c r="B5396" s="4" t="s">
        <v>2329</v>
      </c>
      <c r="D5396" s="4" t="s">
        <v>7917</v>
      </c>
      <c r="E5396" s="4">
        <v>0.0</v>
      </c>
      <c r="F5396" s="4" t="str">
        <f>IFERROR(__xludf.DUMMYFUNCTION("GOOGLETRANSLATE(D5396)"),"致命的吸引力是常見的，我們共同的就是「痛苦」…")</f>
        <v>致命的吸引力是常見的，我們共同的就是「痛苦」…</v>
      </c>
      <c r="G5396" s="4" t="str">
        <f>IFERROR(__xludf.DUMMYFUNCTION("GOOGLETRANSLATE(B5396)"),"致命的")</f>
        <v>致命的</v>
      </c>
    </row>
    <row r="5397" ht="15.75" customHeight="1">
      <c r="A5397" s="4">
        <v>5120.0</v>
      </c>
      <c r="B5397" s="4" t="s">
        <v>2329</v>
      </c>
      <c r="C5397" s="4" t="s">
        <v>7918</v>
      </c>
      <c r="D5397" s="4" t="s">
        <v>7919</v>
      </c>
      <c r="E5397" s="4">
        <v>0.0</v>
      </c>
      <c r="F5397" s="4" t="str">
        <f>IFERROR(__xludf.DUMMYFUNCTION("GOOGLETRANSLATE(D5397)"),"@_AsianShawtyy ?????????對不起。但我出去了")</f>
        <v>@_AsianShawtyy ?????????對不起。但我出去了</v>
      </c>
      <c r="G5397" s="4" t="str">
        <f>IFERROR(__xludf.DUMMYFUNCTION("GOOGLETRANSLATE(B5397)"),"致命的")</f>
        <v>致命的</v>
      </c>
    </row>
    <row r="5398" ht="15.75" customHeight="1">
      <c r="A5398" s="4">
        <v>5124.0</v>
      </c>
      <c r="B5398" s="4" t="s">
        <v>2329</v>
      </c>
      <c r="C5398" s="4" t="s">
        <v>7920</v>
      </c>
      <c r="D5398" s="4" t="s">
        <v>7921</v>
      </c>
      <c r="E5398" s="4">
        <v>0.0</v>
      </c>
      <c r="F5398" s="4" t="str">
        <f>IFERROR(__xludf.DUMMYFUNCTION("GOOGLETRANSLATE(D5398)"),"男子被控致命肇事逃逸罪，透過@KHQA 尋求新法官 http://t.co/j3Rtf2dt3X")</f>
        <v>男子被控致命肇事逃逸罪，透過@KHQA 尋求新法官 http://t.co/j3Rtf2dt3X</v>
      </c>
      <c r="G5398" s="4" t="str">
        <f>IFERROR(__xludf.DUMMYFUNCTION("GOOGLETRANSLATE(B5398)"),"致命的")</f>
        <v>致命的</v>
      </c>
    </row>
    <row r="5399" ht="15.75" customHeight="1">
      <c r="A5399" s="4">
        <v>5126.0</v>
      </c>
      <c r="B5399" s="4" t="s">
        <v>2329</v>
      </c>
      <c r="C5399" s="4" t="s">
        <v>454</v>
      </c>
      <c r="D5399" s="4" t="s">
        <v>7922</v>
      </c>
      <c r="E5399" s="4">
        <v>0.0</v>
      </c>
      <c r="F5399" s="4" t="str">
        <f>IFERROR(__xludf.DUMMYFUNCTION("GOOGLETRANSLATE(D5399)"),"@ChrisDanielShow 在舊金山險些致命的小便 http://t.co/1tvlFrhm1m")</f>
        <v>@ChrisDanielShow 在舊金山險些致命的小便 http://t.co/1tvlFrhm1m</v>
      </c>
      <c r="G5399" s="4" t="str">
        <f>IFERROR(__xludf.DUMMYFUNCTION("GOOGLETRANSLATE(B5399)"),"致命的")</f>
        <v>致命的</v>
      </c>
    </row>
    <row r="5400" ht="15.75" customHeight="1">
      <c r="A5400" s="4">
        <v>5128.0</v>
      </c>
      <c r="B5400" s="4" t="s">
        <v>2329</v>
      </c>
      <c r="C5400" s="4" t="s">
        <v>7923</v>
      </c>
      <c r="D5400" s="4" t="s">
        <v>7924</v>
      </c>
      <c r="E5400" s="4">
        <v>0.0</v>
      </c>
      <c r="F5400" s="4" t="str">
        <f>IFERROR(__xludf.DUMMYFUNCTION("GOOGLETRANSLATE(D5400)"),"請願重新製作《致命框架 1》並加入風喚醒式自拍模式")</f>
        <v>請願重新製作《致命框架 1》並加入風喚醒式自拍模式</v>
      </c>
      <c r="G5400" s="4" t="str">
        <f>IFERROR(__xludf.DUMMYFUNCTION("GOOGLETRANSLATE(B5400)"),"致命的")</f>
        <v>致命的</v>
      </c>
    </row>
    <row r="5401" ht="15.75" customHeight="1">
      <c r="A5401" s="4">
        <v>5134.0</v>
      </c>
      <c r="B5401" s="4" t="s">
        <v>2329</v>
      </c>
      <c r="C5401" s="4" t="s">
        <v>7925</v>
      </c>
      <c r="D5401" s="4" t="s">
        <v>7926</v>
      </c>
      <c r="E5401" s="4">
        <v>0.0</v>
      </c>
      <c r="F5401" s="4" t="str">
        <f>IFERROR(__xludf.DUMMYFUNCTION("GOOGLETRANSLATE(D5401)"),"伊朗協議中的五個致命缺陷 https://t.co/ztfEAd8GId 來自 @YouTube")</f>
        <v>伊朗協議中的五個致命缺陷 https://t.co/ztfEAd8GId 來自 @YouTube</v>
      </c>
      <c r="G5401" s="4" t="str">
        <f>IFERROR(__xludf.DUMMYFUNCTION("GOOGLETRANSLATE(B5401)"),"致命的")</f>
        <v>致命的</v>
      </c>
    </row>
    <row r="5402" ht="15.75" customHeight="1">
      <c r="A5402" s="4">
        <v>5139.0</v>
      </c>
      <c r="B5402" s="4" t="s">
        <v>2329</v>
      </c>
      <c r="D5402" s="4" t="s">
        <v>7927</v>
      </c>
      <c r="E5402" s="4">
        <v>0.0</v>
      </c>
      <c r="F5402" s="4" t="str">
        <f>IFERROR(__xludf.DUMMYFUNCTION("GOOGLETRANSLATE(D5402)"),"@spookyfob @feelslikefob 我很好，謝謝你，是的，你的善意是致命的，儘管它就像帕特里克樹樁級別的善意。")</f>
        <v>@spookyfob @feelslikefob 我很好，謝謝你，是的，你的善意是致命的，儘管它就像帕特里克樹樁級別的善意。</v>
      </c>
      <c r="G5402" s="4" t="str">
        <f>IFERROR(__xludf.DUMMYFUNCTION("GOOGLETRANSLATE(B5402)"),"致命的")</f>
        <v>致命的</v>
      </c>
    </row>
    <row r="5403" ht="15.75" customHeight="1">
      <c r="A5403" s="4">
        <v>5141.0</v>
      </c>
      <c r="B5403" s="4" t="s">
        <v>2329</v>
      </c>
      <c r="C5403" s="4" t="s">
        <v>7928</v>
      </c>
      <c r="D5403" s="4" t="s">
        <v>7929</v>
      </c>
      <c r="E5403" s="4">
        <v>0.0</v>
      </c>
      <c r="F5403" s="4" t="str">
        <f>IFERROR(__xludf.DUMMYFUNCTION("GOOGLETRANSLATE(D5403)"),"成功不是永久的失敗並不致命。")</f>
        <v>成功不是永久的失敗並不致命。</v>
      </c>
      <c r="G5403" s="4" t="str">
        <f>IFERROR(__xludf.DUMMYFUNCTION("GOOGLETRANSLATE(B5403)"),"致命的")</f>
        <v>致命的</v>
      </c>
    </row>
    <row r="5404" ht="15.75" customHeight="1">
      <c r="A5404" s="4">
        <v>5146.0</v>
      </c>
      <c r="B5404" s="4" t="s">
        <v>2329</v>
      </c>
      <c r="D5404" s="4" t="s">
        <v>7930</v>
      </c>
      <c r="E5404" s="4">
        <v>0.0</v>
      </c>
      <c r="F5404" s="4" t="str">
        <f>IFERROR(__xludf.DUMMYFUNCTION("GOOGLETRANSLATE(D5404)"),"告訴我為什麼或為什麼不
以這種方式採用
也許我忽略了一些事情
對我來說是致命的
？為什麼或為什麼不？")</f>
        <v>告訴我為什麼或為什麼不
以這種方式採用
也許我忽略了一些事情
對我來說是致命的
？為什麼或為什麼不？</v>
      </c>
      <c r="G5404" s="4" t="str">
        <f>IFERROR(__xludf.DUMMYFUNCTION("GOOGLETRANSLATE(B5404)"),"致命的")</f>
        <v>致命的</v>
      </c>
    </row>
    <row r="5405" ht="15.75" customHeight="1">
      <c r="A5405" s="4">
        <v>5149.0</v>
      </c>
      <c r="B5405" s="4" t="s">
        <v>2329</v>
      </c>
      <c r="D5405" s="4" t="s">
        <v>7931</v>
      </c>
      <c r="E5405" s="4">
        <v>0.0</v>
      </c>
      <c r="F5405" s="4" t="str">
        <f>IFERROR(__xludf.DUMMYFUNCTION("GOOGLETRANSLATE(D5405)"),"Robert Ballew 的日誌語句總是處於 FATAL 等級。")</f>
        <v>Robert Ballew 的日誌語句總是處於 FATAL 等級。</v>
      </c>
      <c r="G5405" s="4" t="str">
        <f>IFERROR(__xludf.DUMMYFUNCTION("GOOGLETRANSLATE(B5405)"),"致命的")</f>
        <v>致命的</v>
      </c>
    </row>
    <row r="5406" ht="15.75" customHeight="1">
      <c r="A5406" s="4">
        <v>5150.0</v>
      </c>
      <c r="B5406" s="4" t="s">
        <v>2329</v>
      </c>
      <c r="C5406" s="4" t="s">
        <v>7932</v>
      </c>
      <c r="D5406" s="4" t="s">
        <v>7933</v>
      </c>
      <c r="E5406" s="4">
        <v>0.0</v>
      </c>
      <c r="F5406" s="4" t="str">
        <f>IFERROR(__xludf.DUMMYFUNCTION("GOOGLETRANSLATE(D5406)"),"致命的吸引力")</f>
        <v>致命的吸引力</v>
      </c>
      <c r="G5406" s="4" t="str">
        <f>IFERROR(__xludf.DUMMYFUNCTION("GOOGLETRANSLATE(B5406)"),"致命的")</f>
        <v>致命的</v>
      </c>
    </row>
    <row r="5407" ht="15.75" customHeight="1">
      <c r="A5407" s="4">
        <v>5165.0</v>
      </c>
      <c r="B5407" s="4" t="s">
        <v>2360</v>
      </c>
      <c r="C5407" s="4" t="s">
        <v>7934</v>
      </c>
      <c r="D5407" s="4" t="s">
        <v>7935</v>
      </c>
      <c r="E5407" s="4">
        <v>0.0</v>
      </c>
      <c r="F5407" s="4" t="str">
        <f>IFERROR(__xludf.DUMMYFUNCTION("GOOGLETRANSLATE(D5407)"),"讓我們來解決我們的死亡的迫切需求。你會如何在#education #econom http://t.co/ZSqM8ihE1K 中分解它")</f>
        <v>讓我們來解決我們的死亡的迫切需求。你會如何在#education #econom http://t.co/ZSqM8ihE1K 中分解它</v>
      </c>
      <c r="G5407" s="4" t="str">
        <f>IFERROR(__xludf.DUMMYFUNCTION("GOOGLETRANSLATE(B5407)"),"死亡人數")</f>
        <v>死亡人數</v>
      </c>
    </row>
    <row r="5408" ht="15.75" customHeight="1">
      <c r="A5408" s="4">
        <v>5166.0</v>
      </c>
      <c r="B5408" s="4" t="s">
        <v>2360</v>
      </c>
      <c r="D5408" s="4" t="s">
        <v>7936</v>
      </c>
      <c r="E5408" s="4">
        <v>0.0</v>
      </c>
      <c r="F5408" s="4" t="str">
        <f>IFERROR(__xludf.DUMMYFUNCTION("GOOGLETRANSLATE(D5408)"),"拉斯維加斯成為闖紅燈死亡人數最多的 5 個城市 - News3LV http://t.co/eXdbcx4gCR")</f>
        <v>拉斯維加斯成為闖紅燈死亡人數最多的 5 個城市 - News3LV http://t.co/eXdbcx4gCR</v>
      </c>
      <c r="G5408" s="4" t="str">
        <f>IFERROR(__xludf.DUMMYFUNCTION("GOOGLETRANSLATE(B5408)"),"死亡人數")</f>
        <v>死亡人數</v>
      </c>
    </row>
    <row r="5409" ht="15.75" customHeight="1">
      <c r="A5409" s="4">
        <v>5170.0</v>
      </c>
      <c r="B5409" s="4" t="s">
        <v>2360</v>
      </c>
      <c r="D5409" s="4" t="s">
        <v>7937</v>
      </c>
      <c r="E5409" s="4">
        <v>0.0</v>
      </c>
      <c r="F5409" s="4" t="str">
        <f>IFERROR(__xludf.DUMMYFUNCTION("GOOGLETRANSLATE(D5409)"),"@kyrikoni @ExpressandStar 誰說蔬菜和水果對你有好處。希望沒有人員傷亡。")</f>
        <v>@kyrikoni @ExpressandStar 誰說蔬菜和水果對你有好處。希望沒有人員傷亡。</v>
      </c>
      <c r="G5409" s="4" t="str">
        <f>IFERROR(__xludf.DUMMYFUNCTION("GOOGLETRANSLATE(B5409)"),"死亡人數")</f>
        <v>死亡人數</v>
      </c>
    </row>
    <row r="5410" ht="15.75" customHeight="1">
      <c r="A5410" s="4">
        <v>5174.0</v>
      </c>
      <c r="B5410" s="4" t="s">
        <v>2360</v>
      </c>
      <c r="C5410" s="4" t="s">
        <v>7938</v>
      </c>
      <c r="D5410" s="4" t="s">
        <v>7939</v>
      </c>
      <c r="E5410" s="4">
        <v>0.0</v>
      </c>
      <c r="F5410" s="4" t="str">
        <f>IFERROR(__xludf.DUMMYFUNCTION("GOOGLETRANSLATE(D5410)"),"#HSE 發布年度工作場所設施資料。看看吧 | http://t.co/h4UshEekxm http://t.co/jNHNX3oISN")</f>
        <v>#HSE 發布年度工作場所設施資料。看看吧 | http://t.co/h4UshEekxm http://t.co/jNHNX3oISN</v>
      </c>
      <c r="G5410" s="4" t="str">
        <f>IFERROR(__xludf.DUMMYFUNCTION("GOOGLETRANSLATE(B5410)"),"死亡人數")</f>
        <v>死亡人數</v>
      </c>
    </row>
    <row r="5411" ht="15.75" customHeight="1">
      <c r="A5411" s="4">
        <v>5176.0</v>
      </c>
      <c r="B5411" s="4" t="s">
        <v>2360</v>
      </c>
      <c r="C5411" s="4" t="s">
        <v>7940</v>
      </c>
      <c r="D5411" s="4" t="s">
        <v>7941</v>
      </c>
      <c r="E5411" s="4">
        <v>0.0</v>
      </c>
      <c r="F5411" s="4" t="str">
        <f>IFERROR(__xludf.DUMMYFUNCTION("GOOGLETRANSLATE(D5411)"),"5 被拒絕的《真人快打》死亡事件：《真人快打》已經擴展了其界限 http://t.co/igZ7v24GE9 http://t.co/M75DNf2xyg")</f>
        <v>5 被拒絕的《真人快打》死亡事件：《真人快打》已經擴展了其界限 http://t.co/igZ7v24GE9 http://t.co/M75DNf2xyg</v>
      </c>
      <c r="G5411" s="4" t="str">
        <f>IFERROR(__xludf.DUMMYFUNCTION("GOOGLETRANSLATE(B5411)"),"死亡人數")</f>
        <v>死亡人數</v>
      </c>
    </row>
    <row r="5412" ht="15.75" customHeight="1">
      <c r="A5412" s="4">
        <v>5179.0</v>
      </c>
      <c r="B5412" s="4" t="s">
        <v>2360</v>
      </c>
      <c r="C5412" s="4" t="s">
        <v>7942</v>
      </c>
      <c r="D5412" s="4" t="s">
        <v>7943</v>
      </c>
      <c r="E5412" s="4">
        <v>0.0</v>
      </c>
      <c r="F5412" s="4" t="str">
        <f>IFERROR(__xludf.DUMMYFUNCTION("GOOGLETRANSLATE(D5412)"),"http://t.co/JwIv6WYW6F Osage Beach 發布名稱")</f>
        <v>http://t.co/JwIv6WYW6F Osage Beach 發布名稱</v>
      </c>
      <c r="G5412" s="4" t="str">
        <f>IFERROR(__xludf.DUMMYFUNCTION("GOOGLETRANSLATE(B5412)"),"死亡人數")</f>
        <v>死亡人數</v>
      </c>
    </row>
    <row r="5413" ht="15.75" customHeight="1">
      <c r="A5413" s="4">
        <v>5180.0</v>
      </c>
      <c r="B5413" s="4" t="s">
        <v>2360</v>
      </c>
      <c r="D5413" s="4" t="s">
        <v>7944</v>
      </c>
      <c r="E5413" s="4">
        <v>0.0</v>
      </c>
      <c r="F5413" s="4" t="str">
        <f>IFERROR(__xludf.DUMMYFUNCTION("GOOGLETRANSLATE(D5413)"),"我想知道 MKX 中的所有角色在《無皮捕食者》中死亡會是多麼酷/怪異；）")</f>
        <v>我想知道 MKX 中的所有角色在《無皮捕食者》中死亡會是多麼酷/怪異；）</v>
      </c>
      <c r="G5413" s="4" t="str">
        <f>IFERROR(__xludf.DUMMYFUNCTION("GOOGLETRANSLATE(B5413)"),"死亡人數")</f>
        <v>死亡人數</v>
      </c>
    </row>
    <row r="5414" ht="15.75" customHeight="1">
      <c r="A5414" s="4">
        <v>5182.0</v>
      </c>
      <c r="B5414" s="4" t="s">
        <v>2360</v>
      </c>
      <c r="C5414" s="4" t="s">
        <v>7945</v>
      </c>
      <c r="D5414" s="4" t="s">
        <v>7946</v>
      </c>
      <c r="E5414" s="4">
        <v>0.0</v>
      </c>
      <c r="F5414" s="4" t="str">
        <f>IFERROR(__xludf.DUMMYFUNCTION("GOOGLETRANSLATE(D5414)"),"「明智地使用我們的道路，防止大屠殺繼續......讓我們在這個假期期間沒有死亡......」
#GGIndependencMessage")</f>
        <v>「明智地使用我們的道路，防止大屠殺繼續......讓我們在這個假期期間沒有死亡......」
#GGIndependencMessage</v>
      </c>
      <c r="G5414" s="4" t="str">
        <f>IFERROR(__xludf.DUMMYFUNCTION("GOOGLETRANSLATE(B5414)"),"死亡人數")</f>
        <v>死亡人數</v>
      </c>
    </row>
    <row r="5415" ht="15.75" customHeight="1">
      <c r="A5415" s="4">
        <v>5183.0</v>
      </c>
      <c r="B5415" s="4" t="s">
        <v>2360</v>
      </c>
      <c r="C5415" s="4" t="s">
        <v>7947</v>
      </c>
      <c r="D5415" s="4" t="s">
        <v>7948</v>
      </c>
      <c r="E5415" s="4">
        <v>0.0</v>
      </c>
      <c r="F5415" s="4" t="str">
        <f>IFERROR(__xludf.DUMMYFUNCTION("GOOGLETRANSLATE(D5415)"),"真人快打的死亡人數如此嚴重但有趣")</f>
        <v>真人快打的死亡人數如此嚴重但有趣</v>
      </c>
      <c r="G5415" s="4" t="str">
        <f>IFERROR(__xludf.DUMMYFUNCTION("GOOGLETRANSLATE(B5415)"),"死亡人數")</f>
        <v>死亡人數</v>
      </c>
    </row>
    <row r="5416" ht="15.75" customHeight="1">
      <c r="A5416" s="4">
        <v>5184.0</v>
      </c>
      <c r="B5416" s="4" t="s">
        <v>2360</v>
      </c>
      <c r="D5416" s="4" t="s">
        <v>7949</v>
      </c>
      <c r="E5416" s="4">
        <v>0.0</v>
      </c>
      <c r="F5416" s="4" t="str">
        <f>IFERROR(__xludf.DUMMYFUNCTION("GOOGLETRANSLATE(D5416)"),"MKX 的 X 光檢查看起來像是死亡。")</f>
        <v>MKX 的 X 光檢查看起來像是死亡。</v>
      </c>
      <c r="G5416" s="4" t="str">
        <f>IFERROR(__xludf.DUMMYFUNCTION("GOOGLETRANSLATE(B5416)"),"死亡人數")</f>
        <v>死亡人數</v>
      </c>
    </row>
    <row r="5417" ht="15.75" customHeight="1">
      <c r="A5417" s="4">
        <v>5185.0</v>
      </c>
      <c r="B5417" s="4" t="s">
        <v>2360</v>
      </c>
      <c r="C5417" s="4" t="s">
        <v>7950</v>
      </c>
      <c r="D5417" s="4" t="s">
        <v>7951</v>
      </c>
      <c r="E5417" s="4">
        <v>0.0</v>
      </c>
      <c r="F5417" s="4" t="str">
        <f>IFERROR(__xludf.DUMMYFUNCTION("GOOGLETRANSLATE(D5417)"),"@dwilliams313 RT @Ieansquad：當你不知道如何在真人快打中造成死亡時 http://t.co/NU6wRp716d")</f>
        <v>@dwilliams313 RT @Ieansquad：當你不知道如何在真人快打中造成死亡時 http://t.co/NU6wRp716d</v>
      </c>
      <c r="G5417" s="4" t="str">
        <f>IFERROR(__xludf.DUMMYFUNCTION("GOOGLETRANSLATE(B5417)"),"死亡人數")</f>
        <v>死亡人數</v>
      </c>
    </row>
    <row r="5418" ht="15.75" customHeight="1">
      <c r="A5418" s="4">
        <v>5188.0</v>
      </c>
      <c r="B5418" s="4" t="s">
        <v>2360</v>
      </c>
      <c r="D5418" s="4" t="s">
        <v>7952</v>
      </c>
      <c r="E5418" s="4">
        <v>0.0</v>
      </c>
      <c r="F5418" s="4" t="str">
        <f>IFERROR(__xludf.DUMMYFUNCTION("GOOGLETRANSLATE(D5418)"),"真人快打 X：肉食者的所有死亡事件。
https://t.co/IggFNBIxt5")</f>
        <v>真人快打 X：肉食者的所有死亡事件。
https://t.co/IggFNBIxt5</v>
      </c>
      <c r="G5418" s="4" t="str">
        <f>IFERROR(__xludf.DUMMYFUNCTION("GOOGLETRANSLATE(B5418)"),"死亡人數")</f>
        <v>死亡人數</v>
      </c>
    </row>
    <row r="5419" ht="15.75" customHeight="1">
      <c r="A5419" s="4">
        <v>5192.0</v>
      </c>
      <c r="B5419" s="4" t="s">
        <v>2360</v>
      </c>
      <c r="C5419" s="4" t="s">
        <v>7953</v>
      </c>
      <c r="D5419" s="4" t="s">
        <v>7954</v>
      </c>
      <c r="E5419" s="4">
        <v>0.0</v>
      </c>
      <c r="F5419" s="4" t="str">
        <f>IFERROR(__xludf.DUMMYFUNCTION("GOOGLETRANSLATE(D5419)"),"自 1979 年以來，澳洲因蜘蛛咬傷而死亡的人數為零。")</f>
        <v>自 1979 年以來，澳洲因蜘蛛咬傷而死亡的人數為零。</v>
      </c>
      <c r="G5419" s="4" t="str">
        <f>IFERROR(__xludf.DUMMYFUNCTION("GOOGLETRANSLATE(B5419)"),"死亡人數")</f>
        <v>死亡人數</v>
      </c>
    </row>
    <row r="5420" ht="15.75" customHeight="1">
      <c r="A5420" s="4">
        <v>5194.0</v>
      </c>
      <c r="B5420" s="4" t="s">
        <v>2360</v>
      </c>
      <c r="C5420" s="4" t="s">
        <v>1749</v>
      </c>
      <c r="D5420" s="4" t="s">
        <v>7955</v>
      </c>
      <c r="E5420" s="4">
        <v>0.0</v>
      </c>
      <c r="F5420" s="4" t="str">
        <f>IFERROR(__xludf.DUMMYFUNCTION("GOOGLETRANSLATE(D5420)"),"「Motordom」遊說改變我們關於交通死亡事故的措辭。我們需要回到未來#VisionZero https://t.co/cAvb7pgEpv")</f>
        <v>「Motordom」遊說改變我們關於交通死亡事故的措辭。我們需要回到未來#VisionZero https://t.co/cAvb7pgEpv</v>
      </c>
      <c r="G5420" s="4" t="str">
        <f>IFERROR(__xludf.DUMMYFUNCTION("GOOGLETRANSLATE(B5420)"),"死亡人數")</f>
        <v>死亡人數</v>
      </c>
    </row>
    <row r="5421" ht="15.75" customHeight="1">
      <c r="A5421" s="4">
        <v>5195.0</v>
      </c>
      <c r="B5421" s="4" t="s">
        <v>2360</v>
      </c>
      <c r="C5421" s="4" t="s">
        <v>5404</v>
      </c>
      <c r="D5421" s="4" t="s">
        <v>7956</v>
      </c>
      <c r="E5421" s="4">
        <v>0.0</v>
      </c>
      <c r="F5421" s="4" t="str">
        <f>IFERROR(__xludf.DUMMYFUNCTION("GOOGLETRANSLATE(D5421)"),"分享以幫助我們表弟的家人 http://t.co/LSJowGYvQh")</f>
        <v>分享以幫助我們表弟的家人 http://t.co/LSJowGYvQh</v>
      </c>
      <c r="G5421" s="4" t="str">
        <f>IFERROR(__xludf.DUMMYFUNCTION("GOOGLETRANSLATE(B5421)"),"死亡人數")</f>
        <v>死亡人數</v>
      </c>
    </row>
    <row r="5422" ht="15.75" customHeight="1">
      <c r="A5422" s="4">
        <v>5197.0</v>
      </c>
      <c r="B5422" s="4" t="s">
        <v>2360</v>
      </c>
      <c r="C5422" s="4" t="s">
        <v>7957</v>
      </c>
      <c r="D5422" s="4" t="s">
        <v>7958</v>
      </c>
      <c r="E5422" s="4">
        <v>0.0</v>
      </c>
      <c r="F5422" s="4" t="str">
        <f>IFERROR(__xludf.DUMMYFUNCTION("GOOGLETRANSLATE(D5422)"),"《真人快打 X》是一款出色的死亡遊戲，也是我玩過的真人快打 SEGA 版本中最有趣的一款 http://t.co/fLO8fgy35A")</f>
        <v>《真人快打 X》是一款出色的死亡遊戲，也是我玩過的真人快打 SEGA 版本中最有趣的一款 http://t.co/fLO8fgy35A</v>
      </c>
      <c r="G5422" s="4" t="str">
        <f>IFERROR(__xludf.DUMMYFUNCTION("GOOGLETRANSLATE(B5422)"),"死亡人數")</f>
        <v>死亡人數</v>
      </c>
    </row>
    <row r="5423" ht="15.75" customHeight="1">
      <c r="A5423" s="4">
        <v>5198.0</v>
      </c>
      <c r="B5423" s="4" t="s">
        <v>2360</v>
      </c>
      <c r="C5423" s="4" t="s">
        <v>7340</v>
      </c>
      <c r="D5423" s="4" t="s">
        <v>7959</v>
      </c>
      <c r="E5423" s="4">
        <v>0.0</v>
      </c>
      <c r="F5423" s="4" t="str">
        <f>IFERROR(__xludf.DUMMYFUNCTION("GOOGLETRANSLATE(D5423)"),"獨立研究稱 Uber 減少酒後駕駛死亡人數 http://t.co/jVIVT6zrv7")</f>
        <v>獨立研究稱 Uber 減少酒後駕駛死亡人數 http://t.co/jVIVT6zrv7</v>
      </c>
      <c r="G5423" s="4" t="str">
        <f>IFERROR(__xludf.DUMMYFUNCTION("GOOGLETRANSLATE(B5423)"),"死亡人數")</f>
        <v>死亡人數</v>
      </c>
    </row>
    <row r="5424" ht="15.75" customHeight="1">
      <c r="A5424" s="4">
        <v>5199.0</v>
      </c>
      <c r="B5424" s="4" t="s">
        <v>2360</v>
      </c>
      <c r="D5424" s="4" t="s">
        <v>7960</v>
      </c>
      <c r="E5424" s="4">
        <v>0.0</v>
      </c>
      <c r="F5424" s="4" t="str">
        <f>IFERROR(__xludf.DUMMYFUNCTION("GOOGLETRANSLATE(D5424)"),"我喜歡來自 @kevinedwardsjr 的 @YouTube 影片 http://t.co/NCjLKqASUk Mortal Kombat X - PC Gameplay - Fatalities/X-Rays (MKX)")</f>
        <v>我喜歡來自 @kevinedwardsjr 的 @YouTube 影片 http://t.co/NCjLKqASUk Mortal Kombat X - PC Gameplay - Fatalities/X-Rays (MKX)</v>
      </c>
      <c r="G5424" s="4" t="str">
        <f>IFERROR(__xludf.DUMMYFUNCTION("GOOGLETRANSLATE(B5424)"),"死亡人數")</f>
        <v>死亡人數</v>
      </c>
    </row>
    <row r="5425" ht="15.75" customHeight="1">
      <c r="A5425" s="4">
        <v>5204.0</v>
      </c>
      <c r="B5425" s="4" t="s">
        <v>2360</v>
      </c>
      <c r="C5425" s="4" t="s">
        <v>7961</v>
      </c>
      <c r="D5425" s="4" t="s">
        <v>7962</v>
      </c>
      <c r="E5425" s="4">
        <v>0.0</v>
      </c>
      <c r="F5425" s="4" t="str">
        <f>IFERROR(__xludf.DUMMYFUNCTION("GOOGLETRANSLATE(D5425)"),"我不明白這不會大幅減少道路死亡人數")</f>
        <v>我不明白這不會大幅減少道路死亡人數</v>
      </c>
      <c r="G5425" s="4" t="str">
        <f>IFERROR(__xludf.DUMMYFUNCTION("GOOGLETRANSLATE(B5425)"),"死亡人數")</f>
        <v>死亡人數</v>
      </c>
    </row>
    <row r="5426" ht="15.75" customHeight="1">
      <c r="A5426" s="4">
        <v>5211.0</v>
      </c>
      <c r="B5426" s="4" t="s">
        <v>2400</v>
      </c>
      <c r="C5426" s="4" t="s">
        <v>7963</v>
      </c>
      <c r="D5426" s="4" t="s">
        <v>7964</v>
      </c>
      <c r="E5426" s="4">
        <v>0.0</v>
      </c>
      <c r="F5426" s="4" t="str">
        <f>IFERROR(__xludf.DUMMYFUNCTION("GOOGLETRANSLATE(D5426)"),"@EBROINTHEAM jay....大L....雙關語....大...結束...零問題....致命...完美的勝利http://t.co/Y33QcKq7qD")</f>
        <v>@EBROINTHEAM jay....大L....雙關語....大...結束...零問題....致命...完美的勝利http://t.co/Y33QcKq7qD</v>
      </c>
      <c r="G5426" s="4" t="str">
        <f>IFERROR(__xludf.DUMMYFUNCTION("GOOGLETRANSLATE(B5426)"),"死亡")</f>
        <v>死亡</v>
      </c>
    </row>
    <row r="5427" ht="15.75" customHeight="1">
      <c r="A5427" s="4">
        <v>5212.0</v>
      </c>
      <c r="B5427" s="4" t="s">
        <v>2400</v>
      </c>
      <c r="C5427" s="4" t="s">
        <v>7965</v>
      </c>
      <c r="D5427" s="4" t="s">
        <v>7966</v>
      </c>
      <c r="E5427" s="4">
        <v>0.0</v>
      </c>
      <c r="F5427" s="4" t="str">
        <f>IFERROR(__xludf.DUMMYFUNCTION("GOOGLETRANSLATE(D5427)"),"@Jake_ADavis @FaTality_US 我們現在正在擁抱所以..??")</f>
        <v>@Jake_ADavis @FaTality_US 我們現在正在擁抱所以..??</v>
      </c>
      <c r="G5427" s="4" t="str">
        <f>IFERROR(__xludf.DUMMYFUNCTION("GOOGLETRANSLATE(B5427)"),"死亡")</f>
        <v>死亡</v>
      </c>
    </row>
    <row r="5428" ht="15.75" customHeight="1">
      <c r="A5428" s="4">
        <v>5218.0</v>
      </c>
      <c r="B5428" s="4" t="s">
        <v>2400</v>
      </c>
      <c r="C5428" s="4" t="s">
        <v>3919</v>
      </c>
      <c r="D5428" s="4" t="s">
        <v>7967</v>
      </c>
      <c r="E5428" s="4">
        <v>0.0</v>
      </c>
      <c r="F5428" s="4" t="str">
        <f>IFERROR(__xludf.DUMMYFUNCTION("GOOGLETRANSLATE(D5428)"),"那麼這些野蠻人洩露了托馬斯·布雷迪的黑幫郵件帳戶，並想知道為什麼他很快就毀了他的三星手機？ B 真正的兒子。")</f>
        <v>那麼這些野蠻人洩露了托馬斯·布雷迪的黑幫郵件帳戶，並想知道為什麼他很快就毀了他的三星手機？ B 真正的兒子。</v>
      </c>
      <c r="G5428" s="4" t="str">
        <f>IFERROR(__xludf.DUMMYFUNCTION("GOOGLETRANSLATE(B5428)"),"死亡")</f>
        <v>死亡</v>
      </c>
    </row>
    <row r="5429" ht="15.75" customHeight="1">
      <c r="A5429" s="4">
        <v>5219.0</v>
      </c>
      <c r="B5429" s="4" t="s">
        <v>2400</v>
      </c>
      <c r="C5429" s="4" t="s">
        <v>7968</v>
      </c>
      <c r="D5429" s="4" t="s">
        <v>7969</v>
      </c>
      <c r="E5429" s="4">
        <v>0.0</v>
      </c>
      <c r="F5429" s="4" t="str">
        <f>IFERROR(__xludf.DUMMYFUNCTION("GOOGLETRANSLATE(D5429)"),"我喜歡來自 @vgbootcamp 的 @YouTube 影片 http://t.co/yi3OiVK2X4 S@X 109 - sN | VABengal (ZSS) 對陣。申萬世 |死亡（獵鷹隊長）")</f>
        <v>我喜歡來自 @vgbootcamp 的 @YouTube 影片 http://t.co/yi3OiVK2X4 S@X 109 - sN | VABengal (ZSS) 對陣。申萬世 |死亡（獵鷹隊長）</v>
      </c>
      <c r="G5429" s="4" t="str">
        <f>IFERROR(__xludf.DUMMYFUNCTION("GOOGLETRANSLATE(B5429)"),"死亡")</f>
        <v>死亡</v>
      </c>
    </row>
    <row r="5430" ht="15.75" customHeight="1">
      <c r="A5430" s="4">
        <v>5220.0</v>
      </c>
      <c r="B5430" s="4" t="s">
        <v>2400</v>
      </c>
      <c r="D5430" s="4" t="s">
        <v>7970</v>
      </c>
      <c r="E5430" s="4">
        <v>0.0</v>
      </c>
      <c r="F5430" s="4" t="str">
        <f>IFERROR(__xludf.DUMMYFUNCTION("GOOGLETRANSLATE(D5430)"),"休眠 pbx，不論音高致命野心泛：crbZFZ")</f>
        <v>休眠 pbx，不論音高致命野心泛：crbZFZ</v>
      </c>
      <c r="G5430" s="4" t="str">
        <f>IFERROR(__xludf.DUMMYFUNCTION("GOOGLETRANSLATE(B5430)"),"死亡")</f>
        <v>死亡</v>
      </c>
    </row>
    <row r="5431" ht="15.75" customHeight="1">
      <c r="A5431" s="4">
        <v>5221.0</v>
      </c>
      <c r="B5431" s="4" t="s">
        <v>2400</v>
      </c>
      <c r="C5431" s="4" t="s">
        <v>892</v>
      </c>
      <c r="D5431" s="4" t="s">
        <v>7971</v>
      </c>
      <c r="E5431" s="4">
        <v>0.0</v>
      </c>
      <c r="F5431" s="4" t="str">
        <f>IFERROR(__xludf.DUMMYFUNCTION("GOOGLETRANSLATE(D5431)"),"致命！")</f>
        <v>致命！</v>
      </c>
      <c r="G5431" s="4" t="str">
        <f>IFERROR(__xludf.DUMMYFUNCTION("GOOGLETRANSLATE(B5431)"),"死亡")</f>
        <v>死亡</v>
      </c>
    </row>
    <row r="5432" ht="15.75" customHeight="1">
      <c r="A5432" s="4">
        <v>5224.0</v>
      </c>
      <c r="B5432" s="4" t="s">
        <v>2400</v>
      </c>
      <c r="C5432" s="4" t="s">
        <v>7972</v>
      </c>
      <c r="D5432" s="4" t="s">
        <v>2400</v>
      </c>
      <c r="E5432" s="4">
        <v>0.0</v>
      </c>
      <c r="F5432" s="4" t="str">
        <f>IFERROR(__xludf.DUMMYFUNCTION("GOOGLETRANSLATE(D5432)"),"死亡")</f>
        <v>死亡</v>
      </c>
      <c r="G5432" s="4" t="str">
        <f>IFERROR(__xludf.DUMMYFUNCTION("GOOGLETRANSLATE(B5432)"),"死亡")</f>
        <v>死亡</v>
      </c>
    </row>
    <row r="5433" ht="15.75" customHeight="1">
      <c r="A5433" s="4">
        <v>5227.0</v>
      </c>
      <c r="B5433" s="4" t="s">
        <v>2400</v>
      </c>
      <c r="C5433" s="4" t="s">
        <v>2605</v>
      </c>
      <c r="D5433" s="4" t="s">
        <v>7973</v>
      </c>
      <c r="E5433" s="4">
        <v>0.0</v>
      </c>
      <c r="F5433" s="4" t="str">
        <f>IFERROR(__xludf.DUMMYFUNCTION("GOOGLETRANSLATE(D5433)"),"@Tellyfckngo @JayCootchi 不，你用致命的方式擊中了朋友，然後又用胡言亂語把他的兒子。寒冷的。冷得他媽的 lmfaoooo。")</f>
        <v>@Tellyfckngo @JayCootchi 不，你用致命的方式擊中了朋友，然後又用胡言亂語把他的兒子。寒冷的。冷得他媽的 lmfaoooo。</v>
      </c>
      <c r="G5433" s="4" t="str">
        <f>IFERROR(__xludf.DUMMYFUNCTION("GOOGLETRANSLATE(B5433)"),"死亡")</f>
        <v>死亡</v>
      </c>
    </row>
    <row r="5434" ht="15.75" customHeight="1">
      <c r="A5434" s="4">
        <v>5229.0</v>
      </c>
      <c r="B5434" s="4" t="s">
        <v>2400</v>
      </c>
      <c r="C5434" s="4" t="s">
        <v>7974</v>
      </c>
      <c r="D5434" s="4" t="s">
        <v>7975</v>
      </c>
      <c r="E5434" s="4">
        <v>0.0</v>
      </c>
      <c r="F5434" s="4" t="str">
        <f>IFERROR(__xludf.DUMMYFUNCTION("GOOGLETRANSLATE(D5434)"),"死亡人數 https://t.co/407V1y4HHg")</f>
        <v>死亡人數 https://t.co/407V1y4HHg</v>
      </c>
      <c r="G5434" s="4" t="str">
        <f>IFERROR(__xludf.DUMMYFUNCTION("GOOGLETRANSLATE(B5434)"),"死亡")</f>
        <v>死亡</v>
      </c>
    </row>
    <row r="5435" ht="15.75" customHeight="1">
      <c r="A5435" s="4">
        <v>5230.0</v>
      </c>
      <c r="B5435" s="4" t="s">
        <v>2400</v>
      </c>
      <c r="D5435" s="4" t="s">
        <v>7976</v>
      </c>
      <c r="E5435" s="4">
        <v>0.0</v>
      </c>
      <c r="F5435" s="4" t="str">
        <f>IFERROR(__xludf.DUMMYFUNCTION("GOOGLETRANSLATE(D5435)"),"@Bardissimo 是的，生命有 100% 的死亡率。")</f>
        <v>@Bardissimo 是的，生命有 100% 的死亡率。</v>
      </c>
      <c r="G5435" s="4" t="str">
        <f>IFERROR(__xludf.DUMMYFUNCTION("GOOGLETRANSLATE(B5435)"),"死亡")</f>
        <v>死亡</v>
      </c>
    </row>
    <row r="5436" ht="15.75" customHeight="1">
      <c r="A5436" s="4">
        <v>5231.0</v>
      </c>
      <c r="B5436" s="4" t="s">
        <v>2400</v>
      </c>
      <c r="D5436" s="4" t="s">
        <v>7977</v>
      </c>
      <c r="E5436" s="4">
        <v>0.0</v>
      </c>
      <c r="F5436" s="4" t="str">
        <f>IFERROR(__xludf.DUMMYFUNCTION("GOOGLETRANSLATE(D5436)"),"@tonyakappes11 的《迷人的死亡》獲得了多少籃子？ http://t.co/xyav4T5n0O #神秘#超自然現象")</f>
        <v>@tonyakappes11 的《迷人的死亡》獲得了多少籃子？ http://t.co/xyav4T5n0O #神秘#超自然現象</v>
      </c>
      <c r="G5436" s="4" t="str">
        <f>IFERROR(__xludf.DUMMYFUNCTION("GOOGLETRANSLATE(B5436)"),"死亡")</f>
        <v>死亡</v>
      </c>
    </row>
    <row r="5437" ht="15.75" customHeight="1">
      <c r="A5437" s="4">
        <v>5232.0</v>
      </c>
      <c r="B5437" s="4" t="s">
        <v>2400</v>
      </c>
      <c r="C5437" s="4" t="s">
        <v>7978</v>
      </c>
      <c r="D5437" s="4" t="s">
        <v>7979</v>
      </c>
      <c r="E5437" s="4">
        <v>0.0</v>
      </c>
      <c r="F5437" s="4" t="str">
        <f>IFERROR(__xludf.DUMMYFUNCTION("GOOGLETRANSLATE(D5437)"),"他們正在製作《絕地戰警3》和《絕地戰警4》！！必看")</f>
        <v>他們正在製作《絕地戰警3》和《絕地戰警4》！！必看</v>
      </c>
      <c r="G5437" s="4" t="str">
        <f>IFERROR(__xludf.DUMMYFUNCTION("GOOGLETRANSLATE(B5437)"),"死亡")</f>
        <v>死亡</v>
      </c>
    </row>
    <row r="5438" ht="15.75" customHeight="1">
      <c r="A5438" s="4">
        <v>5233.0</v>
      </c>
      <c r="B5438" s="4" t="s">
        <v>2400</v>
      </c>
      <c r="C5438" s="4" t="s">
        <v>7980</v>
      </c>
      <c r="D5438" s="4" t="s">
        <v>7981</v>
      </c>
      <c r="E5438" s="4">
        <v>0.0</v>
      </c>
      <c r="F5438" s="4" t="str">
        <f>IFERROR(__xludf.DUMMYFUNCTION("GOOGLETRANSLATE(D5438)"),"@FaTality_US 需要團隊嗎？我們需要一個。")</f>
        <v>@FaTality_US 需要團隊嗎？我們需要一個。</v>
      </c>
      <c r="G5438" s="4" t="str">
        <f>IFERROR(__xludf.DUMMYFUNCTION("GOOGLETRANSLATE(B5438)"),"死亡")</f>
        <v>死亡</v>
      </c>
    </row>
    <row r="5439" ht="15.75" customHeight="1">
      <c r="A5439" s="4">
        <v>5235.0</v>
      </c>
      <c r="B5439" s="4" t="s">
        <v>2400</v>
      </c>
      <c r="C5439" s="4" t="s">
        <v>7978</v>
      </c>
      <c r="D5439" s="4" t="s">
        <v>7982</v>
      </c>
      <c r="E5439" s="4">
        <v>0.0</v>
      </c>
      <c r="F5439" s="4" t="str">
        <f>IFERROR(__xludf.DUMMYFUNCTION("GOOGLETRANSLATE(D5439)"),"這通常不會發生")</f>
        <v>這通常不會發生</v>
      </c>
      <c r="G5439" s="4" t="str">
        <f>IFERROR(__xludf.DUMMYFUNCTION("GOOGLETRANSLATE(B5439)"),"死亡")</f>
        <v>死亡</v>
      </c>
    </row>
    <row r="5440" ht="15.75" customHeight="1">
      <c r="A5440" s="4">
        <v>5236.0</v>
      </c>
      <c r="B5440" s="4" t="s">
        <v>2400</v>
      </c>
      <c r="C5440" s="4" t="s">
        <v>4524</v>
      </c>
      <c r="D5440" s="4" t="s">
        <v>7983</v>
      </c>
      <c r="E5440" s="4">
        <v>0.0</v>
      </c>
      <c r="F5440" s="4" t="str">
        <f>IFERROR(__xludf.DUMMYFUNCTION("GOOGLETRANSLATE(D5440)"),"@Babybackreeve 致命！！！！！！！！！")</f>
        <v>@Babybackreeve 致命！！！！！！！！！</v>
      </c>
      <c r="G5440" s="4" t="str">
        <f>IFERROR(__xludf.DUMMYFUNCTION("GOOGLETRANSLATE(B5440)"),"死亡")</f>
        <v>死亡</v>
      </c>
    </row>
    <row r="5441" ht="15.75" customHeight="1">
      <c r="A5441" s="4">
        <v>5238.0</v>
      </c>
      <c r="B5441" s="4" t="s">
        <v>2400</v>
      </c>
      <c r="C5441" s="4" t="s">
        <v>7984</v>
      </c>
      <c r="D5441" s="4" t="s">
        <v>7985</v>
      </c>
      <c r="E5441" s="4">
        <v>0.0</v>
      </c>
      <c r="F5441" s="4" t="str">
        <f>IFERROR(__xludf.DUMMYFUNCTION("GOOGLETRANSLATE(D5441)"),"2015 年 8 月 3 日：貓死亡事件：紐約州尤蒂卡；愉快的&amp;amp;荷蘭街：黑貓，白爪子。普通大小。路北邊草地上。")</f>
        <v>2015 年 8 月 3 日：貓死亡事件：紐約州尤蒂卡；愉快的&amp;amp;荷蘭街：黑貓，白爪子。普通大小。路北邊草地上。</v>
      </c>
      <c r="G5441" s="4" t="str">
        <f>IFERROR(__xludf.DUMMYFUNCTION("GOOGLETRANSLATE(B5441)"),"死亡")</f>
        <v>死亡</v>
      </c>
    </row>
    <row r="5442" ht="15.75" customHeight="1">
      <c r="A5442" s="4">
        <v>5242.0</v>
      </c>
      <c r="B5442" s="4" t="s">
        <v>2400</v>
      </c>
      <c r="D5442" s="4" t="s">
        <v>7986</v>
      </c>
      <c r="E5442" s="4">
        <v>0.0</v>
      </c>
      <c r="F5442" s="4" t="str">
        <f>IFERROR(__xludf.DUMMYFUNCTION("GOOGLETRANSLATE(D5442)"),"@pxnatosil @RenuncieDilma 死亡！")</f>
        <v>@pxnatosil @RenuncieDilma 死亡！</v>
      </c>
      <c r="G5442" s="4" t="str">
        <f>IFERROR(__xludf.DUMMYFUNCTION("GOOGLETRANSLATE(B5442)"),"死亡")</f>
        <v>死亡</v>
      </c>
    </row>
    <row r="5443" ht="15.75" customHeight="1">
      <c r="A5443" s="4">
        <v>5243.0</v>
      </c>
      <c r="B5443" s="4" t="s">
        <v>2400</v>
      </c>
      <c r="D5443" s="4" t="s">
        <v>7987</v>
      </c>
      <c r="E5443" s="4">
        <v>0.0</v>
      </c>
      <c r="F5443" s="4" t="str">
        <f>IFERROR(__xludf.DUMMYFUNCTION("GOOGLETRANSLATE(D5443)"),"[Jax(MK2)] 階段死亡：UUD+LK（關閉）")</f>
        <v>[Jax(MK2)] 階段死亡：UUD+LK（關閉）</v>
      </c>
      <c r="G5443" s="4" t="str">
        <f>IFERROR(__xludf.DUMMYFUNCTION("GOOGLETRANSLATE(B5443)"),"死亡")</f>
        <v>死亡</v>
      </c>
    </row>
    <row r="5444" ht="15.75" customHeight="1">
      <c r="A5444" s="4">
        <v>5244.0</v>
      </c>
      <c r="B5444" s="4" t="s">
        <v>2400</v>
      </c>
      <c r="C5444" s="4" t="s">
        <v>7988</v>
      </c>
      <c r="D5444" s="4" t="s">
        <v>7989</v>
      </c>
      <c r="E5444" s="4">
        <v>0.0</v>
      </c>
      <c r="F5444" s="4" t="str">
        <f>IFERROR(__xludf.DUMMYFUNCTION("GOOGLETRANSLATE(D5444)"),"“看到美琳娜號上每一次死亡的視頻都讓我感到難過。”")</f>
        <v>“看到美琳娜號上每一次死亡的視頻都讓我感到難過。”</v>
      </c>
      <c r="G5444" s="4" t="str">
        <f>IFERROR(__xludf.DUMMYFUNCTION("GOOGLETRANSLATE(B5444)"),"死亡")</f>
        <v>死亡</v>
      </c>
    </row>
    <row r="5445" ht="15.75" customHeight="1">
      <c r="A5445" s="4">
        <v>5245.0</v>
      </c>
      <c r="B5445" s="4" t="s">
        <v>2400</v>
      </c>
      <c r="C5445" s="4" t="s">
        <v>7990</v>
      </c>
      <c r="D5445" s="4" t="s">
        <v>7991</v>
      </c>
      <c r="E5445" s="4">
        <v>0.0</v>
      </c>
      <c r="F5445" s="4" t="str">
        <f>IFERROR(__xludf.DUMMYFUNCTION("GOOGLETRANSLATE(D5445)"),"@Chrisman528死亡......")</f>
        <v>@Chrisman528死亡......</v>
      </c>
      <c r="G5445" s="4" t="str">
        <f>IFERROR(__xludf.DUMMYFUNCTION("GOOGLETRANSLATE(B5445)"),"死亡")</f>
        <v>死亡</v>
      </c>
    </row>
    <row r="5446" ht="15.75" customHeight="1">
      <c r="A5446" s="4">
        <v>5247.0</v>
      </c>
      <c r="B5446" s="4" t="s">
        <v>2400</v>
      </c>
      <c r="C5446" s="4" t="s">
        <v>38</v>
      </c>
      <c r="D5446" s="4" t="s">
        <v>7992</v>
      </c>
      <c r="E5446" s="4">
        <v>0.0</v>
      </c>
      <c r="F5446" s="4" t="str">
        <f>IFERROR(__xludf.DUMMYFUNCTION("GOOGLETRANSLATE(D5446)"),"科修斯科警方週四調查行人被火車撞死的事件 http://t.co/m5djLLxoZP")</f>
        <v>科修斯科警方週四調查行人被火車撞死的事件 http://t.co/m5djLLxoZP</v>
      </c>
      <c r="G5446" s="4" t="str">
        <f>IFERROR(__xludf.DUMMYFUNCTION("GOOGLETRANSLATE(B5446)"),"死亡")</f>
        <v>死亡</v>
      </c>
    </row>
    <row r="5447" ht="15.75" customHeight="1">
      <c r="A5447" s="4">
        <v>5249.0</v>
      </c>
      <c r="B5447" s="4" t="s">
        <v>2400</v>
      </c>
      <c r="C5447" s="4" t="s">
        <v>7993</v>
      </c>
      <c r="D5447" s="4" t="s">
        <v>7994</v>
      </c>
      <c r="E5447" s="4">
        <v>0.0</v>
      </c>
      <c r="F5447" s="4" t="str">
        <f>IFERROR(__xludf.DUMMYFUNCTION("GOOGLETRANSLATE(D5447)"),"死亡可怕。可能不是最好的獵鷹，但仍然很可怕。")</f>
        <v>死亡可怕。可能不是最好的獵鷹，但仍然很可怕。</v>
      </c>
      <c r="G5447" s="4" t="str">
        <f>IFERROR(__xludf.DUMMYFUNCTION("GOOGLETRANSLATE(B5447)"),"死亡")</f>
        <v>死亡</v>
      </c>
    </row>
    <row r="5448" ht="15.75" customHeight="1">
      <c r="A5448" s="4">
        <v>5251.0</v>
      </c>
      <c r="B5448" s="4" t="s">
        <v>2400</v>
      </c>
      <c r="C5448" s="4" t="s">
        <v>7995</v>
      </c>
      <c r="D5448" s="4" t="s">
        <v>7996</v>
      </c>
      <c r="E5448" s="4">
        <v>0.0</v>
      </c>
      <c r="F5448" s="4" t="str">
        <f>IFERROR(__xludf.DUMMYFUNCTION("GOOGLETRANSLATE(D5448)"),"我喜歡來自 @vgbootcamp 的 @YouTube 影片 http://t.co/7LvGCMyIyJ S@X 109 - sN | VABengal (ZSS) 對陣。申萬世 |死亡（獵鷹隊長）")</f>
        <v>我喜歡來自 @vgbootcamp 的 @YouTube 影片 http://t.co/7LvGCMyIyJ S@X 109 - sN | VABengal (ZSS) 對陣。申萬世 |死亡（獵鷹隊長）</v>
      </c>
      <c r="G5448" s="4" t="str">
        <f>IFERROR(__xludf.DUMMYFUNCTION("GOOGLETRANSLATE(B5448)"),"死亡")</f>
        <v>死亡</v>
      </c>
    </row>
    <row r="5449" ht="15.75" customHeight="1">
      <c r="A5449" s="4">
        <v>5255.0</v>
      </c>
      <c r="B5449" s="4" t="s">
        <v>2400</v>
      </c>
      <c r="C5449" s="4" t="s">
        <v>7997</v>
      </c>
      <c r="D5449" s="4" t="s">
        <v>7998</v>
      </c>
      <c r="E5449" s="4">
        <v>0.0</v>
      </c>
      <c r="F5449" s="4" t="str">
        <f>IFERROR(__xludf.DUMMYFUNCTION("GOOGLETRANSLATE(D5449)"),"我喜歡來自 @deathmule 的 @YouTube 影片 http://t.co/sxHGFIThJw MK X Tremors Stalag Might Fatality on Ermac Tournament Pharaoh")</f>
        <v>我喜歡來自 @deathmule 的 @YouTube 影片 http://t.co/sxHGFIThJw MK X Tremors Stalag Might Fatality on Ermac Tournament Pharaoh</v>
      </c>
      <c r="G5449" s="4" t="str">
        <f>IFERROR(__xludf.DUMMYFUNCTION("GOOGLETRANSLATE(B5449)"),"死亡")</f>
        <v>死亡</v>
      </c>
    </row>
    <row r="5450" ht="15.75" customHeight="1">
      <c r="A5450" s="4">
        <v>5256.0</v>
      </c>
      <c r="B5450" s="4" t="s">
        <v>2400</v>
      </c>
      <c r="C5450" s="4" t="s">
        <v>7999</v>
      </c>
      <c r="D5450" s="4" t="s">
        <v>8000</v>
      </c>
      <c r="E5450" s="4">
        <v>0.0</v>
      </c>
      <c r="F5450" s="4" t="str">
        <f>IFERROR(__xludf.DUMMYFUNCTION("GOOGLETRANSLATE(D5450)"),"我將影片新增至 @YouTube 播放清單 http://t.co/O7QOgmOegU S@X 109 - SWS |死亡（獵鷹隊長）VS。雪 (Fox) SSB4 失敗者")</f>
        <v>我將影片新增至 @YouTube 播放清單 http://t.co/O7QOgmOegU S@X 109 - SWS |死亡（獵鷹隊長）VS。雪 (Fox) SSB4 失敗者</v>
      </c>
      <c r="G5450" s="4" t="str">
        <f>IFERROR(__xludf.DUMMYFUNCTION("GOOGLETRANSLATE(B5450)"),"死亡")</f>
        <v>死亡</v>
      </c>
    </row>
    <row r="5451" ht="15.75" customHeight="1">
      <c r="A5451" s="4">
        <v>5259.0</v>
      </c>
      <c r="B5451" s="4" t="s">
        <v>2400</v>
      </c>
      <c r="C5451" s="4" t="s">
        <v>7155</v>
      </c>
      <c r="D5451" s="4" t="s">
        <v>8001</v>
      </c>
      <c r="E5451" s="4">
        <v>0.0</v>
      </c>
      <c r="F5451" s="4" t="str">
        <f>IFERROR(__xludf.DUMMYFUNCTION("GOOGLETRANSLATE(D5451)"),"致死率？？？")</f>
        <v>致死率？？？</v>
      </c>
      <c r="G5451" s="4" t="str">
        <f>IFERROR(__xludf.DUMMYFUNCTION("GOOGLETRANSLATE(B5451)"),"死亡")</f>
        <v>死亡</v>
      </c>
    </row>
    <row r="5452" ht="15.75" customHeight="1">
      <c r="A5452" s="4">
        <v>5260.0</v>
      </c>
      <c r="B5452" s="4" t="s">
        <v>2400</v>
      </c>
      <c r="D5452" s="4" t="s">
        <v>8002</v>
      </c>
      <c r="E5452" s="4">
        <v>0.0</v>
      </c>
      <c r="F5452" s="4" t="str">
        <f>IFERROR(__xludf.DUMMYFUNCTION("GOOGLETRANSLATE(D5452)"),"路上的每一天對我來說都是瀕臨死亡的。感謝上帝站在我這邊。？")</f>
        <v>路上的每一天對我來說都是瀕臨死亡的。感謝上帝站在我這邊。？</v>
      </c>
      <c r="G5452" s="4" t="str">
        <f>IFERROR(__xludf.DUMMYFUNCTION("GOOGLETRANSLATE(B5452)"),"死亡")</f>
        <v>死亡</v>
      </c>
    </row>
    <row r="5453" ht="15.75" customHeight="1">
      <c r="A5453" s="4">
        <v>5262.0</v>
      </c>
      <c r="B5453" s="4" t="s">
        <v>2414</v>
      </c>
      <c r="C5453" s="4" t="s">
        <v>8003</v>
      </c>
      <c r="D5453" s="4" t="s">
        <v>8004</v>
      </c>
      <c r="E5453" s="4">
        <v>0.0</v>
      </c>
      <c r="F5453" s="4" t="str">
        <f>IFERROR(__xludf.DUMMYFUNCTION("GOOGLETRANSLATE(D5453)"),"十二月的恐懼工廠。木已成舟。")</f>
        <v>十二月的恐懼工廠。木已成舟。</v>
      </c>
      <c r="G5453" s="4" t="str">
        <f>IFERROR(__xludf.DUMMYFUNCTION("GOOGLETRANSLATE(B5453)"),"害怕")</f>
        <v>害怕</v>
      </c>
    </row>
    <row r="5454" ht="15.75" customHeight="1">
      <c r="A5454" s="4">
        <v>5263.0</v>
      </c>
      <c r="B5454" s="4" t="s">
        <v>2414</v>
      </c>
      <c r="D5454" s="4" t="s">
        <v>8005</v>
      </c>
      <c r="E5454" s="4">
        <v>0.0</v>
      </c>
      <c r="F5454" s="4" t="str">
        <f>IFERROR(__xludf.DUMMYFUNCTION("GOOGLETRANSLATE(D5454)"),"我交了一個比你們所有人加起來還要有趣的朋友 https://t.co/isBtzUJFBm")</f>
        <v>我交了一個比你們所有人加起來還要有趣的朋友 https://t.co/isBtzUJFBm</v>
      </c>
      <c r="G5454" s="4" t="str">
        <f>IFERROR(__xludf.DUMMYFUNCTION("GOOGLETRANSLATE(B5454)"),"害怕")</f>
        <v>害怕</v>
      </c>
    </row>
    <row r="5455" ht="15.75" customHeight="1">
      <c r="A5455" s="4">
        <v>5264.0</v>
      </c>
      <c r="B5455" s="4" t="s">
        <v>2414</v>
      </c>
      <c r="C5455" s="4" t="s">
        <v>8006</v>
      </c>
      <c r="D5455" s="4" t="s">
        <v>8007</v>
      </c>
      <c r="E5455" s="4">
        <v>0.0</v>
      </c>
      <c r="F5455" s="4" t="str">
        <f>IFERROR(__xludf.DUMMYFUNCTION("GOOGLETRANSLATE(D5455)"),"我選擇了改變我生命的意義：克服恐懼，看見奇蹟。
TCC 捕捉光芒...無盡... http://t.co/eeRkH8ljws")</f>
        <v>我選擇了改變我生命的意義：克服恐懼，看見奇蹟。
TCC 捕捉光芒...無盡... http://t.co/eeRkH8ljws</v>
      </c>
      <c r="G5455" s="4" t="str">
        <f>IFERROR(__xludf.DUMMYFUNCTION("GOOGLETRANSLATE(B5455)"),"害怕")</f>
        <v>害怕</v>
      </c>
    </row>
    <row r="5456" ht="15.75" customHeight="1">
      <c r="A5456" s="4">
        <v>5265.0</v>
      </c>
      <c r="B5456" s="4" t="s">
        <v>2414</v>
      </c>
      <c r="C5456" s="4" t="s">
        <v>8008</v>
      </c>
      <c r="D5456" s="4" t="s">
        <v>8009</v>
      </c>
      <c r="E5456" s="4">
        <v>0.0</v>
      </c>
      <c r="F5456" s="4" t="str">
        <f>IFERROR(__xludf.DUMMYFUNCTION("GOOGLETRANSLATE(D5456)"),"@phnotf 有時你的厚臉皮會透過我的電腦螢幕流淌，我會因恐懼而退縮")</f>
        <v>@phnotf 有時你的厚臉皮會透過我的電腦螢幕流淌，我會因恐懼而退縮</v>
      </c>
      <c r="G5456" s="4" t="str">
        <f>IFERROR(__xludf.DUMMYFUNCTION("GOOGLETRANSLATE(B5456)"),"害怕")</f>
        <v>害怕</v>
      </c>
    </row>
    <row r="5457" ht="15.75" customHeight="1">
      <c r="A5457" s="4">
        <v>5266.0</v>
      </c>
      <c r="B5457" s="4" t="s">
        <v>2414</v>
      </c>
      <c r="D5457" s="4" t="s">
        <v>8010</v>
      </c>
      <c r="E5457" s="4">
        <v>0.0</v>
      </c>
      <c r="F5457" s="4" t="str">
        <f>IFERROR(__xludf.DUMMYFUNCTION("GOOGLETRANSLATE(D5457)"),"因為我知道每個男人都害怕堅強的女人，但我說如果她能靠自己的力量並維持下去，她就是守護者")</f>
        <v>因為我知道每個男人都害怕堅強的女人，但我說如果她能靠自己的力量並維持下去，她就是守護者</v>
      </c>
      <c r="G5457" s="4" t="str">
        <f>IFERROR(__xludf.DUMMYFUNCTION("GOOGLETRANSLATE(B5457)"),"害怕")</f>
        <v>害怕</v>
      </c>
    </row>
    <row r="5458" ht="15.75" customHeight="1">
      <c r="A5458" s="4">
        <v>5267.0</v>
      </c>
      <c r="B5458" s="4" t="s">
        <v>2414</v>
      </c>
      <c r="D5458" s="4" t="s">
        <v>8011</v>
      </c>
      <c r="E5458" s="4">
        <v>0.0</v>
      </c>
      <c r="F5458" s="4" t="str">
        <f>IFERROR(__xludf.DUMMYFUNCTION("GOOGLETRANSLATE(D5458)"),"我最害怕的是讓相信我的人失望")</f>
        <v>我最害怕的是讓相信我的人失望</v>
      </c>
      <c r="G5458" s="4" t="str">
        <f>IFERROR(__xludf.DUMMYFUNCTION("GOOGLETRANSLATE(B5458)"),"害怕")</f>
        <v>害怕</v>
      </c>
    </row>
    <row r="5459" ht="15.75" customHeight="1">
      <c r="A5459" s="4">
        <v>5269.0</v>
      </c>
      <c r="B5459" s="4" t="s">
        <v>2414</v>
      </c>
      <c r="C5459" s="4" t="s">
        <v>8012</v>
      </c>
      <c r="D5459" s="4" t="s">
        <v>8013</v>
      </c>
      <c r="E5459" s="4">
        <v>0.0</v>
      </c>
      <c r="F5459" s="4" t="str">
        <f>IFERROR(__xludf.DUMMYFUNCTION("GOOGLETRANSLATE(D5459)"),"我不想傷害你，但恐懼驅使我這麼做............午夜")</f>
        <v>我不想傷害你，但恐懼驅使我這麼做............午夜</v>
      </c>
      <c r="G5459" s="4" t="str">
        <f>IFERROR(__xludf.DUMMYFUNCTION("GOOGLETRANSLATE(B5459)"),"害怕")</f>
        <v>害怕</v>
      </c>
    </row>
    <row r="5460" ht="15.75" customHeight="1">
      <c r="A5460" s="4">
        <v>5270.0</v>
      </c>
      <c r="B5460" s="4" t="s">
        <v>2414</v>
      </c>
      <c r="C5460" s="4" t="s">
        <v>8014</v>
      </c>
      <c r="D5460" s="4" t="s">
        <v>8015</v>
      </c>
      <c r="E5460" s="4">
        <v>0.0</v>
      </c>
      <c r="F5460" s="4" t="str">
        <f>IFERROR(__xludf.DUMMYFUNCTION("GOOGLETRANSLATE(D5460)"),"男人害怕被女人「控制」的感覺。或在他們準備好之前被動地被強製做出承諾...")</f>
        <v>男人害怕被女人「控制」的感覺。或在他們準備好之前被動地被強製做出承諾...</v>
      </c>
      <c r="G5460" s="4" t="str">
        <f>IFERROR(__xludf.DUMMYFUNCTION("GOOGLETRANSLATE(B5460)"),"害怕")</f>
        <v>害怕</v>
      </c>
    </row>
    <row r="5461" ht="15.75" customHeight="1">
      <c r="A5461" s="4">
        <v>5271.0</v>
      </c>
      <c r="B5461" s="4" t="s">
        <v>2414</v>
      </c>
      <c r="D5461" s="4" t="s">
        <v>8016</v>
      </c>
      <c r="E5461" s="4">
        <v>0.0</v>
      </c>
      <c r="F5461" s="4" t="str">
        <f>IFERROR(__xludf.DUMMYFUNCTION("GOOGLETRANSLATE(D5461)"),"我們在組織中最擔心的事情——波動、幹擾、不平衡——是創造力的主要來源。 ——瑪格麗特‧惠特利")</f>
        <v>我們在組織中最擔心的事情——波動、幹擾、不平衡——是創造力的主要來源。 ——瑪格麗特‧惠特利</v>
      </c>
      <c r="G5461" s="4" t="str">
        <f>IFERROR(__xludf.DUMMYFUNCTION("GOOGLETRANSLATE(B5461)"),"害怕")</f>
        <v>害怕</v>
      </c>
    </row>
    <row r="5462" ht="15.75" customHeight="1">
      <c r="A5462" s="4">
        <v>5272.0</v>
      </c>
      <c r="B5462" s="4" t="s">
        <v>2414</v>
      </c>
      <c r="C5462" s="4" t="s">
        <v>8017</v>
      </c>
      <c r="D5462" s="4" t="s">
        <v>8018</v>
      </c>
      <c r="E5462" s="4">
        <v>0.0</v>
      </c>
      <c r="F5462" s="4" t="str">
        <f>IFERROR(__xludf.DUMMYFUNCTION("GOOGLETRANSLATE(D5462)"),"恐懼工廠 - 汽車（官方音樂影片）http://t.co/UUzaUMdObc")</f>
        <v>恐懼工廠 - 汽車（官方音樂影片）http://t.co/UUzaUMdObc</v>
      </c>
      <c r="G5462" s="4" t="str">
        <f>IFERROR(__xludf.DUMMYFUNCTION("GOOGLETRANSLATE(B5462)"),"害怕")</f>
        <v>害怕</v>
      </c>
    </row>
    <row r="5463" ht="15.75" customHeight="1">
      <c r="A5463" s="4">
        <v>5273.0</v>
      </c>
      <c r="B5463" s="4" t="s">
        <v>2414</v>
      </c>
      <c r="C5463" s="4" t="s">
        <v>8019</v>
      </c>
      <c r="D5463" s="4" t="s">
        <v>8020</v>
      </c>
      <c r="E5463" s="4">
        <v>0.0</v>
      </c>
      <c r="F5463" s="4" t="str">
        <f>IFERROR(__xludf.DUMMYFUNCTION("GOOGLETRANSLATE(D5463)"),"@Luzukokoti 這都是為了理解 umntu wakho。如果您這樣做並信任您的伴侶，那麼您就會知道並且不會害怕做任何事情。")</f>
        <v>@Luzukokoti 這都是為了理解 umntu wakho。如果您這樣做並信任您的伴侶，那麼您就會知道並且不會害怕做任何事情。</v>
      </c>
      <c r="G5463" s="4" t="str">
        <f>IFERROR(__xludf.DUMMYFUNCTION("GOOGLETRANSLATE(B5463)"),"害怕")</f>
        <v>害怕</v>
      </c>
    </row>
    <row r="5464" ht="15.75" customHeight="1">
      <c r="A5464" s="4">
        <v>5274.0</v>
      </c>
      <c r="B5464" s="4" t="s">
        <v>2414</v>
      </c>
      <c r="C5464" s="4" t="s">
        <v>2145</v>
      </c>
      <c r="D5464" s="4" t="s">
        <v>8021</v>
      </c>
      <c r="E5464" s="4">
        <v>0.0</v>
      </c>
      <c r="F5464" s="4" t="str">
        <f>IFERROR(__xludf.DUMMYFUNCTION("GOOGLETRANSLATE(D5464)"),"照片：參考：xekstrin：我以為鼻孔是眼睛，我差點因為恐懼而哭泣... http://t.co/O7yYjLuKfJ")</f>
        <v>照片：參考：xekstrin：我以為鼻孔是眼睛，我差點因為恐懼而哭泣... http://t.co/O7yYjLuKfJ</v>
      </c>
      <c r="G5464" s="4" t="str">
        <f>IFERROR(__xludf.DUMMYFUNCTION("GOOGLETRANSLATE(B5464)"),"害怕")</f>
        <v>害怕</v>
      </c>
    </row>
    <row r="5465" ht="15.75" customHeight="1">
      <c r="A5465" s="4">
        <v>5276.0</v>
      </c>
      <c r="B5465" s="4" t="s">
        <v>2414</v>
      </c>
      <c r="C5465" s="4" t="s">
        <v>2001</v>
      </c>
      <c r="D5465" s="4" t="s">
        <v>8022</v>
      </c>
      <c r="E5465" s="4">
        <v>0.0</v>
      </c>
      <c r="F5465" s="4" t="str">
        <f>IFERROR(__xludf.DUMMYFUNCTION("GOOGLETRANSLATE(D5465)"),"@BaileySMSteach 擔心自己看起來不知道自己在做什麼，這對我來說是一個很大的問題。 #PerryChat")</f>
        <v>@BaileySMSteach 擔心自己看起來不知道自己在做什麼，這對我來說是一個很大的問題。 #PerryChat</v>
      </c>
      <c r="G5465" s="4" t="str">
        <f>IFERROR(__xludf.DUMMYFUNCTION("GOOGLETRANSLATE(B5465)"),"害怕")</f>
        <v>害怕</v>
      </c>
    </row>
    <row r="5466" ht="15.75" customHeight="1">
      <c r="A5466" s="4">
        <v>5280.0</v>
      </c>
      <c r="B5466" s="4" t="s">
        <v>2414</v>
      </c>
      <c r="D5466" s="4" t="s">
        <v>8023</v>
      </c>
      <c r="E5466" s="4">
        <v>0.0</v>
      </c>
      <c r="F5466" s="4" t="str">
        <f>IFERROR(__xludf.DUMMYFUNCTION("GOOGLETRANSLATE(D5466)"),"恐懼 - YouTube http://t.co/PrmtxjJdue")</f>
        <v>恐懼 - YouTube http://t.co/PrmtxjJdue</v>
      </c>
      <c r="G5466" s="4" t="str">
        <f>IFERROR(__xludf.DUMMYFUNCTION("GOOGLETRANSLATE(B5466)"),"害怕")</f>
        <v>害怕</v>
      </c>
    </row>
    <row r="5467" ht="15.75" customHeight="1">
      <c r="A5467" s="4">
        <v>5281.0</v>
      </c>
      <c r="B5467" s="4" t="s">
        <v>2414</v>
      </c>
      <c r="C5467" s="4" t="s">
        <v>8024</v>
      </c>
      <c r="D5467" s="4" t="s">
        <v>8025</v>
      </c>
      <c r="E5467" s="4">
        <v>0.0</v>
      </c>
      <c r="F5467" s="4" t="str">
        <f>IFERROR(__xludf.DUMMYFUNCTION("GOOGLETRANSLATE(D5467)"),"透過在我的文章上獲得最多分享來幫助我贏得 $$$$！一輩子的恐懼 http://t.co/9eh2lCQkxl 謝謝！ #BlackInAmerica #GrowingUpBla​​ck")</f>
        <v>透過在我的文章上獲得最多分享來幫助我贏得 $$$$！一輩子的恐懼 http://t.co/9eh2lCQkxl 謝謝！ #BlackInAmerica #GrowingUpBla​​ck</v>
      </c>
      <c r="G5467" s="4" t="str">
        <f>IFERROR(__xludf.DUMMYFUNCTION("GOOGLETRANSLATE(B5467)"),"害怕")</f>
        <v>害怕</v>
      </c>
    </row>
    <row r="5468" ht="15.75" customHeight="1">
      <c r="A5468" s="4">
        <v>5284.0</v>
      </c>
      <c r="B5468" s="4" t="s">
        <v>2414</v>
      </c>
      <c r="D5468" s="4" t="s">
        <v>8026</v>
      </c>
      <c r="E5468" s="4">
        <v>0.0</v>
      </c>
      <c r="F5468" s="4" t="str">
        <f>IFERROR(__xludf.DUMMYFUNCTION("GOOGLETRANSLATE(D5468)"),"我想和你永遠在一起
待在我身邊
在這個特別的夜晚
拉斯維加斯的恐懼與厭惡/聖誕節的孤獨")</f>
        <v>我想和你永遠在一起
待在我身邊
在這個特別的夜晚
拉斯維加斯的恐懼與厭惡/聖誕節的孤獨</v>
      </c>
      <c r="G5468" s="4" t="str">
        <f>IFERROR(__xludf.DUMMYFUNCTION("GOOGLETRANSLATE(B5468)"),"害怕")</f>
        <v>害怕</v>
      </c>
    </row>
    <row r="5469" ht="15.75" customHeight="1">
      <c r="A5469" s="4">
        <v>5285.0</v>
      </c>
      <c r="B5469" s="4" t="s">
        <v>2414</v>
      </c>
      <c r="C5469" s="4" t="s">
        <v>8027</v>
      </c>
      <c r="D5469" s="4" t="s">
        <v>8028</v>
      </c>
      <c r="E5469" s="4">
        <v>0.0</v>
      </c>
      <c r="F5469" s="4" t="str">
        <f>IFERROR(__xludf.DUMMYFUNCTION("GOOGLETRANSLATE(D5469)"),"我最害怕的事。 https://t.co/iH8UDz8mq3")</f>
        <v>我最害怕的事。 https://t.co/iH8UDz8mq3</v>
      </c>
      <c r="G5469" s="4" t="str">
        <f>IFERROR(__xludf.DUMMYFUNCTION("GOOGLETRANSLATE(B5469)"),"害怕")</f>
        <v>害怕</v>
      </c>
    </row>
    <row r="5470" ht="15.75" customHeight="1">
      <c r="A5470" s="4">
        <v>5286.0</v>
      </c>
      <c r="B5470" s="4" t="s">
        <v>2414</v>
      </c>
      <c r="D5470" s="4" t="s">
        <v>8029</v>
      </c>
      <c r="E5470" s="4">
        <v>0.0</v>
      </c>
      <c r="F5470" s="4" t="str">
        <f>IFERROR(__xludf.DUMMYFUNCTION("GOOGLETRANSLATE(D5470)"),"@shakjn @C7 @Magnums 我害怕他會入侵地球而顫抖")</f>
        <v>@shakjn @C7 @Magnums 我害怕他會入侵地球而顫抖</v>
      </c>
      <c r="G5470" s="4" t="str">
        <f>IFERROR(__xludf.DUMMYFUNCTION("GOOGLETRANSLATE(B5470)"),"害怕")</f>
        <v>害怕</v>
      </c>
    </row>
    <row r="5471" ht="15.75" customHeight="1">
      <c r="A5471" s="4">
        <v>5287.0</v>
      </c>
      <c r="B5471" s="4" t="s">
        <v>2414</v>
      </c>
      <c r="C5471" s="4" t="s">
        <v>8030</v>
      </c>
      <c r="D5471" s="4" t="s">
        <v>8031</v>
      </c>
      <c r="E5471" s="4">
        <v>0.0</v>
      </c>
      <c r="F5471" s="4" t="str">
        <f>IFERROR(__xludf.DUMMYFUNCTION("GOOGLETRANSLATE(D5471)"),"當世界說結束時，上帝說：不要害怕 - http://t.co/Q5qCoAo8jP #ChooseGod #RestoringPaths")</f>
        <v>當世界說結束時，上帝說：不要害怕 - http://t.co/Q5qCoAo8jP #ChooseGod #RestoringPaths</v>
      </c>
      <c r="G5471" s="4" t="str">
        <f>IFERROR(__xludf.DUMMYFUNCTION("GOOGLETRANSLATE(B5471)"),"害怕")</f>
        <v>害怕</v>
      </c>
    </row>
    <row r="5472" ht="15.75" customHeight="1">
      <c r="A5472" s="4">
        <v>5290.0</v>
      </c>
      <c r="B5472" s="4" t="s">
        <v>2414</v>
      </c>
      <c r="C5472" s="4" t="s">
        <v>8032</v>
      </c>
      <c r="D5472" s="4" t="s">
        <v>8033</v>
      </c>
      <c r="E5472" s="4">
        <v>0.0</v>
      </c>
      <c r="F5472" s="4" t="str">
        <f>IFERROR(__xludf.DUMMYFUNCTION("GOOGLETRANSLATE(D5472)"),"「透過用好奇心取代對未知的恐懼，我們敞開心扉接受 https://t.co/qRHng6kJ1C")</f>
        <v>「透過用好奇心取代對未知的恐懼，我們敞開心扉接受 https://t.co/qRHng6kJ1C</v>
      </c>
      <c r="G5472" s="4" t="str">
        <f>IFERROR(__xludf.DUMMYFUNCTION("GOOGLETRANSLATE(B5472)"),"害怕")</f>
        <v>害怕</v>
      </c>
    </row>
    <row r="5473" ht="15.75" customHeight="1">
      <c r="A5473" s="4">
        <v>5291.0</v>
      </c>
      <c r="B5473" s="4" t="s">
        <v>2414</v>
      </c>
      <c r="D5473" s="4" t="s">
        <v>8034</v>
      </c>
      <c r="E5473" s="4">
        <v>0.0</v>
      </c>
      <c r="F5473" s="4" t="str">
        <f>IFERROR(__xludf.DUMMYFUNCTION("GOOGLETRANSLATE(D5473)"),"愛神勝過懼怕地獄")</f>
        <v>愛神勝過懼怕地獄</v>
      </c>
      <c r="G5473" s="4" t="str">
        <f>IFERROR(__xludf.DUMMYFUNCTION("GOOGLETRANSLATE(B5473)"),"害怕")</f>
        <v>害怕</v>
      </c>
    </row>
    <row r="5474" ht="15.75" customHeight="1">
      <c r="A5474" s="4">
        <v>5292.0</v>
      </c>
      <c r="B5474" s="4" t="s">
        <v>2414</v>
      </c>
      <c r="D5474" s="4" t="s">
        <v>8035</v>
      </c>
      <c r="E5474" s="4">
        <v>0.0</v>
      </c>
      <c r="F5474" s="4" t="str">
        <f>IFERROR(__xludf.DUMMYFUNCTION("GOOGLETRANSLATE(D5474)"),"別告訴新娘讓我害怕")</f>
        <v>別告訴新娘讓我害怕</v>
      </c>
      <c r="G5474" s="4" t="str">
        <f>IFERROR(__xludf.DUMMYFUNCTION("GOOGLETRANSLATE(B5474)"),"害怕")</f>
        <v>害怕</v>
      </c>
    </row>
    <row r="5475" ht="15.75" customHeight="1">
      <c r="A5475" s="4">
        <v>5293.0</v>
      </c>
      <c r="B5475" s="4" t="s">
        <v>2414</v>
      </c>
      <c r="C5475" s="4" t="s">
        <v>8036</v>
      </c>
      <c r="D5475" s="4" t="s">
        <v>8037</v>
      </c>
      <c r="E5475" s="4">
        <v>0.0</v>
      </c>
      <c r="F5475" s="4" t="str">
        <f>IFERROR(__xludf.DUMMYFUNCTION("GOOGLETRANSLATE(D5475)"),"@ScottDPierce @billharris_tv @HarrisGle @Beezersun 我放棄了今年的夢幻足球池，因為我擔心我可能會贏，然後被踢屁股")</f>
        <v>@ScottDPierce @billharris_tv @HarrisGle @Beezersun 我放棄了今年的夢幻足球池，因為我擔心我可能會贏，然後被踢屁股</v>
      </c>
      <c r="G5475" s="4" t="str">
        <f>IFERROR(__xludf.DUMMYFUNCTION("GOOGLETRANSLATE(B5475)"),"害怕")</f>
        <v>害怕</v>
      </c>
    </row>
    <row r="5476" ht="15.75" customHeight="1">
      <c r="A5476" s="4">
        <v>5295.0</v>
      </c>
      <c r="B5476" s="4" t="s">
        <v>2414</v>
      </c>
      <c r="D5476" s="4" t="s">
        <v>8038</v>
      </c>
      <c r="E5476" s="4">
        <v>0.0</v>
      </c>
      <c r="F5476" s="4" t="str">
        <f>IFERROR(__xludf.DUMMYFUNCTION("GOOGLETRANSLATE(D5476)"),"'...現在我正在重新開啟 X 檔案。這是他們最害怕的。 #TheXFiles201Days")</f>
        <v>'...現在我正在重新開啟 X 檔案。這是他們最害怕的。 #TheXFiles201Days</v>
      </c>
      <c r="G5476" s="4" t="str">
        <f>IFERROR(__xludf.DUMMYFUNCTION("GOOGLETRANSLATE(B5476)"),"害怕")</f>
        <v>害怕</v>
      </c>
    </row>
    <row r="5477" ht="15.75" customHeight="1">
      <c r="A5477" s="4">
        <v>5296.0</v>
      </c>
      <c r="B5477" s="4" t="s">
        <v>2414</v>
      </c>
      <c r="C5477" s="4" t="s">
        <v>8039</v>
      </c>
      <c r="D5477" s="4" t="s">
        <v>8040</v>
      </c>
      <c r="E5477" s="4">
        <v>0.0</v>
      </c>
      <c r="F5477" s="4" t="str">
        <f>IFERROR(__xludf.DUMMYFUNCTION("GOOGLETRANSLATE(D5477)"),"過著平衡的生活！平衡你對#阿拉的恐懼與對祂的憐憫和愛的希望。")</f>
        <v>過著平衡的生活！平衡你對#阿拉的恐懼與對祂的憐憫和愛的希望。</v>
      </c>
      <c r="G5477" s="4" t="str">
        <f>IFERROR(__xludf.DUMMYFUNCTION("GOOGLETRANSLATE(B5477)"),"害怕")</f>
        <v>害怕</v>
      </c>
    </row>
    <row r="5478" ht="15.75" customHeight="1">
      <c r="A5478" s="4">
        <v>5297.0</v>
      </c>
      <c r="B5478" s="4" t="s">
        <v>2414</v>
      </c>
      <c r="C5478" s="4" t="s">
        <v>8041</v>
      </c>
      <c r="D5478" s="4" t="s">
        <v>8042</v>
      </c>
      <c r="E5478" s="4">
        <v>0.0</v>
      </c>
      <c r="F5478" s="4" t="str">
        <f>IFERROR(__xludf.DUMMYFUNCTION("GOOGLETRANSLATE(D5478)"),"我最大的恐懼是最終你會以我看待自己的方式看待我。")</f>
        <v>我最大的恐懼是最終你會以我看待自己的方式看待我。</v>
      </c>
      <c r="G5478" s="4" t="str">
        <f>IFERROR(__xludf.DUMMYFUNCTION("GOOGLETRANSLATE(B5478)"),"害怕")</f>
        <v>害怕</v>
      </c>
    </row>
    <row r="5479" ht="15.75" customHeight="1">
      <c r="A5479" s="4">
        <v>5298.0</v>
      </c>
      <c r="B5479" s="4" t="s">
        <v>2414</v>
      </c>
      <c r="C5479" s="4" t="s">
        <v>8043</v>
      </c>
      <c r="D5479" s="4" t="s">
        <v>8044</v>
      </c>
      <c r="E5479" s="4">
        <v>0.0</v>
      </c>
      <c r="F5479" s="4" t="str">
        <f>IFERROR(__xludf.DUMMYFUNCTION("GOOGLETRANSLATE(D5479)"),"夫妻性生活減少......因為擔心這會讓人失望：網路電影和書籍說性「應該如何」 pÛ_ http://t.co/c1xhIzPrAd")</f>
        <v>夫妻性生活減少......因為擔心這會讓人失望：網路電影和書籍說性「應該如何」 pÛ_ http://t.co/c1xhIzPrAd</v>
      </c>
      <c r="G5479" s="4" t="str">
        <f>IFERROR(__xludf.DUMMYFUNCTION("GOOGLETRANSLATE(B5479)"),"害怕")</f>
        <v>害怕</v>
      </c>
    </row>
    <row r="5480" ht="15.75" customHeight="1">
      <c r="A5480" s="4">
        <v>5300.0</v>
      </c>
      <c r="B5480" s="4" t="s">
        <v>2414</v>
      </c>
      <c r="C5480" s="4" t="s">
        <v>2347</v>
      </c>
      <c r="D5480" s="4" t="s">
        <v>8045</v>
      </c>
      <c r="E5480" s="4">
        <v>0.0</v>
      </c>
      <c r="F5480" s="4" t="str">
        <f>IFERROR(__xludf.DUMMYFUNCTION("GOOGLETRANSLATE(D5480)"),"讓自己擺脫要求伴侶滿足您的需求以及如何毫無恐懼地去愛#BestTalkRadio 聽http://t.co/8j09ZUTxWT")</f>
        <v>讓自己擺脫要求伴侶滿足您的需求以及如何毫無恐懼地去愛#BestTalkRadio 聽http://t.co/8j09ZUTxWT</v>
      </c>
      <c r="G5480" s="4" t="str">
        <f>IFERROR(__xludf.DUMMYFUNCTION("GOOGLETRANSLATE(B5480)"),"害怕")</f>
        <v>害怕</v>
      </c>
    </row>
    <row r="5481" ht="15.75" customHeight="1">
      <c r="A5481" s="4">
        <v>5302.0</v>
      </c>
      <c r="B5481" s="4" t="s">
        <v>2414</v>
      </c>
      <c r="C5481" s="4" t="s">
        <v>8046</v>
      </c>
      <c r="D5481" s="4" t="s">
        <v>8047</v>
      </c>
      <c r="E5481" s="4">
        <v>0.0</v>
      </c>
      <c r="F5481" s="4" t="str">
        <f>IFERROR(__xludf.DUMMYFUNCTION("GOOGLETRANSLATE(D5481)"),"@mcnabbychic 我擔心暫時不會")</f>
        <v>@mcnabbychic 我擔心暫時不會</v>
      </c>
      <c r="G5481" s="4" t="str">
        <f>IFERROR(__xludf.DUMMYFUNCTION("GOOGLETRANSLATE(B5481)"),"害怕")</f>
        <v>害怕</v>
      </c>
    </row>
    <row r="5482" ht="15.75" customHeight="1">
      <c r="A5482" s="4">
        <v>5304.0</v>
      </c>
      <c r="B5482" s="4" t="s">
        <v>2414</v>
      </c>
      <c r="C5482" s="4" t="s">
        <v>112</v>
      </c>
      <c r="D5482" s="4" t="s">
        <v>8048</v>
      </c>
      <c r="E5482" s="4">
        <v>0.0</v>
      </c>
      <c r="F5482" s="4" t="str">
        <f>IFERROR(__xludf.DUMMYFUNCTION("GOOGLETRANSLATE(D5482)"),"敬畏耶和華是知識的開始：但愚昧人對智慧和教導沒有用處（Amsal 1:7）")</f>
        <v>敬畏耶和華是知識的開始：但愚昧人對智慧和教導沒有用處（Amsal 1:7）</v>
      </c>
      <c r="G5482" s="4" t="str">
        <f>IFERROR(__xludf.DUMMYFUNCTION("GOOGLETRANSLATE(B5482)"),"害怕")</f>
        <v>害怕</v>
      </c>
    </row>
    <row r="5483" ht="15.75" customHeight="1">
      <c r="A5483" s="4">
        <v>5305.0</v>
      </c>
      <c r="B5483" s="4" t="s">
        <v>2414</v>
      </c>
      <c r="C5483" s="4" t="s">
        <v>8049</v>
      </c>
      <c r="D5483" s="4" t="s">
        <v>8050</v>
      </c>
      <c r="E5483" s="4">
        <v>0.0</v>
      </c>
      <c r="F5483" s="4" t="str">
        <f>IFERROR(__xludf.DUMMYFUNCTION("GOOGLETRANSLATE(D5483)"),"在北極熊的文章中否認氣候變遷的人數讓我對美國的未來以及整個人類的未來感到擔憂。")</f>
        <v>在北極熊的文章中否認氣候變遷的人數讓我對美國的未來以及整個人類的未來感到擔憂。</v>
      </c>
      <c r="G5483" s="4" t="str">
        <f>IFERROR(__xludf.DUMMYFUNCTION("GOOGLETRANSLATE(B5483)"),"害怕")</f>
        <v>害怕</v>
      </c>
    </row>
    <row r="5484" ht="15.75" customHeight="1">
      <c r="A5484" s="4">
        <v>5306.0</v>
      </c>
      <c r="B5484" s="4" t="s">
        <v>2414</v>
      </c>
      <c r="C5484" s="4" t="s">
        <v>8051</v>
      </c>
      <c r="D5484" s="4" t="s">
        <v>8052</v>
      </c>
      <c r="E5484" s="4">
        <v>0.0</v>
      </c>
      <c r="F5484" s="4" t="str">
        <f>IFERROR(__xludf.DUMMYFUNCTION("GOOGLETRANSLATE(D5484)"),"@SenSanders Gd 想法。我已經 77 歲了，現在已經很辛苦了，現在幾乎沒有什麼可怕的了，和窮人一起生活
弗蘭·里德 8437150124")</f>
        <v>@SenSanders Gd 想法。我已經 77 歲了，現在已經很辛苦了，現在幾乎沒有什麼可怕的了，和窮人一起生活
弗蘭·里德 8437150124</v>
      </c>
      <c r="G5484" s="4" t="str">
        <f>IFERROR(__xludf.DUMMYFUNCTION("GOOGLETRANSLATE(B5484)"),"害怕")</f>
        <v>害怕</v>
      </c>
    </row>
    <row r="5485" ht="15.75" customHeight="1">
      <c r="A5485" s="4">
        <v>5308.0</v>
      </c>
      <c r="B5485" s="4" t="s">
        <v>2414</v>
      </c>
      <c r="C5485" s="4" t="s">
        <v>291</v>
      </c>
      <c r="D5485" s="4" t="s">
        <v>8053</v>
      </c>
      <c r="E5485" s="4">
        <v>0.0</v>
      </c>
      <c r="F5485" s="4" t="str">
        <f>IFERROR(__xludf.DUMMYFUNCTION("GOOGLETRANSLATE(D5485)"),"永遠不要讓恐懼阻礙你實現夢想！ #deltachildren #instaquote #quoteoftheday #迪士尼 #WaltDisney http://t.co/bLZt5zwosE")</f>
        <v>永遠不要讓恐懼阻礙你實現夢想！ #deltachildren #instaquote #quoteoftheday #迪士尼 #WaltDisney http://t.co/bLZt5zwosE</v>
      </c>
      <c r="G5485" s="4" t="str">
        <f>IFERROR(__xludf.DUMMYFUNCTION("GOOGLETRANSLATE(B5485)"),"害怕")</f>
        <v>害怕</v>
      </c>
    </row>
    <row r="5486" ht="15.75" customHeight="1">
      <c r="A5486" s="4">
        <v>5309.0</v>
      </c>
      <c r="B5486" s="4" t="s">
        <v>2414</v>
      </c>
      <c r="C5486" s="4" t="s">
        <v>3826</v>
      </c>
      <c r="D5486" s="4" t="s">
        <v>8054</v>
      </c>
      <c r="E5486" s="4">
        <v>0.0</v>
      </c>
      <c r="F5486" s="4" t="str">
        <f>IFERROR(__xludf.DUMMYFUNCTION("GOOGLETRANSLATE(D5486)"),"恐懼是我的動力")</f>
        <v>恐懼是我的動力</v>
      </c>
      <c r="G5486" s="4" t="str">
        <f>IFERROR(__xludf.DUMMYFUNCTION("GOOGLETRANSLATE(B5486)"),"害怕")</f>
        <v>害怕</v>
      </c>
    </row>
    <row r="5487" ht="15.75" customHeight="1">
      <c r="A5487" s="4">
        <v>5310.0</v>
      </c>
      <c r="B5487" s="4" t="s">
        <v>2414</v>
      </c>
      <c r="C5487" s="4" t="s">
        <v>38</v>
      </c>
      <c r="D5487" s="4" t="s">
        <v>8055</v>
      </c>
      <c r="E5487" s="4">
        <v>0.0</v>
      </c>
      <c r="F5487" s="4" t="str">
        <f>IFERROR(__xludf.DUMMYFUNCTION("GOOGLETRANSLATE(D5487)"),"每日反思
8月6日
驅動
受到一百種形式的恐懼、自欺欺人、自私自利和自憐…http://t.co/DXfqOu4kT2")</f>
        <v>每日反思
8月6日
驅動
受到一百種形式的恐懼、自欺欺人、自私自利和自憐…http://t.co/DXfqOu4kT2</v>
      </c>
      <c r="G5487" s="4" t="str">
        <f>IFERROR(__xludf.DUMMYFUNCTION("GOOGLETRANSLATE(B5487)"),"害怕")</f>
        <v>害怕</v>
      </c>
    </row>
    <row r="5488" ht="15.75" customHeight="1">
      <c r="A5488" s="4">
        <v>5313.0</v>
      </c>
      <c r="B5488" s="4" t="s">
        <v>2423</v>
      </c>
      <c r="D5488" s="4" t="s">
        <v>8056</v>
      </c>
      <c r="E5488" s="4">
        <v>0.0</v>
      </c>
      <c r="F5488" s="4" t="str">
        <f>IFERROR(__xludf.DUMMYFUNCTION("GOOGLETRANSLATE(D5488)"),"摩根石寶石白色火蛋白石 925 純銀戒指尺寸 6 R1354 http://t.co/hHpVSAtQXN http://t.co/D12r8XpShy")</f>
        <v>摩根石寶石白色火蛋白石 925 純銀戒指尺寸 6 R1354 http://t.co/hHpVSAtQXN http://t.co/D12r8XpShy</v>
      </c>
      <c r="G5488" s="4" t="str">
        <f>IFERROR(__xludf.DUMMYFUNCTION("GOOGLETRANSLATE(B5488)"),"火")</f>
        <v>火</v>
      </c>
    </row>
    <row r="5489" ht="15.75" customHeight="1">
      <c r="A5489" s="4">
        <v>5315.0</v>
      </c>
      <c r="B5489" s="4" t="s">
        <v>2423</v>
      </c>
      <c r="C5489" s="4" t="s">
        <v>3502</v>
      </c>
      <c r="D5489" s="4" t="s">
        <v>8057</v>
      </c>
      <c r="E5489" s="4">
        <v>0.0</v>
      </c>
      <c r="F5489" s="4" t="str">
        <f>IFERROR(__xludf.DUMMYFUNCTION("GOOGLETRANSLATE(D5489)"),"Marquei como visto 權力的遊戲 - 3x5 - 火之吻 http://t.co/CJHH17duli #bancodeseries")</f>
        <v>Marquei como visto 權力的遊戲 - 3x5 - 火之吻 http://t.co/CJHH17duli #bancodeseries</v>
      </c>
      <c r="G5489" s="4" t="str">
        <f>IFERROR(__xludf.DUMMYFUNCTION("GOOGLETRANSLATE(B5489)"),"火")</f>
        <v>火</v>
      </c>
    </row>
    <row r="5490" ht="15.75" customHeight="1">
      <c r="A5490" s="4">
        <v>5316.0</v>
      </c>
      <c r="B5490" s="4" t="s">
        <v>2423</v>
      </c>
      <c r="D5490" s="4" t="s">
        <v>8058</v>
      </c>
      <c r="E5490" s="4">
        <v>0.0</v>
      </c>
      <c r="F5490" s="4" t="str">
        <f>IFERROR(__xludf.DUMMYFUNCTION("GOOGLETRANSLATE(D5490)"),"保存日期！ 2015 年 8 月 15 日星期六是索爾茲伯里消防局開放日，地點為賽普拉斯街 325 號，上午 10 點至... http://t.co/Oa6B0Z2H6Y")</f>
        <v>保存日期！ 2015 年 8 月 15 日星期六是索爾茲伯里消防局開放日，地點為賽普拉斯街 325 號，上午 10 點至... http://t.co/Oa6B0Z2H6Y</v>
      </c>
      <c r="G5490" s="4" t="str">
        <f>IFERROR(__xludf.DUMMYFUNCTION("GOOGLETRANSLATE(B5490)"),"火")</f>
        <v>火</v>
      </c>
    </row>
    <row r="5491" ht="15.75" customHeight="1">
      <c r="A5491" s="4">
        <v>5317.0</v>
      </c>
      <c r="B5491" s="4" t="s">
        <v>2423</v>
      </c>
      <c r="D5491" s="4" t="s">
        <v>8059</v>
      </c>
      <c r="E5491" s="4">
        <v>0.0</v>
      </c>
      <c r="F5491" s="4" t="str">
        <f>IFERROR(__xludf.DUMMYFUNCTION("GOOGLETRANSLATE(D5491)"),"為什麼在火還在燃燒的時候就去滅火呢？")</f>
        <v>為什麼在火還在燃燒的時候就去滅火呢？</v>
      </c>
      <c r="G5491" s="4" t="str">
        <f>IFERROR(__xludf.DUMMYFUNCTION("GOOGLETRANSLATE(B5491)"),"火")</f>
        <v>火</v>
      </c>
    </row>
    <row r="5492" ht="15.75" customHeight="1">
      <c r="A5492" s="4">
        <v>5320.0</v>
      </c>
      <c r="B5492" s="4" t="s">
        <v>2423</v>
      </c>
      <c r="D5492" s="4" t="s">
        <v>8060</v>
      </c>
      <c r="E5492" s="4">
        <v>0.0</v>
      </c>
      <c r="F5492" s="4" t="str">
        <f>IFERROR(__xludf.DUMMYFUNCTION("GOOGLETRANSLATE(D5492)"),"我的 avi 和標題組合很火")</f>
        <v>我的 avi 和標題組合很火</v>
      </c>
      <c r="G5492" s="4" t="str">
        <f>IFERROR(__xludf.DUMMYFUNCTION("GOOGLETRANSLATE(B5492)"),"火")</f>
        <v>火</v>
      </c>
    </row>
    <row r="5493" ht="15.75" customHeight="1">
      <c r="A5493" s="4">
        <v>5321.0</v>
      </c>
      <c r="B5493" s="4" t="s">
        <v>2423</v>
      </c>
      <c r="C5493" s="4" t="s">
        <v>8061</v>
      </c>
      <c r="D5493" s="4" t="s">
        <v>8062</v>
      </c>
      <c r="E5493" s="4">
        <v>0.0</v>
      </c>
      <c r="F5493" s="4" t="str">
        <f>IFERROR(__xludf.DUMMYFUNCTION("GOOGLETRANSLATE(D5493)"),"http://t.co/iNkuv5DNTX #auction #shoes Retro 5 火紅 http://t.co/1cvEGTIZOG")</f>
        <v>http://t.co/iNkuv5DNTX #auction #shoes Retro 5 火紅 http://t.co/1cvEGTIZOG</v>
      </c>
      <c r="G5493" s="4" t="str">
        <f>IFERROR(__xludf.DUMMYFUNCTION("GOOGLETRANSLATE(B5493)"),"火")</f>
        <v>火</v>
      </c>
    </row>
    <row r="5494" ht="15.75" customHeight="1">
      <c r="A5494" s="4">
        <v>5322.0</v>
      </c>
      <c r="B5494" s="4" t="s">
        <v>2423</v>
      </c>
      <c r="D5494" s="4" t="s">
        <v>8063</v>
      </c>
      <c r="E5494" s="4">
        <v>0.0</v>
      </c>
      <c r="F5494" s="4" t="str">
        <f>IFERROR(__xludf.DUMMYFUNCTION("GOOGLETRANSLATE(D5494)"),"我的屁眼著火了 https://t.co/Y3FO0gHg8t")</f>
        <v>我的屁眼著火了 https://t.co/Y3FO0gHg8t</v>
      </c>
      <c r="G5494" s="4" t="str">
        <f>IFERROR(__xludf.DUMMYFUNCTION("GOOGLETRANSLATE(B5494)"),"火")</f>
        <v>火</v>
      </c>
    </row>
    <row r="5495" ht="15.75" customHeight="1">
      <c r="A5495" s="4">
        <v>5323.0</v>
      </c>
      <c r="B5495" s="4" t="s">
        <v>2423</v>
      </c>
      <c r="C5495" s="4" t="s">
        <v>8064</v>
      </c>
      <c r="D5495" s="4" t="s">
        <v>8065</v>
      </c>
      <c r="E5495" s="4">
        <v>0.0</v>
      </c>
      <c r="F5495" s="4" t="str">
        <f>IFERROR(__xludf.DUMMYFUNCTION("GOOGLETRANSLATE(D5495)"),"我哭了，那首歌剛結束就讓我著火了 https://t.co/i2El5aCrRW")</f>
        <v>我哭了，那首歌剛結束就讓我著火了 https://t.co/i2El5aCrRW</v>
      </c>
      <c r="G5495" s="4" t="str">
        <f>IFERROR(__xludf.DUMMYFUNCTION("GOOGLETRANSLATE(B5495)"),"火")</f>
        <v>火</v>
      </c>
    </row>
    <row r="5496" ht="15.75" customHeight="1">
      <c r="A5496" s="4">
        <v>5325.0</v>
      </c>
      <c r="B5496" s="4" t="s">
        <v>2423</v>
      </c>
      <c r="D5496" s="4" t="s">
        <v>8066</v>
      </c>
      <c r="E5496" s="4">
        <v>0.0</v>
      </c>
      <c r="F5496" s="4" t="str">
        <f>IFERROR(__xludf.DUMMYFUNCTION("GOOGLETRANSLATE(D5496)"),"現在圍坐在火邊聽起來很棒")</f>
        <v>現在圍坐在火邊聽起來很棒</v>
      </c>
      <c r="G5496" s="4" t="str">
        <f>IFERROR(__xludf.DUMMYFUNCTION("GOOGLETRANSLATE(B5496)"),"火")</f>
        <v>火</v>
      </c>
    </row>
    <row r="5497" ht="15.75" customHeight="1">
      <c r="A5497" s="4">
        <v>5326.0</v>
      </c>
      <c r="B5497" s="4" t="s">
        <v>2423</v>
      </c>
      <c r="D5497" s="4" t="s">
        <v>8067</v>
      </c>
      <c r="E5497" s="4">
        <v>0.0</v>
      </c>
      <c r="F5497" s="4" t="str">
        <f>IFERROR(__xludf.DUMMYFUNCTION("GOOGLETRANSLATE(D5497)"),"我看到火")</f>
        <v>我看到火</v>
      </c>
      <c r="G5497" s="4" t="str">
        <f>IFERROR(__xludf.DUMMYFUNCTION("GOOGLETRANSLATE(B5497)"),"火")</f>
        <v>火</v>
      </c>
    </row>
    <row r="5498" ht="15.75" customHeight="1">
      <c r="A5498" s="4">
        <v>5330.0</v>
      </c>
      <c r="B5498" s="4" t="s">
        <v>2423</v>
      </c>
      <c r="C5498" s="4" t="s">
        <v>126</v>
      </c>
      <c r="D5498" s="4" t="s">
        <v>8068</v>
      </c>
      <c r="E5498" s="4">
        <v>0.0</v>
      </c>
      <c r="F5498" s="4" t="str">
        <f>IFERROR(__xludf.DUMMYFUNCTION("GOOGLETRANSLATE(D5498)"),"我著火了。 http://t.co/WATsmxYTVa")</f>
        <v>我著火了。 http://t.co/WATsmxYTVa</v>
      </c>
      <c r="G5498" s="4" t="str">
        <f>IFERROR(__xludf.DUMMYFUNCTION("GOOGLETRANSLATE(B5498)"),"火")</f>
        <v>火</v>
      </c>
    </row>
    <row r="5499" ht="15.75" customHeight="1">
      <c r="A5499" s="4">
        <v>5331.0</v>
      </c>
      <c r="B5499" s="4" t="s">
        <v>2423</v>
      </c>
      <c r="C5499" s="4" t="s">
        <v>1317</v>
      </c>
      <c r="D5499" s="4" t="s">
        <v>8069</v>
      </c>
      <c r="E5499" s="4">
        <v>0.0</v>
      </c>
      <c r="F5499" s="4" t="str">
        <f>IFERROR(__xludf.DUMMYFUNCTION("GOOGLETRANSLATE(D5499)"),"政客：哈利·里德（Harry Reid）的“30%的女性服務於計劃生育”的說法是一個“褲子著火”的謊言 http://t.co/aMYMwWcpYm | #tcot")</f>
        <v>政客：哈利·里德（Harry Reid）的“30%的女性服務於計劃生育”的說法是一個“褲子著火”的謊言 http://t.co/aMYMwWcpYm | #tcot</v>
      </c>
      <c r="G5499" s="4" t="str">
        <f>IFERROR(__xludf.DUMMYFUNCTION("GOOGLETRANSLATE(B5499)"),"火")</f>
        <v>火</v>
      </c>
    </row>
    <row r="5500" ht="15.75" customHeight="1">
      <c r="A5500" s="4">
        <v>5332.0</v>
      </c>
      <c r="B5500" s="4" t="s">
        <v>2423</v>
      </c>
      <c r="C5500" s="4" t="s">
        <v>8070</v>
      </c>
      <c r="D5500" s="4" t="s">
        <v>8071</v>
      </c>
      <c r="E5500" s="4">
        <v>0.0</v>
      </c>
      <c r="F5500" s="4" t="str">
        <f>IFERROR(__xludf.DUMMYFUNCTION("GOOGLETRANSLATE(D5500)"),"親愛的@CanonUSAimaging，我帶了它；）#CanonBringIt #Fire #CanonTattoo #MN #TheresMoreWhereThatCameFrom http://t.co/tCXxHdJAs6")</f>
        <v>親愛的@CanonUSAimaging，我帶了它；）#CanonBringIt #Fire #CanonTattoo #MN #TheresMoreWhereThatCameFrom http://t.co/tCXxHdJAs6</v>
      </c>
      <c r="G5500" s="4" t="str">
        <f>IFERROR(__xludf.DUMMYFUNCTION("GOOGLETRANSLATE(B5500)"),"火")</f>
        <v>火</v>
      </c>
    </row>
    <row r="5501" ht="15.75" customHeight="1">
      <c r="A5501" s="4">
        <v>5335.0</v>
      </c>
      <c r="B5501" s="4" t="s">
        <v>2423</v>
      </c>
      <c r="D5501" s="4" t="s">
        <v>8072</v>
      </c>
      <c r="E5501" s="4">
        <v>0.0</v>
      </c>
      <c r="F5501" s="4" t="str">
        <f>IFERROR(__xludf.DUMMYFUNCTION("GOOGLETRANSLATE(D5501)"),"@seanhannity @ScottWalker 是的，我們需要另一個討厭共和黨的中產階級來招募勤奮的警察消防員老師")</f>
        <v>@seanhannity @ScottWalker 是的，我們需要另一個討厭共和黨的中產階級來招募勤奮的警察消防員老師</v>
      </c>
      <c r="G5501" s="4" t="str">
        <f>IFERROR(__xludf.DUMMYFUNCTION("GOOGLETRANSLATE(B5501)"),"火")</f>
        <v>火</v>
      </c>
    </row>
    <row r="5502" ht="15.75" customHeight="1">
      <c r="A5502" s="4">
        <v>5337.0</v>
      </c>
      <c r="B5502" s="4" t="s">
        <v>2423</v>
      </c>
      <c r="C5502" s="4" t="s">
        <v>8073</v>
      </c>
      <c r="D5502" s="4" t="s">
        <v>8074</v>
      </c>
      <c r="E5502" s="4">
        <v>0.0</v>
      </c>
      <c r="F5502" s="4" t="str">
        <f>IFERROR(__xludf.DUMMYFUNCTION("GOOGLETRANSLATE(D5502)"),"火遇見汽油總是要玩兩次哈哈")</f>
        <v>火遇見汽油總是要玩兩次哈哈</v>
      </c>
      <c r="G5502" s="4" t="str">
        <f>IFERROR(__xludf.DUMMYFUNCTION("GOOGLETRANSLATE(B5502)"),"火")</f>
        <v>火</v>
      </c>
    </row>
    <row r="5503" ht="15.75" customHeight="1">
      <c r="A5503" s="4">
        <v>5338.0</v>
      </c>
      <c r="B5503" s="4" t="s">
        <v>2423</v>
      </c>
      <c r="C5503" s="4" t="s">
        <v>8075</v>
      </c>
      <c r="D5503" s="4" t="s">
        <v>8076</v>
      </c>
      <c r="E5503" s="4">
        <v>0.0</v>
      </c>
      <c r="F5503" s="4" t="str">
        <f>IFERROR(__xludf.DUMMYFUNCTION("GOOGLETRANSLATE(D5503)"),"WCW @catsandsyrup 這婊子火了")</f>
        <v>WCW @catsandsyrup 這婊子火了</v>
      </c>
      <c r="G5503" s="4" t="str">
        <f>IFERROR(__xludf.DUMMYFUNCTION("GOOGLETRANSLATE(B5503)"),"火")</f>
        <v>火</v>
      </c>
    </row>
    <row r="5504" ht="15.75" customHeight="1">
      <c r="A5504" s="4">
        <v>5339.0</v>
      </c>
      <c r="B5504" s="4" t="s">
        <v>2423</v>
      </c>
      <c r="C5504" s="4" t="s">
        <v>8077</v>
      </c>
      <c r="D5504" s="4" t="s">
        <v>8078</v>
      </c>
      <c r="E5504" s="4">
        <v>0.0</v>
      </c>
      <c r="F5504" s="4" t="str">
        <f>IFERROR(__xludf.DUMMYFUNCTION("GOOGLETRANSLATE(D5504)"),"嗯，感覺就像著火了。")</f>
        <v>嗯，感覺就像著火了。</v>
      </c>
      <c r="G5504" s="4" t="str">
        <f>IFERROR(__xludf.DUMMYFUNCTION("GOOGLETRANSLATE(B5504)"),"火")</f>
        <v>火</v>
      </c>
    </row>
    <row r="5505" ht="15.75" customHeight="1">
      <c r="A5505" s="4">
        <v>5341.0</v>
      </c>
      <c r="B5505" s="4" t="s">
        <v>2423</v>
      </c>
      <c r="C5505" s="4" t="s">
        <v>8079</v>
      </c>
      <c r="D5505" s="4" t="s">
        <v>8080</v>
      </c>
      <c r="E5505" s="4">
        <v>0.0</v>
      </c>
      <c r="F5505" s="4" t="str">
        <f>IFERROR(__xludf.DUMMYFUNCTION("GOOGLETRANSLATE(D5505)"),"她的眼神和言語是如此冰冷，但她卻像火上的朗姆酒一樣燃燒")</f>
        <v>她的眼神和言語是如此冰冷，但她卻像火上的朗姆酒一樣燃燒</v>
      </c>
      <c r="G5505" s="4" t="str">
        <f>IFERROR(__xludf.DUMMYFUNCTION("GOOGLETRANSLATE(B5505)"),"火")</f>
        <v>火</v>
      </c>
    </row>
    <row r="5506" ht="15.75" customHeight="1">
      <c r="A5506" s="4">
        <v>5342.0</v>
      </c>
      <c r="B5506" s="4" t="s">
        <v>2423</v>
      </c>
      <c r="D5506" s="4" t="s">
        <v>8081</v>
      </c>
      <c r="E5506" s="4">
        <v>0.0</v>
      </c>
      <c r="F5506" s="4" t="str">
        <f>IFERROR(__xludf.DUMMYFUNCTION("GOOGLETRANSLATE(D5506)"),"#news Politifiact：哈里·里德 (Harry Reid) 的“30% 的婦女服務”計劃生育聲明是一個“褲子著火”的謊言...... http://t.co/bMSeDZOfSV")</f>
        <v>#news Politifiact：哈里·里德 (Harry Reid) 的“30% 的婦女服務”計劃生育聲明是一個“褲子著火”的謊言...... http://t.co/bMSeDZOfSV</v>
      </c>
      <c r="G5506" s="4" t="str">
        <f>IFERROR(__xludf.DUMMYFUNCTION("GOOGLETRANSLATE(B5506)"),"火")</f>
        <v>火</v>
      </c>
    </row>
    <row r="5507" ht="15.75" customHeight="1">
      <c r="A5507" s="4">
        <v>5344.0</v>
      </c>
      <c r="B5507" s="4" t="s">
        <v>2423</v>
      </c>
      <c r="C5507" s="4" t="s">
        <v>8082</v>
      </c>
      <c r="D5507" s="4" t="s">
        <v>8083</v>
      </c>
      <c r="E5507" s="4">
        <v>0.0</v>
      </c>
      <c r="F5507" s="4" t="str">
        <f>IFERROR(__xludf.DUMMYFUNCTION("GOOGLETRANSLATE(D5507)"),"@DaughterofNai Tenshi 啟動了 Yuki 的火焰卡！")</f>
        <v>@DaughterofNai Tenshi 啟動了 Yuki 的火焰卡！</v>
      </c>
      <c r="G5507" s="4" t="str">
        <f>IFERROR(__xludf.DUMMYFUNCTION("GOOGLETRANSLATE(B5507)"),"火")</f>
        <v>火</v>
      </c>
    </row>
    <row r="5508" ht="15.75" customHeight="1">
      <c r="A5508" s="4">
        <v>5347.0</v>
      </c>
      <c r="B5508" s="4" t="s">
        <v>2423</v>
      </c>
      <c r="D5508" s="4" t="s">
        <v>8084</v>
      </c>
      <c r="E5508" s="4">
        <v>0.0</v>
      </c>
      <c r="F5508" s="4" t="str">
        <f>IFERROR(__xludf.DUMMYFUNCTION("GOOGLETRANSLATE(D5508)"),"@zaynmalik 不要讓自己過度勞累。你的專輯會火紅的，只是不要過度勞累或壓力！我愛你保重")</f>
        <v>@zaynmalik 不要讓自己過度勞累。你的專輯會火紅的，只是不要過度勞累或壓力！我愛你保重</v>
      </c>
      <c r="G5508" s="4" t="str">
        <f>IFERROR(__xludf.DUMMYFUNCTION("GOOGLETRANSLATE(B5508)"),"火")</f>
        <v>火</v>
      </c>
    </row>
    <row r="5509" ht="15.75" customHeight="1">
      <c r="A5509" s="4">
        <v>5349.0</v>
      </c>
      <c r="B5509" s="4" t="s">
        <v>2423</v>
      </c>
      <c r="C5509" s="4" t="s">
        <v>2678</v>
      </c>
      <c r="D5509" s="4" t="s">
        <v>8085</v>
      </c>
      <c r="E5509" s="4">
        <v>0.0</v>
      </c>
      <c r="F5509" s="4" t="str">
        <f>IFERROR(__xludf.DUMMYFUNCTION("GOOGLETRANSLATE(D5509)"),"@Justin_Ling 我保證不會對煎餅或彩虹徵稅，也不會死於火災。")</f>
        <v>@Justin_Ling 我保證不會對煎餅或彩虹徵稅，也不會死於火災。</v>
      </c>
      <c r="G5509" s="4" t="str">
        <f>IFERROR(__xludf.DUMMYFUNCTION("GOOGLETRANSLATE(B5509)"),"火")</f>
        <v>火</v>
      </c>
    </row>
    <row r="5510" ht="15.75" customHeight="1">
      <c r="A5510" s="4">
        <v>5350.0</v>
      </c>
      <c r="B5510" s="4" t="s">
        <v>2423</v>
      </c>
      <c r="C5510" s="4" t="s">
        <v>8086</v>
      </c>
      <c r="D5510" s="4" t="s">
        <v>8087</v>
      </c>
      <c r="E5510" s="4">
        <v>0.0</v>
      </c>
      <c r="F5510" s="4" t="str">
        <f>IFERROR(__xludf.DUMMYFUNCTION("GOOGLETRANSLATE(D5510)"),"這個黑鬼西希的diss正是米克應該做的。這貨居然火了")</f>
        <v>這個黑鬼西希的diss正是米克應該做的。這貨居然火了</v>
      </c>
      <c r="G5510" s="4" t="str">
        <f>IFERROR(__xludf.DUMMYFUNCTION("GOOGLETRANSLATE(B5510)"),"火")</f>
        <v>火</v>
      </c>
    </row>
    <row r="5511" ht="15.75" customHeight="1">
      <c r="A5511" s="4">
        <v>5354.0</v>
      </c>
      <c r="B5511" s="4" t="s">
        <v>2423</v>
      </c>
      <c r="C5511" s="4" t="s">
        <v>8088</v>
      </c>
      <c r="D5511" s="4" t="s">
        <v>8089</v>
      </c>
      <c r="E5511" s="4">
        <v>0.0</v>
      </c>
      <c r="F5511" s="4" t="str">
        <f>IFERROR(__xludf.DUMMYFUNCTION("GOOGLETRANSLATE(D5511)"),"當你的心比你面前的障礙更大#euro #dontexpectnothing #july #fire @euro")</f>
        <v>當你的心比你面前的障礙更大#euro #dontexpectnothing #july #fire @euro</v>
      </c>
      <c r="G5511" s="4" t="str">
        <f>IFERROR(__xludf.DUMMYFUNCTION("GOOGLETRANSLATE(B5511)"),"火")</f>
        <v>火</v>
      </c>
    </row>
    <row r="5512" ht="15.75" customHeight="1">
      <c r="A5512" s="4">
        <v>5355.0</v>
      </c>
      <c r="B5512" s="4" t="s">
        <v>2423</v>
      </c>
      <c r="D5512" s="4" t="s">
        <v>8090</v>
      </c>
      <c r="E5512" s="4">
        <v>0.0</v>
      </c>
      <c r="F5512" s="4" t="str">
        <f>IFERROR(__xludf.DUMMYFUNCTION("GOOGLETRANSLATE(D5512)"),"火浪和黑暗")</f>
        <v>火浪和黑暗</v>
      </c>
      <c r="G5512" s="4" t="str">
        <f>IFERROR(__xludf.DUMMYFUNCTION("GOOGLETRANSLATE(B5512)"),"火")</f>
        <v>火</v>
      </c>
    </row>
    <row r="5513" ht="15.75" customHeight="1">
      <c r="A5513" s="4">
        <v>5356.0</v>
      </c>
      <c r="B5513" s="4" t="s">
        <v>2423</v>
      </c>
      <c r="C5513" s="4" t="s">
        <v>8091</v>
      </c>
      <c r="D5513" s="4" t="s">
        <v>8092</v>
      </c>
      <c r="E5513" s="4">
        <v>0.0</v>
      </c>
      <c r="F5513" s="4" t="str">
        <f>IFERROR(__xludf.DUMMYFUNCTION("GOOGLETRANSLATE(D5513)"),"看來我們的火已經有點熄滅了......")</f>
        <v>看來我們的火已經有點熄滅了......</v>
      </c>
      <c r="G5513" s="4" t="str">
        <f>IFERROR(__xludf.DUMMYFUNCTION("GOOGLETRANSLATE(B5513)"),"火")</f>
        <v>火</v>
      </c>
    </row>
    <row r="5514" ht="15.75" customHeight="1">
      <c r="A5514" s="4">
        <v>5359.0</v>
      </c>
      <c r="B5514" s="4" t="s">
        <v>2423</v>
      </c>
      <c r="C5514" s="4" t="s">
        <v>8093</v>
      </c>
      <c r="D5514" s="4" t="s">
        <v>8094</v>
      </c>
      <c r="E5514" s="4">
        <v>0.0</v>
      </c>
      <c r="F5514" s="4" t="str">
        <f>IFERROR(__xludf.DUMMYFUNCTION("GOOGLETRANSLATE(D5514)"),"明天將發布消防自拍照並提前說“不客氣”。")</f>
        <v>明天將發布消防自拍照並提前說“不客氣”。</v>
      </c>
      <c r="G5514" s="4" t="str">
        <f>IFERROR(__xludf.DUMMYFUNCTION("GOOGLETRANSLATE(B5514)"),"火")</f>
        <v>火</v>
      </c>
    </row>
    <row r="5515" ht="15.75" customHeight="1">
      <c r="A5515" s="4">
        <v>5365.0</v>
      </c>
      <c r="B5515" s="4" t="s">
        <v>2441</v>
      </c>
      <c r="C5515" s="4" t="s">
        <v>8095</v>
      </c>
      <c r="D5515" s="4" t="s">
        <v>8096</v>
      </c>
      <c r="E5515" s="4">
        <v>0.0</v>
      </c>
      <c r="F5515" s="4" t="str">
        <f>IFERROR(__xludf.DUMMYFUNCTION("GOOGLETRANSLATE(D5515)"),"您當天的公益廣告：如果您身後有一輛消防車，並且燈亮了，請移開！！！這樣他們就可以接電話。")</f>
        <v>您當天的公益廣告：如果您身後有一輛消防車，並且燈亮了，請移開！！！這樣他們就可以接電話。</v>
      </c>
      <c r="G5515" s="4" t="str">
        <f>IFERROR(__xludf.DUMMYFUNCTION("GOOGLETRANSLATE(B5515)"),"火災%20卡車")</f>
        <v>火災%20卡車</v>
      </c>
    </row>
    <row r="5516" ht="15.75" customHeight="1">
      <c r="A5516" s="4">
        <v>5366.0</v>
      </c>
      <c r="B5516" s="4" t="s">
        <v>2441</v>
      </c>
      <c r="C5516" s="4" t="s">
        <v>627</v>
      </c>
      <c r="D5516" s="4" t="s">
        <v>8097</v>
      </c>
      <c r="E5516" s="4">
        <v>0.0</v>
      </c>
      <c r="F5516" s="4" t="str">
        <f>IFERROR(__xludf.DUMMYFUNCTION("GOOGLETRANSLATE(D5516)"),"#RFP：F-450 消防車服務機構（消防救援和安全設備運輸... http://t.co/8GtRvEcE1N")</f>
        <v>#RFP：F-450 消防車服務機構（消防救援和安全設備運輸... http://t.co/8GtRvEcE1N</v>
      </c>
      <c r="G5516" s="4" t="str">
        <f>IFERROR(__xludf.DUMMYFUNCTION("GOOGLETRANSLATE(B5516)"),"火災%20卡車")</f>
        <v>火災%20卡車</v>
      </c>
    </row>
    <row r="5517" ht="15.75" customHeight="1">
      <c r="A5517" s="4">
        <v>5378.0</v>
      </c>
      <c r="B5517" s="4" t="s">
        <v>2441</v>
      </c>
      <c r="D5517" s="4" t="s">
        <v>8098</v>
      </c>
      <c r="E5517" s="4">
        <v>0.0</v>
      </c>
      <c r="F5517" s="4" t="str">
        <f>IFERROR(__xludf.DUMMYFUNCTION("GOOGLETRANSLATE(D5517)"),"我們的垃圾車真的著火了 lmfao。")</f>
        <v>我們的垃圾車真的著火了 lmfao。</v>
      </c>
      <c r="G5517" s="4" t="str">
        <f>IFERROR(__xludf.DUMMYFUNCTION("GOOGLETRANSLATE(B5517)"),"火災%20卡車")</f>
        <v>火災%20卡車</v>
      </c>
    </row>
    <row r="5518" ht="15.75" customHeight="1">
      <c r="A5518" s="4">
        <v>5384.0</v>
      </c>
      <c r="B5518" s="4" t="s">
        <v>2441</v>
      </c>
      <c r="D5518" s="4" t="s">
        <v>8099</v>
      </c>
      <c r="E5518" s="4">
        <v>0.0</v>
      </c>
      <c r="F5518" s="4" t="str">
        <f>IFERROR(__xludf.DUMMYFUNCTION("GOOGLETRANSLATE(D5518)"),"@JustineJayyy OHGOD XD 我不是故意的 =P 但你後面有那輛消防車來彌補，所以你很好 xD")</f>
        <v>@JustineJayyy OHGOD XD 我不是故意的 =P 但你後面有那輛消防車來彌補，所以你很好 xD</v>
      </c>
      <c r="G5518" s="4" t="str">
        <f>IFERROR(__xludf.DUMMYFUNCTION("GOOGLETRANSLATE(B5518)"),"火災%20卡車")</f>
        <v>火災%20卡車</v>
      </c>
    </row>
    <row r="5519" ht="15.75" customHeight="1">
      <c r="A5519" s="4">
        <v>5385.0</v>
      </c>
      <c r="B5519" s="4" t="s">
        <v>2441</v>
      </c>
      <c r="C5519" s="4" t="s">
        <v>2013</v>
      </c>
      <c r="D5519" s="4" t="s">
        <v>8100</v>
      </c>
      <c r="E5519" s="4">
        <v>0.0</v>
      </c>
      <c r="F5519" s="4" t="str">
        <f>IFERROR(__xludf.DUMMYFUNCTION("GOOGLETRANSLATE(D5519)"),"看到這個火災影片不是我的..享受..寶貝在消防車裡向我打招呼的方式？
#消防員#Û_ http://t.co/V5gTUnwohy")</f>
        <v>看到這個火災影片不是我的..享受..寶貝在消防車裡向我打招呼的方式？
#消防員#Û_ http://t.co/V5gTUnwohy</v>
      </c>
      <c r="G5519" s="4" t="str">
        <f>IFERROR(__xludf.DUMMYFUNCTION("GOOGLETRANSLATE(B5519)"),"火災%20卡車")</f>
        <v>火災%20卡車</v>
      </c>
    </row>
    <row r="5520" ht="15.75" customHeight="1">
      <c r="A5520" s="4">
        <v>5391.0</v>
      </c>
      <c r="B5520" s="4" t="s">
        <v>2441</v>
      </c>
      <c r="D5520" s="4" t="s">
        <v>8101</v>
      </c>
      <c r="E5520" s="4">
        <v>0.0</v>
      </c>
      <c r="F5520" s="4" t="str">
        <f>IFERROR(__xludf.DUMMYFUNCTION("GOOGLETRANSLATE(D5520)"),"Trident 90225 雪佛蘭消防車帶泵車 IMS Fire Dept. Red HO 1:87 塑膠 http://t.co/FAQNFUpeGn http://t.co/mQfOfKXtyh")</f>
        <v>Trident 90225 雪佛蘭消防車帶泵車 IMS Fire Dept. Red HO 1:87 塑膠 http://t.co/FAQNFUpeGn http://t.co/mQfOfKXtyh</v>
      </c>
      <c r="G5520" s="4" t="str">
        <f>IFERROR(__xludf.DUMMYFUNCTION("GOOGLETRANSLATE(B5520)"),"火災%20卡車")</f>
        <v>火災%20卡車</v>
      </c>
    </row>
    <row r="5521" ht="15.75" customHeight="1">
      <c r="A5521" s="4">
        <v>5392.0</v>
      </c>
      <c r="B5521" s="4" t="s">
        <v>2441</v>
      </c>
      <c r="C5521" s="4" t="s">
        <v>8102</v>
      </c>
      <c r="D5521" s="4" t="s">
        <v>8103</v>
      </c>
      <c r="E5521" s="4">
        <v>0.0</v>
      </c>
      <c r="F5521" s="4" t="str">
        <f>IFERROR(__xludf.DUMMYFUNCTION("GOOGLETRANSLATE(D5521)"),"幼兒寢具消防車捆綁消防車消防員貼紙貼花標誌牆 http://t.co/ykuAuOV9jO")</f>
        <v>幼兒寢具消防車捆綁消防車消防員貼紙貼花標誌牆 http://t.co/ykuAuOV9jO</v>
      </c>
      <c r="G5521" s="4" t="str">
        <f>IFERROR(__xludf.DUMMYFUNCTION("GOOGLETRANSLATE(B5521)"),"火災%20卡車")</f>
        <v>火災%20卡車</v>
      </c>
    </row>
    <row r="5522" ht="15.75" customHeight="1">
      <c r="A5522" s="4">
        <v>5404.0</v>
      </c>
      <c r="B5522" s="4" t="s">
        <v>2441</v>
      </c>
      <c r="C5522" s="4" t="s">
        <v>8104</v>
      </c>
      <c r="D5522" s="4" t="s">
        <v>8105</v>
      </c>
      <c r="E5522" s="4">
        <v>0.0</v>
      </c>
      <c r="F5522" s="4" t="str">
        <f>IFERROR(__xludf.DUMMYFUNCTION("GOOGLETRANSLATE(D5522)"),"這個停車場有一輛消防車")</f>
        <v>這個停車場有一輛消防車</v>
      </c>
      <c r="G5522" s="4" t="str">
        <f>IFERROR(__xludf.DUMMYFUNCTION("GOOGLETRANSLATE(B5522)"),"火災%20卡車")</f>
        <v>火災%20卡車</v>
      </c>
    </row>
    <row r="5523" ht="15.75" customHeight="1">
      <c r="A5523" s="4">
        <v>5406.0</v>
      </c>
      <c r="B5523" s="4" t="s">
        <v>2441</v>
      </c>
      <c r="D5523" s="4" t="s">
        <v>8106</v>
      </c>
      <c r="E5523" s="4">
        <v>0.0</v>
      </c>
      <c r="F5523" s="4" t="str">
        <f>IFERROR(__xludf.DUMMYFUNCTION("GOOGLETRANSLATE(D5523)"),"《晚報》關於 NNO 的文章：http://t.co/7cMf3noYNc")</f>
        <v>《晚報》關於 NNO 的文章：http://t.co/7cMf3noYNc</v>
      </c>
      <c r="G5523" s="4" t="str">
        <f>IFERROR(__xludf.DUMMYFUNCTION("GOOGLETRANSLATE(B5523)"),"火災%20卡車")</f>
        <v>火災%20卡車</v>
      </c>
    </row>
    <row r="5524" ht="15.75" customHeight="1">
      <c r="A5524" s="4">
        <v>5407.0</v>
      </c>
      <c r="B5524" s="4" t="s">
        <v>2441</v>
      </c>
      <c r="D5524" s="4" t="s">
        <v>8107</v>
      </c>
      <c r="E5524" s="4">
        <v>0.0</v>
      </c>
      <c r="F5524" s="4" t="str">
        <f>IFERROR(__xludf.DUMMYFUNCTION("GOOGLETRANSLATE(D5524)"),"'選擇快樂。其餘的消防車。 http://t.co/tAmRCWfYgd ?????? @JayMcLeanAuthor 對 Kick Push 的評論")</f>
        <v>'選擇快樂。其餘的消防車。 http://t.co/tAmRCWfYgd ?????? @JayMcLeanAuthor 對 Kick Push 的評論</v>
      </c>
      <c r="G5524" s="4" t="str">
        <f>IFERROR(__xludf.DUMMYFUNCTION("GOOGLETRANSLATE(B5524)"),"火災%20卡車")</f>
        <v>火災%20卡車</v>
      </c>
    </row>
    <row r="5525" ht="15.75" customHeight="1">
      <c r="A5525" s="4">
        <v>5408.0</v>
      </c>
      <c r="B5525" s="4" t="s">
        <v>2441</v>
      </c>
      <c r="D5525" s="4" t="s">
        <v>8108</v>
      </c>
      <c r="E5525" s="4">
        <v>0.0</v>
      </c>
      <c r="F5525" s="4" t="str">
        <f>IFERROR(__xludf.DUMMYFUNCTION("GOOGLETRANSLATE(D5525)"),"菲律賓使用前鎮消防車 - 蘭利時報 http://t.co/iMiLsFxntf #filipino")</f>
        <v>菲律賓使用前鎮消防車 - 蘭利時報 http://t.co/iMiLsFxntf #filipino</v>
      </c>
      <c r="G5525" s="4" t="str">
        <f>IFERROR(__xludf.DUMMYFUNCTION("GOOGLETRANSLATE(B5525)"),"火災%20卡車")</f>
        <v>火災%20卡車</v>
      </c>
    </row>
    <row r="5526" ht="15.75" customHeight="1">
      <c r="A5526" s="4">
        <v>5411.0</v>
      </c>
      <c r="B5526" s="4" t="s">
        <v>2475</v>
      </c>
      <c r="D5526" s="4" t="s">
        <v>8109</v>
      </c>
      <c r="E5526" s="4">
        <v>0.0</v>
      </c>
      <c r="F5526" s="4" t="str">
        <f>IFERROR(__xludf.DUMMYFUNCTION("GOOGLETRANSLATE(D5526)"),"#LukeBox 關於急救人員/軍隊的一些事情，他們是我們真正的英雄！除了你的音樂")</f>
        <v>#LukeBox 關於急救人員/軍隊的一些事情，他們是我們真正的英雄！除了你的音樂</v>
      </c>
      <c r="G5526" s="4" t="str">
        <f>IFERROR(__xludf.DUMMYFUNCTION("GOOGLETRANSLATE(B5526)"),"前%20位回覆者")</f>
        <v>前%20位回覆者</v>
      </c>
    </row>
    <row r="5527" ht="15.75" customHeight="1">
      <c r="A5527" s="4">
        <v>5413.0</v>
      </c>
      <c r="B5527" s="4" t="s">
        <v>2475</v>
      </c>
      <c r="C5527" s="4" t="s">
        <v>1248</v>
      </c>
      <c r="D5527" s="4" t="s">
        <v>8110</v>
      </c>
      <c r="E5527" s="4">
        <v>0.0</v>
      </c>
      <c r="F5527" s="4" t="str">
        <f>IFERROR(__xludf.DUMMYFUNCTION("GOOGLETRANSLATE(D5527)"),"@今日美國。祈求上帝的醫治和急救人員的安全")</f>
        <v>@今日美國。祈求上帝的醫治和急救人員的安全</v>
      </c>
      <c r="G5527" s="4" t="str">
        <f>IFERROR(__xludf.DUMMYFUNCTION("GOOGLETRANSLATE(B5527)"),"前%20位回覆者")</f>
        <v>前%20位回覆者</v>
      </c>
    </row>
    <row r="5528" ht="15.75" customHeight="1">
      <c r="A5528" s="4">
        <v>5416.0</v>
      </c>
      <c r="B5528" s="4" t="s">
        <v>2475</v>
      </c>
      <c r="C5528" s="4" t="s">
        <v>8111</v>
      </c>
      <c r="D5528" s="4" t="s">
        <v>8112</v>
      </c>
      <c r="E5528" s="4">
        <v>0.0</v>
      </c>
      <c r="F5528" s="4" t="str">
        <f>IFERROR(__xludf.DUMMYFUNCTION("GOOGLETRANSLATE(D5528)"),"加入#charity 10k #run 活動！ @多寧頓達什
2015 年 9 月 20 日星期日上午 11 點開始
多寧頓城堡社區急救人員
https://t.co/G1Nw99YJ8U")</f>
        <v>加入#charity 10k #run 活動！ @多寧頓達什
2015 年 9 月 20 日星期日上午 11 點開始
多寧頓城堡社區急救人員
https://t.co/G1Nw99YJ8U</v>
      </c>
      <c r="G5528" s="4" t="str">
        <f>IFERROR(__xludf.DUMMYFUNCTION("GOOGLETRANSLATE(B5528)"),"前%20位回覆者")</f>
        <v>前%20位回覆者</v>
      </c>
    </row>
    <row r="5529" ht="15.75" customHeight="1">
      <c r="A5529" s="4">
        <v>5417.0</v>
      </c>
      <c r="B5529" s="4" t="s">
        <v>2475</v>
      </c>
      <c r="C5529" s="4" t="s">
        <v>602</v>
      </c>
      <c r="D5529" s="4" t="s">
        <v>8113</v>
      </c>
      <c r="E5529" s="4">
        <v>0.0</v>
      </c>
      <c r="F5529" s="4" t="str">
        <f>IFERROR(__xludf.DUMMYFUNCTION("GOOGLETRANSLATE(D5529)"),"喜歡這本書的寫作方式，其中包含了急救人員的許多優勢@DetKenLang #kindle http://t.co/KcRnMJKJ73")</f>
        <v>喜歡這本書的寫作方式，其中包含了急救人員的許多優勢@DetKenLang #kindle http://t.co/KcRnMJKJ73</v>
      </c>
      <c r="G5529" s="4" t="str">
        <f>IFERROR(__xludf.DUMMYFUNCTION("GOOGLETRANSLATE(B5529)"),"前%20位回覆者")</f>
        <v>前%20位回覆者</v>
      </c>
    </row>
    <row r="5530" ht="15.75" customHeight="1">
      <c r="A5530" s="4">
        <v>5418.0</v>
      </c>
      <c r="B5530" s="4" t="s">
        <v>2475</v>
      </c>
      <c r="D5530" s="4" t="s">
        <v>8114</v>
      </c>
      <c r="E5530" s="4">
        <v>0.0</v>
      </c>
      <c r="F5530" s="4" t="str">
        <f>IFERROR(__xludf.DUMMYFUNCTION("GOOGLETRANSLATE(D5530)"),"使用 #SmartTek 基於 GPS 的緊急按鈕 #mPERS #safety http://t.co/3OionqlFQL，急救人員將永遠不會再被發送到錯誤的地址")</f>
        <v>使用 #SmartTek 基於 GPS 的緊急按鈕 #mPERS #safety http://t.co/3OionqlFQL，急救人員將永遠不會再被發送到錯誤的地址</v>
      </c>
      <c r="G5530" s="4" t="str">
        <f>IFERROR(__xludf.DUMMYFUNCTION("GOOGLETRANSLATE(B5530)"),"前%20位回覆者")</f>
        <v>前%20位回覆者</v>
      </c>
    </row>
    <row r="5531" ht="15.75" customHeight="1">
      <c r="A5531" s="4">
        <v>5423.0</v>
      </c>
      <c r="B5531" s="4" t="s">
        <v>2475</v>
      </c>
      <c r="C5531" s="4" t="s">
        <v>8115</v>
      </c>
      <c r="D5531" s="4" t="s">
        <v>8116</v>
      </c>
      <c r="E5531" s="4">
        <v>0.0</v>
      </c>
      <c r="F5531" s="4" t="str">
        <f>IFERROR(__xludf.DUMMYFUNCTION("GOOGLETRANSLATE(D5531)"),"很酷的是，青少年正在成為我所說的“數字第一響應者”，為他們需要一點幫助或支持的朋友服務！")</f>
        <v>很酷的是，青少年正在成為我所說的“數字第一響應者”，為他們需要一點幫助或支持的朋友服務！</v>
      </c>
      <c r="G5531" s="4" t="str">
        <f>IFERROR(__xludf.DUMMYFUNCTION("GOOGLETRANSLATE(B5531)"),"前%20位回覆者")</f>
        <v>前%20位回覆者</v>
      </c>
    </row>
    <row r="5532" ht="15.75" customHeight="1">
      <c r="A5532" s="4">
        <v>5426.0</v>
      </c>
      <c r="B5532" s="4" t="s">
        <v>2475</v>
      </c>
      <c r="C5532" s="4" t="s">
        <v>8117</v>
      </c>
      <c r="D5532" s="4" t="s">
        <v>8118</v>
      </c>
      <c r="E5532" s="4">
        <v>0.0</v>
      </c>
      <c r="F5532" s="4" t="str">
        <f>IFERROR(__xludf.DUMMYFUNCTION("GOOGLETRANSLATE(D5532)"),"RT RoadID：感謝 Alex 的故事和感謝所有急救人員在我們需要您的時候出現在我們身邊。 Û_ http://t.co/HikDC1fM2F")</f>
        <v>RT RoadID：感謝 Alex 的故事和感謝所有急救人員在我們需要您的時候出現在我們身邊。 Û_ http://t.co/HikDC1fM2F</v>
      </c>
      <c r="G5532" s="4" t="str">
        <f>IFERROR(__xludf.DUMMYFUNCTION("GOOGLETRANSLATE(B5532)"),"前%20位回覆者")</f>
        <v>前%20位回覆者</v>
      </c>
    </row>
    <row r="5533" ht="15.75" customHeight="1">
      <c r="A5533" s="4">
        <v>5432.0</v>
      </c>
      <c r="B5533" s="4" t="s">
        <v>2475</v>
      </c>
      <c r="D5533" s="4" t="s">
        <v>8119</v>
      </c>
      <c r="E5533" s="4">
        <v>0.0</v>
      </c>
      <c r="F5533" s="4" t="str">
        <f>IFERROR(__xludf.DUMMYFUNCTION("GOOGLETRANSLATE(D5533)"),"朱諾帝國 - 急救人員參加全國之夜 http://t.co/94UYT4ojYK")</f>
        <v>朱諾帝國 - 急救人員參加全國之夜 http://t.co/94UYT4ojYK</v>
      </c>
      <c r="G5533" s="4" t="str">
        <f>IFERROR(__xludf.DUMMYFUNCTION("GOOGLETRANSLATE(B5533)"),"前%20位回覆者")</f>
        <v>前%20位回覆者</v>
      </c>
    </row>
    <row r="5534" ht="15.75" customHeight="1">
      <c r="A5534" s="4">
        <v>5437.0</v>
      </c>
      <c r="B5534" s="4" t="s">
        <v>2475</v>
      </c>
      <c r="C5534" s="4" t="s">
        <v>8120</v>
      </c>
      <c r="D5534" s="4" t="s">
        <v>8121</v>
      </c>
      <c r="E5534" s="4">
        <v>0.0</v>
      </c>
      <c r="F5534" s="4" t="str">
        <f>IFERROR(__xludf.DUMMYFUNCTION("GOOGLETRANSLATE(D5534)"),"@Reds我不會輕易使用英雄這個詞......通常保留給急救人員和軍人......但他是英雄......")</f>
        <v>@Reds我不會輕易使用英雄這個詞......通常保留給急救人員和軍人......但他是英雄......</v>
      </c>
      <c r="G5534" s="4" t="str">
        <f>IFERROR(__xludf.DUMMYFUNCTION("GOOGLETRANSLATE(B5534)"),"前%20位回覆者")</f>
        <v>前%20位回覆者</v>
      </c>
    </row>
    <row r="5535" ht="15.75" customHeight="1">
      <c r="A5535" s="4">
        <v>5439.0</v>
      </c>
      <c r="B5535" s="4" t="s">
        <v>2475</v>
      </c>
      <c r="C5535" s="4" t="s">
        <v>8122</v>
      </c>
      <c r="D5535" s="4" t="s">
        <v>8123</v>
      </c>
      <c r="E5535" s="4">
        <v>0.0</v>
      </c>
      <c r="F5535" s="4" t="str">
        <f>IFERROR(__xludf.DUMMYFUNCTION("GOOGLETRANSLATE(D5535)"),"美國希望未來的急救人員更高科技 - http://t.co/1VI2RNbK2i")</f>
        <v>美國希望未來的急救人員更高科技 - http://t.co/1VI2RNbK2i</v>
      </c>
      <c r="G5535" s="4" t="str">
        <f>IFERROR(__xludf.DUMMYFUNCTION("GOOGLETRANSLATE(B5535)"),"前%20位回覆者")</f>
        <v>前%20位回覆者</v>
      </c>
    </row>
    <row r="5536" ht="15.75" customHeight="1">
      <c r="A5536" s="4">
        <v>5442.0</v>
      </c>
      <c r="B5536" s="4" t="s">
        <v>2475</v>
      </c>
      <c r="C5536" s="4" t="s">
        <v>1118</v>
      </c>
      <c r="D5536" s="4" t="s">
        <v>8124</v>
      </c>
      <c r="E5536" s="4">
        <v>0.0</v>
      </c>
      <c r="F5536" s="4" t="str">
        <f>IFERROR(__xludf.DUMMYFUNCTION("GOOGLETRANSLATE(D5536)"),"我們的派對上還有來自全國各地的急救人員的席位！第三屆年度最佳。 http://t.co/mNh6FXhOdB")</f>
        <v>我們的派對上還有來自全國各地的急救人員的席位！第三屆年度最佳。 http://t.co/mNh6FXhOdB</v>
      </c>
      <c r="G5536" s="4" t="str">
        <f>IFERROR(__xludf.DUMMYFUNCTION("GOOGLETRANSLATE(B5536)"),"前%20位回覆者")</f>
        <v>前%20位回覆者</v>
      </c>
    </row>
    <row r="5537" ht="15.75" customHeight="1">
      <c r="A5537" s="4">
        <v>5443.0</v>
      </c>
      <c r="B5537" s="4" t="s">
        <v>2475</v>
      </c>
      <c r="C5537" s="4" t="s">
        <v>8125</v>
      </c>
      <c r="D5537" s="4" t="s">
        <v>8126</v>
      </c>
      <c r="E5537" s="4">
        <v>0.0</v>
      </c>
      <c r="F5537" s="4" t="str">
        <f>IFERROR(__xludf.DUMMYFUNCTION("GOOGLETRANSLATE(D5537)"),"如果發生事故，急救人員會知道有嬰兒禮物 https://t.co/sNaYMLDIUN")</f>
        <v>如果發生事故，急救人員會知道有嬰兒禮物 https://t.co/sNaYMLDIUN</v>
      </c>
      <c r="G5537" s="4" t="str">
        <f>IFERROR(__xludf.DUMMYFUNCTION("GOOGLETRANSLATE(B5537)"),"前%20位回覆者")</f>
        <v>前%20位回覆者</v>
      </c>
    </row>
    <row r="5538" ht="15.75" customHeight="1">
      <c r="A5538" s="4">
        <v>5446.0</v>
      </c>
      <c r="B5538" s="4" t="s">
        <v>2475</v>
      </c>
      <c r="C5538" s="4" t="s">
        <v>38</v>
      </c>
      <c r="D5538" s="4" t="s">
        <v>8127</v>
      </c>
      <c r="E5538" s="4">
        <v>0.0</v>
      </c>
      <c r="F5538" s="4" t="str">
        <f>IFERROR(__xludf.DUMMYFUNCTION("GOOGLETRANSLATE(D5538)"),"急救人員舉辦全國 GIS 技術高峰會並頒獎 http://t.co/0T9yd557rY #gisuserPR #geoTech")</f>
        <v>急救人員舉辦全國 GIS 技術高峰會並頒獎 http://t.co/0T9yd557rY #gisuserPR #geoTech</v>
      </c>
      <c r="G5538" s="4" t="str">
        <f>IFERROR(__xludf.DUMMYFUNCTION("GOOGLETRANSLATE(B5538)"),"前%20位回覆者")</f>
        <v>前%20位回覆者</v>
      </c>
    </row>
    <row r="5539" ht="15.75" customHeight="1">
      <c r="A5539" s="4">
        <v>5448.0</v>
      </c>
      <c r="B5539" s="4" t="s">
        <v>2475</v>
      </c>
      <c r="D5539" s="4" t="s">
        <v>8128</v>
      </c>
      <c r="E5539" s="4">
        <v>0.0</v>
      </c>
      <c r="F5539" s="4" t="str">
        <f>IFERROR(__xludf.DUMMYFUNCTION("GOOGLETRANSLATE(D5539)"),"約克公司急救人員在「血液徽章」中競相拯救生命 #paramedic #EMS http://t.co/E65V80FCus")</f>
        <v>約克公司急救人員在「血液徽章」中競相拯救生命 #paramedic #EMS http://t.co/E65V80FCus</v>
      </c>
      <c r="G5539" s="4" t="str">
        <f>IFERROR(__xludf.DUMMYFUNCTION("GOOGLETRANSLATE(B5539)"),"前%20位回覆者")</f>
        <v>前%20位回覆者</v>
      </c>
    </row>
    <row r="5540" ht="15.75" customHeight="1">
      <c r="A5540" s="4">
        <v>5449.0</v>
      </c>
      <c r="B5540" s="4" t="s">
        <v>2475</v>
      </c>
      <c r="C5540" s="4" t="s">
        <v>620</v>
      </c>
      <c r="D5540" s="4" t="s">
        <v>8129</v>
      </c>
      <c r="E5540" s="4">
        <v>0.0</v>
      </c>
      <c r="F5540" s="4" t="str">
        <f>IFERROR(__xludf.DUMMYFUNCTION("GOOGLETRANSLATE(D5540)"),"一些幫助急救人員應對的好資訊 - 個人復原力：急救人員情況說明書 - http://t.co/FcFpijiqt5")</f>
        <v>一些幫助急救人員應對的好資訊 - 個人復原力：急救人員情況說明書 - http://t.co/FcFpijiqt5</v>
      </c>
      <c r="G5540" s="4" t="str">
        <f>IFERROR(__xludf.DUMMYFUNCTION("GOOGLETRANSLATE(B5540)"),"前%20位回覆者")</f>
        <v>前%20位回覆者</v>
      </c>
    </row>
    <row r="5541" ht="15.75" customHeight="1">
      <c r="A5541" s="4">
        <v>5452.0</v>
      </c>
      <c r="B5541" s="4" t="s">
        <v>2475</v>
      </c>
      <c r="C5541" s="4" t="s">
        <v>8130</v>
      </c>
      <c r="D5541" s="4" t="s">
        <v>8131</v>
      </c>
      <c r="E5541" s="4">
        <v>0.0</v>
      </c>
      <c r="F5541" s="4" t="str">
        <f>IFERROR(__xludf.DUMMYFUNCTION("GOOGLETRANSLATE(D5541)"),"急救人員週六可免費獲得@bridgeportspeed！詳情@http://t.co/dIh1TgQhej")</f>
        <v>急救人員週六可免費獲得@bridgeportspeed！詳情@http://t.co/dIh1TgQhej</v>
      </c>
      <c r="G5541" s="4" t="str">
        <f>IFERROR(__xludf.DUMMYFUNCTION("GOOGLETRANSLATE(B5541)"),"前%20位回覆者")</f>
        <v>前%20位回覆者</v>
      </c>
    </row>
    <row r="5542" ht="15.75" customHeight="1">
      <c r="A5542" s="4">
        <v>5460.0</v>
      </c>
      <c r="B5542" s="4" t="s">
        <v>2475</v>
      </c>
      <c r="C5542" s="4" t="s">
        <v>8132</v>
      </c>
      <c r="D5542" s="4" t="s">
        <v>8133</v>
      </c>
      <c r="E5542" s="4">
        <v>0.0</v>
      </c>
      <c r="F5542" s="4" t="str">
        <f>IFERROR(__xludf.DUMMYFUNCTION("GOOGLETRANSLATE(D5542)"),"@LinkedIn https://t.co/9pmBTxmoAL 上的“退伍軍人或急救人員（過去和現在）無需支付貸款人費用”")</f>
        <v>@LinkedIn https://t.co/9pmBTxmoAL 上的“退伍軍人或急救人員（過去和現在）無需支付貸款人費用”</v>
      </c>
      <c r="G5542" s="4" t="str">
        <f>IFERROR(__xludf.DUMMYFUNCTION("GOOGLETRANSLATE(B5542)"),"前%20位回覆者")</f>
        <v>前%20位回覆者</v>
      </c>
    </row>
    <row r="5543" ht="15.75" customHeight="1">
      <c r="A5543" s="4">
        <v>5462.0</v>
      </c>
      <c r="B5543" s="4" t="s">
        <v>2494</v>
      </c>
      <c r="C5543" s="4" t="s">
        <v>291</v>
      </c>
      <c r="D5543" s="4" t="s">
        <v>8134</v>
      </c>
      <c r="E5543" s="4">
        <v>0.0</v>
      </c>
      <c r="F5543" s="4" t="str">
        <f>IFERROR(__xludf.DUMMYFUNCTION("GOOGLETRANSLATE(D5543)"),"*全新* 按扣工具黑色棒球帽/帽子銀色/灰色刺繡 S 標誌火焰 - 完整版 http://t.co/mO7DbBdFVR http://t.co/0ScNWe8XbV")</f>
        <v>*全新* 按扣工具黑色棒球帽/帽子銀色/灰色刺繡 S 標誌火焰 - 完整版 http://t.co/mO7DbBdFVR http://t.co/0ScNWe8XbV</v>
      </c>
      <c r="G5543" s="4" t="str">
        <f>IFERROR(__xludf.DUMMYFUNCTION("GOOGLETRANSLATE(B5543)"),"火焰")</f>
        <v>火焰</v>
      </c>
    </row>
    <row r="5544" ht="15.75" customHeight="1">
      <c r="A5544" s="4">
        <v>5465.0</v>
      </c>
      <c r="B5544" s="4" t="s">
        <v>2494</v>
      </c>
      <c r="C5544" s="4" t="s">
        <v>291</v>
      </c>
      <c r="D5544" s="4" t="s">
        <v>8135</v>
      </c>
      <c r="E5544" s="4">
        <v>0.0</v>
      </c>
      <c r="F5544" s="4" t="str">
        <f>IFERROR(__xludf.DUMMYFUNCTION("GOOGLETRANSLATE(D5544)"),"*全新* 按扣工具黑色棒球帽/帽子銀色/灰色刺繡 S 標誌火焰 - 完整版 http://t.co/U3WAO8asFg http://t.co/hC6hZs4wSI")</f>
        <v>*全新* 按扣工具黑色棒球帽/帽子銀色/灰色刺繡 S 標誌火焰 - 完整版 http://t.co/U3WAO8asFg http://t.co/hC6hZs4wSI</v>
      </c>
      <c r="G5544" s="4" t="str">
        <f>IFERROR(__xludf.DUMMYFUNCTION("GOOGLETRANSLATE(B5544)"),"火焰")</f>
        <v>火焰</v>
      </c>
    </row>
    <row r="5545" ht="15.75" customHeight="1">
      <c r="A5545" s="4">
        <v>5466.0</v>
      </c>
      <c r="B5545" s="4" t="s">
        <v>2494</v>
      </c>
      <c r="C5545" s="4" t="s">
        <v>8136</v>
      </c>
      <c r="D5545" s="4" t="s">
        <v>8137</v>
      </c>
      <c r="E5545" s="4">
        <v>0.0</v>
      </c>
      <c r="F5545" s="4" t="str">
        <f>IFERROR(__xludf.DUMMYFUNCTION("GOOGLETRANSLATE(D5545)"),"吸血鬼穿過火桌#UltimaLucha #LuchaUnderground @Elreynetwork http://t.co/Ox6OUw3Yut")</f>
        <v>吸血鬼穿過火桌#UltimaLucha #LuchaUnderground @Elreynetwork http://t.co/Ox6OUw3Yut</v>
      </c>
      <c r="G5545" s="4" t="str">
        <f>IFERROR(__xludf.DUMMYFUNCTION("GOOGLETRANSLATE(B5545)"),"火焰")</f>
        <v>火焰</v>
      </c>
    </row>
    <row r="5546" ht="15.75" customHeight="1">
      <c r="A5546" s="4">
        <v>5467.0</v>
      </c>
      <c r="B5546" s="4" t="s">
        <v>2494</v>
      </c>
      <c r="D5546" s="4" t="s">
        <v>8138</v>
      </c>
      <c r="E5546" s="4">
        <v>0.0</v>
      </c>
      <c r="F5546" s="4" t="str">
        <f>IFERROR(__xludf.DUMMYFUNCTION("GOOGLETRANSLATE(D5546)"),"小屋狂熱 2 火焰 https://t.co/yXnagsqvBM")</f>
        <v>小屋狂熱 2 火焰 https://t.co/yXnagsqvBM</v>
      </c>
      <c r="G5546" s="4" t="str">
        <f>IFERROR(__xludf.DUMMYFUNCTION("GOOGLETRANSLATE(B5546)"),"火焰")</f>
        <v>火焰</v>
      </c>
    </row>
    <row r="5547" ht="15.75" customHeight="1">
      <c r="A5547" s="4">
        <v>5468.0</v>
      </c>
      <c r="B5547" s="4" t="s">
        <v>2494</v>
      </c>
      <c r="C5547" s="4" t="s">
        <v>4922</v>
      </c>
      <c r="D5547" s="4" t="s">
        <v>8139</v>
      </c>
      <c r="E5547" s="4">
        <v>0.0</v>
      </c>
      <c r="F5547" s="4" t="str">
        <f>IFERROR(__xludf.DUMMYFUNCTION("GOOGLETRANSLATE(D5547)"),"「如果你不能直接從地獄商店召喚火焰就可以了」-我
媽媽-*死了*")</f>
        <v>「如果你不能直接從地獄商店召喚火焰就可以了」-我
媽媽-*死了*</v>
      </c>
      <c r="G5547" s="4" t="str">
        <f>IFERROR(__xludf.DUMMYFUNCTION("GOOGLETRANSLATE(B5547)"),"火焰")</f>
        <v>火焰</v>
      </c>
    </row>
    <row r="5548" ht="15.75" customHeight="1">
      <c r="A5548" s="4">
        <v>5469.0</v>
      </c>
      <c r="B5548" s="4" t="s">
        <v>2494</v>
      </c>
      <c r="C5548" s="4" t="s">
        <v>8140</v>
      </c>
      <c r="D5548" s="4" t="s">
        <v>8141</v>
      </c>
      <c r="E5548" s="4">
        <v>0.0</v>
      </c>
      <c r="F5548" s="4" t="str">
        <f>IFERROR(__xludf.DUMMYFUNCTION("GOOGLETRANSLATE(D5548)"),"剛剛為週六火上加油！里克·旺德 (Rick Wonder) 將與 Chachi 一起旋轉嘉賓套裝... http://t.co/Otblb9PJ2I")</f>
        <v>剛剛為週六火上加油！里克·旺德 (Rick Wonder) 將與 Chachi 一起旋轉嘉賓套裝... http://t.co/Otblb9PJ2I</v>
      </c>
      <c r="G5548" s="4" t="str">
        <f>IFERROR(__xludf.DUMMYFUNCTION("GOOGLETRANSLATE(B5548)"),"火焰")</f>
        <v>火焰</v>
      </c>
    </row>
    <row r="5549" ht="15.75" customHeight="1">
      <c r="A5549" s="4">
        <v>5471.0</v>
      </c>
      <c r="B5549" s="4" t="s">
        <v>2494</v>
      </c>
      <c r="C5549" s="4" t="s">
        <v>8142</v>
      </c>
      <c r="D5549" s="4" t="s">
        <v>8143</v>
      </c>
      <c r="E5549" s="4">
        <v>0.0</v>
      </c>
      <c r="F5549" s="4" t="str">
        <f>IFERROR(__xludf.DUMMYFUNCTION("GOOGLETRANSLATE(D5549)"),"@kelworldpeace @TAXSTONE 瑜珈火焰！")</f>
        <v>@kelworldpeace @TAXSTONE 瑜珈火焰！</v>
      </c>
      <c r="G5549" s="4" t="str">
        <f>IFERROR(__xludf.DUMMYFUNCTION("GOOGLETRANSLATE(B5549)"),"火焰")</f>
        <v>火焰</v>
      </c>
    </row>
    <row r="5550" ht="15.75" customHeight="1">
      <c r="A5550" s="4">
        <v>5473.0</v>
      </c>
      <c r="B5550" s="4" t="s">
        <v>2494</v>
      </c>
      <c r="D5550" s="4" t="s">
        <v>8144</v>
      </c>
      <c r="E5550" s="4">
        <v>0.0</v>
      </c>
      <c r="F5550" s="4" t="str">
        <f>IFERROR(__xludf.DUMMYFUNCTION("GOOGLETRANSLATE(D5550)"),"#SBNation #Flames 怎樣才能成為優秀的點球殺手？ http://t.co/xYi5fDacxO http://t.co/SjtvzgGcXU")</f>
        <v>#SBNation #Flames 怎樣才能成為優秀的點球殺手？ http://t.co/xYi5fDacxO http://t.co/SjtvzgGcXU</v>
      </c>
      <c r="G5550" s="4" t="str">
        <f>IFERROR(__xludf.DUMMYFUNCTION("GOOGLETRANSLATE(B5550)"),"火焰")</f>
        <v>火焰</v>
      </c>
    </row>
    <row r="5551" ht="15.75" customHeight="1">
      <c r="A5551" s="4">
        <v>5475.0</v>
      </c>
      <c r="B5551" s="4" t="s">
        <v>2494</v>
      </c>
      <c r="C5551" s="4" t="s">
        <v>8145</v>
      </c>
      <c r="D5551" s="4" t="s">
        <v>8146</v>
      </c>
      <c r="E5551" s="4">
        <v>0.0</v>
      </c>
      <c r="F5551" s="4" t="str">
        <f>IFERROR(__xludf.DUMMYFUNCTION("GOOGLETRANSLATE(D5551)"),"我想你可以說 ig 的希望化為泡影")</f>
        <v>我想你可以說 ig 的希望化為泡影</v>
      </c>
      <c r="G5551" s="4" t="str">
        <f>IFERROR(__xludf.DUMMYFUNCTION("GOOGLETRANSLATE(B5551)"),"火焰")</f>
        <v>火焰</v>
      </c>
    </row>
    <row r="5552" ht="15.75" customHeight="1">
      <c r="A5552" s="4">
        <v>5476.0</v>
      </c>
      <c r="B5552" s="4" t="s">
        <v>2494</v>
      </c>
      <c r="D5552" s="4" t="s">
        <v>8147</v>
      </c>
      <c r="E5552" s="4">
        <v>0.0</v>
      </c>
      <c r="F5552" s="4" t="str">
        <f>IFERROR(__xludf.DUMMYFUNCTION("GOOGLETRANSLATE(D5552)"),"我會哭，直到我的憐憫派對著火？？？")</f>
        <v>我會哭，直到我的憐憫派對著火？？？</v>
      </c>
      <c r="G5552" s="4" t="str">
        <f>IFERROR(__xludf.DUMMYFUNCTION("GOOGLETRANSLATE(B5552)"),"火焰")</f>
        <v>火焰</v>
      </c>
    </row>
    <row r="5553" ht="15.75" customHeight="1">
      <c r="A5553" s="4">
        <v>5477.0</v>
      </c>
      <c r="B5553" s="4" t="s">
        <v>2494</v>
      </c>
      <c r="C5553" s="4" t="s">
        <v>8148</v>
      </c>
      <c r="D5553" s="4" t="s">
        <v>8149</v>
      </c>
      <c r="E5553" s="4">
        <v>0.0</v>
      </c>
      <c r="F5553" s="4" t="str">
        <f>IFERROR(__xludf.DUMMYFUNCTION("GOOGLETRANSLATE(D5553)"),"新的 lil b x 機會只不過是火焰")</f>
        <v>新的 lil b x 機會只不過是火焰</v>
      </c>
      <c r="G5553" s="4" t="str">
        <f>IFERROR(__xludf.DUMMYFUNCTION("GOOGLETRANSLATE(B5553)"),"火焰")</f>
        <v>火焰</v>
      </c>
    </row>
    <row r="5554" ht="15.75" customHeight="1">
      <c r="A5554" s="4">
        <v>5480.0</v>
      </c>
      <c r="B5554" s="4" t="s">
        <v>2494</v>
      </c>
      <c r="C5554" s="4" t="s">
        <v>2642</v>
      </c>
      <c r="D5554" s="4" t="s">
        <v>8150</v>
      </c>
      <c r="E5554" s="4">
        <v>0.0</v>
      </c>
      <c r="F5554" s="4" t="str">
        <f>IFERROR(__xludf.DUMMYFUNCTION("GOOGLETRANSLATE(D5554)"),"我的幫派和他們一起走來走去，棕色的火焰。 &amp;amp;那是100ND")</f>
        <v>我的幫派和他們一起走來走去，棕色的火焰。 &amp;amp;那是100ND</v>
      </c>
      <c r="G5554" s="4" t="str">
        <f>IFERROR(__xludf.DUMMYFUNCTION("GOOGLETRANSLATE(B5554)"),"火焰")</f>
        <v>火焰</v>
      </c>
    </row>
    <row r="5555" ht="15.75" customHeight="1">
      <c r="A5555" s="4">
        <v>5481.0</v>
      </c>
      <c r="B5555" s="4" t="s">
        <v>2494</v>
      </c>
      <c r="C5555" s="4" t="s">
        <v>291</v>
      </c>
      <c r="D5555" s="4" t="s">
        <v>8151</v>
      </c>
      <c r="E5555" s="4">
        <v>0.0</v>
      </c>
      <c r="F5555" s="4" t="str">
        <f>IFERROR(__xludf.DUMMYFUNCTION("GOOGLETRANSLATE(D5555)"),"*全新* 按扣工具黑色棒球帽/帽子銀色/灰色刺繡 S 標誌火焰 - 完整版 http://t.co/hTqVF44UQs http://t.co/PvXeLxCJeu")</f>
        <v>*全新* 按扣工具黑色棒球帽/帽子銀色/灰色刺繡 S 標誌火焰 - 完整版 http://t.co/hTqVF44UQs http://t.co/PvXeLxCJeu</v>
      </c>
      <c r="G5555" s="4" t="str">
        <f>IFERROR(__xludf.DUMMYFUNCTION("GOOGLETRANSLATE(B5555)"),"火焰")</f>
        <v>火焰</v>
      </c>
    </row>
    <row r="5556" ht="15.75" customHeight="1">
      <c r="A5556" s="4">
        <v>5485.0</v>
      </c>
      <c r="B5556" s="4" t="s">
        <v>2494</v>
      </c>
      <c r="C5556" s="4" t="s">
        <v>8152</v>
      </c>
      <c r="D5556" s="4" t="s">
        <v>8153</v>
      </c>
      <c r="E5556" s="4">
        <v>0.0</v>
      </c>
      <c r="F5556" s="4" t="str">
        <f>IFERROR(__xludf.DUMMYFUNCTION("GOOGLETRANSLATE(D5556)"),"新巨型火焰（巨型曼利棕色）資訊/訂單簡訊：087809233445 pin：2327564d http://t.co/T1mBw0ia3o http://t.co/CLfa0PY5Lm")</f>
        <v>新巨型火焰（巨型曼利棕色）資訊/訂單簡訊：087809233445 pin：2327564d http://t.co/T1mBw0ia3o http://t.co/CLfa0PY5Lm</v>
      </c>
      <c r="G5556" s="4" t="str">
        <f>IFERROR(__xludf.DUMMYFUNCTION("GOOGLETRANSLATE(B5556)"),"火焰")</f>
        <v>火焰</v>
      </c>
    </row>
    <row r="5557" ht="15.75" customHeight="1">
      <c r="A5557" s="4">
        <v>5489.0</v>
      </c>
      <c r="B5557" s="4" t="s">
        <v>2494</v>
      </c>
      <c r="D5557" s="4" t="s">
        <v>8154</v>
      </c>
      <c r="E5557" s="4">
        <v>0.0</v>
      </c>
      <c r="F5557" s="4" t="str">
        <f>IFERROR(__xludf.DUMMYFUNCTION("GOOGLETRANSLATE(D5557)"),"我選擇了你，所以如果我們能夠尋找只有我們兩個人的快樂，無論什麼寒冷的火焰燃燒我們的身體，我們都會微笑#PortgassDK")</f>
        <v>我選擇了你，所以如果我們能夠尋找只有我們兩個人的快樂，無論什麼寒冷的火焰燃燒我們的身體，我們都會微笑#PortgassDK</v>
      </c>
      <c r="G5557" s="4" t="str">
        <f>IFERROR(__xludf.DUMMYFUNCTION("GOOGLETRANSLATE(B5557)"),"火焰")</f>
        <v>火焰</v>
      </c>
    </row>
    <row r="5558" ht="15.75" customHeight="1">
      <c r="A5558" s="4">
        <v>5492.0</v>
      </c>
      <c r="B5558" s="4" t="s">
        <v>2494</v>
      </c>
      <c r="C5558" s="4" t="s">
        <v>8155</v>
      </c>
      <c r="D5558" s="4" t="s">
        <v>8156</v>
      </c>
      <c r="E5558" s="4">
        <v>0.0</v>
      </c>
      <c r="F5558" s="4" t="str">
        <f>IFERROR(__xludf.DUMMYFUNCTION("GOOGLETRANSLATE(D5558)"),"@ErinMariefishy 每個人都在向我放火")</f>
        <v>@ErinMariefishy 每個人都在向我放火</v>
      </c>
      <c r="G5558" s="4" t="str">
        <f>IFERROR(__xludf.DUMMYFUNCTION("GOOGLETRANSLATE(B5558)"),"火焰")</f>
        <v>火焰</v>
      </c>
    </row>
    <row r="5559" ht="15.75" customHeight="1">
      <c r="A5559" s="4">
        <v>5493.0</v>
      </c>
      <c r="B5559" s="4" t="s">
        <v>2494</v>
      </c>
      <c r="C5559" s="4" t="s">
        <v>8157</v>
      </c>
      <c r="D5559" s="4" t="s">
        <v>8158</v>
      </c>
      <c r="E5559" s="4">
        <v>0.0</v>
      </c>
      <c r="F5559" s="4" t="str">
        <f>IFERROR(__xludf.DUMMYFUNCTION("GOOGLETRANSLATE(D5559)"),"@Flames_Nation 這就是我樂觀的一面。毫無疑問，這很艱難。但這是可以完成的。我覺得比賽將以防守為中心。")</f>
        <v>@Flames_Nation 這就是我樂觀的一面。毫無疑問，這很艱難。但這是可以完成的。我覺得比賽將以防守為中心。</v>
      </c>
      <c r="G5559" s="4" t="str">
        <f>IFERROR(__xludf.DUMMYFUNCTION("GOOGLETRANSLATE(B5559)"),"火焰")</f>
        <v>火焰</v>
      </c>
    </row>
    <row r="5560" ht="15.75" customHeight="1">
      <c r="A5560" s="4">
        <v>5495.0</v>
      </c>
      <c r="B5560" s="4" t="s">
        <v>2494</v>
      </c>
      <c r="C5560" s="4" t="s">
        <v>8159</v>
      </c>
      <c r="D5560" s="4" t="s">
        <v>8160</v>
      </c>
      <c r="E5560" s="4">
        <v>0.0</v>
      </c>
      <c r="F5560" s="4" t="str">
        <f>IFERROR(__xludf.DUMMYFUNCTION("GOOGLETRANSLATE(D5560)"),"所以請原諒我，當我爆發火焰時。
我已經受夠了這個世界和人們無意識的遊戲")</f>
        <v>所以請原諒我，當我爆發火焰時。
我已經受夠了這個世界和人們無意識的遊戲</v>
      </c>
      <c r="G5560" s="4" t="str">
        <f>IFERROR(__xludf.DUMMYFUNCTION("GOOGLETRANSLATE(B5560)"),"火焰")</f>
        <v>火焰</v>
      </c>
    </row>
    <row r="5561" ht="15.75" customHeight="1">
      <c r="A5561" s="4">
        <v>5496.0</v>
      </c>
      <c r="B5561" s="4" t="s">
        <v>2494</v>
      </c>
      <c r="C5561" s="4" t="s">
        <v>8161</v>
      </c>
      <c r="D5561" s="4" t="s">
        <v>8162</v>
      </c>
      <c r="E5561" s="4">
        <v>0.0</v>
      </c>
      <c r="F5561" s="4" t="str">
        <f>IFERROR(__xludf.DUMMYFUNCTION("GOOGLETRANSLATE(D5561)"),"@AWickedAssassin 想要燃燒起來！ *安娜緊緊地擁抱他*")</f>
        <v>@AWickedAssassin 想要燃燒起來！ *安娜緊緊地擁抱他*</v>
      </c>
      <c r="G5561" s="4" t="str">
        <f>IFERROR(__xludf.DUMMYFUNCTION("GOOGLETRANSLATE(B5561)"),"火焰")</f>
        <v>火焰</v>
      </c>
    </row>
    <row r="5562" ht="15.75" customHeight="1">
      <c r="A5562" s="4">
        <v>5498.0</v>
      </c>
      <c r="B5562" s="4" t="s">
        <v>2494</v>
      </c>
      <c r="D5562" s="4" t="s">
        <v>8163</v>
      </c>
      <c r="E5562" s="4">
        <v>0.0</v>
      </c>
      <c r="F5562" s="4" t="str">
        <f>IFERROR(__xludf.DUMMYFUNCTION("GOOGLETRANSLATE(D5562)"),"'天哪！讓它燒！' #RubyBot")</f>
        <v>'天哪！讓它燒！' #RubyBot</v>
      </c>
      <c r="G5562" s="4" t="str">
        <f>IFERROR(__xludf.DUMMYFUNCTION("GOOGLETRANSLATE(B5562)"),"火焰")</f>
        <v>火焰</v>
      </c>
    </row>
    <row r="5563" ht="15.75" customHeight="1">
      <c r="A5563" s="4">
        <v>5499.0</v>
      </c>
      <c r="B5563" s="4" t="s">
        <v>2494</v>
      </c>
      <c r="D5563" s="4" t="s">
        <v>8164</v>
      </c>
      <c r="E5563" s="4">
        <v>0.0</v>
      </c>
      <c r="F5563" s="4" t="str">
        <f>IFERROR(__xludf.DUMMYFUNCTION("GOOGLETRANSLATE(D5563)"),"如果你有意見但不把它放到網路上，你就會陷入火海。")</f>
        <v>如果你有意見但不把它放到網路上，你就會陷入火海。</v>
      </c>
      <c r="G5563" s="4" t="str">
        <f>IFERROR(__xludf.DUMMYFUNCTION("GOOGLETRANSLATE(B5563)"),"火焰")</f>
        <v>火焰</v>
      </c>
    </row>
    <row r="5564" ht="15.75" customHeight="1">
      <c r="A5564" s="4">
        <v>5501.0</v>
      </c>
      <c r="B5564" s="4" t="s">
        <v>2494</v>
      </c>
      <c r="C5564" s="4" t="s">
        <v>8165</v>
      </c>
      <c r="D5564" s="4" t="s">
        <v>8166</v>
      </c>
      <c r="E5564" s="4">
        <v>0.0</v>
      </c>
      <c r="F5564" s="4" t="str">
        <f>IFERROR(__xludf.DUMMYFUNCTION("GOOGLETRANSLATE(D5564)"),"我有一個正在上升的追隨者圖表！過去一周又有 2 位追蹤者。在這裡獲取您的統計數據 http://t.co/UlxF6dq3ns")</f>
        <v>我有一個正在上升的追隨者圖表！過去一周又有 2 位追蹤者。在這裡獲取您的統計數據 http://t.co/UlxF6dq3ns</v>
      </c>
      <c r="G5564" s="4" t="str">
        <f>IFERROR(__xludf.DUMMYFUNCTION("GOOGLETRANSLATE(B5564)"),"火焰")</f>
        <v>火焰</v>
      </c>
    </row>
    <row r="5565" ht="15.75" customHeight="1">
      <c r="A5565" s="4">
        <v>5506.0</v>
      </c>
      <c r="B5565" s="4" t="s">
        <v>2494</v>
      </c>
      <c r="C5565" s="4" t="s">
        <v>8167</v>
      </c>
      <c r="D5565" s="4" t="s">
        <v>8168</v>
      </c>
      <c r="E5565" s="4">
        <v>0.0</v>
      </c>
      <c r="F5565" s="4" t="str">
        <f>IFERROR(__xludf.DUMMYFUNCTION("GOOGLETRANSLATE(D5565)"),"@CW_Hoops 你最好明天把所有的鏡頭都拍好，因為我正在錄音，明天會拋出火焰")</f>
        <v>@CW_Hoops 你最好明天把所有的鏡頭都拍好，因為我正在錄音，明天會拋出火焰</v>
      </c>
      <c r="G5565" s="4" t="str">
        <f>IFERROR(__xludf.DUMMYFUNCTION("GOOGLETRANSLATE(B5565)"),"火焰")</f>
        <v>火焰</v>
      </c>
    </row>
    <row r="5566" ht="15.75" customHeight="1">
      <c r="A5566" s="4">
        <v>5507.0</v>
      </c>
      <c r="B5566" s="4" t="s">
        <v>2494</v>
      </c>
      <c r="C5566" s="4" t="s">
        <v>8169</v>
      </c>
      <c r="D5566" s="4" t="s">
        <v>8170</v>
      </c>
      <c r="E5566" s="4">
        <v>0.0</v>
      </c>
      <c r="F5566" s="4" t="str">
        <f>IFERROR(__xludf.DUMMYFUNCTION("GOOGLETRANSLATE(D5566)"),"我將影片新增至 @YouTube 播放清單 http://t.co/aTCMrjzJTp Nicki Minaj - Up In Flames（官方影片）")</f>
        <v>我將影片新增至 @YouTube 播放清單 http://t.co/aTCMrjzJTp Nicki Minaj - Up In Flames（官方影片）</v>
      </c>
      <c r="G5566" s="4" t="str">
        <f>IFERROR(__xludf.DUMMYFUNCTION("GOOGLETRANSLATE(B5566)"),"火焰")</f>
        <v>火焰</v>
      </c>
    </row>
    <row r="5567" ht="15.75" customHeight="1">
      <c r="A5567" s="4">
        <v>5509.0</v>
      </c>
      <c r="B5567" s="4" t="s">
        <v>2494</v>
      </c>
      <c r="C5567" s="4" t="s">
        <v>8171</v>
      </c>
      <c r="D5567" s="4" t="s">
        <v>8172</v>
      </c>
      <c r="E5567" s="4">
        <v>0.0</v>
      </c>
      <c r="F5567" s="4" t="str">
        <f>IFERROR(__xludf.DUMMYFUNCTION("GOOGLETRANSLATE(D5567)"),"他比肖恩兄弟更好。我可以承認肖恩現在很火。但他比肖恩更好 https://t.co/aomQ1RYKmJ")</f>
        <v>他比肖恩兄弟更好。我可以承認肖恩現在很火。但他比肖恩更好 https://t.co/aomQ1RYKmJ</v>
      </c>
      <c r="G5567" s="4" t="str">
        <f>IFERROR(__xludf.DUMMYFUNCTION("GOOGLETRANSLATE(B5567)"),"火焰")</f>
        <v>火焰</v>
      </c>
    </row>
    <row r="5568" ht="15.75" customHeight="1">
      <c r="A5568" s="4">
        <v>5510.0</v>
      </c>
      <c r="B5568" s="4" t="s">
        <v>2494</v>
      </c>
      <c r="D5568" s="4" t="s">
        <v>8173</v>
      </c>
      <c r="E5568" s="4">
        <v>0.0</v>
      </c>
      <c r="F5568" s="4" t="str">
        <f>IFERROR(__xludf.DUMMYFUNCTION("GOOGLETRANSLATE(D5568)"),"安大略省密西沙加的火焰有利優勢：pWHvGwax")</f>
        <v>安大略省密西沙加的火焰有利優勢：pWHvGwax</v>
      </c>
      <c r="G5568" s="4" t="str">
        <f>IFERROR(__xludf.DUMMYFUNCTION("GOOGLETRANSLATE(B5568)"),"火焰")</f>
        <v>火焰</v>
      </c>
    </row>
    <row r="5569" ht="15.75" customHeight="1">
      <c r="A5569" s="4">
        <v>5514.0</v>
      </c>
      <c r="B5569" s="4" t="s">
        <v>2518</v>
      </c>
      <c r="C5569" s="4" t="s">
        <v>8174</v>
      </c>
      <c r="D5569" s="4" t="s">
        <v>8175</v>
      </c>
      <c r="E5569" s="4">
        <v>0.0</v>
      </c>
      <c r="F5569" s="4" t="str">
        <f>IFERROR(__xludf.DUMMYFUNCTION("GOOGLETRANSLATE(D5569)"),"像卡通一樣扁平化。
“哇，爸爸！” https://t.co/4zmcqRMOIs")</f>
        <v>像卡通一樣扁平化。
“哇，爸爸！” https://t.co/4zmcqRMOIs</v>
      </c>
      <c r="G5569" s="4" t="str">
        <f>IFERROR(__xludf.DUMMYFUNCTION("GOOGLETRANSLATE(B5569)"),"壓扁的")</f>
        <v>壓扁的</v>
      </c>
    </row>
    <row r="5570" ht="15.75" customHeight="1">
      <c r="A5570" s="4">
        <v>5515.0</v>
      </c>
      <c r="B5570" s="4" t="s">
        <v>2518</v>
      </c>
      <c r="C5570" s="4" t="s">
        <v>1452</v>
      </c>
      <c r="D5570" s="4" t="s">
        <v>8176</v>
      </c>
      <c r="E5570" s="4">
        <v>0.0</v>
      </c>
      <c r="F5570" s="4" t="str">
        <f>IFERROR(__xludf.DUMMYFUNCTION("GOOGLETRANSLATE(D5570)"),"成功之路是用我在火車軌道上壓平的便士鋪成的，不客氣。")</f>
        <v>成功之路是用我在火車軌道上壓平的便士鋪成的，不客氣。</v>
      </c>
      <c r="G5570" s="4" t="str">
        <f>IFERROR(__xludf.DUMMYFUNCTION("GOOGLETRANSLATE(B5570)"),"壓扁的")</f>
        <v>壓扁的</v>
      </c>
    </row>
    <row r="5571" ht="15.75" customHeight="1">
      <c r="A5571" s="4">
        <v>5517.0</v>
      </c>
      <c r="B5571" s="4" t="s">
        <v>2518</v>
      </c>
      <c r="C5571" s="4" t="s">
        <v>8177</v>
      </c>
      <c r="D5571" s="4" t="s">
        <v>8178</v>
      </c>
      <c r="E5571" s="4">
        <v>0.0</v>
      </c>
      <c r="F5571" s="4" t="str">
        <f>IFERROR(__xludf.DUMMYFUNCTION("GOOGLETRANSLATE(D5571)"),"覺得自己被相撲選手壓扁了？？？沒有痛苦就沒有收穫#muaytai #wantmyabsback #strong ????")</f>
        <v>覺得自己被相撲選手壓扁了？？？沒有痛苦就沒有收穫#muaytai #wantmyabsback #strong ????</v>
      </c>
      <c r="G5571" s="4" t="str">
        <f>IFERROR(__xludf.DUMMYFUNCTION("GOOGLETRANSLATE(B5571)"),"壓扁的")</f>
        <v>壓扁的</v>
      </c>
    </row>
    <row r="5572" ht="15.75" customHeight="1">
      <c r="A5572" s="4">
        <v>5518.0</v>
      </c>
      <c r="B5572" s="4" t="s">
        <v>2518</v>
      </c>
      <c r="C5572" s="4" t="s">
        <v>8179</v>
      </c>
      <c r="D5572" s="4" t="s">
        <v>8180</v>
      </c>
      <c r="E5572" s="4">
        <v>0.0</v>
      </c>
      <c r="F5572" s="4" t="str">
        <f>IFERROR(__xludf.DUMMYFUNCTION("GOOGLETRANSLATE(D5572)"),"食物創意：扁平化 http://t.co/QfrAWLn4BA")</f>
        <v>食物創意：扁平化 http://t.co/QfrAWLn4BA</v>
      </c>
      <c r="G5572" s="4" t="str">
        <f>IFERROR(__xludf.DUMMYFUNCTION("GOOGLETRANSLATE(B5572)"),"壓扁的")</f>
        <v>壓扁的</v>
      </c>
    </row>
    <row r="5573" ht="15.75" customHeight="1">
      <c r="A5573" s="4">
        <v>5519.0</v>
      </c>
      <c r="B5573" s="4" t="s">
        <v>2518</v>
      </c>
      <c r="C5573" s="4" t="s">
        <v>501</v>
      </c>
      <c r="D5573" s="4" t="s">
        <v>8181</v>
      </c>
      <c r="E5573" s="4">
        <v>0.0</v>
      </c>
      <c r="F5573" s="4" t="str">
        <f>IFERROR(__xludf.DUMMYFUNCTION("GOOGLETRANSLATE(D5573)"),"祖瑪剛剛把他壓扁了？？ #CFC")</f>
        <v>祖瑪剛剛把他壓扁了？？ #CFC</v>
      </c>
      <c r="G5573" s="4" t="str">
        <f>IFERROR(__xludf.DUMMYFUNCTION("GOOGLETRANSLATE(B5573)"),"壓扁的")</f>
        <v>壓扁的</v>
      </c>
    </row>
    <row r="5574" ht="15.75" customHeight="1">
      <c r="A5574" s="4">
        <v>5520.0</v>
      </c>
      <c r="B5574" s="4" t="s">
        <v>2518</v>
      </c>
      <c r="C5574" s="4" t="s">
        <v>8182</v>
      </c>
      <c r="D5574" s="4" t="s">
        <v>8183</v>
      </c>
      <c r="E5574" s="4">
        <v>0.0</v>
      </c>
      <c r="F5574" s="4" t="str">
        <f>IFERROR(__xludf.DUMMYFUNCTION("GOOGLETRANSLATE(D5574)"),"祖瑪剛剛徹底碾壓了那個傢伙？？")</f>
        <v>祖瑪剛剛徹底碾壓了那個傢伙？？</v>
      </c>
      <c r="G5574" s="4" t="str">
        <f>IFERROR(__xludf.DUMMYFUNCTION("GOOGLETRANSLATE(B5574)"),"壓扁的")</f>
        <v>壓扁的</v>
      </c>
    </row>
    <row r="5575" ht="15.75" customHeight="1">
      <c r="A5575" s="4">
        <v>5521.0</v>
      </c>
      <c r="B5575" s="4" t="s">
        <v>2518</v>
      </c>
      <c r="C5575" s="4" t="s">
        <v>8184</v>
      </c>
      <c r="D5575" s="4" t="s">
        <v>8185</v>
      </c>
      <c r="E5575" s="4">
        <v>0.0</v>
      </c>
      <c r="F5575" s="4" t="str">
        <f>IFERROR(__xludf.DUMMYFUNCTION("GOOGLETRANSLATE(D5575)"),"扁平化 https://t.co/9jCIBenckz")</f>
        <v>扁平化 https://t.co/9jCIBenckz</v>
      </c>
      <c r="G5575" s="4" t="str">
        <f>IFERROR(__xludf.DUMMYFUNCTION("GOOGLETRANSLATE(B5575)"),"壓扁的")</f>
        <v>壓扁的</v>
      </c>
    </row>
    <row r="5576" ht="15.75" customHeight="1">
      <c r="A5576" s="4">
        <v>5525.0</v>
      </c>
      <c r="B5576" s="4" t="s">
        <v>2518</v>
      </c>
      <c r="C5576" s="4" t="s">
        <v>8186</v>
      </c>
      <c r="D5576" s="4" t="s">
        <v>8187</v>
      </c>
      <c r="E5576" s="4">
        <v>0.0</v>
      </c>
      <c r="F5576" s="4" t="str">
        <f>IFERROR(__xludf.DUMMYFUNCTION("GOOGLETRANSLATE(D5576)"),"會把這個小侏儒壓扁嗎？ https://t.co/BhufevaGPu")</f>
        <v>會把這個小侏儒壓扁嗎？ https://t.co/BhufevaGPu</v>
      </c>
      <c r="G5576" s="4" t="str">
        <f>IFERROR(__xludf.DUMMYFUNCTION("GOOGLETRANSLATE(B5576)"),"壓扁的")</f>
        <v>壓扁的</v>
      </c>
    </row>
    <row r="5577" ht="15.75" customHeight="1">
      <c r="A5577" s="4">
        <v>5526.0</v>
      </c>
      <c r="B5577" s="4" t="s">
        <v>2518</v>
      </c>
      <c r="C5577" s="4" t="s">
        <v>8188</v>
      </c>
      <c r="D5577" s="4" t="s">
        <v>8189</v>
      </c>
      <c r="E5577" s="4">
        <v>0.0</v>
      </c>
      <c r="F5577" s="4" t="str">
        <f>IFERROR(__xludf.DUMMYFUNCTION("GOOGLETRANSLATE(D5577)"),"誰說的？優勝美地山姆還是德魯普夫？ ÛÏ沒有人會投給壓扁的兔皮啊哈哈哈哈Û_我總是說Û")</f>
        <v>誰說的？優勝美地山姆還是德魯普夫？ ÛÏ沒有人會投給壓扁的兔皮啊哈哈哈哈Û_我總是說Û</v>
      </c>
      <c r="G5577" s="4" t="str">
        <f>IFERROR(__xludf.DUMMYFUNCTION("GOOGLETRANSLATE(B5577)"),"壓扁的")</f>
        <v>壓扁的</v>
      </c>
    </row>
    <row r="5578" ht="15.75" customHeight="1">
      <c r="A5578" s="4">
        <v>5529.0</v>
      </c>
      <c r="B5578" s="4" t="s">
        <v>2518</v>
      </c>
      <c r="C5578" s="4" t="s">
        <v>4592</v>
      </c>
      <c r="D5578" s="4" t="s">
        <v>8190</v>
      </c>
      <c r="E5578" s="4">
        <v>0.0</v>
      </c>
      <c r="F5578" s="4" t="str">
        <f>IFERROR(__xludf.DUMMYFUNCTION("GOOGLETRANSLATE(D5578)"),"#Floored4 #Flattened
早起的鳥兒確實得到了杯子......所以滯後於 pun de Dock 並觀看人們喝酒Û_ https://t.co/r5StV25ZhQ")</f>
        <v>#Floored4 #Flattened
早起的鳥兒確實得到了杯子......所以滯後於 pun de Dock 並觀看人們喝酒Û_ https://t.co/r5StV25ZhQ</v>
      </c>
      <c r="G5578" s="4" t="str">
        <f>IFERROR(__xludf.DUMMYFUNCTION("GOOGLETRANSLATE(B5578)"),"壓扁的")</f>
        <v>壓扁的</v>
      </c>
    </row>
    <row r="5579" ht="15.75" customHeight="1">
      <c r="A5579" s="4">
        <v>5531.0</v>
      </c>
      <c r="B5579" s="4" t="s">
        <v>2518</v>
      </c>
      <c r="D5579" s="4" t="s">
        <v>8191</v>
      </c>
      <c r="E5579" s="4">
        <v>0.0</v>
      </c>
      <c r="F5579" s="4" t="str">
        <f>IFERROR(__xludf.DUMMYFUNCTION("GOOGLETRANSLATE(D5579)"),"康克林被壓扁。洗腳而不是踢滑。沒有把手舉到胸前。 http://t.co/67TjN9EgyK")</f>
        <v>康克林被壓扁。洗腳而不是踢滑。沒有把手舉到胸前。 http://t.co/67TjN9EgyK</v>
      </c>
      <c r="G5579" s="4" t="str">
        <f>IFERROR(__xludf.DUMMYFUNCTION("GOOGLETRANSLATE(B5579)"),"壓扁的")</f>
        <v>壓扁的</v>
      </c>
    </row>
    <row r="5580" ht="15.75" customHeight="1">
      <c r="A5580" s="4">
        <v>5534.0</v>
      </c>
      <c r="B5580" s="4" t="s">
        <v>2518</v>
      </c>
      <c r="C5580" s="4" t="s">
        <v>8192</v>
      </c>
      <c r="D5580" s="4" t="s">
        <v>8193</v>
      </c>
      <c r="E5580" s="4">
        <v>0.0</v>
      </c>
      <c r="F5580" s="4" t="str">
        <f>IFERROR(__xludf.DUMMYFUNCTION("GOOGLETRANSLATE(D5580)"),"撿起壓扁的乾草人（@北達科他州瓦佩頓的 Masonite）https://t.co/Kw3vq4niJQ")</f>
        <v>撿起壓扁的乾草人（@北達科他州瓦佩頓的 Masonite）https://t.co/Kw3vq4niJQ</v>
      </c>
      <c r="G5580" s="4" t="str">
        <f>IFERROR(__xludf.DUMMYFUNCTION("GOOGLETRANSLATE(B5580)"),"壓扁的")</f>
        <v>壓扁的</v>
      </c>
    </row>
    <row r="5581" ht="15.75" customHeight="1">
      <c r="A5581" s="4">
        <v>5535.0</v>
      </c>
      <c r="B5581" s="4" t="s">
        <v>2518</v>
      </c>
      <c r="D5581" s="4" t="s">
        <v>8194</v>
      </c>
      <c r="E5581" s="4">
        <v>0.0</v>
      </c>
      <c r="F5581" s="4" t="str">
        <f>IFERROR(__xludf.DUMMYFUNCTION("GOOGLETRANSLATE(D5581)"),"祖瑪剛剛把那傢伙壓扁了？？")</f>
        <v>祖瑪剛剛把那傢伙壓扁了？？</v>
      </c>
      <c r="G5581" s="4" t="str">
        <f>IFERROR(__xludf.DUMMYFUNCTION("GOOGLETRANSLATE(B5581)"),"壓扁的")</f>
        <v>壓扁的</v>
      </c>
    </row>
    <row r="5582" ht="15.75" customHeight="1">
      <c r="A5582" s="4">
        <v>5538.0</v>
      </c>
      <c r="B5582" s="4" t="s">
        <v>2518</v>
      </c>
      <c r="C5582" s="4" t="s">
        <v>8195</v>
      </c>
      <c r="D5582" s="4" t="s">
        <v>8196</v>
      </c>
      <c r="E5582" s="4">
        <v>0.0</v>
      </c>
      <c r="F5582" s="4" t="str">
        <f>IFERROR(__xludf.DUMMYFUNCTION("GOOGLETRANSLATE(D5582)"),"法爾德大樓即將被夷為平地：普雷斯頓市中心的標誌性建築之一正在從天際線消失。 http://t.co/PdKHBdG9hO")</f>
        <v>法爾德大樓即將被夷為平地：普雷斯頓市中心的標誌性建築之一正在從天際線消失。 http://t.co/PdKHBdG9hO</v>
      </c>
      <c r="G5582" s="4" t="str">
        <f>IFERROR(__xludf.DUMMYFUNCTION("GOOGLETRANSLATE(B5582)"),"壓扁的")</f>
        <v>壓扁的</v>
      </c>
    </row>
    <row r="5583" ht="15.75" customHeight="1">
      <c r="A5583" s="4">
        <v>5539.0</v>
      </c>
      <c r="B5583" s="4" t="s">
        <v>2518</v>
      </c>
      <c r="D5583" s="4" t="s">
        <v>8197</v>
      </c>
      <c r="E5583" s="4">
        <v>0.0</v>
      </c>
      <c r="F5583" s="4" t="str">
        <f>IFERROR(__xludf.DUMMYFUNCTION("GOOGLETRANSLATE(D5583)"),"@iamHorsefly 隱藏你的孩子，隱藏你的妻子。他逍遙法外。我以為我用球把你壓扁了？？？")</f>
        <v>@iamHorsefly 隱藏你的孩子，隱藏你的妻子。他逍遙法外。我以為我用球把你壓扁了？？？</v>
      </c>
      <c r="G5583" s="4" t="str">
        <f>IFERROR(__xludf.DUMMYFUNCTION("GOOGLETRANSLATE(B5583)"),"壓扁的")</f>
        <v>壓扁的</v>
      </c>
    </row>
    <row r="5584" ht="15.75" customHeight="1">
      <c r="A5584" s="4">
        <v>5540.0</v>
      </c>
      <c r="B5584" s="4" t="s">
        <v>2518</v>
      </c>
      <c r="D5584" s="4" t="s">
        <v>8198</v>
      </c>
      <c r="E5584" s="4">
        <v>0.0</v>
      </c>
      <c r="F5584" s="4" t="str">
        <f>IFERROR(__xludf.DUMMYFUNCTION("GOOGLETRANSLATE(D5584)"),"如果姆比瓦能把那隻小老鼠壓扁就好了。")</f>
        <v>如果姆比瓦能把那隻小老鼠壓扁就好了。</v>
      </c>
      <c r="G5584" s="4" t="str">
        <f>IFERROR(__xludf.DUMMYFUNCTION("GOOGLETRANSLATE(B5584)"),"壓扁的")</f>
        <v>壓扁的</v>
      </c>
    </row>
    <row r="5585" ht="15.75" customHeight="1">
      <c r="A5585" s="4">
        <v>5541.0</v>
      </c>
      <c r="B5585" s="4" t="s">
        <v>2518</v>
      </c>
      <c r="C5585" s="4" t="s">
        <v>8199</v>
      </c>
      <c r="D5585" s="4" t="s">
        <v>8200</v>
      </c>
      <c r="E5585" s="4">
        <v>0.0</v>
      </c>
      <c r="F5585" s="4" t="str">
        <f>IFERROR(__xludf.DUMMYFUNCTION("GOOGLETRANSLATE(D5585)"),"@JimMozel puck=扁球哈哈")</f>
        <v>@JimMozel puck=扁球哈哈</v>
      </c>
      <c r="G5585" s="4" t="str">
        <f>IFERROR(__xludf.DUMMYFUNCTION("GOOGLETRANSLATE(B5585)"),"壓扁的")</f>
        <v>壓扁的</v>
      </c>
    </row>
    <row r="5586" ht="15.75" customHeight="1">
      <c r="A5586" s="4">
        <v>5544.0</v>
      </c>
      <c r="B5586" s="4" t="s">
        <v>2518</v>
      </c>
      <c r="C5586" s="4" t="s">
        <v>8201</v>
      </c>
      <c r="D5586" s="4" t="s">
        <v>8202</v>
      </c>
      <c r="E5586" s="4">
        <v>0.0</v>
      </c>
      <c r="F5586" s="4" t="str">
        <f>IFERROR(__xludf.DUMMYFUNCTION("GOOGLETRANSLATE(D5586)"),"我毫不懷疑。但正是他在這樣做時的含蓄聲明讓我希望他被公車壓扁。 https://t.co/5hlJUcxI0S")</f>
        <v>我毫不懷疑。但正是他在這樣做時的含蓄聲明讓我希望他被公車壓扁。 https://t.co/5hlJUcxI0S</v>
      </c>
      <c r="G5586" s="4" t="str">
        <f>IFERROR(__xludf.DUMMYFUNCTION("GOOGLETRANSLATE(B5586)"),"壓扁的")</f>
        <v>壓扁的</v>
      </c>
    </row>
    <row r="5587" ht="15.75" customHeight="1">
      <c r="A5587" s="4">
        <v>5545.0</v>
      </c>
      <c r="B5587" s="4" t="s">
        <v>2518</v>
      </c>
      <c r="C5587" s="4" t="s">
        <v>8203</v>
      </c>
      <c r="D5587" s="4" t="s">
        <v>8204</v>
      </c>
      <c r="E5587" s="4">
        <v>0.0</v>
      </c>
      <c r="F5587" s="4" t="str">
        <f>IFERROR(__xludf.DUMMYFUNCTION("GOOGLETRANSLATE(D5587)"),"@KainYusanagi @Grummz @PixelCanuck 和扁平化的raynor。雷諾是個禿頭、不完美的機車海軍陸戰隊員，而不是一個典型的情緒化西部英雄。")</f>
        <v>@KainYusanagi @Grummz @PixelCanuck 和扁平化的raynor。雷諾是個禿頭、不完美的機車海軍陸戰隊員，而不是一個典型的情緒化西部英雄。</v>
      </c>
      <c r="G5587" s="4" t="str">
        <f>IFERROR(__xludf.DUMMYFUNCTION("GOOGLETRANSLATE(B5587)"),"壓扁的")</f>
        <v>壓扁的</v>
      </c>
    </row>
    <row r="5588" ht="15.75" customHeight="1">
      <c r="A5588" s="4">
        <v>5547.0</v>
      </c>
      <c r="B5588" s="4" t="s">
        <v>2518</v>
      </c>
      <c r="C5588" s="4" t="s">
        <v>8205</v>
      </c>
      <c r="D5588" s="4" t="s">
        <v>8206</v>
      </c>
      <c r="E5588" s="4">
        <v>0.0</v>
      </c>
      <c r="F5588" s="4" t="str">
        <f>IFERROR(__xludf.DUMMYFUNCTION("GOOGLETRANSLATE(D5588)"),"@SeanPeconi @Jason_Floyd @LynchOnSports @criscyborg 我認為失去和讓她的鼻子變平的風險與此有很大關係")</f>
        <v>@SeanPeconi @Jason_Floyd @LynchOnSports @criscyborg 我認為失去和讓她的鼻子變平的風險與此有很大關係</v>
      </c>
      <c r="G5588" s="4" t="str">
        <f>IFERROR(__xludf.DUMMYFUNCTION("GOOGLETRANSLATE(B5588)"),"壓扁的")</f>
        <v>壓扁的</v>
      </c>
    </row>
    <row r="5589" ht="15.75" customHeight="1">
      <c r="A5589" s="4">
        <v>5548.0</v>
      </c>
      <c r="B5589" s="4" t="s">
        <v>2518</v>
      </c>
      <c r="C5589" s="4" t="s">
        <v>8207</v>
      </c>
      <c r="D5589" s="4" t="s">
        <v>8208</v>
      </c>
      <c r="E5589" s="4">
        <v>0.0</v>
      </c>
      <c r="F5589" s="4" t="str">
        <f>IFERROR(__xludf.DUMMYFUNCTION("GOOGLETRANSLATE(D5589)"),"媽媽今天剛收到她的新車，電池沒電了，就已經在嘗試解決藍牙問題了？？？ #布偶")</f>
        <v>媽媽今天剛收到她的新車，電池沒電了，就已經在嘗試解決藍牙問題了？？？ #布偶</v>
      </c>
      <c r="G5589" s="4" t="str">
        <f>IFERROR(__xludf.DUMMYFUNCTION("GOOGLETRANSLATE(B5589)"),"壓扁的")</f>
        <v>壓扁的</v>
      </c>
    </row>
    <row r="5590" ht="15.75" customHeight="1">
      <c r="A5590" s="4">
        <v>5552.0</v>
      </c>
      <c r="B5590" s="4" t="s">
        <v>2518</v>
      </c>
      <c r="C5590" s="4" t="s">
        <v>8209</v>
      </c>
      <c r="D5590" s="4" t="s">
        <v>8210</v>
      </c>
      <c r="E5590" s="4">
        <v>0.0</v>
      </c>
      <c r="F5590" s="4" t="str">
        <f>IFERROR(__xludf.DUMMYFUNCTION("GOOGLETRANSLATE(D5590)"),"@tweetingLew @tersestuff
諾特利在哈珀的中心地帶夷平了他
哈珀進口了數以萬計的 TFW 奴隸 阿爾伯塔省就業成本增加")</f>
        <v>@tweetingLew @tersestuff
諾特利在哈珀的中心地帶夷平了他
哈珀進口了數以萬計的 TFW 奴隸 阿爾伯塔省就業成本增加</v>
      </c>
      <c r="G5590" s="4" t="str">
        <f>IFERROR(__xludf.DUMMYFUNCTION("GOOGLETRANSLATE(B5590)"),"壓扁的")</f>
        <v>壓扁的</v>
      </c>
    </row>
    <row r="5591" ht="15.75" customHeight="1">
      <c r="A5591" s="4">
        <v>5553.0</v>
      </c>
      <c r="B5591" s="4" t="s">
        <v>2518</v>
      </c>
      <c r="C5591" s="4" t="s">
        <v>8211</v>
      </c>
      <c r="D5591" s="4" t="s">
        <v>8212</v>
      </c>
      <c r="E5591" s="4">
        <v>0.0</v>
      </c>
      <c r="F5591" s="4" t="str">
        <f>IFERROR(__xludf.DUMMYFUNCTION("GOOGLETRANSLATE(D5591)"),"@twilightfairy 壓扁的青蛙？")</f>
        <v>@twilightfairy 壓扁的青蛙？</v>
      </c>
      <c r="G5591" s="4" t="str">
        <f>IFERROR(__xludf.DUMMYFUNCTION("GOOGLETRANSLATE(B5591)"),"壓扁的")</f>
        <v>壓扁的</v>
      </c>
    </row>
    <row r="5592" ht="15.75" customHeight="1">
      <c r="A5592" s="4">
        <v>5554.0</v>
      </c>
      <c r="B5592" s="4" t="s">
        <v>2518</v>
      </c>
      <c r="C5592" s="4" t="s">
        <v>8213</v>
      </c>
      <c r="D5592" s="4" t="s">
        <v>8214</v>
      </c>
      <c r="E5592" s="4">
        <v>0.0</v>
      </c>
      <c r="F5592" s="4" t="str">
        <f>IFERROR(__xludf.DUMMYFUNCTION("GOOGLETRANSLATE(D5592)"),"想像一下被庫爾特·祖馬壓扁的情景")</f>
        <v>想像一下被庫爾特·祖馬壓扁的情景</v>
      </c>
      <c r="G5592" s="4" t="str">
        <f>IFERROR(__xludf.DUMMYFUNCTION("GOOGLETRANSLATE(B5592)"),"壓扁的")</f>
        <v>壓扁的</v>
      </c>
    </row>
    <row r="5593" ht="15.75" customHeight="1">
      <c r="A5593" s="4">
        <v>5555.0</v>
      </c>
      <c r="B5593" s="4" t="s">
        <v>2518</v>
      </c>
      <c r="C5593" s="4" t="s">
        <v>8215</v>
      </c>
      <c r="D5593" s="4" t="s">
        <v>8216</v>
      </c>
      <c r="E5593" s="4">
        <v>0.0</v>
      </c>
      <c r="F5593" s="4" t="str">
        <f>IFERROR(__xludf.DUMMYFUNCTION("GOOGLETRANSLATE(D5593)"),"'謬論是這取決於蒸汽壓路機。是否被壓扁取決於物體。 #RobertCalifornia #thereisonlysex")</f>
        <v>'謬論是這取決於蒸汽壓路機。是否被壓扁取決於物體。 #RobertCalifornia #thereisonlysex</v>
      </c>
      <c r="G5593" s="4" t="str">
        <f>IFERROR(__xludf.DUMMYFUNCTION("GOOGLETRANSLATE(B5593)"),"壓扁的")</f>
        <v>壓扁的</v>
      </c>
    </row>
    <row r="5594" ht="15.75" customHeight="1">
      <c r="A5594" s="4">
        <v>5556.0</v>
      </c>
      <c r="B5594" s="4" t="s">
        <v>2518</v>
      </c>
      <c r="C5594" s="4" t="s">
        <v>1883</v>
      </c>
      <c r="D5594" s="4" t="s">
        <v>8217</v>
      </c>
      <c r="E5594" s="4">
        <v>0.0</v>
      </c>
      <c r="F5594" s="4" t="str">
        <f>IFERROR(__xludf.DUMMYFUNCTION("GOOGLETRANSLATE(D5594)"),"照片：海灘耳環 海灘珠寶度假耳環保持冷靜，海灘耳環採用扁平... http://t.co/rjEbpiB5rZ")</f>
        <v>照片：海灘耳環 海灘珠寶度假耳環保持冷靜，海灘耳環採用扁平... http://t.co/rjEbpiB5rZ</v>
      </c>
      <c r="G5594" s="4" t="str">
        <f>IFERROR(__xludf.DUMMYFUNCTION("GOOGLETRANSLATE(B5594)"),"壓扁的")</f>
        <v>壓扁的</v>
      </c>
    </row>
    <row r="5595" ht="15.75" customHeight="1">
      <c r="A5595" s="4">
        <v>5557.0</v>
      </c>
      <c r="B5595" s="4" t="s">
        <v>2518</v>
      </c>
      <c r="D5595" s="4" t="s">
        <v>8218</v>
      </c>
      <c r="E5595" s="4">
        <v>0.0</v>
      </c>
      <c r="F5595" s="4" t="str">
        <f>IFERROR(__xludf.DUMMYFUNCTION("GOOGLETRANSLATE(D5595)"),"100 個 1' 混合全新扁平雙面無襯瓶蓋，您可以選擇混合扁平 - 完整 reÛ_ http://t.co/w00kjPrfdR http://t.co/mIXl1pFRJe")</f>
        <v>100 個 1' 混合全新扁平雙面無襯瓶蓋，您可以選擇混合扁平 - 完整 reÛ_ http://t.co/w00kjPrfdR http://t.co/mIXl1pFRJe</v>
      </c>
      <c r="G5595" s="4" t="str">
        <f>IFERROR(__xludf.DUMMYFUNCTION("GOOGLETRANSLATE(B5595)"),"壓扁的")</f>
        <v>壓扁的</v>
      </c>
    </row>
    <row r="5596" ht="15.75" customHeight="1">
      <c r="A5596" s="4">
        <v>5558.0</v>
      </c>
      <c r="B5596" s="4" t="s">
        <v>2518</v>
      </c>
      <c r="C5596" s="4" t="s">
        <v>8219</v>
      </c>
      <c r="D5596" s="4" t="s">
        <v>8220</v>
      </c>
      <c r="E5596" s="4">
        <v>0.0</v>
      </c>
      <c r="F5596" s="4" t="str">
        <f>IFERROR(__xludf.DUMMYFUNCTION("GOOGLETRANSLATE(D5596)"),"@bigburgerboi55 平足球！！！？更像是他把斯巴達人從當年的碾壓中夷為平地！！！！ ＃冰雹")</f>
        <v>@bigburgerboi55 平足球！！！？更像是他把斯巴達人從當年的碾壓中夷為平地！！！！ ＃冰雹</v>
      </c>
      <c r="G5596" s="4" t="str">
        <f>IFERROR(__xludf.DUMMYFUNCTION("GOOGLETRANSLATE(B5596)"),"壓扁的")</f>
        <v>壓扁的</v>
      </c>
    </row>
    <row r="5597" ht="15.75" customHeight="1">
      <c r="A5597" s="4">
        <v>5560.0</v>
      </c>
      <c r="B5597" s="4" t="s">
        <v>2518</v>
      </c>
      <c r="C5597" s="4" t="s">
        <v>291</v>
      </c>
      <c r="D5597" s="4" t="s">
        <v>8221</v>
      </c>
      <c r="E5597" s="4">
        <v>0.0</v>
      </c>
      <c r="F5597" s="4" t="str">
        <f>IFERROR(__xludf.DUMMYFUNCTION("GOOGLETRANSLATE(D5597)"),"100 個 1' 混合全新扁平雙面無襯瓶蓋，您可以選擇混合扁平 - 完整 reÛ_ http://t.co/wRNpywyaLj http://t.co/Qv7IYdoVx9")</f>
        <v>100 個 1' 混合全新扁平雙面無襯瓶蓋，您可以選擇混合扁平 - 完整 reÛ_ http://t.co/wRNpywyaLj http://t.co/Qv7IYdoVx9</v>
      </c>
      <c r="G5597" s="4" t="str">
        <f>IFERROR(__xludf.DUMMYFUNCTION("GOOGLETRANSLATE(B5597)"),"壓扁的")</f>
        <v>壓扁的</v>
      </c>
    </row>
    <row r="5598" ht="15.75" customHeight="1">
      <c r="A5598" s="4">
        <v>5561.0</v>
      </c>
      <c r="B5598" s="4" t="s">
        <v>2528</v>
      </c>
      <c r="C5598" s="4" t="s">
        <v>8222</v>
      </c>
      <c r="D5598" s="4" t="s">
        <v>8223</v>
      </c>
      <c r="E5598" s="4">
        <v>0.0</v>
      </c>
      <c r="F5598" s="4" t="str">
        <f>IFERROR(__xludf.DUMMYFUNCTION("GOOGLETRANSLATE(D5598)"),"當 Fizzy 坐在普通的洪水座椅上時…沒有人知道她是誰…")</f>
        <v>當 Fizzy 坐在普通的洪水座椅上時…沒有人知道她是誰…</v>
      </c>
      <c r="G5598" s="4" t="str">
        <f>IFERROR(__xludf.DUMMYFUNCTION("GOOGLETRANSLATE(B5598)"),"洪水")</f>
        <v>洪水</v>
      </c>
    </row>
    <row r="5599" ht="15.75" customHeight="1">
      <c r="A5599" s="4">
        <v>5565.0</v>
      </c>
      <c r="B5599" s="4" t="s">
        <v>2528</v>
      </c>
      <c r="C5599" s="4" t="s">
        <v>291</v>
      </c>
      <c r="D5599" s="4" t="s">
        <v>8224</v>
      </c>
      <c r="E5599" s="4">
        <v>0.0</v>
      </c>
      <c r="F5599" s="4" t="str">
        <f>IFERROR(__xludf.DUMMYFUNCTION("GOOGLETRANSLATE(D5599)"),"現貨泛光組合 53 吋 300W 弧形 Cree LED 工作燈條 4X4 越野霧燈 - 完整版 http://t.co/jCDd6SD6Qn http://t.co/9gUCkjghms")</f>
        <v>現貨泛光組合 53 吋 300W 弧形 Cree LED 工作燈條 4X4 越野霧燈 - 完整版 http://t.co/jCDd6SD6Qn http://t.co/9gUCkjghms</v>
      </c>
      <c r="G5599" s="4" t="str">
        <f>IFERROR(__xludf.DUMMYFUNCTION("GOOGLETRANSLATE(B5599)"),"洪水")</f>
        <v>洪水</v>
      </c>
    </row>
    <row r="5600" ht="15.75" customHeight="1">
      <c r="A5600" s="4">
        <v>5570.0</v>
      </c>
      <c r="B5600" s="4" t="s">
        <v>2528</v>
      </c>
      <c r="D5600" s="4" t="s">
        <v>8225</v>
      </c>
      <c r="E5600" s="4">
        <v>0.0</v>
      </c>
      <c r="F5600" s="4" t="str">
        <f>IFERROR(__xludf.DUMMYFUNCTION("GOOGLETRANSLATE(D5600)"),"2 件裝 18W CREE Led 工作燈越野燈汽車卡車船採礦 4WD 泛光燈 - 全區域 http://t.co/VDeFmulx43 http://t.co/yqpAIjSa5g")</f>
        <v>2 件裝 18W CREE Led 工作燈越野燈汽車卡車船採礦 4WD 泛光燈 - 全區域 http://t.co/VDeFmulx43 http://t.co/yqpAIjSa5g</v>
      </c>
      <c r="G5600" s="4" t="str">
        <f>IFERROR(__xludf.DUMMYFUNCTION("GOOGLETRANSLATE(B5600)"),"洪水")</f>
        <v>洪水</v>
      </c>
    </row>
    <row r="5601" ht="15.75" customHeight="1">
      <c r="A5601" s="4">
        <v>5573.0</v>
      </c>
      <c r="B5601" s="4" t="s">
        <v>2528</v>
      </c>
      <c r="D5601" s="4" t="s">
        <v>8226</v>
      </c>
      <c r="E5601" s="4">
        <v>0.0</v>
      </c>
      <c r="F5601" s="4" t="str">
        <f>IFERROR(__xludf.DUMMYFUNCTION("GOOGLETRANSLATE(D5601)"),"自從你離開我之後，一直下雨
現在我淹沒在洪水中
你看我一直是個鬥士
但沒有你我放棄")</f>
        <v>自從你離開我之後，一直下雨
現在我淹沒在洪水中
你看我一直是個鬥士
但沒有你我放棄</v>
      </c>
      <c r="G5601" s="4" t="str">
        <f>IFERROR(__xludf.DUMMYFUNCTION("GOOGLETRANSLATE(B5601)"),"洪水")</f>
        <v>洪水</v>
      </c>
    </row>
    <row r="5602" ht="15.75" customHeight="1">
      <c r="A5602" s="4">
        <v>5575.0</v>
      </c>
      <c r="B5602" s="4" t="s">
        <v>2528</v>
      </c>
      <c r="C5602" s="4" t="s">
        <v>8227</v>
      </c>
      <c r="D5602" s="4" t="s">
        <v>8228</v>
      </c>
      <c r="E5602" s="4">
        <v>0.0</v>
      </c>
      <c r="F5602" s="4" t="str">
        <f>IFERROR(__xludf.DUMMYFUNCTION("GOOGLETRANSLATE(D5602)"),"@CreationMin @rwrabbit @GoonerAtheist @atheistic_1 @LOLAtJesus 但為什麼這麼多魚在全球洪水中死亡？我想知道。")</f>
        <v>@CreationMin @rwrabbit @GoonerAtheist @atheistic_1 @LOLAtJesus 但為什麼這麼多魚在全球洪水中死亡？我想知道。</v>
      </c>
      <c r="G5602" s="4" t="str">
        <f>IFERROR(__xludf.DUMMYFUNCTION("GOOGLETRANSLATE(B5602)"),"洪水")</f>
        <v>洪水</v>
      </c>
    </row>
    <row r="5603" ht="15.75" customHeight="1">
      <c r="A5603" s="4">
        <v>5577.0</v>
      </c>
      <c r="B5603" s="4" t="s">
        <v>2528</v>
      </c>
      <c r="C5603" s="4" t="s">
        <v>291</v>
      </c>
      <c r="D5603" s="4" t="s">
        <v>8229</v>
      </c>
      <c r="E5603" s="4">
        <v>0.0</v>
      </c>
      <c r="F5603" s="4" t="str">
        <f>IFERROR(__xludf.DUMMYFUNCTION("GOOGLETRANSLATE(D5603)"),"現貨泛光組合 53 吋 300W 弧形 Cree LED 工作燈條 4X4 越野霧燈 - 完整版 http://t.co/mTmoIa0Oo0 http://t.co/Nn4ZtCmSRU")</f>
        <v>現貨泛光組合 53 吋 300W 弧形 Cree LED 工作燈條 4X4 越野霧燈 - 完整版 http://t.co/mTmoIa0Oo0 http://t.co/Nn4ZtCmSRU</v>
      </c>
      <c r="G5603" s="4" t="str">
        <f>IFERROR(__xludf.DUMMYFUNCTION("GOOGLETRANSLATE(B5603)"),"洪水")</f>
        <v>洪水</v>
      </c>
    </row>
    <row r="5604" ht="15.75" customHeight="1">
      <c r="A5604" s="4">
        <v>5578.0</v>
      </c>
      <c r="B5604" s="4" t="s">
        <v>2528</v>
      </c>
      <c r="C5604" s="4" t="s">
        <v>8230</v>
      </c>
      <c r="D5604" s="4" t="s">
        <v>8231</v>
      </c>
      <c r="E5604" s="4">
        <v>0.0</v>
      </c>
      <c r="F5604" s="4" t="str">
        <f>IFERROR(__xludf.DUMMYFUNCTION("GOOGLETRANSLATE(D5604)"),"@AtLarnxx 但他沒有")</f>
        <v>@AtLarnxx 但他沒有</v>
      </c>
      <c r="G5604" s="4" t="str">
        <f>IFERROR(__xludf.DUMMYFUNCTION("GOOGLETRANSLATE(B5604)"),"洪水")</f>
        <v>洪水</v>
      </c>
    </row>
    <row r="5605" ht="15.75" customHeight="1">
      <c r="A5605" s="4">
        <v>5579.0</v>
      </c>
      <c r="B5605" s="4" t="s">
        <v>2528</v>
      </c>
      <c r="C5605" s="4" t="s">
        <v>291</v>
      </c>
      <c r="D5605" s="4" t="s">
        <v>8232</v>
      </c>
      <c r="E5605" s="4">
        <v>0.0</v>
      </c>
      <c r="F5605" s="4" t="str">
        <f>IFERROR(__xludf.DUMMYFUNCTION("GOOGLETRANSLATE(D5605)"),"12' 72W CREE LED 工作燈條合金聚光燈泛光組合潛水越野四輪驅動船 - 完整閱讀Û_ http://t.co/XWN7rgVkzC http://t.co/SWPDQ84boI")</f>
        <v>12' 72W CREE LED 工作燈條合金聚光燈泛光組合潛水越野四輪驅動船 - 完整閱讀Û_ http://t.co/XWN7rgVkzC http://t.co/SWPDQ84boI</v>
      </c>
      <c r="G5605" s="4" t="str">
        <f>IFERROR(__xludf.DUMMYFUNCTION("GOOGLETRANSLATE(B5605)"),"洪水")</f>
        <v>洪水</v>
      </c>
    </row>
    <row r="5606" ht="15.75" customHeight="1">
      <c r="A5606" s="4">
        <v>5581.0</v>
      </c>
      <c r="B5606" s="4" t="s">
        <v>2528</v>
      </c>
      <c r="C5606" s="4" t="s">
        <v>2442</v>
      </c>
      <c r="D5606" s="4" t="s">
        <v>8233</v>
      </c>
      <c r="E5606" s="4">
        <v>0.0</v>
      </c>
      <c r="F5606" s="4" t="str">
        <f>IFERROR(__xludf.DUMMYFUNCTION("GOOGLETRANSLATE(D5606)"),"@hellotybeeren 提示大量人們「諷刺地」這樣稱呼你")</f>
        <v>@hellotybeeren 提示大量人們「諷刺地」這樣稱呼你</v>
      </c>
      <c r="G5606" s="4" t="str">
        <f>IFERROR(__xludf.DUMMYFUNCTION("GOOGLETRANSLATE(B5606)"),"洪水")</f>
        <v>洪水</v>
      </c>
    </row>
    <row r="5607" ht="15.75" customHeight="1">
      <c r="A5607" s="4">
        <v>5582.0</v>
      </c>
      <c r="B5607" s="4" t="s">
        <v>2528</v>
      </c>
      <c r="C5607" s="4" t="s">
        <v>38</v>
      </c>
      <c r="D5607" s="4" t="s">
        <v>8234</v>
      </c>
      <c r="E5607" s="4">
        <v>0.0</v>
      </c>
      <c r="F5607" s="4" t="str">
        <f>IFERROR(__xludf.DUMMYFUNCTION("GOOGLETRANSLATE(D5607)"),"汽車熱賣#452&gt;&gt; http://t.co/ED32PBviO7 10x 27W 12V 24V LED 工作燈泛光燈拖拉機卡車 SUV UTV AÛ_ http://t.co/IfM6v6480P")</f>
        <v>汽車熱賣#452&gt;&gt; http://t.co/ED32PBviO7 10x 27W 12V 24V LED 工作燈泛光燈拖拉機卡車 SUV UTV AÛ_ http://t.co/IfM6v6480P</v>
      </c>
      <c r="G5607" s="4" t="str">
        <f>IFERROR(__xludf.DUMMYFUNCTION("GOOGLETRANSLATE(B5607)"),"洪水")</f>
        <v>洪水</v>
      </c>
    </row>
    <row r="5608" ht="15.75" customHeight="1">
      <c r="A5608" s="4">
        <v>5584.0</v>
      </c>
      <c r="B5608" s="4" t="s">
        <v>2528</v>
      </c>
      <c r="D5608" s="4" t="s">
        <v>8235</v>
      </c>
      <c r="E5608" s="4">
        <v>0.0</v>
      </c>
      <c r="F5608" s="4" t="str">
        <f>IFERROR(__xludf.DUMMYFUNCTION("GOOGLETRANSLATE(D5608)"),"85V-265V 10W LED 暖白光運動感應器戶外泛光燈 PIR 燈 AUC http://t.co/NJVPXzMj5V http://t.co/Ijd7WzV5t9")</f>
        <v>85V-265V 10W LED 暖白光運動感應器戶外泛光燈 PIR 燈 AUC http://t.co/NJVPXzMj5V http://t.co/Ijd7WzV5t9</v>
      </c>
      <c r="G5608" s="4" t="str">
        <f>IFERROR(__xludf.DUMMYFUNCTION("GOOGLETRANSLATE(B5608)"),"洪水")</f>
        <v>洪水</v>
      </c>
    </row>
    <row r="5609" ht="15.75" customHeight="1">
      <c r="A5609" s="4">
        <v>5587.0</v>
      </c>
      <c r="B5609" s="4" t="s">
        <v>2528</v>
      </c>
      <c r="C5609" s="4" t="s">
        <v>291</v>
      </c>
      <c r="D5609" s="4" t="s">
        <v>8236</v>
      </c>
      <c r="E5609" s="4">
        <v>0.0</v>
      </c>
      <c r="F5609" s="4" t="str">
        <f>IFERROR(__xludf.DUMMYFUNCTION("GOOGLETRANSLATE(D5609)"),"1 對全新 27w 4'' 圓形 LED 工作駕駛洪水燈越野 ATV UTV - eBay 完整閱讀 http://t.co/d3P88xdLEc http://t.co/j2DDvh7fY0")</f>
        <v>1 對全新 27w 4'' 圓形 LED 工作駕駛洪水燈越野 ATV UTV - eBay 完整閱讀 http://t.co/d3P88xdLEc http://t.co/j2DDvh7fY0</v>
      </c>
      <c r="G5609" s="4" t="str">
        <f>IFERROR(__xludf.DUMMYFUNCTION("GOOGLETRANSLATE(B5609)"),"洪水")</f>
        <v>洪水</v>
      </c>
    </row>
    <row r="5610" ht="15.75" customHeight="1">
      <c r="A5610" s="4">
        <v>5588.0</v>
      </c>
      <c r="B5610" s="4" t="s">
        <v>2528</v>
      </c>
      <c r="C5610" s="4" t="s">
        <v>291</v>
      </c>
      <c r="D5610" s="4" t="s">
        <v>8237</v>
      </c>
      <c r="E5610" s="4">
        <v>0.0</v>
      </c>
      <c r="F5610" s="4" t="str">
        <f>IFERROR(__xludf.DUMMYFUNCTION("GOOGLETRANSLATE(D5610)"),"2 件 18W CREE Led 工作燈越野燈汽車卡車船採礦 4WD 泛光燈 - 全區域 http://t.co/O1SMUh2unn http://t.co/xqj6WgiuQH")</f>
        <v>2 件 18W CREE Led 工作燈越野燈汽車卡車船採礦 4WD 泛光燈 - 全區域 http://t.co/O1SMUh2unn http://t.co/xqj6WgiuQH</v>
      </c>
      <c r="G5610" s="4" t="str">
        <f>IFERROR(__xludf.DUMMYFUNCTION("GOOGLETRANSLATE(B5610)"),"洪水")</f>
        <v>洪水</v>
      </c>
    </row>
    <row r="5611" ht="15.75" customHeight="1">
      <c r="A5611" s="4">
        <v>5592.0</v>
      </c>
      <c r="B5611" s="4" t="s">
        <v>2528</v>
      </c>
      <c r="C5611" s="4" t="s">
        <v>291</v>
      </c>
      <c r="D5611" s="4" t="s">
        <v>8238</v>
      </c>
      <c r="E5611" s="4">
        <v>0.0</v>
      </c>
      <c r="F5611" s="4" t="str">
        <f>IFERROR(__xludf.DUMMYFUNCTION("GOOGLETRANSLATE(D5611)"),"2 件 18W CREE Led 工作燈越野燈汽車卡車船採礦 4WD 泛光燈 - 全區域 http://t.co/1QT51r5h98 http://t.co/OQH1JbUEnl")</f>
        <v>2 件 18W CREE Led 工作燈越野燈汽車卡車船採礦 4WD 泛光燈 - 全區域 http://t.co/1QT51r5h98 http://t.co/OQH1JbUEnl</v>
      </c>
      <c r="G5611" s="4" t="str">
        <f>IFERROR(__xludf.DUMMYFUNCTION("GOOGLETRANSLATE(B5611)"),"洪水")</f>
        <v>洪水</v>
      </c>
    </row>
    <row r="5612" ht="15.75" customHeight="1">
      <c r="A5612" s="4">
        <v>5595.0</v>
      </c>
      <c r="B5612" s="4" t="s">
        <v>2528</v>
      </c>
      <c r="C5612" s="4" t="s">
        <v>291</v>
      </c>
      <c r="D5612" s="4" t="s">
        <v>8239</v>
      </c>
      <c r="E5612" s="4">
        <v>0.0</v>
      </c>
      <c r="F5612" s="4" t="str">
        <f>IFERROR(__xludf.DUMMYFUNCTION("GOOGLETRANSLATE(D5612)"),"現貨泛光組合 53 吋 300W 弧形 Cree LED 工作燈條 4X4 越野霧燈 - 完整版 http://t.co/5xmCE6JufS http://t.co/3Zo7PX3p1V")</f>
        <v>現貨泛光組合 53 吋 300W 弧形 Cree LED 工作燈條 4X4 越野霧燈 - 完整版 http://t.co/5xmCE6JufS http://t.co/3Zo7PX3p1V</v>
      </c>
      <c r="G5612" s="4" t="str">
        <f>IFERROR(__xludf.DUMMYFUNCTION("GOOGLETRANSLATE(B5612)"),"洪水")</f>
        <v>洪水</v>
      </c>
    </row>
    <row r="5613" ht="15.75" customHeight="1">
      <c r="A5613" s="4">
        <v>5598.0</v>
      </c>
      <c r="B5613" s="4" t="s">
        <v>2528</v>
      </c>
      <c r="C5613" s="4" t="s">
        <v>291</v>
      </c>
      <c r="D5613" s="4" t="s">
        <v>8240</v>
      </c>
      <c r="E5613" s="4">
        <v>0.0</v>
      </c>
      <c r="F5613" s="4" t="str">
        <f>IFERROR(__xludf.DUMMYFUNCTION("GOOGLETRANSLATE(D5613)"),"現貨泛光組合 53 吋 300W 弧形 Cree LED 工作燈條 4X4 越野霧燈 - 完整版 http://t.co/O097vSOtxk http://t.co/I23Xy7iEjj")</f>
        <v>現貨泛光組合 53 吋 300W 弧形 Cree LED 工作燈條 4X4 越野霧燈 - 完整版 http://t.co/O097vSOtxk http://t.co/I23Xy7iEjj</v>
      </c>
      <c r="G5613" s="4" t="str">
        <f>IFERROR(__xludf.DUMMYFUNCTION("GOOGLETRANSLATE(B5613)"),"洪水")</f>
        <v>洪水</v>
      </c>
    </row>
    <row r="5614" ht="15.75" customHeight="1">
      <c r="A5614" s="4">
        <v>5599.0</v>
      </c>
      <c r="B5614" s="4" t="s">
        <v>2528</v>
      </c>
      <c r="C5614" s="4" t="s">
        <v>291</v>
      </c>
      <c r="D5614" s="4" t="s">
        <v>8241</v>
      </c>
      <c r="E5614" s="4">
        <v>0.0</v>
      </c>
      <c r="F5614" s="4" t="str">
        <f>IFERROR(__xludf.DUMMYFUNCTION("GOOGLETRANSLATE(D5614)"),"現貨泛光組合 53 吋 300W 弧形 Cree LED 工作燈條 4X4 越野霧燈 - 完整版 http://t.co/fDSaoOiskJ http://t.co/2uVmq4vAfQ")</f>
        <v>現貨泛光組合 53 吋 300W 弧形 Cree LED 工作燈條 4X4 越野霧燈 - 完整版 http://t.co/fDSaoOiskJ http://t.co/2uVmq4vAfQ</v>
      </c>
      <c r="G5614" s="4" t="str">
        <f>IFERROR(__xludf.DUMMYFUNCTION("GOOGLETRANSLATE(B5614)"),"洪水")</f>
        <v>洪水</v>
      </c>
    </row>
    <row r="5615" ht="15.75" customHeight="1">
      <c r="A5615" s="4">
        <v>5602.0</v>
      </c>
      <c r="B5615" s="4" t="s">
        <v>2528</v>
      </c>
      <c r="D5615" s="4" t="s">
        <v>8242</v>
      </c>
      <c r="E5615" s="4">
        <v>0.0</v>
      </c>
      <c r="F5615" s="4" t="str">
        <f>IFERROR(__xludf.DUMMYFUNCTION("GOOGLETRANSLATE(D5615)"),"倖免於瘟疫
洪水氾濫
只是把我們的頭伸出泥巴
無人能倖免
震耳欲聾的鐘聲
天哪，我們自己能活下來嗎？")</f>
        <v>倖免於瘟疫
洪水氾濫
只是把我們的頭伸出泥巴
無人能倖免
震耳欲聾的鐘聲
天哪，我們自己能活下來嗎？</v>
      </c>
      <c r="G5615" s="4" t="str">
        <f>IFERROR(__xludf.DUMMYFUNCTION("GOOGLETRANSLATE(B5615)"),"洪水")</f>
        <v>洪水</v>
      </c>
    </row>
    <row r="5616" ht="15.75" customHeight="1">
      <c r="A5616" s="4">
        <v>5603.0</v>
      </c>
      <c r="B5616" s="4" t="s">
        <v>2528</v>
      </c>
      <c r="C5616" s="4" t="s">
        <v>291</v>
      </c>
      <c r="D5616" s="4" t="s">
        <v>8243</v>
      </c>
      <c r="E5616" s="4">
        <v>0.0</v>
      </c>
      <c r="F5616" s="4" t="str">
        <f>IFERROR(__xludf.DUMMYFUNCTION("GOOGLETRANSLATE(D5616)"),"現貨泛光組合 53 吋 300W 弧形 Cree LED 工作燈條 4X4 越野霧燈 - 全面改裝 http://t.co/6zCfHi7Srw http://t.co/vWYkDaU1vm")</f>
        <v>現貨泛光組合 53 吋 300W 弧形 Cree LED 工作燈條 4X4 越野霧燈 - 全面改裝 http://t.co/6zCfHi7Srw http://t.co/vWYkDaU1vm</v>
      </c>
      <c r="G5616" s="4" t="str">
        <f>IFERROR(__xludf.DUMMYFUNCTION("GOOGLETRANSLATE(B5616)"),"洪水")</f>
        <v>洪水</v>
      </c>
    </row>
    <row r="5617" ht="15.75" customHeight="1">
      <c r="A5617" s="4">
        <v>5609.0</v>
      </c>
      <c r="B5617" s="4" t="s">
        <v>2528</v>
      </c>
      <c r="C5617" s="4" t="s">
        <v>291</v>
      </c>
      <c r="D5617" s="4" t="s">
        <v>8244</v>
      </c>
      <c r="E5617" s="4">
        <v>0.0</v>
      </c>
      <c r="F5617" s="4" t="str">
        <f>IFERROR(__xludf.DUMMYFUNCTION("GOOGLETRANSLATE(D5617)"),"12' 72W CREE LED 工作燈條合金聚光燈泛光組合潛水越野四輪驅動船 - 完整閱讀Û_ http://t.co/MJMwA72ER6 http://t.co/ADx9iYi246")</f>
        <v>12' 72W CREE LED 工作燈條合金聚光燈泛光組合潛水越野四輪驅動船 - 完整閱讀Û_ http://t.co/MJMwA72ER6 http://t.co/ADx9iYi246</v>
      </c>
      <c r="G5617" s="4" t="str">
        <f>IFERROR(__xludf.DUMMYFUNCTION("GOOGLETRANSLATE(B5617)"),"洪水")</f>
        <v>洪水</v>
      </c>
    </row>
    <row r="5618" ht="15.75" customHeight="1">
      <c r="A5618" s="4">
        <v>5614.0</v>
      </c>
      <c r="B5618" s="4" t="s">
        <v>2549</v>
      </c>
      <c r="D5618" s="4" t="s">
        <v>8245</v>
      </c>
      <c r="E5618" s="4">
        <v>0.0</v>
      </c>
      <c r="F5618" s="4" t="str">
        <f>IFERROR(__xludf.DUMMYFUNCTION("GOOGLETRANSLATE(D5618)"),"@Warlord_queen 他又抽插了一點，然後將他的雞巴深深地插進了她的體內，用他火熱的濃精液淹沒了她的子宮和陰戶。")</f>
        <v>@Warlord_queen 他又抽插了一點，然後將他的雞巴深深地插進了她的體內，用他火熱的濃精液淹沒了她的子宮和陰戶。</v>
      </c>
      <c r="G5618" s="4" t="str">
        <f>IFERROR(__xludf.DUMMYFUNCTION("GOOGLETRANSLATE(B5618)"),"洪水")</f>
        <v>洪水</v>
      </c>
    </row>
    <row r="5619" ht="15.75" customHeight="1">
      <c r="A5619" s="4">
        <v>5619.0</v>
      </c>
      <c r="B5619" s="4" t="s">
        <v>2549</v>
      </c>
      <c r="C5619" s="4" t="s">
        <v>8246</v>
      </c>
      <c r="D5619" s="4" t="s">
        <v>8247</v>
      </c>
      <c r="E5619" s="4">
        <v>0.0</v>
      </c>
      <c r="F5619" s="4" t="str">
        <f>IFERROR(__xludf.DUMMYFUNCTION("GOOGLETRANSLATE(D5619)"),"防止地下室滲漏的技巧 - 創建控制縫以消除隨機裂縫。 #homeimprovement #Flooding http://t.co/Kx8cU4s8T1")</f>
        <v>防止地下室滲漏的技巧 - 創建控制縫以消除隨機裂縫。 #homeimprovement #Flooding http://t.co/Kx8cU4s8T1</v>
      </c>
      <c r="G5619" s="4" t="str">
        <f>IFERROR(__xludf.DUMMYFUNCTION("GOOGLETRANSLATE(B5619)"),"洪水")</f>
        <v>洪水</v>
      </c>
    </row>
    <row r="5620" ht="15.75" customHeight="1">
      <c r="A5620" s="4">
        <v>5621.0</v>
      </c>
      <c r="B5620" s="4" t="s">
        <v>2549</v>
      </c>
      <c r="C5620" s="4" t="s">
        <v>8248</v>
      </c>
      <c r="D5620" s="4" t="s">
        <v>8249</v>
      </c>
      <c r="E5620" s="4">
        <v>0.0</v>
      </c>
      <c r="F5620" s="4" t="str">
        <f>IFERROR(__xludf.DUMMYFUNCTION("GOOGLETRANSLATE(D5620)"),"@adorableappple 該地區沒有洪水氾濫的報告。十-4。 #mmda")</f>
        <v>@adorableappple 該地區沒有洪水氾濫的報告。十-4。 #mmda</v>
      </c>
      <c r="G5620" s="4" t="str">
        <f>IFERROR(__xludf.DUMMYFUNCTION("GOOGLETRANSLATE(B5620)"),"洪水")</f>
        <v>洪水</v>
      </c>
    </row>
    <row r="5621" ht="15.75" customHeight="1">
      <c r="A5621" s="4">
        <v>5627.0</v>
      </c>
      <c r="B5621" s="4" t="s">
        <v>2549</v>
      </c>
      <c r="D5621" s="4" t="s">
        <v>8250</v>
      </c>
      <c r="E5621" s="4">
        <v>0.0</v>
      </c>
      <c r="F5621" s="4" t="str">
        <f>IFERROR(__xludf.DUMMYFUNCTION("GOOGLETRANSLATE(D5621)"),"@SlopeOfHope 也許計劃是稀釋，直到他們可以安全地說「我們必須開始充電，否則就結束了」。多頭將會湧入。")</f>
        <v>@SlopeOfHope 也許計劃是稀釋，直到他們可以安全地說「我們必須開始充電，否則就結束了」。多頭將會湧入。</v>
      </c>
      <c r="G5621" s="4" t="str">
        <f>IFERROR(__xludf.DUMMYFUNCTION("GOOGLETRANSLATE(B5621)"),"洪水")</f>
        <v>洪水</v>
      </c>
    </row>
    <row r="5622" ht="15.75" customHeight="1">
      <c r="A5622" s="4">
        <v>5629.0</v>
      </c>
      <c r="B5622" s="4" t="s">
        <v>2549</v>
      </c>
      <c r="D5622" s="4" t="s">
        <v>8251</v>
      </c>
      <c r="E5622" s="4">
        <v>0.0</v>
      </c>
      <c r="F5622" s="4" t="str">
        <f>IFERROR(__xludf.DUMMYFUNCTION("GOOGLETRANSLATE(D5622)"),"我只能私訊飯店訊息，因為人們充斥著我的通知向我索取訊息")</f>
        <v>我只能私訊飯店訊息，因為人們充斥著我的通知向我索取訊息</v>
      </c>
      <c r="G5622" s="4" t="str">
        <f>IFERROR(__xludf.DUMMYFUNCTION("GOOGLETRANSLATE(B5622)"),"洪水")</f>
        <v>洪水</v>
      </c>
    </row>
    <row r="5623" ht="15.75" customHeight="1">
      <c r="A5623" s="4">
        <v>5634.0</v>
      </c>
      <c r="B5623" s="4" t="s">
        <v>2549</v>
      </c>
      <c r="C5623" s="4" t="s">
        <v>8252</v>
      </c>
      <c r="D5623" s="4" t="s">
        <v>8253</v>
      </c>
      <c r="E5623" s="4">
        <v>0.0</v>
      </c>
      <c r="F5623" s="4" t="str">
        <f>IFERROR(__xludf.DUMMYFUNCTION("GOOGLETRANSLATE(D5623)"),"中國人以前所未有的方式湧入紐約市場 http://t.co/9z9HsmiaVD")</f>
        <v>中國人以前所未有的方式湧入紐約市場 http://t.co/9z9HsmiaVD</v>
      </c>
      <c r="G5623" s="4" t="str">
        <f>IFERROR(__xludf.DUMMYFUNCTION("GOOGLETRANSLATE(B5623)"),"洪水")</f>
        <v>洪水</v>
      </c>
    </row>
    <row r="5624" ht="15.75" customHeight="1">
      <c r="A5624" s="4">
        <v>5642.0</v>
      </c>
      <c r="B5624" s="4" t="s">
        <v>2549</v>
      </c>
      <c r="C5624" s="4" t="s">
        <v>5261</v>
      </c>
      <c r="D5624" s="4" t="s">
        <v>8254</v>
      </c>
      <c r="E5624" s="4">
        <v>0.0</v>
      </c>
      <c r="F5624" s="4" t="str">
        <f>IFERROR(__xludf.DUMMYFUNCTION("GOOGLETRANSLATE(D5624)"),"@themaine 現在開始用“來巴西”評論淹沒你的評論部分是不是太早了？公元前我會")</f>
        <v>@themaine 現在開始用“來巴西”評論淹沒你的評論部分是不是太早了？公元前我會</v>
      </c>
      <c r="G5624" s="4" t="str">
        <f>IFERROR(__xludf.DUMMYFUNCTION("GOOGLETRANSLATE(B5624)"),"洪水")</f>
        <v>洪水</v>
      </c>
    </row>
    <row r="5625" ht="15.75" customHeight="1">
      <c r="A5625" s="4">
        <v>5644.0</v>
      </c>
      <c r="B5625" s="4" t="s">
        <v>2549</v>
      </c>
      <c r="C5625" s="4" t="s">
        <v>8255</v>
      </c>
      <c r="D5625" s="4" t="s">
        <v>8256</v>
      </c>
      <c r="E5625" s="4">
        <v>0.0</v>
      </c>
      <c r="F5625" s="4" t="str">
        <f>IFERROR(__xludf.DUMMYFUNCTION("GOOGLETRANSLATE(D5625)"),"去年，只有很多“鼓聲氾濫”和“JANICE I'M FALLING”")</f>
        <v>去年，只有很多“鼓聲氾濫”和“JANICE I'M FALLING”</v>
      </c>
      <c r="G5625" s="4" t="str">
        <f>IFERROR(__xludf.DUMMYFUNCTION("GOOGLETRANSLATE(B5625)"),"洪水")</f>
        <v>洪水</v>
      </c>
    </row>
    <row r="5626" ht="15.75" customHeight="1">
      <c r="A5626" s="4">
        <v>5647.0</v>
      </c>
      <c r="B5626" s="4" t="s">
        <v>2549</v>
      </c>
      <c r="D5626" s="4" t="s">
        <v>8257</v>
      </c>
      <c r="E5626" s="4">
        <v>0.0</v>
      </c>
      <c r="F5626" s="4" t="str">
        <f>IFERROR(__xludf.DUMMYFUNCTION("GOOGLETRANSLATE(D5626)"),"@crabbycale 天哪，記憶又湧回來了")</f>
        <v>@crabbycale 天哪，記憶又湧回來了</v>
      </c>
      <c r="G5626" s="4" t="str">
        <f>IFERROR(__xludf.DUMMYFUNCTION("GOOGLETRANSLATE(B5626)"),"洪水")</f>
        <v>洪水</v>
      </c>
    </row>
    <row r="5627" ht="15.75" customHeight="1">
      <c r="A5627" s="4">
        <v>5651.0</v>
      </c>
      <c r="B5627" s="4" t="s">
        <v>2549</v>
      </c>
      <c r="D5627" s="4" t="s">
        <v>8258</v>
      </c>
      <c r="E5627" s="4">
        <v>0.0</v>
      </c>
      <c r="F5627" s="4" t="str">
        <f>IFERROR(__xludf.DUMMYFUNCTION("GOOGLETRANSLATE(D5627)"),"輕軌看看我的湯姆感覺洪水般湧回來")</f>
        <v>輕軌看看我的湯姆感覺洪水般湧回來</v>
      </c>
      <c r="G5627" s="4" t="str">
        <f>IFERROR(__xludf.DUMMYFUNCTION("GOOGLETRANSLATE(B5627)"),"洪水")</f>
        <v>洪水</v>
      </c>
    </row>
    <row r="5628" ht="15.75" customHeight="1">
      <c r="A5628" s="4">
        <v>5654.0</v>
      </c>
      <c r="B5628" s="4" t="s">
        <v>2549</v>
      </c>
      <c r="D5628" s="4" t="s">
        <v>8259</v>
      </c>
      <c r="E5628" s="4">
        <v>0.0</v>
      </c>
      <c r="F5628" s="4" t="str">
        <f>IFERROR(__xludf.DUMMYFUNCTION("GOOGLETRANSLATE(D5628)"),"我終於找到了我想要的女孩，我的照片淹沒了你們，雖然是盧比")</f>
        <v>我終於找到了我想要的女孩，我的照片淹沒了你們，雖然是盧比</v>
      </c>
      <c r="G5628" s="4" t="str">
        <f>IFERROR(__xludf.DUMMYFUNCTION("GOOGLETRANSLATE(B5628)"),"洪水")</f>
        <v>洪水</v>
      </c>
    </row>
    <row r="5629" ht="15.75" customHeight="1">
      <c r="A5629" s="4">
        <v>5655.0</v>
      </c>
      <c r="B5629" s="4" t="s">
        <v>2549</v>
      </c>
      <c r="C5629" s="4" t="s">
        <v>8260</v>
      </c>
      <c r="D5629" s="4" t="s">
        <v>8261</v>
      </c>
      <c r="E5629" s="4">
        <v>0.0</v>
      </c>
      <c r="F5629" s="4" t="str">
        <f>IFERROR(__xludf.DUMMYFUNCTION("GOOGLETRANSLATE(D5629)"),"@kwislo 我看到她瘋狂得體地氾濫")</f>
        <v>@kwislo 我看到她瘋狂得體地氾濫</v>
      </c>
      <c r="G5629" s="4" t="str">
        <f>IFERROR(__xludf.DUMMYFUNCTION("GOOGLETRANSLATE(B5629)"),"洪水")</f>
        <v>洪水</v>
      </c>
    </row>
    <row r="5630" ht="15.75" customHeight="1">
      <c r="A5630" s="4">
        <v>5659.0</v>
      </c>
      <c r="B5630" s="4" t="s">
        <v>2549</v>
      </c>
      <c r="C5630" s="4" t="s">
        <v>8262</v>
      </c>
      <c r="D5630" s="4" t="s">
        <v>8263</v>
      </c>
      <c r="E5630" s="4">
        <v>0.0</v>
      </c>
      <c r="F5630" s="4" t="str">
        <f>IFERROR(__xludf.DUMMYFUNCTION("GOOGLETRANSLATE(D5630)"),"非常感謝你們淹沒了我的通知，我的朋友ParShOlics r Superb＆amp;真是太棒了愛愛你們永遠#FrvrGrateful ??")</f>
        <v>非常感謝你們淹沒了我的通知，我的朋友ParShOlics r Superb＆amp;真是太棒了愛愛你們永遠#FrvrGrateful ??</v>
      </c>
      <c r="G5630" s="4" t="str">
        <f>IFERROR(__xludf.DUMMYFUNCTION("GOOGLETRANSLATE(B5630)"),"洪水")</f>
        <v>洪水</v>
      </c>
    </row>
    <row r="5631" ht="15.75" customHeight="1">
      <c r="A5631" s="4">
        <v>5670.0</v>
      </c>
      <c r="B5631" s="4" t="s">
        <v>2587</v>
      </c>
      <c r="C5631" s="4" t="s">
        <v>8264</v>
      </c>
      <c r="D5631" s="4" t="s">
        <v>8265</v>
      </c>
      <c r="E5631" s="4">
        <v>0.0</v>
      </c>
      <c r="F5631" s="4" t="str">
        <f>IFERROR(__xludf.DUMMYFUNCTION("GOOGLETRANSLATE(D5631)"),"@madonnamking RSPCA 在洪水氾濫地區的低密度住宅區旁建造了多座 7 層高層建築")</f>
        <v>@madonnamking RSPCA 在洪水氾濫地區的低密度住宅區旁建造了多座 7 層高層建築</v>
      </c>
      <c r="G5631" s="4" t="str">
        <f>IFERROR(__xludf.DUMMYFUNCTION("GOOGLETRANSLATE(B5631)"),"洪水")</f>
        <v>洪水</v>
      </c>
    </row>
    <row r="5632" ht="15.75" customHeight="1">
      <c r="A5632" s="4">
        <v>5673.0</v>
      </c>
      <c r="B5632" s="4" t="s">
        <v>2587</v>
      </c>
      <c r="C5632" s="4" t="s">
        <v>3021</v>
      </c>
      <c r="D5632" s="4" t="s">
        <v>8266</v>
      </c>
      <c r="E5632" s="4">
        <v>0.0</v>
      </c>
      <c r="F5632" s="4" t="str">
        <f>IFERROR(__xludf.DUMMYFUNCTION("GOOGLETRANSLATE(D5632)"),"有這個人&amp;amp;他們認為當你瀕臨死亡時，你的大腦會充滿 dmt，導致你在模擬中即時重溫你的生活")</f>
        <v>有這個人&amp;amp;他們認為當你瀕臨死亡時，你的大腦會充滿 dmt，導致你在模擬中即時重溫你的生活</v>
      </c>
      <c r="G5632" s="4" t="str">
        <f>IFERROR(__xludf.DUMMYFUNCTION("GOOGLETRANSLATE(B5632)"),"洪水")</f>
        <v>洪水</v>
      </c>
    </row>
    <row r="5633" ht="15.75" customHeight="1">
      <c r="A5633" s="4">
        <v>5674.0</v>
      </c>
      <c r="B5633" s="4" t="s">
        <v>2587</v>
      </c>
      <c r="D5633" s="4" t="s">
        <v>8267</v>
      </c>
      <c r="E5633" s="4">
        <v>0.0</v>
      </c>
      <c r="F5633" s="4" t="str">
        <f>IFERROR(__xludf.DUMMYFUNCTION("GOOGLETRANSLATE(D5633)"),"你是否還記得一首多年未聽過的老歌？那些話語一直承載著大量的回憶。 ＃無價")</f>
        <v>你是否還記得一首多年未聽過的老歌？那些話語一直承載著大量的回憶。 ＃無價</v>
      </c>
      <c r="G5633" s="4" t="str">
        <f>IFERROR(__xludf.DUMMYFUNCTION("GOOGLETRANSLATE(B5633)"),"洪水")</f>
        <v>洪水</v>
      </c>
    </row>
    <row r="5634" ht="15.75" customHeight="1">
      <c r="A5634" s="4">
        <v>5675.0</v>
      </c>
      <c r="B5634" s="4" t="s">
        <v>2587</v>
      </c>
      <c r="C5634" s="4" t="s">
        <v>289</v>
      </c>
      <c r="D5634" s="4" t="s">
        <v>8268</v>
      </c>
      <c r="E5634" s="4">
        <v>0.0</v>
      </c>
      <c r="F5634" s="4" t="str">
        <f>IFERROR(__xludf.DUMMYFUNCTION("GOOGLETRANSLATE(D5634)"),"洪水釣魚終於陽光明媚Albertsons 週年紀念特賣會 |Lauren Paints | 超值優惠美好生活http://t.co/CwHSLMB8x9")</f>
        <v>洪水釣魚終於陽光明媚Albertsons 週年紀念特賣會 |Lauren Paints | 超值優惠美好生活http://t.co/CwHSLMB8x9</v>
      </c>
      <c r="G5634" s="4" t="str">
        <f>IFERROR(__xludf.DUMMYFUNCTION("GOOGLETRANSLATE(B5634)"),"洪水")</f>
        <v>洪水</v>
      </c>
    </row>
    <row r="5635" ht="15.75" customHeight="1">
      <c r="A5635" s="4">
        <v>5684.0</v>
      </c>
      <c r="B5635" s="4" t="s">
        <v>2587</v>
      </c>
      <c r="C5635" s="4" t="s">
        <v>942</v>
      </c>
      <c r="D5635" s="4" t="s">
        <v>8269</v>
      </c>
      <c r="E5635" s="4">
        <v>0.0</v>
      </c>
      <c r="F5635" s="4" t="str">
        <f>IFERROR(__xludf.DUMMYFUNCTION("GOOGLETRANSLATE(D5635)"),"下載 @ iTunes http://t.co/ocojPPnRh1 Luiz Santos 的《Floods Of Glory》#jazz #art #Music")</f>
        <v>下載 @ iTunes http://t.co/ocojPPnRh1 Luiz Santos 的《Floods Of Glory》#jazz #art #Music</v>
      </c>
      <c r="G5635" s="4" t="str">
        <f>IFERROR(__xludf.DUMMYFUNCTION("GOOGLETRANSLATE(B5635)"),"洪水")</f>
        <v>洪水</v>
      </c>
    </row>
    <row r="5636" ht="15.75" customHeight="1">
      <c r="A5636" s="4">
        <v>5687.0</v>
      </c>
      <c r="B5636" s="4" t="s">
        <v>2587</v>
      </c>
      <c r="C5636" s="4" t="s">
        <v>8270</v>
      </c>
      <c r="D5636" s="4" t="s">
        <v>8271</v>
      </c>
      <c r="E5636" s="4">
        <v>0.0</v>
      </c>
      <c r="F5636" s="4" t="str">
        <f>IFERROR(__xludf.DUMMYFUNCTION("GOOGLETRANSLATE(D5636)"),"我希望整個週末都下雨，我希望洪水氾濫，門戶網站變得有知覺。")</f>
        <v>我希望整個週末都下雨，我希望洪水氾濫，門戶網站變得有知覺。</v>
      </c>
      <c r="G5636" s="4" t="str">
        <f>IFERROR(__xludf.DUMMYFUNCTION("GOOGLETRANSLATE(B5636)"),"洪水")</f>
        <v>洪水</v>
      </c>
    </row>
    <row r="5637" ht="15.75" customHeight="1">
      <c r="A5637" s="4">
        <v>5698.0</v>
      </c>
      <c r="B5637" s="4" t="s">
        <v>2587</v>
      </c>
      <c r="C5637" s="4" t="s">
        <v>2294</v>
      </c>
      <c r="D5637" s="4" t="s">
        <v>8272</v>
      </c>
      <c r="E5637" s="4">
        <v>0.0</v>
      </c>
      <c r="F5637" s="4" t="str">
        <f>IFERROR(__xludf.DUMMYFUNCTION("GOOGLETRANSLATE(D5637)"),"愛當德雷克淹沒 Instagram 時。讓你感覺與他所做的一切都很合拍，就像你在場一樣。")</f>
        <v>愛當德雷克淹沒 Instagram 時。讓你感覺與他所做的一切都很合拍，就像你在場一樣。</v>
      </c>
      <c r="G5637" s="4" t="str">
        <f>IFERROR(__xludf.DUMMYFUNCTION("GOOGLETRANSLATE(B5637)"),"洪水")</f>
        <v>洪水</v>
      </c>
    </row>
    <row r="5638" ht="15.75" customHeight="1">
      <c r="A5638" s="4">
        <v>5699.0</v>
      </c>
      <c r="B5638" s="4" t="s">
        <v>2587</v>
      </c>
      <c r="D5638" s="4" t="s">
        <v>2590</v>
      </c>
      <c r="E5638" s="4">
        <v>0.0</v>
      </c>
      <c r="F5638" s="4" t="str">
        <f>IFERROR(__xludf.DUMMYFUNCTION("GOOGLETRANSLATE(D5638)"),"誰帶來了龍捲風和洪水。誰帶來了氣候變遷。上帝在跟隨美國，祂正在困擾她
#法拉克汗#QUOTE")</f>
        <v>誰帶來了龍捲風和洪水。誰帶來了氣候變遷。上帝在跟隨美國，祂正在困擾她
#法拉克汗#QUOTE</v>
      </c>
      <c r="G5638" s="4" t="str">
        <f>IFERROR(__xludf.DUMMYFUNCTION("GOOGLETRANSLATE(B5638)"),"洪水")</f>
        <v>洪水</v>
      </c>
    </row>
    <row r="5639" ht="15.75" customHeight="1">
      <c r="A5639" s="4">
        <v>5707.0</v>
      </c>
      <c r="B5639" s="4" t="s">
        <v>2587</v>
      </c>
      <c r="C5639" s="4" t="s">
        <v>5461</v>
      </c>
      <c r="D5639" s="4" t="s">
        <v>8273</v>
      </c>
      <c r="E5639" s="4">
        <v>0.0</v>
      </c>
      <c r="F5639" s="4" t="str">
        <f>IFERROR(__xludf.DUMMYFUNCTION("GOOGLETRANSLATE(D5639)"),"&gt;一旦維護結束，每個人都會淹沒伺服器
&gt;伺服器因極端負載而損壞
&gt;維護重新開始")</f>
        <v>&gt;一旦維護結束，每個人都會淹沒伺服器
&gt;伺服器因極端負載而損壞
&gt;維護重新開始</v>
      </c>
      <c r="G5639" s="4" t="str">
        <f>IFERROR(__xludf.DUMMYFUNCTION("GOOGLETRANSLATE(B5639)"),"洪水")</f>
        <v>洪水</v>
      </c>
    </row>
    <row r="5640" ht="15.75" customHeight="1">
      <c r="A5640" s="4">
        <v>5710.0</v>
      </c>
      <c r="B5640" s="4" t="s">
        <v>2587</v>
      </c>
      <c r="D5640" s="4" t="s">
        <v>2590</v>
      </c>
      <c r="E5640" s="4">
        <v>0.0</v>
      </c>
      <c r="F5640" s="4" t="str">
        <f>IFERROR(__xludf.DUMMYFUNCTION("GOOGLETRANSLATE(D5640)"),"誰帶來了龍捲風和洪水。誰帶來了氣候變遷。上帝在跟隨美國，祂正在困擾她
#法拉克汗#QUOTE")</f>
        <v>誰帶來了龍捲風和洪水。誰帶來了氣候變遷。上帝在跟隨美國，祂正在困擾她
#法拉克汗#QUOTE</v>
      </c>
      <c r="G5640" s="4" t="str">
        <f>IFERROR(__xludf.DUMMYFUNCTION("GOOGLETRANSLATE(B5640)"),"洪水")</f>
        <v>洪水</v>
      </c>
    </row>
    <row r="5641" ht="15.75" customHeight="1">
      <c r="A5641" s="4">
        <v>5721.0</v>
      </c>
      <c r="B5641" s="4" t="s">
        <v>2625</v>
      </c>
      <c r="C5641" s="4" t="s">
        <v>8274</v>
      </c>
      <c r="D5641" s="4" t="s">
        <v>8275</v>
      </c>
      <c r="E5641" s="4">
        <v>0.0</v>
      </c>
      <c r="F5641" s="4" t="str">
        <f>IFERROR(__xludf.DUMMYFUNCTION("GOOGLETRANSLATE(D5641)"),"我喜歡 @YouTube 影片 http://t.co/jK7nPdpWRo J. Cole - Fire Squad (2014 Forest Hills Drive)")</f>
        <v>我喜歡 @YouTube 影片 http://t.co/jK7nPdpWRo J. Cole - Fire Squad (2014 Forest Hills Drive)</v>
      </c>
      <c r="G5641" s="4" t="str">
        <f>IFERROR(__xludf.DUMMYFUNCTION("GOOGLETRANSLATE(B5641)"),"森林%20火")</f>
        <v>森林%20火</v>
      </c>
    </row>
    <row r="5642" ht="15.75" customHeight="1">
      <c r="A5642" s="4">
        <v>5727.0</v>
      </c>
      <c r="B5642" s="4" t="s">
        <v>2625</v>
      </c>
      <c r="D5642" s="4" t="s">
        <v>8276</v>
      </c>
      <c r="E5642" s="4">
        <v>0.0</v>
      </c>
      <c r="F5642" s="4" t="str">
        <f>IFERROR(__xludf.DUMMYFUNCTION("GOOGLETRANSLATE(D5642)"),"我必須為學校活動燒烤。我們去的其中一個燒烤店要嘛關了，要嘛森林火災。沒有中間！成功了")</f>
        <v>我必須為學校活動燒烤。我們去的其中一個燒烤店要嘛關了，要嘛森林火災。沒有中間！成功了</v>
      </c>
      <c r="G5642" s="4" t="str">
        <f>IFERROR(__xludf.DUMMYFUNCTION("GOOGLETRANSLATE(B5642)"),"森林%20火")</f>
        <v>森林%20火</v>
      </c>
    </row>
    <row r="5643" ht="15.75" customHeight="1">
      <c r="A5643" s="4">
        <v>5733.0</v>
      </c>
      <c r="B5643" s="4" t="s">
        <v>2625</v>
      </c>
      <c r="C5643" s="4" t="s">
        <v>8277</v>
      </c>
      <c r="D5643" s="4" t="s">
        <v>8278</v>
      </c>
      <c r="E5643" s="4">
        <v>0.0</v>
      </c>
      <c r="F5643" s="4" t="str">
        <f>IFERROR(__xludf.DUMMYFUNCTION("GOOGLETRANSLATE(D5643)"),"USFS 是美國消防局的縮寫。 http://t.co/8NAdrGr4xC")</f>
        <v>USFS 是美國消防局的縮寫。 http://t.co/8NAdrGr4xC</v>
      </c>
      <c r="G5643" s="4" t="str">
        <f>IFERROR(__xludf.DUMMYFUNCTION("GOOGLETRANSLATE(B5643)"),"森林%20火")</f>
        <v>森林%20火</v>
      </c>
    </row>
    <row r="5644" ht="15.75" customHeight="1">
      <c r="A5644" s="4">
        <v>5734.0</v>
      </c>
      <c r="B5644" s="4" t="s">
        <v>2625</v>
      </c>
      <c r="C5644" s="4" t="s">
        <v>1764</v>
      </c>
      <c r="D5644" s="4" t="s">
        <v>8279</v>
      </c>
      <c r="E5644" s="4">
        <v>0.0</v>
      </c>
      <c r="F5644" s="4" t="str">
        <f>IFERROR(__xludf.DUMMYFUNCTION("GOOGLETRANSLATE(D5644)"),"為什麼一根不小心的火柴可以引發森林火災，但需要一整個盒子才能引發篝火？")</f>
        <v>為什麼一根不小心的火柴可以引發森林火災，但需要一整個盒子才能引發篝火？</v>
      </c>
      <c r="G5644" s="4" t="str">
        <f>IFERROR(__xludf.DUMMYFUNCTION("GOOGLETRANSLATE(B5644)"),"森林%20火")</f>
        <v>森林%20火</v>
      </c>
    </row>
    <row r="5645" ht="15.75" customHeight="1">
      <c r="A5645" s="4">
        <v>5740.0</v>
      </c>
      <c r="B5645" s="4" t="s">
        <v>2649</v>
      </c>
      <c r="D5645" s="4" t="s">
        <v>8280</v>
      </c>
      <c r="E5645" s="4">
        <v>0.0</v>
      </c>
      <c r="F5645" s="4" t="str">
        <f>IFERROR(__xludf.DUMMYFUNCTION("GOOGLETRANSLATE(D5645)"),"Q：鴨子為什麼有大扁平足？答：撲滅森林火災。 Q：大象為什麼有大扁平足？答：撲滅燃燒的鴨子。")</f>
        <v>Q：鴨子為什麼有大扁平足？答：撲滅森林火災。 Q：大象為什麼有大扁平足？答：撲滅燃燒的鴨子。</v>
      </c>
      <c r="G5645" s="4" t="str">
        <f>IFERROR(__xludf.DUMMYFUNCTION("GOOGLETRANSLATE(B5645)"),"森林%20火災")</f>
        <v>森林%20火災</v>
      </c>
    </row>
    <row r="5646" ht="15.75" customHeight="1">
      <c r="A5646" s="4">
        <v>5748.0</v>
      </c>
      <c r="B5646" s="4" t="s">
        <v>2649</v>
      </c>
      <c r="D5646" s="4" t="s">
        <v>8281</v>
      </c>
      <c r="E5646" s="4">
        <v>0.0</v>
      </c>
      <c r="F5646" s="4" t="str">
        <f>IFERROR(__xludf.DUMMYFUNCTION("GOOGLETRANSLATE(D5646)"),"卡通熊。沒有它們，我們就不會了解森林火災或衛生紙。")</f>
        <v>卡通熊。沒有它們，我們就不會了解森林火災或衛生紙。</v>
      </c>
      <c r="G5646" s="4" t="str">
        <f>IFERROR(__xludf.DUMMYFUNCTION("GOOGLETRANSLATE(B5646)"),"森林%20火災")</f>
        <v>森林%20火災</v>
      </c>
    </row>
    <row r="5647" ht="15.75" customHeight="1">
      <c r="A5647" s="4">
        <v>5758.0</v>
      </c>
      <c r="B5647" s="4" t="s">
        <v>2649</v>
      </c>
      <c r="D5647" s="4" t="s">
        <v>8282</v>
      </c>
      <c r="E5647" s="4">
        <v>0.0</v>
      </c>
      <c r="F5647" s="4" t="str">
        <f>IFERROR(__xludf.DUMMYFUNCTION("GOOGLETRANSLATE(D5647)"),"我要煮你的斯莫基熊拯救森林大火的臉屁股 https://t.co/WtGGqS5gEh")</f>
        <v>我要煮你的斯莫基熊拯救森林大火的臉屁股 https://t.co/WtGGqS5gEh</v>
      </c>
      <c r="G5647" s="4" t="str">
        <f>IFERROR(__xludf.DUMMYFUNCTION("GOOGLETRANSLATE(B5647)"),"森林%20火災")</f>
        <v>森林%20火災</v>
      </c>
    </row>
    <row r="5648" ht="15.75" customHeight="1">
      <c r="A5648" s="4">
        <v>5760.0</v>
      </c>
      <c r="B5648" s="4" t="s">
        <v>2649</v>
      </c>
      <c r="C5648" s="4" t="s">
        <v>8283</v>
      </c>
      <c r="D5648" s="4" t="s">
        <v>8284</v>
      </c>
      <c r="E5648" s="4">
        <v>0.0</v>
      </c>
      <c r="F5648" s="4" t="str">
        <f>IFERROR(__xludf.DUMMYFUNCTION("GOOGLETRANSLATE(D5648)"),"#trees #深水熱愛#太浩湖的故事。且沒有#forest火災https://t.co/xuhMJ098Lq")</f>
        <v>#trees #深水熱愛#太浩湖的故事。且沒有#forest火災https://t.co/xuhMJ098Lq</v>
      </c>
      <c r="G5648" s="4" t="str">
        <f>IFERROR(__xludf.DUMMYFUNCTION("GOOGLETRANSLATE(B5648)"),"森林%20火災")</f>
        <v>森林%20火災</v>
      </c>
    </row>
    <row r="5649" ht="15.75" customHeight="1">
      <c r="A5649" s="4">
        <v>5771.0</v>
      </c>
      <c r="B5649" s="4" t="s">
        <v>2649</v>
      </c>
      <c r="C5649" s="4" t="s">
        <v>8285</v>
      </c>
      <c r="D5649" s="4" t="s">
        <v>8286</v>
      </c>
      <c r="E5649" s="4">
        <v>0.0</v>
      </c>
      <c r="F5649" s="4" t="str">
        <f>IFERROR(__xludf.DUMMYFUNCTION("GOOGLETRANSLATE(D5649)"),"「沒有法瑞爾，只有你可以預防森林火災」？？")</f>
        <v>「沒有法瑞爾，只有你可以預防森林火災」？？</v>
      </c>
      <c r="G5649" s="4" t="str">
        <f>IFERROR(__xludf.DUMMYFUNCTION("GOOGLETRANSLATE(B5649)"),"森林%20火災")</f>
        <v>森林%20火災</v>
      </c>
    </row>
    <row r="5650" ht="15.75" customHeight="1">
      <c r="A5650" s="4">
        <v>5790.0</v>
      </c>
      <c r="B5650" s="4" t="s">
        <v>2685</v>
      </c>
      <c r="D5650" s="4" t="s">
        <v>8287</v>
      </c>
      <c r="E5650" s="4">
        <v>0.0</v>
      </c>
      <c r="F5650" s="4" t="str">
        <f>IFERROR(__xludf.DUMMYFUNCTION("GOOGLETRANSLATE(D5650)"),"#np 七重復仇 - 向國王致敬")</f>
        <v>#np 七重復仇 - 向國王致敬</v>
      </c>
      <c r="G5650" s="4" t="str">
        <f>IFERROR(__xludf.DUMMYFUNCTION("GOOGLETRANSLATE(B5650)"),"冰雹")</f>
        <v>冰雹</v>
      </c>
    </row>
    <row r="5651" ht="15.75" customHeight="1">
      <c r="A5651" s="4">
        <v>5792.0</v>
      </c>
      <c r="B5651" s="4" t="s">
        <v>2685</v>
      </c>
      <c r="C5651" s="4" t="s">
        <v>8288</v>
      </c>
      <c r="D5651" s="4" t="s">
        <v>8289</v>
      </c>
      <c r="E5651" s="4">
        <v>0.0</v>
      </c>
      <c r="F5651" s="4" t="str">
        <f>IFERROR(__xludf.DUMMYFUNCTION("GOOGLETRANSLATE(D5651)"),"@tremblayeh 我們喜歡大冰雹，我們不能撒謊！ #SirMixAlot")</f>
        <v>@tremblayeh 我們喜歡大冰雹，我們不能撒謊！ #SirMixAlot</v>
      </c>
      <c r="G5651" s="4" t="str">
        <f>IFERROR(__xludf.DUMMYFUNCTION("GOOGLETRANSLATE(B5651)"),"冰雹")</f>
        <v>冰雹</v>
      </c>
    </row>
    <row r="5652" ht="15.75" customHeight="1">
      <c r="A5652" s="4">
        <v>5794.0</v>
      </c>
      <c r="B5652" s="4" t="s">
        <v>2685</v>
      </c>
      <c r="C5652" s="4" t="s">
        <v>8290</v>
      </c>
      <c r="D5652" s="4" t="s">
        <v>8291</v>
      </c>
      <c r="E5652" s="4">
        <v>0.0</v>
      </c>
      <c r="F5652" s="4" t="str">
        <f>IFERROR(__xludf.DUMMYFUNCTION("GOOGLETRANSLATE(D5652)"),"兩個偉大的“老傢伙”Dak 和 Jak！冰雹狀態！ http://t.co/igyu2PEIU3")</f>
        <v>兩個偉大的“老傢伙”Dak 和 Jak！冰雹狀態！ http://t.co/igyu2PEIU3</v>
      </c>
      <c r="G5652" s="4" t="str">
        <f>IFERROR(__xludf.DUMMYFUNCTION("GOOGLETRANSLATE(B5652)"),"冰雹")</f>
        <v>冰雹</v>
      </c>
    </row>
    <row r="5653" ht="15.75" customHeight="1">
      <c r="A5653" s="4">
        <v>5798.0</v>
      </c>
      <c r="B5653" s="4" t="s">
        <v>2685</v>
      </c>
      <c r="D5653" s="4" t="s">
        <v>8292</v>
      </c>
      <c r="E5653" s="4">
        <v>0.0</v>
      </c>
      <c r="F5653" s="4" t="str">
        <f>IFERROR(__xludf.DUMMYFUNCTION("GOOGLETRANSLATE(D5653)"),"非常感謝大家發布外面的雨和冰雹......我不知道夥計們?????????")</f>
        <v>非常感謝大家發布外面的雨和冰雹......我不知道夥計們?????????</v>
      </c>
      <c r="G5653" s="4" t="str">
        <f>IFERROR(__xludf.DUMMYFUNCTION("GOOGLETRANSLATE(B5653)"),"冰雹")</f>
        <v>冰雹</v>
      </c>
    </row>
    <row r="5654" ht="15.75" customHeight="1">
      <c r="A5654" s="4">
        <v>5799.0</v>
      </c>
      <c r="B5654" s="4" t="s">
        <v>2685</v>
      </c>
      <c r="C5654" s="4" t="s">
        <v>8293</v>
      </c>
      <c r="D5654" s="4" t="s">
        <v>8294</v>
      </c>
      <c r="E5654" s="4">
        <v>0.0</v>
      </c>
      <c r="F5654" s="4" t="str">
        <f>IFERROR(__xludf.DUMMYFUNCTION("GOOGLETRANSLATE(D5654)"),"@chojo 大家向南瓜王致敬！！！！")</f>
        <v>@chojo 大家向南瓜王致敬！！！！</v>
      </c>
      <c r="G5654" s="4" t="str">
        <f>IFERROR(__xludf.DUMMYFUNCTION("GOOGLETRANSLATE(B5654)"),"冰雹")</f>
        <v>冰雹</v>
      </c>
    </row>
    <row r="5655" ht="15.75" customHeight="1">
      <c r="A5655" s="4">
        <v>5801.0</v>
      </c>
      <c r="B5655" s="4" t="s">
        <v>2685</v>
      </c>
      <c r="D5655" s="4" t="s">
        <v>8295</v>
      </c>
      <c r="E5655" s="4">
        <v>0.0</v>
      </c>
      <c r="F5655" s="4" t="str">
        <f>IFERROR(__xludf.DUMMYFUNCTION("GOOGLETRANSLATE(D5655)"),"@HeySeto 享受吧！希望你要去的地方不會有史詩般的冰雹！")</f>
        <v>@HeySeto 享受吧！希望你要去的地方不會有史詩般的冰雹！</v>
      </c>
      <c r="G5655" s="4" t="str">
        <f>IFERROR(__xludf.DUMMYFUNCTION("GOOGLETRANSLATE(B5655)"),"冰雹")</f>
        <v>冰雹</v>
      </c>
    </row>
    <row r="5656" ht="15.75" customHeight="1">
      <c r="A5656" s="4">
        <v>5804.0</v>
      </c>
      <c r="B5656" s="4" t="s">
        <v>2685</v>
      </c>
      <c r="C5656" s="4" t="s">
        <v>231</v>
      </c>
      <c r="D5656" s="4" t="s">
        <v>8296</v>
      </c>
      <c r="E5656" s="4">
        <v>0.0</v>
      </c>
      <c r="F5656" s="4" t="str">
        <f>IFERROR(__xludf.DUMMYFUNCTION("GOOGLETRANSLATE(D5656)"),"謝麗爾女士萬歲！你應該迷戀謝麗爾·科爾的 24 個理由 http://t.co/kigy7M6bGJ")</f>
        <v>謝麗爾女士萬歲！你應該迷戀謝麗爾·科爾的 24 個理由 http://t.co/kigy7M6bGJ</v>
      </c>
      <c r="G5656" s="4" t="str">
        <f>IFERROR(__xludf.DUMMYFUNCTION("GOOGLETRANSLATE(B5656)"),"冰雹")</f>
        <v>冰雹</v>
      </c>
    </row>
    <row r="5657" ht="15.75" customHeight="1">
      <c r="A5657" s="4">
        <v>5805.0</v>
      </c>
      <c r="B5657" s="4" t="s">
        <v>2685</v>
      </c>
      <c r="C5657" s="4" t="s">
        <v>8297</v>
      </c>
      <c r="D5657" s="4" t="s">
        <v>8298</v>
      </c>
      <c r="E5657" s="4">
        <v>0.0</v>
      </c>
      <c r="F5657" s="4" t="str">
        <f>IFERROR(__xludf.DUMMYFUNCTION("GOOGLETRANSLATE(D5657)"),"@KMacTWN @meaganerd 看起來像一碗天氣麥片。新的！家樂氏的糖萬歲！即使在牛奶中也能保持鬆脆...")</f>
        <v>@KMacTWN @meaganerd 看起來像一碗天氣麥片。新的！家樂氏的糖萬歲！即使在牛奶中也能保持鬆脆...</v>
      </c>
      <c r="G5657" s="4" t="str">
        <f>IFERROR(__xludf.DUMMYFUNCTION("GOOGLETRANSLATE(B5657)"),"冰雹")</f>
        <v>冰雹</v>
      </c>
    </row>
    <row r="5658" ht="15.75" customHeight="1">
      <c r="A5658" s="4">
        <v>5807.0</v>
      </c>
      <c r="B5658" s="4" t="s">
        <v>2685</v>
      </c>
      <c r="D5658" s="4" t="s">
        <v>8299</v>
      </c>
      <c r="E5658" s="4">
        <v>0.0</v>
      </c>
      <c r="F5658" s="4" t="str">
        <f>IFERROR(__xludf.DUMMYFUNCTION("GOOGLETRANSLATE(D5658)"),"萬福瑪利亞充滿恩典主與你同在。你在婦女中受到祝福，你的果實也受到祝福...... http://t.co/IDQcfJycYM")</f>
        <v>萬福瑪利亞充滿恩典主與你同在。你在婦女中受到祝福，你的果實也受到祝福...... http://t.co/IDQcfJycYM</v>
      </c>
      <c r="G5658" s="4" t="str">
        <f>IFERROR(__xludf.DUMMYFUNCTION("GOOGLETRANSLATE(B5658)"),"冰雹")</f>
        <v>冰雹</v>
      </c>
    </row>
    <row r="5659" ht="15.75" customHeight="1">
      <c r="A5659" s="4">
        <v>5808.0</v>
      </c>
      <c r="B5659" s="4" t="s">
        <v>2685</v>
      </c>
      <c r="C5659" s="4" t="s">
        <v>8300</v>
      </c>
      <c r="D5659" s="4" t="s">
        <v>8301</v>
      </c>
      <c r="E5659" s="4">
        <v>0.0</v>
      </c>
      <c r="F5659" s="4" t="str">
        <f>IFERROR(__xludf.DUMMYFUNCTION("GOOGLETRANSLATE(D5659)"),"在 Fahlo 上看到：#WCW 女王萬歲？？ http://t.co/oLpBmy9xw9 #MTVHottest 賈斯汀比伯 http://t.co/ON18cqGcoA")</f>
        <v>在 Fahlo 上看到：#WCW 女王萬歲？？ http://t.co/oLpBmy9xw9 #MTVHottest 賈斯汀比伯 http://t.co/ON18cqGcoA</v>
      </c>
      <c r="G5659" s="4" t="str">
        <f>IFERROR(__xludf.DUMMYFUNCTION("GOOGLETRANSLATE(B5659)"),"冰雹")</f>
        <v>冰雹</v>
      </c>
    </row>
    <row r="5660" ht="15.75" customHeight="1">
      <c r="A5660" s="4">
        <v>5814.0</v>
      </c>
      <c r="B5660" s="4" t="s">
        <v>2685</v>
      </c>
      <c r="C5660" s="4" t="s">
        <v>8302</v>
      </c>
      <c r="D5660" s="4" t="s">
        <v>8303</v>
      </c>
      <c r="E5660" s="4">
        <v>0.0</v>
      </c>
      <c r="F5660" s="4" t="str">
        <f>IFERROR(__xludf.DUMMYFUNCTION("GOOGLETRANSLATE(D5660)"),"@FaZe_Rain 為雲歡呼")</f>
        <v>@FaZe_Rain 為雲歡呼</v>
      </c>
      <c r="G5660" s="4" t="str">
        <f>IFERROR(__xludf.DUMMYFUNCTION("GOOGLETRANSLATE(B5660)"),"冰雹")</f>
        <v>冰雹</v>
      </c>
    </row>
    <row r="5661" ht="15.75" customHeight="1">
      <c r="A5661" s="4">
        <v>5816.0</v>
      </c>
      <c r="B5661" s="4" t="s">
        <v>2685</v>
      </c>
      <c r="C5661" s="4" t="s">
        <v>8304</v>
      </c>
      <c r="D5661" s="4" t="s">
        <v>8305</v>
      </c>
      <c r="E5661" s="4">
        <v>0.0</v>
      </c>
      <c r="F5661" s="4" t="str">
        <f>IFERROR(__xludf.DUMMYFUNCTION("GOOGLETRANSLATE(D5661)"),"@Hail_Zel 老兄，你知道我在那裡！")</f>
        <v>@Hail_Zel 老兄，你知道我在那裡！</v>
      </c>
      <c r="G5661" s="4" t="str">
        <f>IFERROR(__xludf.DUMMYFUNCTION("GOOGLETRANSLATE(B5661)"),"冰雹")</f>
        <v>冰雹</v>
      </c>
    </row>
    <row r="5662" ht="15.75" customHeight="1">
      <c r="A5662" s="4">
        <v>5817.0</v>
      </c>
      <c r="B5662" s="4" t="s">
        <v>2685</v>
      </c>
      <c r="C5662" s="4" t="s">
        <v>8306</v>
      </c>
      <c r="D5662" s="4" t="s">
        <v>8307</v>
      </c>
      <c r="E5662" s="4">
        <v>0.0</v>
      </c>
      <c r="F5662" s="4" t="str">
        <f>IFERROR(__xludf.DUMMYFUNCTION("GOOGLETRANSLATE(D5662)"),"冰雹！ [圖片]ÛÓ https://t.co/B7omJ7U3EI")</f>
        <v>冰雹！ [圖片]ÛÓ https://t.co/B7omJ7U3EI</v>
      </c>
      <c r="G5662" s="4" t="str">
        <f>IFERROR(__xludf.DUMMYFUNCTION("GOOGLETRANSLATE(B5662)"),"冰雹")</f>
        <v>冰雹</v>
      </c>
    </row>
    <row r="5663" ht="15.75" customHeight="1">
      <c r="A5663" s="4">
        <v>5822.0</v>
      </c>
      <c r="B5663" s="4" t="s">
        <v>2685</v>
      </c>
      <c r="D5663" s="4" t="s">
        <v>8308</v>
      </c>
      <c r="E5663" s="4">
        <v>0.0</v>
      </c>
      <c r="F5663" s="4" t="str">
        <f>IFERROR(__xludf.DUMMYFUNCTION("GOOGLETRANSLATE(D5663)"),"@Flow397 來自波士頓的atcha。昨天下了高爾夫球大小的冰雹，今天天氣晴朗，令人驚嘆！ #ParkChat")</f>
        <v>@Flow397 來自波士頓的atcha。昨天下了高爾夫球大小的冰雹，今天天氣晴朗，令人驚嘆！ #ParkChat</v>
      </c>
      <c r="G5663" s="4" t="str">
        <f>IFERROR(__xludf.DUMMYFUNCTION("GOOGLETRANSLATE(B5663)"),"冰雹")</f>
        <v>冰雹</v>
      </c>
    </row>
    <row r="5664" ht="15.75" customHeight="1">
      <c r="A5664" s="4">
        <v>5827.0</v>
      </c>
      <c r="B5664" s="4" t="s">
        <v>2685</v>
      </c>
      <c r="C5664" s="4" t="s">
        <v>8309</v>
      </c>
      <c r="D5664" s="4" t="s">
        <v>8310</v>
      </c>
      <c r="E5664" s="4">
        <v>0.0</v>
      </c>
      <c r="F5664" s="4" t="str">
        <f>IFERROR(__xludf.DUMMYFUNCTION("GOOGLETRANSLATE(D5664)"),"Kevin Tan 向廚師致敬 - Û_ 和以永續和有機烹飪為特色的綠色牧場...... http://t.co/D9xVuvp9s6")</f>
        <v>Kevin Tan 向廚師致敬 - Û_ 和以永續和有機烹飪為特色的綠色牧場...... http://t.co/D9xVuvp9s6</v>
      </c>
      <c r="G5664" s="4" t="str">
        <f>IFERROR(__xludf.DUMMYFUNCTION("GOOGLETRANSLATE(B5664)"),"冰雹")</f>
        <v>冰雹</v>
      </c>
    </row>
    <row r="5665" ht="15.75" customHeight="1">
      <c r="A5665" s="4">
        <v>5828.0</v>
      </c>
      <c r="B5665" s="4" t="s">
        <v>2685</v>
      </c>
      <c r="C5665" s="4" t="s">
        <v>974</v>
      </c>
      <c r="D5665" s="4" t="s">
        <v>8311</v>
      </c>
      <c r="E5665" s="4">
        <v>0.0</v>
      </c>
      <c r="F5665" s="4" t="str">
        <f>IFERROR(__xludf.DUMMYFUNCTION("GOOGLETRANSLATE(D5665)"),"新凱撒萬歲！ http://t.co/GzMoBlsJxu http://t.co/5CGtqfk2uR")</f>
        <v>新凱撒萬歲！ http://t.co/GzMoBlsJxu http://t.co/5CGtqfk2uR</v>
      </c>
      <c r="G5665" s="4" t="str">
        <f>IFERROR(__xludf.DUMMYFUNCTION("GOOGLETRANSLATE(B5665)"),"冰雹")</f>
        <v>冰雹</v>
      </c>
    </row>
    <row r="5666" ht="15.75" customHeight="1">
      <c r="A5666" s="4">
        <v>5832.0</v>
      </c>
      <c r="B5666" s="4" t="s">
        <v>2685</v>
      </c>
      <c r="C5666" s="4" t="s">
        <v>8312</v>
      </c>
      <c r="D5666" s="4" t="s">
        <v>8313</v>
      </c>
      <c r="E5666" s="4">
        <v>0.0</v>
      </c>
      <c r="F5666" s="4" t="str">
        <f>IFERROR(__xludf.DUMMYFUNCTION("GOOGLETRANSLATE(D5666)"),"@DarkNdTatted 拉起福爾摩斯！")</f>
        <v>@DarkNdTatted 拉起福爾摩斯！</v>
      </c>
      <c r="G5666" s="4" t="str">
        <f>IFERROR(__xludf.DUMMYFUNCTION("GOOGLETRANSLATE(B5666)"),"冰雹")</f>
        <v>冰雹</v>
      </c>
    </row>
    <row r="5667" ht="15.75" customHeight="1">
      <c r="A5667" s="4">
        <v>5836.0</v>
      </c>
      <c r="B5667" s="4" t="s">
        <v>2708</v>
      </c>
      <c r="C5667" s="4" t="s">
        <v>38</v>
      </c>
      <c r="D5667" s="4" t="s">
        <v>8314</v>
      </c>
      <c r="E5667" s="4">
        <v>0.0</v>
      </c>
      <c r="F5667" s="4" t="str">
        <f>IFERROR(__xludf.DUMMYFUNCTION("GOOGLETRANSLATE(D5667)"),"@Haley_Whaley Hailstorm 嘿，有一個秘密技巧可以獲得 375.000 顆寶石 Clash ofClans 現在就在我的個人資料上查看它們")</f>
        <v>@Haley_Whaley Hailstorm 嘿，有一個秘密技巧可以獲得 375.000 顆寶石 Clash ofClans 現在就在我的個人資料上查看它們</v>
      </c>
      <c r="G5667" s="4" t="str">
        <f>IFERROR(__xludf.DUMMYFUNCTION("GOOGLETRANSLATE(B5667)"),"冰雹")</f>
        <v>冰雹</v>
      </c>
    </row>
    <row r="5668" ht="15.75" customHeight="1">
      <c r="A5668" s="4">
        <v>5837.0</v>
      </c>
      <c r="B5668" s="4" t="s">
        <v>2708</v>
      </c>
      <c r="C5668" s="4" t="s">
        <v>8315</v>
      </c>
      <c r="D5668" s="4" t="s">
        <v>8316</v>
      </c>
      <c r="E5668" s="4">
        <v>0.0</v>
      </c>
      <c r="F5668" s="4" t="str">
        <f>IFERROR(__xludf.DUMMYFUNCTION("GOOGLETRANSLATE(D5668)"),"卡加利交通幹得好！ http://t.co/RGOGUyt0LF")</f>
        <v>卡加利交通幹得好！ http://t.co/RGOGUyt0LF</v>
      </c>
      <c r="G5668" s="4" t="str">
        <f>IFERROR(__xludf.DUMMYFUNCTION("GOOGLETRANSLATE(B5668)"),"冰雹")</f>
        <v>冰雹</v>
      </c>
    </row>
    <row r="5669" ht="15.75" customHeight="1">
      <c r="A5669" s="4">
        <v>5842.0</v>
      </c>
      <c r="B5669" s="4" t="s">
        <v>2708</v>
      </c>
      <c r="D5669" s="4" t="s">
        <v>8317</v>
      </c>
      <c r="E5669" s="4">
        <v>0.0</v>
      </c>
      <c r="F5669" s="4" t="str">
        <f>IFERROR(__xludf.DUMMYFUNCTION("GOOGLETRANSLATE(D5669)"),"冰雹：使用者召喚一場持續五回合的冰雹。它會傷害除冰係以外的所有神奇寶貝。")</f>
        <v>冰雹：使用者召喚一場持續五回合的冰雹。它會傷害除冰係以外的所有神奇寶貝。</v>
      </c>
      <c r="G5669" s="4" t="str">
        <f>IFERROR(__xludf.DUMMYFUNCTION("GOOGLETRANSLATE(B5669)"),"冰雹")</f>
        <v>冰雹</v>
      </c>
    </row>
    <row r="5670" ht="15.75" customHeight="1">
      <c r="A5670" s="4">
        <v>5843.0</v>
      </c>
      <c r="B5670" s="4" t="s">
        <v>2708</v>
      </c>
      <c r="C5670" s="4" t="s">
        <v>8318</v>
      </c>
      <c r="D5670" s="4" t="s">
        <v>8319</v>
      </c>
      <c r="E5670" s="4">
        <v>0.0</v>
      </c>
      <c r="F5670" s="4" t="str">
        <f>IFERROR(__xludf.DUMMYFUNCTION("GOOGLETRANSLATE(D5670)"),"卡加利新聞 8 月 5 日 * ~ 90 日天氣和交通 http://t.co/qBdRYXSGlC http://t.co/VZOd7qFFlv")</f>
        <v>卡加利新聞 8 月 5 日 * ~ 90 日天氣和交通 http://t.co/qBdRYXSGlC http://t.co/VZOd7qFFlv</v>
      </c>
      <c r="G5670" s="4" t="str">
        <f>IFERROR(__xludf.DUMMYFUNCTION("GOOGLETRANSLATE(B5670)"),"冰雹")</f>
        <v>冰雹</v>
      </c>
    </row>
    <row r="5671" ht="15.75" customHeight="1">
      <c r="A5671" s="4">
        <v>5853.0</v>
      </c>
      <c r="B5671" s="4" t="s">
        <v>2708</v>
      </c>
      <c r="C5671" s="4" t="s">
        <v>8320</v>
      </c>
      <c r="D5671" s="4" t="s">
        <v>8321</v>
      </c>
      <c r="E5671" s="4">
        <v>0.0</v>
      </c>
      <c r="F5671" s="4" t="str">
        <f>IFERROR(__xludf.DUMMYFUNCTION("GOOGLETRANSLATE(D5671)"),"那些我發誓捍衛的人已經證明自己是冰雹眾議院的朋友。")</f>
        <v>那些我發誓捍衛的人已經證明自己是冰雹眾議院的朋友。</v>
      </c>
      <c r="G5671" s="4" t="str">
        <f>IFERROR(__xludf.DUMMYFUNCTION("GOOGLETRANSLATE(B5671)"),"冰雹")</f>
        <v>冰雹</v>
      </c>
    </row>
    <row r="5672" ht="15.75" customHeight="1">
      <c r="A5672" s="4">
        <v>5867.0</v>
      </c>
      <c r="B5672" s="4" t="s">
        <v>2708</v>
      </c>
      <c r="D5672" s="4" t="s">
        <v>8322</v>
      </c>
      <c r="E5672" s="4">
        <v>0.0</v>
      </c>
      <c r="F5672" s="4" t="str">
        <f>IFERROR(__xludf.DUMMYFUNCTION("GOOGLETRANSLATE(D5672)"),"我最喜歡的文字 http://t.co/5U5GAkX2ch")</f>
        <v>我最喜歡的文字 http://t.co/5U5GAkX2ch</v>
      </c>
      <c r="G5672" s="4" t="str">
        <f>IFERROR(__xludf.DUMMYFUNCTION("GOOGLETRANSLATE(B5672)"),"冰雹")</f>
        <v>冰雹</v>
      </c>
    </row>
    <row r="5673" ht="15.75" customHeight="1">
      <c r="A5673" s="4">
        <v>5869.0</v>
      </c>
      <c r="B5673" s="4" t="s">
        <v>2708</v>
      </c>
      <c r="C5673" s="4" t="s">
        <v>8323</v>
      </c>
      <c r="D5673" s="4" t="s">
        <v>8324</v>
      </c>
      <c r="E5673" s="4">
        <v>0.0</v>
      </c>
      <c r="F5673" s="4" t="str">
        <f>IFERROR(__xludf.DUMMYFUNCTION("GOOGLETRANSLATE(D5673)"),"如果你想在工作中休息一下......你必須做得對！ #CarlilesCanoeLivery #LoveMyJob http://t.co/Zo8RsqURa2")</f>
        <v>如果你想在工作中休息一下......你必須做得對！ #CarlilesCanoeLivery #LoveMyJob http://t.co/Zo8RsqURa2</v>
      </c>
      <c r="G5673" s="4" t="str">
        <f>IFERROR(__xludf.DUMMYFUNCTION("GOOGLETRANSLATE(B5673)"),"冰雹")</f>
        <v>冰雹</v>
      </c>
    </row>
    <row r="5674" ht="15.75" customHeight="1">
      <c r="A5674" s="4">
        <v>5875.0</v>
      </c>
      <c r="B5674" s="4" t="s">
        <v>2708</v>
      </c>
      <c r="C5674" s="4" t="s">
        <v>8318</v>
      </c>
      <c r="D5674" s="4" t="s">
        <v>8325</v>
      </c>
      <c r="E5674" s="4">
        <v>0.0</v>
      </c>
      <c r="F5674" s="4" t="str">
        <f>IFERROR(__xludf.DUMMYFUNCTION("GOOGLETRANSLATE(D5674)"),"卡加利新聞 8 月 5 日 * ~ 45 日天氣和交通 http://t.co/zAGBMlSf4H http://t.co/HVYXehXBmq")</f>
        <v>卡加利新聞 8 月 5 日 * ~ 45 日天氣和交通 http://t.co/zAGBMlSf4H http://t.co/HVYXehXBmq</v>
      </c>
      <c r="G5674" s="4" t="str">
        <f>IFERROR(__xludf.DUMMYFUNCTION("GOOGLETRANSLATE(B5674)"),"冰雹")</f>
        <v>冰雹</v>
      </c>
    </row>
    <row r="5675" ht="15.75" customHeight="1">
      <c r="A5675" s="4">
        <v>5885.0</v>
      </c>
      <c r="B5675" s="4" t="s">
        <v>2746</v>
      </c>
      <c r="C5675" s="4" t="s">
        <v>334</v>
      </c>
      <c r="D5675" s="4" t="s">
        <v>8326</v>
      </c>
      <c r="E5675" s="4">
        <v>0.0</v>
      </c>
      <c r="F5675" s="4" t="str">
        <f>IFERROR(__xludf.DUMMYFUNCTION("GOOGLETRANSLATE(D5675)"),"品質指標處罰可能會損害病患照護 PCP 表示：初級保健醫生通常對... http://t.co/TdwprVB04y")</f>
        <v>品質指標處罰可能會損害病患照護 PCP 表示：初級保健醫生通常對... http://t.co/TdwprVB04y</v>
      </c>
      <c r="G5675" s="4" t="str">
        <f>IFERROR(__xludf.DUMMYFUNCTION("GOOGLETRANSLATE(B5675)"),"傷害")</f>
        <v>傷害</v>
      </c>
    </row>
    <row r="5676" ht="15.75" customHeight="1">
      <c r="A5676" s="4">
        <v>5886.0</v>
      </c>
      <c r="B5676" s="4" t="s">
        <v>2746</v>
      </c>
      <c r="C5676" s="4" t="s">
        <v>913</v>
      </c>
      <c r="D5676" s="4" t="s">
        <v>8327</v>
      </c>
      <c r="E5676" s="4">
        <v>0.0</v>
      </c>
      <c r="F5676" s="4" t="str">
        <f>IFERROR(__xludf.DUMMYFUNCTION("GOOGLETRANSLATE(D5676)"),"@tareksocal 我認為很多名人必須像對待可能傷害他們一樣對待人們")</f>
        <v>@tareksocal 我認為很多名人必須像對待可能傷害他們一樣對待人們</v>
      </c>
      <c r="G5676" s="4" t="str">
        <f>IFERROR(__xludf.DUMMYFUNCTION("GOOGLETRANSLATE(B5676)"),"傷害")</f>
        <v>傷害</v>
      </c>
    </row>
    <row r="5677" ht="15.75" customHeight="1">
      <c r="A5677" s="4">
        <v>5887.0</v>
      </c>
      <c r="B5677" s="4" t="s">
        <v>2746</v>
      </c>
      <c r="D5677" s="4" t="s">
        <v>8328</v>
      </c>
      <c r="E5677" s="4">
        <v>0.0</v>
      </c>
      <c r="F5677" s="4" t="str">
        <f>IFERROR(__xludf.DUMMYFUNCTION("GOOGLETRANSLATE(D5677)"),"棍棒和石頭可能會打斷我的骨頭
但言語永遠不會傷害我")</f>
        <v>棍棒和石頭可能會打斷我的骨頭
但言語永遠不會傷害我</v>
      </c>
      <c r="G5677" s="4" t="str">
        <f>IFERROR(__xludf.DUMMYFUNCTION("GOOGLETRANSLATE(B5677)"),"傷害")</f>
        <v>傷害</v>
      </c>
    </row>
    <row r="5678" ht="15.75" customHeight="1">
      <c r="A5678" s="4">
        <v>5888.0</v>
      </c>
      <c r="B5678" s="4" t="s">
        <v>2746</v>
      </c>
      <c r="D5678" s="4" t="s">
        <v>8329</v>
      </c>
      <c r="E5678" s="4">
        <v>0.0</v>
      </c>
      <c r="F5678" s="4" t="str">
        <f>IFERROR(__xludf.DUMMYFUNCTION("GOOGLETRANSLATE(D5678)"),"我s2g如果有人試圖傷害我的紙杯蛋糕我他媽的會追捕你直到地球的盡頭#HarryBeCareful")</f>
        <v>我s2g如果有人試圖傷害我的紙杯蛋糕我他媽的會追捕你直到地球的盡頭#HarryBeCareful</v>
      </c>
      <c r="G5678" s="4" t="str">
        <f>IFERROR(__xludf.DUMMYFUNCTION("GOOGLETRANSLATE(B5678)"),"傷害")</f>
        <v>傷害</v>
      </c>
    </row>
    <row r="5679" ht="15.75" customHeight="1">
      <c r="A5679" s="4">
        <v>5889.0</v>
      </c>
      <c r="B5679" s="4" t="s">
        <v>2746</v>
      </c>
      <c r="C5679" s="4" t="s">
        <v>3173</v>
      </c>
      <c r="D5679" s="4" t="s">
        <v>8330</v>
      </c>
      <c r="E5679" s="4">
        <v>0.0</v>
      </c>
      <c r="F5679" s="4" t="str">
        <f>IFERROR(__xludf.DUMMYFUNCTION("GOOGLETRANSLATE(D5679)"),"范德比爾特：首先不造成傷害 http://t.co/cCdx7CGlQW")</f>
        <v>范德比爾特：首先不造成傷害 http://t.co/cCdx7CGlQW</v>
      </c>
      <c r="G5679" s="4" t="str">
        <f>IFERROR(__xludf.DUMMYFUNCTION("GOOGLETRANSLATE(B5679)"),"傷害")</f>
        <v>傷害</v>
      </c>
    </row>
    <row r="5680" ht="15.75" customHeight="1">
      <c r="A5680" s="4">
        <v>5892.0</v>
      </c>
      <c r="B5680" s="4" t="s">
        <v>2746</v>
      </c>
      <c r="D5680" s="4" t="s">
        <v>8331</v>
      </c>
      <c r="E5680" s="4">
        <v>0.0</v>
      </c>
      <c r="F5680" s="4" t="str">
        <f>IFERROR(__xludf.DUMMYFUNCTION("GOOGLETRANSLATE(D5680)"),"「但現在你只是被他們惹惱了。如果你真的和他們一起出去玩，你會發現他們並沒有惡意。 @AudaciousSpunk")</f>
        <v>「但現在你只是被他們惹惱了。如果你真的和他們一起出去玩，你會發現他們並沒有惡意。 @AudaciousSpunk</v>
      </c>
      <c r="G5680" s="4" t="str">
        <f>IFERROR(__xludf.DUMMYFUNCTION("GOOGLETRANSLATE(B5680)"),"傷害")</f>
        <v>傷害</v>
      </c>
    </row>
    <row r="5681" ht="15.75" customHeight="1">
      <c r="A5681" s="4">
        <v>5893.0</v>
      </c>
      <c r="B5681" s="4" t="s">
        <v>2746</v>
      </c>
      <c r="C5681" s="4" t="s">
        <v>8332</v>
      </c>
      <c r="D5681" s="4" t="s">
        <v>8333</v>
      </c>
      <c r="E5681" s="4">
        <v>0.0</v>
      </c>
      <c r="F5681" s="4" t="str">
        <f>IFERROR(__xludf.DUMMYFUNCTION("GOOGLETRANSLATE(D5681)"),"我以前燒傷過自己，但不是以自殘的方式，我是個笨蛋，不應該讓我在火邊")</f>
        <v>我以前燒傷過自己，但不是以自殘的方式，我是個笨蛋，不應該讓我在火邊</v>
      </c>
      <c r="G5681" s="4" t="str">
        <f>IFERROR(__xludf.DUMMYFUNCTION("GOOGLETRANSLATE(B5681)"),"傷害")</f>
        <v>傷害</v>
      </c>
    </row>
    <row r="5682" ht="15.75" customHeight="1">
      <c r="A5682" s="4">
        <v>5894.0</v>
      </c>
      <c r="B5682" s="4" t="s">
        <v>2746</v>
      </c>
      <c r="C5682" s="4" t="s">
        <v>8334</v>
      </c>
      <c r="D5682" s="4" t="s">
        <v>8335</v>
      </c>
      <c r="E5682" s="4">
        <v>0.0</v>
      </c>
      <c r="F5682" s="4" t="str">
        <f>IFERROR(__xludf.DUMMYFUNCTION("GOOGLETRANSLATE(D5682)"),"我同意。和孩子相處的時間越長，傷害就越大嗎？嗯 https://t.co/dxwfX56pWh")</f>
        <v>我同意。和孩子相處的時間越長，傷害就越大嗎？嗯 https://t.co/dxwfX56pWh</v>
      </c>
      <c r="G5682" s="4" t="str">
        <f>IFERROR(__xludf.DUMMYFUNCTION("GOOGLETRANSLATE(B5682)"),"傷害")</f>
        <v>傷害</v>
      </c>
    </row>
    <row r="5683" ht="15.75" customHeight="1">
      <c r="A5683" s="4">
        <v>5896.0</v>
      </c>
      <c r="B5683" s="4" t="s">
        <v>2746</v>
      </c>
      <c r="C5683" s="4" t="s">
        <v>8336</v>
      </c>
      <c r="D5683" s="4" t="s">
        <v>8337</v>
      </c>
      <c r="E5683" s="4">
        <v>0.0</v>
      </c>
      <c r="F5683" s="4" t="str">
        <f>IFERROR(__xludf.DUMMYFUNCTION("GOOGLETRANSLATE(D5683)"),"人們不給自殘貼上標籤，這讓我很生氣")</f>
        <v>人們不給自殘貼上標籤，這讓我很生氣</v>
      </c>
      <c r="G5683" s="4" t="str">
        <f>IFERROR(__xludf.DUMMYFUNCTION("GOOGLETRANSLATE(B5683)"),"傷害")</f>
        <v>傷害</v>
      </c>
    </row>
    <row r="5684" ht="15.75" customHeight="1">
      <c r="A5684" s="4">
        <v>5898.0</v>
      </c>
      <c r="B5684" s="4" t="s">
        <v>2746</v>
      </c>
      <c r="C5684" s="4" t="s">
        <v>2747</v>
      </c>
      <c r="D5684" s="4" t="s">
        <v>8338</v>
      </c>
      <c r="E5684" s="4">
        <v>0.0</v>
      </c>
      <c r="F5684" s="4" t="str">
        <f>IFERROR(__xludf.DUMMYFUNCTION("GOOGLETRANSLATE(D5684)"),"@dinallyhot 喜歡你選的！因為有你，我們才能演奏 FIFTH HARM/KID INK 的《WORTH IT》！聽&amp;amp;投票：http://t.co/0wrATkA2jL")</f>
        <v>@dinallyhot 喜歡你選的！因為有你，我們才能演奏 FIFTH HARM/KID INK 的《WORTH IT》！聽&amp;amp;投票：http://t.co/0wrATkA2jL</v>
      </c>
      <c r="G5684" s="4" t="str">
        <f>IFERROR(__xludf.DUMMYFUNCTION("GOOGLETRANSLATE(B5684)"),"傷害")</f>
        <v>傷害</v>
      </c>
    </row>
    <row r="5685" ht="15.75" customHeight="1">
      <c r="A5685" s="4">
        <v>5899.0</v>
      </c>
      <c r="B5685" s="4" t="s">
        <v>2746</v>
      </c>
      <c r="D5685" s="4" t="s">
        <v>8339</v>
      </c>
      <c r="E5685" s="4">
        <v>0.0</v>
      </c>
      <c r="F5685" s="4" t="str">
        <f>IFERROR(__xludf.DUMMYFUNCTION("GOOGLETRANSLATE(D5685)"),"我不祈求對 ISIS 成員造成傷害。我祈禱他們能體驗上帝和上帝重新啟動生命的愛。在上帝令人興奮的最後一幕中成為“保羅”")</f>
        <v>我不祈求對 ISIS 成員造成傷害。我祈禱他們能體驗上帝和上帝重新啟動生命的愛。在上帝令人興奮的最後一幕中成為“保羅”</v>
      </c>
      <c r="G5685" s="4" t="str">
        <f>IFERROR(__xludf.DUMMYFUNCTION("GOOGLETRANSLATE(B5685)"),"傷害")</f>
        <v>傷害</v>
      </c>
    </row>
    <row r="5686" ht="15.75" customHeight="1">
      <c r="A5686" s="4">
        <v>5900.0</v>
      </c>
      <c r="B5686" s="4" t="s">
        <v>2746</v>
      </c>
      <c r="C5686" s="4" t="s">
        <v>2335</v>
      </c>
      <c r="D5686" s="4" t="s">
        <v>8340</v>
      </c>
      <c r="E5686" s="4">
        <v>0.0</v>
      </c>
      <c r="F5686" s="4" t="str">
        <f>IFERROR(__xludf.DUMMYFUNCTION("GOOGLETRANSLATE(D5686)"),"布法羅 198 號公路的安全改進是否弊大於利？ http://t.co/rqlPSAYE3B")</f>
        <v>布法羅 198 號公路的安全改進是否弊大於利？ http://t.co/rqlPSAYE3B</v>
      </c>
      <c r="G5686" s="4" t="str">
        <f>IFERROR(__xludf.DUMMYFUNCTION("GOOGLETRANSLATE(B5686)"),"傷害")</f>
        <v>傷害</v>
      </c>
    </row>
    <row r="5687" ht="15.75" customHeight="1">
      <c r="A5687" s="4">
        <v>5901.0</v>
      </c>
      <c r="B5687" s="4" t="s">
        <v>2746</v>
      </c>
      <c r="D5687" s="4" t="s">
        <v>8341</v>
      </c>
      <c r="E5687" s="4">
        <v>0.0</v>
      </c>
      <c r="F5687" s="4" t="str">
        <f>IFERROR(__xludf.DUMMYFUNCTION("GOOGLETRANSLATE(D5687)"),"內心的人是否任性地走上了取代線上調查的傷害之路？：qZLOreMfT")</f>
        <v>內心的人是否任性地走上了取代線上調查的傷害之路？：qZLOreMfT</v>
      </c>
      <c r="G5687" s="4" t="str">
        <f>IFERROR(__xludf.DUMMYFUNCTION("GOOGLETRANSLATE(B5687)"),"傷害")</f>
        <v>傷害</v>
      </c>
    </row>
    <row r="5688" ht="15.75" customHeight="1">
      <c r="A5688" s="4">
        <v>5902.0</v>
      </c>
      <c r="B5688" s="4" t="s">
        <v>2746</v>
      </c>
      <c r="C5688" s="4" t="s">
        <v>8342</v>
      </c>
      <c r="D5688" s="4" t="s">
        <v>8343</v>
      </c>
      <c r="E5688" s="4">
        <v>0.0</v>
      </c>
      <c r="F5688" s="4" t="str">
        <f>IFERROR(__xludf.DUMMYFUNCTION("GOOGLETRANSLATE(D5688)"),"如果發生任何事情，我他媽的會飛 2 架大都會人壽，距離我 3 小時路程，並且擊敗任何嘗試 2 個傷害男孩的人#OTRATMETLIFE")</f>
        <v>如果發生任何事情，我他媽的會飛 2 架大都會人壽，距離我 3 小時路程，並且擊敗任何嘗試 2 個傷害男孩的人#OTRATMETLIFE</v>
      </c>
      <c r="G5688" s="4" t="str">
        <f>IFERROR(__xludf.DUMMYFUNCTION("GOOGLETRANSLATE(B5688)"),"傷害")</f>
        <v>傷害</v>
      </c>
    </row>
    <row r="5689" ht="15.75" customHeight="1">
      <c r="A5689" s="4">
        <v>5904.0</v>
      </c>
      <c r="B5689" s="4" t="s">
        <v>2746</v>
      </c>
      <c r="C5689" s="4" t="s">
        <v>800</v>
      </c>
      <c r="D5689" s="4" t="s">
        <v>8344</v>
      </c>
      <c r="E5689" s="4">
        <v>0.0</v>
      </c>
      <c r="F5689" s="4" t="str">
        <f>IFERROR(__xludf.DUMMYFUNCTION("GOOGLETRANSLATE(D5689)"),"標準化測試如何傷害有色人種兒童以及我們可以採取哪些措施 http://t.co/iD667rlEts 通過 @ParentsAcrossAm 抄送：@billgates")</f>
        <v>標準化測試如何傷害有色人種兒童以及我們可以採取哪些措施 http://t.co/iD667rlEts 通過 @ParentsAcrossAm 抄送：@billgates</v>
      </c>
      <c r="G5689" s="4" t="str">
        <f>IFERROR(__xludf.DUMMYFUNCTION("GOOGLETRANSLATE(B5689)"),"傷害")</f>
        <v>傷害</v>
      </c>
    </row>
    <row r="5690" ht="15.75" customHeight="1">
      <c r="A5690" s="4">
        <v>5905.0</v>
      </c>
      <c r="B5690" s="4" t="s">
        <v>2746</v>
      </c>
      <c r="C5690" s="4" t="s">
        <v>8345</v>
      </c>
      <c r="D5690" s="4" t="s">
        <v>8346</v>
      </c>
      <c r="E5690" s="4">
        <v>0.0</v>
      </c>
      <c r="F5690" s="4" t="str">
        <f>IFERROR(__xludf.DUMMYFUNCTION("GOOGLETRANSLATE(D5690)"),"因為我知道我為你制定的計劃，主宣稱，計劃使你繁榮而不是傷害你計劃... http://t.co/cIrTVml9Vp")</f>
        <v>因為我知道我為你制定的計劃，主宣稱，計劃使你繁榮而不是傷害你計劃... http://t.co/cIrTVml9Vp</v>
      </c>
      <c r="G5690" s="4" t="str">
        <f>IFERROR(__xludf.DUMMYFUNCTION("GOOGLETRANSLATE(B5690)"),"傷害")</f>
        <v>傷害</v>
      </c>
    </row>
    <row r="5691" ht="15.75" customHeight="1">
      <c r="A5691" s="4">
        <v>5906.0</v>
      </c>
      <c r="B5691" s="4" t="s">
        <v>2746</v>
      </c>
      <c r="D5691" s="4" t="s">
        <v>8347</v>
      </c>
      <c r="E5691" s="4">
        <v>0.0</v>
      </c>
      <c r="F5691" s="4" t="str">
        <f>IFERROR(__xludf.DUMMYFUNCTION("GOOGLETRANSLATE(D5691)"),"@lauren_miller_7 她不會傷害你")</f>
        <v>@lauren_miller_7 她不會傷害你</v>
      </c>
      <c r="G5691" s="4" t="str">
        <f>IFERROR(__xludf.DUMMYFUNCTION("GOOGLETRANSLATE(B5691)"),"傷害")</f>
        <v>傷害</v>
      </c>
    </row>
    <row r="5692" ht="15.75" customHeight="1">
      <c r="A5692" s="4">
        <v>5907.0</v>
      </c>
      <c r="B5692" s="4" t="s">
        <v>2746</v>
      </c>
      <c r="D5692" s="4" t="s">
        <v>8348</v>
      </c>
      <c r="E5692" s="4">
        <v>0.0</v>
      </c>
      <c r="F5692" s="4" t="str">
        <f>IFERROR(__xludf.DUMMYFUNCTION("GOOGLETRANSLATE(D5692)"),"@angel_star39 歐巴馬應該有責任將這些非法移民帶進來，他的家人得到了很好的保護，免受傷害。沒有感覺或心臟 4 人")</f>
        <v>@angel_star39 歐巴馬應該有責任將這些非法移民帶進來，他的家人得到了很好的保護，免受傷害。沒有感覺或心臟 4 人</v>
      </c>
      <c r="G5692" s="4" t="str">
        <f>IFERROR(__xludf.DUMMYFUNCTION("GOOGLETRANSLATE(B5692)"),"傷害")</f>
        <v>傷害</v>
      </c>
    </row>
    <row r="5693" ht="15.75" customHeight="1">
      <c r="A5693" s="4">
        <v>5908.0</v>
      </c>
      <c r="B5693" s="4" t="s">
        <v>2746</v>
      </c>
      <c r="C5693" s="4" t="s">
        <v>7993</v>
      </c>
      <c r="D5693" s="4" t="s">
        <v>8349</v>
      </c>
      <c r="E5693" s="4">
        <v>0.0</v>
      </c>
      <c r="F5693" s="4" t="str">
        <f>IFERROR(__xludf.DUMMYFUNCTION("GOOGLETRANSLATE(D5693)"),"我一直想以我認為最適合的方式傷害你？")</f>
        <v>我一直想以我認為最適合的方式傷害你？</v>
      </c>
      <c r="G5693" s="4" t="str">
        <f>IFERROR(__xludf.DUMMYFUNCTION("GOOGLETRANSLATE(B5693)"),"傷害")</f>
        <v>傷害</v>
      </c>
    </row>
    <row r="5694" ht="15.75" customHeight="1">
      <c r="A5694" s="4">
        <v>5909.0</v>
      </c>
      <c r="B5694" s="4" t="s">
        <v>2746</v>
      </c>
      <c r="C5694" s="4" t="s">
        <v>8350</v>
      </c>
      <c r="D5694" s="4" t="s">
        <v>8351</v>
      </c>
      <c r="E5694" s="4">
        <v>0.0</v>
      </c>
      <c r="F5694" s="4" t="str">
        <f>IFERROR(__xludf.DUMMYFUNCTION("GOOGLETRANSLATE(D5694)"),"@VileLunar 我用普通控制器他媽的無限褪色太傷害了&gt;:(")</f>
        <v>@VileLunar 我用普通控制器他媽的無限褪色太傷害了&gt;:(</v>
      </c>
      <c r="G5694" s="4" t="str">
        <f>IFERROR(__xludf.DUMMYFUNCTION("GOOGLETRANSLATE(B5694)"),"傷害")</f>
        <v>傷害</v>
      </c>
    </row>
    <row r="5695" ht="15.75" customHeight="1">
      <c r="A5695" s="4">
        <v>5911.0</v>
      </c>
      <c r="B5695" s="4" t="s">
        <v>2746</v>
      </c>
      <c r="C5695" s="4" t="s">
        <v>8352</v>
      </c>
      <c r="D5695" s="4" t="s">
        <v>8353</v>
      </c>
      <c r="E5695" s="4">
        <v>0.0</v>
      </c>
      <c r="F5695" s="4" t="str">
        <f>IFERROR(__xludf.DUMMYFUNCTION("GOOGLETRANSLATE(D5695)"),"性工作者表示信用卡網路廣告禁令弊大於利 http://t.co/B9Zx2xZ6aW")</f>
        <v>性工作者表示信用卡網路廣告禁令弊大於利 http://t.co/B9Zx2xZ6aW</v>
      </c>
      <c r="G5695" s="4" t="str">
        <f>IFERROR(__xludf.DUMMYFUNCTION("GOOGLETRANSLATE(B5695)"),"傷害")</f>
        <v>傷害</v>
      </c>
    </row>
    <row r="5696" ht="15.75" customHeight="1">
      <c r="A5696" s="4">
        <v>5912.0</v>
      </c>
      <c r="B5696" s="4" t="s">
        <v>2746</v>
      </c>
      <c r="C5696" s="4" t="s">
        <v>8354</v>
      </c>
      <c r="D5696" s="4" t="s">
        <v>8355</v>
      </c>
      <c r="E5696" s="4">
        <v>0.0</v>
      </c>
      <c r="F5696" s="4" t="str">
        <f>IFERROR(__xludf.DUMMYFUNCTION("GOOGLETRANSLATE(D5696)"),"怎麼會有人傷害這個天使！！ https://t.co/VgzGOK5k3S")</f>
        <v>怎麼會有人傷害這個天使！！ https://t.co/VgzGOK5k3S</v>
      </c>
      <c r="G5696" s="4" t="str">
        <f>IFERROR(__xludf.DUMMYFUNCTION("GOOGLETRANSLATE(B5696)"),"傷害")</f>
        <v>傷害</v>
      </c>
    </row>
    <row r="5697" ht="15.75" customHeight="1">
      <c r="A5697" s="4">
        <v>5913.0</v>
      </c>
      <c r="B5697" s="4" t="s">
        <v>2746</v>
      </c>
      <c r="C5697" s="4" t="s">
        <v>8356</v>
      </c>
      <c r="D5697" s="4" t="s">
        <v>8357</v>
      </c>
      <c r="E5697" s="4">
        <v>0.0</v>
      </c>
      <c r="F5697" s="4" t="str">
        <f>IFERROR(__xludf.DUMMYFUNCTION("GOOGLETRANSLATE(D5697)"),"如果有人要傷害男孩們，他們會立即被帶走，不是保安，而是球迷，速度非常快")</f>
        <v>如果有人要傷害男孩們，他們會立即被帶走，不是保安，而是球迷，速度非常快</v>
      </c>
      <c r="G5697" s="4" t="str">
        <f>IFERROR(__xludf.DUMMYFUNCTION("GOOGLETRANSLATE(B5697)"),"傷害")</f>
        <v>傷害</v>
      </c>
    </row>
    <row r="5698" ht="15.75" customHeight="1">
      <c r="A5698" s="4">
        <v>5916.0</v>
      </c>
      <c r="B5698" s="4" t="s">
        <v>2746</v>
      </c>
      <c r="C5698" s="4" t="s">
        <v>8358</v>
      </c>
      <c r="D5698" s="4" t="s">
        <v>8359</v>
      </c>
      <c r="E5698" s="4">
        <v>0.0</v>
      </c>
      <c r="F5698" s="4" t="str">
        <f>IFERROR(__xludf.DUMMYFUNCTION("GOOGLETRANSLATE(D5698)"),"這麼多保安，這很好。
我敢讓他們傷害哈利#OTRAMETLIFE")</f>
        <v>這麼多保安，這很好。
我敢讓他們傷害哈利#OTRAMETLIFE</v>
      </c>
      <c r="G5698" s="4" t="str">
        <f>IFERROR(__xludf.DUMMYFUNCTION("GOOGLETRANSLATE(B5698)"),"傷害")</f>
        <v>傷害</v>
      </c>
    </row>
    <row r="5699" ht="15.75" customHeight="1">
      <c r="A5699" s="4">
        <v>5918.0</v>
      </c>
      <c r="B5699" s="4" t="s">
        <v>2746</v>
      </c>
      <c r="C5699" s="4" t="s">
        <v>8360</v>
      </c>
      <c r="D5699" s="4" t="s">
        <v>8361</v>
      </c>
      <c r="E5699" s="4">
        <v>0.0</v>
      </c>
      <c r="F5699" s="4" t="str">
        <f>IFERROR(__xludf.DUMMYFUNCTION("GOOGLETRANSLATE(D5699)"),"有人剛剛轉發了一張自殘傷疤的照片哦拜託現在是 2015 年了我們可以停下來嗎")</f>
        <v>有人剛剛轉發了一張自殘傷疤的照片哦拜託現在是 2015 年了我們可以停下來嗎</v>
      </c>
      <c r="G5699" s="4" t="str">
        <f>IFERROR(__xludf.DUMMYFUNCTION("GOOGLETRANSLATE(B5699)"),"傷害")</f>
        <v>傷害</v>
      </c>
    </row>
    <row r="5700" ht="15.75" customHeight="1">
      <c r="A5700" s="4">
        <v>5919.0</v>
      </c>
      <c r="B5700" s="4" t="s">
        <v>2746</v>
      </c>
      <c r="C5700" s="4" t="s">
        <v>8362</v>
      </c>
      <c r="D5700" s="4" t="s">
        <v>8363</v>
      </c>
      <c r="E5700" s="4">
        <v>0.0</v>
      </c>
      <c r="F5700" s="4" t="str">
        <f>IFERROR(__xludf.DUMMYFUNCTION("GOOGLETRANSLATE(D5700)"),"@wowsavannah 有什麼害處？它們是收藏品")</f>
        <v>@wowsavannah 有什麼害處？它們是收藏品</v>
      </c>
      <c r="G5700" s="4" t="str">
        <f>IFERROR(__xludf.DUMMYFUNCTION("GOOGLETRANSLATE(B5700)"),"傷害")</f>
        <v>傷害</v>
      </c>
    </row>
    <row r="5701" ht="15.75" customHeight="1">
      <c r="A5701" s="4">
        <v>5920.0</v>
      </c>
      <c r="B5701" s="4" t="s">
        <v>2746</v>
      </c>
      <c r="D5701" s="4" t="s">
        <v>8364</v>
      </c>
      <c r="E5701" s="4">
        <v>0.0</v>
      </c>
      <c r="F5701" s="4" t="str">
        <f>IFERROR(__xludf.DUMMYFUNCTION("GOOGLETRANSLATE(D5701)"),"採訪演員蘭迪歐文 A.S.K 可能有什麼危害 http://t.co/k14q8cHWKp")</f>
        <v>採訪演員蘭迪歐文 A.S.K 可能有什麼危害 http://t.co/k14q8cHWKp</v>
      </c>
      <c r="G5701" s="4" t="str">
        <f>IFERROR(__xludf.DUMMYFUNCTION("GOOGLETRANSLATE(B5701)"),"傷害")</f>
        <v>傷害</v>
      </c>
    </row>
    <row r="5702" ht="15.75" customHeight="1">
      <c r="A5702" s="4">
        <v>5921.0</v>
      </c>
      <c r="B5702" s="4" t="s">
        <v>2746</v>
      </c>
      <c r="C5702" s="4" t="s">
        <v>2747</v>
      </c>
      <c r="D5702" s="4" t="s">
        <v>8365</v>
      </c>
      <c r="E5702" s="4">
        <v>0.0</v>
      </c>
      <c r="F5702" s="4" t="str">
        <f>IFERROR(__xludf.DUMMYFUNCTION("GOOGLETRANSLATE(D5702)"),"@5hvzlaRadio 喜歡你選的！因為有你，我們才能演奏 FIFTH HARM/KID INK 的《WORTH IT》！聽&amp;amp;投票：http://t.co/0wrATkA2jL")</f>
        <v>@5hvzlaRadio 喜歡你選的！因為有你，我們才能演奏 FIFTH HARM/KID INK 的《WORTH IT》！聽&amp;amp;投票：http://t.co/0wrATkA2jL</v>
      </c>
      <c r="G5702" s="4" t="str">
        <f>IFERROR(__xludf.DUMMYFUNCTION("GOOGLETRANSLATE(B5702)"),"傷害")</f>
        <v>傷害</v>
      </c>
    </row>
    <row r="5703" ht="15.75" customHeight="1">
      <c r="A5703" s="4">
        <v>5922.0</v>
      </c>
      <c r="B5703" s="4" t="s">
        <v>2746</v>
      </c>
      <c r="C5703" s="4" t="s">
        <v>8366</v>
      </c>
      <c r="D5703" s="4" t="s">
        <v>8367</v>
      </c>
      <c r="E5703" s="4">
        <v>0.0</v>
      </c>
      <c r="F5703" s="4" t="str">
        <f>IFERROR(__xludf.DUMMYFUNCTION("GOOGLETRANSLATE(D5703)"),"我在這個世界上所擁有的就是我的兄弟，我不想看到他們受到任何傷害，我現在有點心煩意亂？")</f>
        <v>我在這個世界上所擁有的就是我的兄弟，我不想看到他們受到任何傷害，我現在有點心煩意亂？</v>
      </c>
      <c r="G5703" s="4" t="str">
        <f>IFERROR(__xludf.DUMMYFUNCTION("GOOGLETRANSLATE(B5703)"),"傷害")</f>
        <v>傷害</v>
      </c>
    </row>
    <row r="5704" ht="15.75" customHeight="1">
      <c r="A5704" s="4">
        <v>5923.0</v>
      </c>
      <c r="B5704" s="4" t="s">
        <v>2746</v>
      </c>
      <c r="C5704" s="4" t="s">
        <v>8368</v>
      </c>
      <c r="D5704" s="4" t="s">
        <v>8369</v>
      </c>
      <c r="E5704" s="4">
        <v>0.0</v>
      </c>
      <c r="F5704" s="4" t="str">
        <f>IFERROR(__xludf.DUMMYFUNCTION("GOOGLETRANSLATE(D5704)"),"@wwexdreamer 與我們交談，請不要以任何方式傷害自己，請我們關心你，如果我現在看到你，你會更好")</f>
        <v>@wwexdreamer 與我們交談，請不要以任何方式傷害自己，請我們關心你，如果我現在看到你，你會更好</v>
      </c>
      <c r="G5704" s="4" t="str">
        <f>IFERROR(__xludf.DUMMYFUNCTION("GOOGLETRANSLATE(B5704)"),"傷害")</f>
        <v>傷害</v>
      </c>
    </row>
    <row r="5705" ht="15.75" customHeight="1">
      <c r="A5705" s="4">
        <v>5927.0</v>
      </c>
      <c r="B5705" s="4" t="s">
        <v>2746</v>
      </c>
      <c r="D5705" s="4" t="s">
        <v>8370</v>
      </c>
      <c r="E5705" s="4">
        <v>0.0</v>
      </c>
      <c r="F5705" s="4" t="str">
        <f>IFERROR(__xludf.DUMMYFUNCTION("GOOGLETRANSLATE(D5705)"),"@news4buffalo 是的，如果現在有護欄的話，弊大於利，為什麼我們不能去 50。學校開學時，他們將是一個大問題")</f>
        <v>@news4buffalo 是的，如果現在有護欄的話，弊大於利，為什麼我們不能去 50。學校開學時，他們將是一個大問題</v>
      </c>
      <c r="G5705" s="4" t="str">
        <f>IFERROR(__xludf.DUMMYFUNCTION("GOOGLETRANSLATE(B5705)"),"傷害")</f>
        <v>傷害</v>
      </c>
    </row>
    <row r="5706" ht="15.75" customHeight="1">
      <c r="A5706" s="4">
        <v>5928.0</v>
      </c>
      <c r="B5706" s="4" t="s">
        <v>2746</v>
      </c>
      <c r="C5706" s="4" t="s">
        <v>955</v>
      </c>
      <c r="D5706" s="4" t="s">
        <v>8371</v>
      </c>
      <c r="E5706" s="4">
        <v>0.0</v>
      </c>
      <c r="F5706" s="4" t="str">
        <f>IFERROR(__xludf.DUMMYFUNCTION("GOOGLETRANSLATE(D5706)"),"@space_wolverine 沒有傷害，沒有犯規，需要有人說出來。")</f>
        <v>@space_wolverine 沒有傷害，沒有犯規，需要有人說出來。</v>
      </c>
      <c r="G5706" s="4" t="str">
        <f>IFERROR(__xludf.DUMMYFUNCTION("GOOGLETRANSLATE(B5706)"),"傷害")</f>
        <v>傷害</v>
      </c>
    </row>
    <row r="5707" ht="15.75" customHeight="1">
      <c r="A5707" s="4">
        <v>5929.0</v>
      </c>
      <c r="B5707" s="4" t="s">
        <v>2746</v>
      </c>
      <c r="D5707" s="4" t="s">
        <v>8372</v>
      </c>
      <c r="E5707" s="4">
        <v>0.0</v>
      </c>
      <c r="F5707" s="4" t="str">
        <f>IFERROR(__xludf.DUMMYFUNCTION("GOOGLETRANSLATE(D5707)"),"@TasteMyCupCakee lmfaooo 地獄不？？你以為？")</f>
        <v>@TasteMyCupCakee lmfaooo 地獄不？？你以為？</v>
      </c>
      <c r="G5707" s="4" t="str">
        <f>IFERROR(__xludf.DUMMYFUNCTION("GOOGLETRANSLATE(B5707)"),"傷害")</f>
        <v>傷害</v>
      </c>
    </row>
    <row r="5708" ht="15.75" customHeight="1">
      <c r="A5708" s="4">
        <v>5930.0</v>
      </c>
      <c r="B5708" s="4" t="s">
        <v>2746</v>
      </c>
      <c r="C5708" s="4" t="s">
        <v>8373</v>
      </c>
      <c r="D5708" s="4" t="s">
        <v>8374</v>
      </c>
      <c r="E5708" s="4">
        <v>0.0</v>
      </c>
      <c r="F5708" s="4" t="str">
        <f>IFERROR(__xludf.DUMMYFUNCTION("GOOGLETRANSLATE(D5708)"),"自殘//我很生氣，請在 tumblr 上標記你的傷疤，耶穌基督，我不想被觸發")</f>
        <v>自殘//我很生氣，請在 tumblr 上標記你的傷疤，耶穌基督，我不想被觸發</v>
      </c>
      <c r="G5708" s="4" t="str">
        <f>IFERROR(__xludf.DUMMYFUNCTION("GOOGLETRANSLATE(B5708)"),"傷害")</f>
        <v>傷害</v>
      </c>
    </row>
    <row r="5709" ht="15.75" customHeight="1">
      <c r="A5709" s="4">
        <v>5932.0</v>
      </c>
      <c r="B5709" s="4" t="s">
        <v>2746</v>
      </c>
      <c r="D5709" s="4" t="s">
        <v>8375</v>
      </c>
      <c r="E5709" s="4">
        <v>0.0</v>
      </c>
      <c r="F5709" s="4" t="str">
        <f>IFERROR(__xludf.DUMMYFUNCTION("GOOGLETRANSLATE(D5709)"),"@RJG0789 idk......我覺得他的電影弊大於利。它們讓我們看起來很刻板，而且色彩主義很普遍")</f>
        <v>@RJG0789 idk......我覺得他的電影弊大於利。它們讓我們看起來很刻板，而且色彩主義很普遍</v>
      </c>
      <c r="G5709" s="4" t="str">
        <f>IFERROR(__xludf.DUMMYFUNCTION("GOOGLETRANSLATE(B5709)"),"傷害")</f>
        <v>傷害</v>
      </c>
    </row>
    <row r="5710" ht="15.75" customHeight="1">
      <c r="A5710" s="4">
        <v>5933.0</v>
      </c>
      <c r="B5710" s="4" t="s">
        <v>2746</v>
      </c>
      <c r="C5710" s="4" t="s">
        <v>3057</v>
      </c>
      <c r="D5710" s="4" t="s">
        <v>8376</v>
      </c>
      <c r="E5710" s="4">
        <v>0.0</v>
      </c>
      <c r="F5710" s="4" t="str">
        <f>IFERROR(__xludf.DUMMYFUNCTION("GOOGLETRANSLATE(D5710)"),"品質指標處罰可能會損害病患照護 PCP 表示 - 初級保健醫生普遍持有正面觀點... http://t.co/0w12PwPSfx")</f>
        <v>品質指標處罰可能會損害病患照護 PCP 表示 - 初級保健醫生普遍持有正面觀點... http://t.co/0w12PwPSfx</v>
      </c>
      <c r="G5710" s="4" t="str">
        <f>IFERROR(__xludf.DUMMYFUNCTION("GOOGLETRANSLATE(B5710)"),"傷害")</f>
        <v>傷害</v>
      </c>
    </row>
    <row r="5711" ht="15.75" customHeight="1">
      <c r="A5711" s="4">
        <v>5934.0</v>
      </c>
      <c r="B5711" s="4" t="s">
        <v>2746</v>
      </c>
      <c r="C5711" s="4" t="s">
        <v>8377</v>
      </c>
      <c r="D5711" s="4" t="s">
        <v>8378</v>
      </c>
      <c r="E5711" s="4">
        <v>0.0</v>
      </c>
      <c r="F5711" s="4" t="str">
        <f>IFERROR(__xludf.DUMMYFUNCTION("GOOGLETRANSLATE(D5711)"),"政客們正在利用虛假指控來攻擊 #PlannedParenthood 和 #PlannedParenthood。傷害女性。我們沒有被愚弄#StandwithPP http://t.co/eqDm2OpYbG")</f>
        <v>政客們正在利用虛假指控來攻擊 #PlannedParenthood 和 #PlannedParenthood。傷害女性。我們沒有被愚弄#StandwithPP http://t.co/eqDm2OpYbG</v>
      </c>
      <c r="G5711" s="4" t="str">
        <f>IFERROR(__xludf.DUMMYFUNCTION("GOOGLETRANSLATE(B5711)"),"傷害")</f>
        <v>傷害</v>
      </c>
    </row>
    <row r="5712" ht="15.75" customHeight="1">
      <c r="A5712" s="4">
        <v>5935.0</v>
      </c>
      <c r="B5712" s="4" t="s">
        <v>2755</v>
      </c>
      <c r="D5712" s="4" t="s">
        <v>8379</v>
      </c>
      <c r="E5712" s="4">
        <v>0.0</v>
      </c>
      <c r="F5712" s="4" t="str">
        <f>IFERROR(__xludf.DUMMYFUNCTION("GOOGLETRANSLATE(D5712)"),"@ClassyColkett 索爾根·阿扎爾今年夏天永久轉會格拉德巴赫 lmao")</f>
        <v>@ClassyColkett 索爾根·阿扎爾今年夏天永久轉會格拉德巴赫 lmao</v>
      </c>
      <c r="G5712" s="4" t="str">
        <f>IFERROR(__xludf.DUMMYFUNCTION("GOOGLETRANSLATE(B5712)"),"冒險")</f>
        <v>冒險</v>
      </c>
    </row>
    <row r="5713" ht="15.75" customHeight="1">
      <c r="A5713" s="4">
        <v>5937.0</v>
      </c>
      <c r="B5713" s="4" t="s">
        <v>2755</v>
      </c>
      <c r="C5713" s="4" t="s">
        <v>54</v>
      </c>
      <c r="D5713" s="4" t="s">
        <v>8380</v>
      </c>
      <c r="E5713" s="4">
        <v>0.0</v>
      </c>
      <c r="F5713" s="4" t="str">
        <f>IFERROR(__xludf.DUMMYFUNCTION("GOOGLETRANSLATE(D5713)"),"#Lifestyle 它讓我噁心Ûª：嬰兒衣服被視為危險Ûª http://t.co/0XrfVidxA2 http://t.co/oIHwgEZDCk")</f>
        <v>#Lifestyle 它讓我噁心Ûª：嬰兒衣服被視為危險Ûª http://t.co/0XrfVidxA2 http://t.co/oIHwgEZDCk</v>
      </c>
      <c r="G5713" s="4" t="str">
        <f>IFERROR(__xludf.DUMMYFUNCTION("GOOGLETRANSLATE(B5713)"),"冒險")</f>
        <v>冒險</v>
      </c>
    </row>
    <row r="5714" ht="15.75" customHeight="1">
      <c r="A5714" s="4">
        <v>5938.0</v>
      </c>
      <c r="B5714" s="4" t="s">
        <v>2755</v>
      </c>
      <c r="D5714" s="4" t="s">
        <v>8381</v>
      </c>
      <c r="E5714" s="4">
        <v>0.0</v>
      </c>
      <c r="F5714" s="4" t="str">
        <f>IFERROR(__xludf.DUMMYFUNCTION("GOOGLETRANSLATE(D5714)"),"@LongBreastYat 是的，我也不認為他是精英，我認為阿扎爾也是更好的球員。但幅度不大")</f>
        <v>@LongBreastYat 是的，我也不認為他是精英，我認為阿扎爾也是更好的球員。但幅度不大</v>
      </c>
      <c r="G5714" s="4" t="str">
        <f>IFERROR(__xludf.DUMMYFUNCTION("GOOGLETRANSLATE(B5714)"),"冒險")</f>
        <v>冒險</v>
      </c>
    </row>
    <row r="5715" ht="15.75" customHeight="1">
      <c r="A5715" s="4">
        <v>5942.0</v>
      </c>
      <c r="B5715" s="4" t="s">
        <v>2755</v>
      </c>
      <c r="C5715" s="4" t="s">
        <v>3292</v>
      </c>
      <c r="D5715" s="4" t="s">
        <v>8382</v>
      </c>
      <c r="E5715" s="4">
        <v>0.0</v>
      </c>
      <c r="F5715" s="4" t="str">
        <f>IFERROR(__xludf.DUMMYFUNCTION("GOOGLETRANSLATE(D5715)"),"看到沒有鬍子的阿札爾就像... http://t.co/IPfzWWNXXP")</f>
        <v>看到沒有鬍子的阿札爾就像... http://t.co/IPfzWWNXXP</v>
      </c>
      <c r="G5715" s="4" t="str">
        <f>IFERROR(__xludf.DUMMYFUNCTION("GOOGLETRANSLATE(B5715)"),"冒險")</f>
        <v>冒險</v>
      </c>
    </row>
    <row r="5716" ht="15.75" customHeight="1">
      <c r="A5716" s="4">
        <v>5943.0</v>
      </c>
      <c r="B5716" s="4" t="s">
        <v>2755</v>
      </c>
      <c r="C5716" s="4" t="s">
        <v>2433</v>
      </c>
      <c r="D5716" s="4" t="s">
        <v>8383</v>
      </c>
      <c r="E5716" s="4">
        <v>0.0</v>
      </c>
      <c r="F5716" s="4" t="str">
        <f>IFERROR(__xludf.DUMMYFUNCTION("GOOGLETRANSLATE(D5716)"),"獲得危險津貼")</f>
        <v>獲得危險津貼</v>
      </c>
      <c r="G5716" s="4" t="str">
        <f>IFERROR(__xludf.DUMMYFUNCTION("GOOGLETRANSLATE(B5716)"),"冒險")</f>
        <v>冒險</v>
      </c>
    </row>
    <row r="5717" ht="15.75" customHeight="1">
      <c r="A5717" s="4">
        <v>5944.0</v>
      </c>
      <c r="B5717" s="4" t="s">
        <v>2755</v>
      </c>
      <c r="C5717" s="4" t="s">
        <v>8384</v>
      </c>
      <c r="D5717" s="4" t="s">
        <v>8385</v>
      </c>
      <c r="E5717" s="4">
        <v>0.0</v>
      </c>
      <c r="F5717" s="4" t="str">
        <f>IFERROR(__xludf.DUMMYFUNCTION("GOOGLETRANSLATE(D5717)"),"我喜歡來自 @chaboyyhd 的 @YouTube 影片 http://t.co/Yr67ugEsrm 戰地 4 有趣時刻 - 危險公爵臥底士兵")</f>
        <v>我喜歡來自 @chaboyyhd 的 @YouTube 影片 http://t.co/Yr67ugEsrm 戰地 4 有趣時刻 - 危險公爵臥底士兵</v>
      </c>
      <c r="G5717" s="4" t="str">
        <f>IFERROR(__xludf.DUMMYFUNCTION("GOOGLETRANSLATE(B5717)"),"冒險")</f>
        <v>冒險</v>
      </c>
    </row>
    <row r="5718" ht="15.75" customHeight="1">
      <c r="A5718" s="4">
        <v>5947.0</v>
      </c>
      <c r="B5718" s="4" t="s">
        <v>2755</v>
      </c>
      <c r="C5718" s="4" t="s">
        <v>8386</v>
      </c>
      <c r="D5718" s="4" t="s">
        <v>8387</v>
      </c>
      <c r="E5718" s="4">
        <v>0.0</v>
      </c>
      <c r="F5718" s="4" t="str">
        <f>IFERROR(__xludf.DUMMYFUNCTION("GOOGLETRANSLATE(D5718)"),"@phiddleface 有窒息危險就不要！！！ ????在我到達那裡之前不要死！")</f>
        <v>@phiddleface 有窒息危險就不要！！！ ????在我到達那裡之前不要死！</v>
      </c>
      <c r="G5718" s="4" t="str">
        <f>IFERROR(__xludf.DUMMYFUNCTION("GOOGLETRANSLATE(B5718)"),"冒險")</f>
        <v>冒險</v>
      </c>
    </row>
    <row r="5719" ht="15.75" customHeight="1">
      <c r="A5719" s="4">
        <v>5949.0</v>
      </c>
      <c r="B5719" s="4" t="s">
        <v>2755</v>
      </c>
      <c r="D5719" s="4" t="s">
        <v>8388</v>
      </c>
      <c r="E5719" s="4">
        <v>0.0</v>
      </c>
      <c r="F5719" s="4" t="str">
        <f>IFERROR(__xludf.DUMMYFUNCTION("GOOGLETRANSLATE(D5719)"),"道路危險@ CASCADE RD SW / CHILDRESS DR SW http://t.co/DilyvRoWyJ")</f>
        <v>道路危險@ CASCADE RD SW / CHILDRESS DR SW http://t.co/DilyvRoWyJ</v>
      </c>
      <c r="G5719" s="4" t="str">
        <f>IFERROR(__xludf.DUMMYFUNCTION("GOOGLETRANSLATE(B5719)"),"冒險")</f>
        <v>冒險</v>
      </c>
    </row>
    <row r="5720" ht="15.75" customHeight="1">
      <c r="A5720" s="4">
        <v>5952.0</v>
      </c>
      <c r="B5720" s="4" t="s">
        <v>2755</v>
      </c>
      <c r="C5720" s="4" t="s">
        <v>8389</v>
      </c>
      <c r="D5720" s="4" t="s">
        <v>8390</v>
      </c>
      <c r="E5720" s="4">
        <v>0.0</v>
      </c>
      <c r="F5720" s="4" t="str">
        <f>IFERROR(__xludf.DUMMYFUNCTION("GOOGLETRANSLATE(D5720)"),"所以現在迪瑪利亞已經離開了我親愛的#mufc回到阿扎爾-迪瑪麗亞的爭論......我會說阿扎爾更好？資料中心")</f>
        <v>所以現在迪瑪利亞已經離開了我親愛的#mufc回到阿扎爾-迪瑪麗亞的爭論......我會說阿扎爾更好？資料中心</v>
      </c>
      <c r="G5720" s="4" t="str">
        <f>IFERROR(__xludf.DUMMYFUNCTION("GOOGLETRANSLATE(B5720)"),"冒險")</f>
        <v>冒險</v>
      </c>
    </row>
    <row r="5721" ht="15.75" customHeight="1">
      <c r="A5721" s="4">
        <v>5953.0</v>
      </c>
      <c r="B5721" s="4" t="s">
        <v>2755</v>
      </c>
      <c r="D5721" s="4" t="s">
        <v>8391</v>
      </c>
      <c r="E5721" s="4">
        <v>0.0</v>
      </c>
      <c r="F5721" s="4" t="str">
        <f>IFERROR(__xludf.DUMMYFUNCTION("GOOGLETRANSLATE(D5721)"),"戴維斯護理師用藥指南，作者：Judith Hopfer Deglin 和 April Hazard Vallerand http://t.co/IufS7UV1HK http://t.co/AFrHnLLY8D")</f>
        <v>戴維斯護理師用藥指南，作者：Judith Hopfer Deglin 和 April Hazard Vallerand http://t.co/IufS7UV1HK http://t.co/AFrHnLLY8D</v>
      </c>
      <c r="G5721" s="4" t="str">
        <f>IFERROR(__xludf.DUMMYFUNCTION("GOOGLETRANSLATE(B5721)"),"冒險")</f>
        <v>冒險</v>
      </c>
    </row>
    <row r="5722" ht="15.75" customHeight="1">
      <c r="A5722" s="4">
        <v>5954.0</v>
      </c>
      <c r="B5722" s="4" t="s">
        <v>2755</v>
      </c>
      <c r="D5722" s="4" t="s">
        <v>8392</v>
      </c>
      <c r="E5722" s="4">
        <v>0.0</v>
      </c>
      <c r="F5722" s="4" t="str">
        <f>IFERROR(__xludf.DUMMYFUNCTION("GOOGLETRANSLATE(D5722)"),"曲棍球的伊甸園危險 https://t.co/RbbnjkoqUD")</f>
        <v>曲棍球的伊甸園危險 https://t.co/RbbnjkoqUD</v>
      </c>
      <c r="G5722" s="4" t="str">
        <f>IFERROR(__xludf.DUMMYFUNCTION("GOOGLETRANSLATE(B5722)"),"冒險")</f>
        <v>冒險</v>
      </c>
    </row>
    <row r="5723" ht="15.75" customHeight="1">
      <c r="A5723" s="4">
        <v>5956.0</v>
      </c>
      <c r="B5723" s="4" t="s">
        <v>2755</v>
      </c>
      <c r="C5723" s="4" t="s">
        <v>8393</v>
      </c>
      <c r="D5723" s="4" t="s">
        <v>8394</v>
      </c>
      <c r="E5723" s="4">
        <v>0.0</v>
      </c>
      <c r="F5723" s="4" t="str">
        <f>IFERROR(__xludf.DUMMYFUNCTION("GOOGLETRANSLATE(D5723)"),"@ThatPersianGuy @YOUNGSAFE ??伊登·阿扎爾和哈登在翻牌上的表現是一樣的")</f>
        <v>@ThatPersianGuy @YOUNGSAFE ??伊登·阿扎爾和哈登在翻牌上的表現是一樣的</v>
      </c>
      <c r="G5723" s="4" t="str">
        <f>IFERROR(__xludf.DUMMYFUNCTION("GOOGLETRANSLATE(B5723)"),"冒險")</f>
        <v>冒險</v>
      </c>
    </row>
    <row r="5724" ht="15.75" customHeight="1">
      <c r="A5724" s="4">
        <v>5957.0</v>
      </c>
      <c r="B5724" s="4" t="s">
        <v>2755</v>
      </c>
      <c r="D5724" s="4" t="s">
        <v>8395</v>
      </c>
      <c r="E5724" s="4">
        <v>0.0</v>
      </c>
      <c r="F5724" s="4" t="str">
        <f>IFERROR(__xludf.DUMMYFUNCTION("GOOGLETRANSLATE(D5724)"),"我對阿札爾的評價非常高，但他的粉絲是推特上最糟糕的帳號之一。")</f>
        <v>我對阿札爾的評價非常高，但他的粉絲是推特上最糟糕的帳號之一。</v>
      </c>
      <c r="G5724" s="4" t="str">
        <f>IFERROR(__xludf.DUMMYFUNCTION("GOOGLETRANSLATE(B5724)"),"冒險")</f>
        <v>冒險</v>
      </c>
    </row>
    <row r="5725" ht="15.75" customHeight="1">
      <c r="A5725" s="4">
        <v>5958.0</v>
      </c>
      <c r="B5725" s="4" t="s">
        <v>2755</v>
      </c>
      <c r="D5725" s="4" t="s">
        <v>8396</v>
      </c>
      <c r="E5725" s="4">
        <v>0.0</v>
      </c>
      <c r="F5725" s="4" t="str">
        <f>IFERROR(__xludf.DUMMYFUNCTION("GOOGLETRANSLATE(D5725)"),"@DannyRaynard 就我個人而言還不錯，我會擺脫危險或阿奎羅以獲得比貝拉希諾更好的前鋒")</f>
        <v>@DannyRaynard 就我個人而言還不錯，我會擺脫危險或阿奎羅以獲得比貝拉希諾更好的前鋒</v>
      </c>
      <c r="G5725" s="4" t="str">
        <f>IFERROR(__xludf.DUMMYFUNCTION("GOOGLETRANSLATE(B5725)"),"冒險")</f>
        <v>冒險</v>
      </c>
    </row>
    <row r="5726" ht="15.75" customHeight="1">
      <c r="A5726" s="4">
        <v>5959.0</v>
      </c>
      <c r="B5726" s="4" t="s">
        <v>2755</v>
      </c>
      <c r="C5726" s="4" t="s">
        <v>8397</v>
      </c>
      <c r="D5726" s="4" t="s">
        <v>8398</v>
      </c>
      <c r="E5726" s="4">
        <v>0.0</v>
      </c>
      <c r="F5726" s="4" t="str">
        <f>IFERROR(__xludf.DUMMYFUNCTION("GOOGLETRANSLATE(D5726)"),"窒息危險促使召回卡夫起司單品 http://t.co/XGKyVF9t4f")</f>
        <v>窒息危險促使召回卡夫起司單品 http://t.co/XGKyVF9t4f</v>
      </c>
      <c r="G5726" s="4" t="str">
        <f>IFERROR(__xludf.DUMMYFUNCTION("GOOGLETRANSLATE(B5726)"),"冒險")</f>
        <v>冒險</v>
      </c>
    </row>
    <row r="5727" ht="15.75" customHeight="1">
      <c r="A5727" s="4">
        <v>5960.0</v>
      </c>
      <c r="B5727" s="4" t="s">
        <v>2755</v>
      </c>
      <c r="D5727" s="4" t="s">
        <v>8399</v>
      </c>
      <c r="E5727" s="4">
        <v>0.0</v>
      </c>
      <c r="F5727" s="4" t="str">
        <f>IFERROR(__xludf.DUMMYFUNCTION("GOOGLETRANSLATE(D5727)"),"突發新聞：阿森納球員赫克托·貝萊林因伊登·阿扎爾失踪一事被捕。Û_ http://t.co/eCMJ18AzaI")</f>
        <v>突發新聞：阿森納球員赫克托·貝萊林因伊登·阿扎爾失踪一事被捕。Û_ http://t.co/eCMJ18AzaI</v>
      </c>
      <c r="G5727" s="4" t="str">
        <f>IFERROR(__xludf.DUMMYFUNCTION("GOOGLETRANSLATE(B5727)"),"冒險")</f>
        <v>冒險</v>
      </c>
    </row>
    <row r="5728" ht="15.75" customHeight="1">
      <c r="A5728" s="4">
        <v>5961.0</v>
      </c>
      <c r="B5728" s="4" t="s">
        <v>2755</v>
      </c>
      <c r="C5728" s="4" t="s">
        <v>8400</v>
      </c>
      <c r="D5728" s="4" t="s">
        <v>8401</v>
      </c>
      <c r="E5728" s="4">
        <v>0.0</v>
      </c>
      <c r="F5728" s="4" t="str">
        <f>IFERROR(__xludf.DUMMYFUNCTION("GOOGLETRANSLATE(D5728)"),"離奇事故？當然。找人指責？或許。還記得那個球員因為球車在達陣區後面而摔斷了腿嗎？常識")</f>
        <v>離奇事故？當然。找人指責？或許。還記得那個球員因為球車在達陣區後面而摔斷了腿嗎？常識</v>
      </c>
      <c r="G5728" s="4" t="str">
        <f>IFERROR(__xludf.DUMMYFUNCTION("GOOGLETRANSLATE(B5728)"),"冒險")</f>
        <v>冒險</v>
      </c>
    </row>
    <row r="5729" ht="15.75" customHeight="1">
      <c r="A5729" s="4">
        <v>5962.0</v>
      </c>
      <c r="B5729" s="4" t="s">
        <v>2755</v>
      </c>
      <c r="C5729" s="4" t="s">
        <v>7494</v>
      </c>
      <c r="D5729" s="4" t="s">
        <v>8402</v>
      </c>
      <c r="E5729" s="4">
        <v>0.0</v>
      </c>
      <c r="F5729" s="4" t="str">
        <f>IFERROR(__xludf.DUMMYFUNCTION("GOOGLETRANSLATE(D5729)"),"2011 年 12 月，法院駁回了對強姦受害者的集體指控，稱“被強姦是一種職業危害…！”
美軍=ISIS！")</f>
        <v>2011 年 12 月，法院駁回了對強姦受害者的集體指控，稱“被強姦是一種職業危害…！”
美軍=ISIS！</v>
      </c>
      <c r="G5729" s="4" t="str">
        <f>IFERROR(__xludf.DUMMYFUNCTION("GOOGLETRANSLATE(B5729)"),"冒險")</f>
        <v>冒險</v>
      </c>
    </row>
    <row r="5730" ht="15.75" customHeight="1">
      <c r="A5730" s="4">
        <v>5963.0</v>
      </c>
      <c r="B5730" s="4" t="s">
        <v>2755</v>
      </c>
      <c r="D5730" s="4" t="s">
        <v>8403</v>
      </c>
      <c r="E5730" s="4">
        <v>0.0</v>
      </c>
      <c r="F5730" s="4" t="str">
        <f>IFERROR(__xludf.DUMMYFUNCTION("GOOGLETRANSLATE(D5730)"),"95-03 BMW 528 530 540 740 緊急警告危險開關按鈕 OEM 20177-707D http://t.co/kVNahTHUWZ http://t.co/Y8xkNpqMnJ")</f>
        <v>95-03 BMW 528 530 540 740 緊急警告危險開關按鈕 OEM 20177-707D http://t.co/kVNahTHUWZ http://t.co/Y8xkNpqMnJ</v>
      </c>
      <c r="G5730" s="4" t="str">
        <f>IFERROR(__xludf.DUMMYFUNCTION("GOOGLETRANSLATE(B5730)"),"冒險")</f>
        <v>冒險</v>
      </c>
    </row>
    <row r="5731" ht="15.75" customHeight="1">
      <c r="A5731" s="4">
        <v>5964.0</v>
      </c>
      <c r="B5731" s="4" t="s">
        <v>2755</v>
      </c>
      <c r="C5731" s="4" t="s">
        <v>900</v>
      </c>
      <c r="D5731" s="4" t="s">
        <v>8404</v>
      </c>
      <c r="E5731" s="4">
        <v>0.0</v>
      </c>
      <c r="F5731" s="4" t="str">
        <f>IFERROR(__xludf.DUMMYFUNCTION("GOOGLETRANSLATE(D5731)"),"肯亞新聞（切爾西護身符伊登·阿扎爾渴望與克里斯蒂亞諾·羅納爾多和萊昂內爾·梅西相匹配。）Mipasho http://t.co/LxvLqVbc8r")</f>
        <v>肯亞新聞（切爾西護身符伊登·阿扎爾渴望與克里斯蒂亞諾·羅納爾多和萊昂內爾·梅西相匹配。）Mipasho http://t.co/LxvLqVbc8r</v>
      </c>
      <c r="G5731" s="4" t="str">
        <f>IFERROR(__xludf.DUMMYFUNCTION("GOOGLETRANSLATE(B5731)"),"冒險")</f>
        <v>冒險</v>
      </c>
    </row>
    <row r="5732" ht="15.75" customHeight="1">
      <c r="A5732" s="4">
        <v>5965.0</v>
      </c>
      <c r="B5732" s="4" t="s">
        <v>2755</v>
      </c>
      <c r="C5732" s="4" t="s">
        <v>1205</v>
      </c>
      <c r="D5732" s="4" t="s">
        <v>8405</v>
      </c>
      <c r="E5732" s="4">
        <v>0.0</v>
      </c>
      <c r="F5732" s="4" t="str">
        <f>IFERROR(__xludf.DUMMYFUNCTION("GOOGLETRANSLATE(D5732)"),"“新英格蘭歷史上最大的鉛危險。”是的，讓我們釘住這些傢伙。 https://t.co/xzvmzQuS0x")</f>
        <v>“新英格蘭歷史上最大的鉛危險。”是的，讓我們釘住這些傢伙。 https://t.co/xzvmzQuS0x</v>
      </c>
      <c r="G5732" s="4" t="str">
        <f>IFERROR(__xludf.DUMMYFUNCTION("GOOGLETRANSLATE(B5732)"),"冒險")</f>
        <v>冒險</v>
      </c>
    </row>
    <row r="5733" ht="15.75" customHeight="1">
      <c r="A5733" s="4">
        <v>5972.0</v>
      </c>
      <c r="B5733" s="4" t="s">
        <v>2755</v>
      </c>
      <c r="C5733" s="4" t="s">
        <v>2306</v>
      </c>
      <c r="D5733" s="4" t="s">
        <v>8406</v>
      </c>
      <c r="E5733" s="4">
        <v>0.0</v>
      </c>
      <c r="F5733" s="4" t="str">
        <f>IFERROR(__xludf.DUMMYFUNCTION("GOOGLETRANSLATE(D5733)"),"貴重貨物連身衣因窒息危險而被召回。 http://t.co/0PAMznyYuw")</f>
        <v>貴重貨物連身衣因窒息危險而被召回。 http://t.co/0PAMznyYuw</v>
      </c>
      <c r="G5733" s="4" t="str">
        <f>IFERROR(__xludf.DUMMYFUNCTION("GOOGLETRANSLATE(B5733)"),"冒險")</f>
        <v>冒險</v>
      </c>
    </row>
    <row r="5734" ht="15.75" customHeight="1">
      <c r="A5734" s="4">
        <v>5974.0</v>
      </c>
      <c r="B5734" s="4" t="s">
        <v>2755</v>
      </c>
      <c r="D5734" s="4" t="s">
        <v>8407</v>
      </c>
      <c r="E5734" s="4">
        <v>0.0</v>
      </c>
      <c r="F5734" s="4" t="str">
        <f>IFERROR(__xludf.DUMMYFUNCTION("GOOGLETRANSLATE(D5734)"),"@TomDean86 他很好，但阿扎爾/威廉不會輕易被轉移。")</f>
        <v>@TomDean86 他很好，但阿扎爾/威廉不會輕易被轉移。</v>
      </c>
      <c r="G5734" s="4" t="str">
        <f>IFERROR(__xludf.DUMMYFUNCTION("GOOGLETRANSLATE(B5734)"),"冒險")</f>
        <v>冒險</v>
      </c>
    </row>
    <row r="5735" ht="15.75" customHeight="1">
      <c r="A5735" s="4">
        <v>5978.0</v>
      </c>
      <c r="B5735" s="4" t="s">
        <v>2755</v>
      </c>
      <c r="D5735" s="4" t="s">
        <v>8408</v>
      </c>
      <c r="E5735" s="4">
        <v>0.0</v>
      </c>
      <c r="F5735" s="4" t="str">
        <f>IFERROR(__xludf.DUMMYFUNCTION("GOOGLETRANSLATE(D5735)"),"《戰地 4》有趣時刻 - 危險公爵臥底士兵 MAV T... https://t.co/JU8nfpnedl 來自 @YouTube")</f>
        <v>《戰地 4》有趣時刻 - 危險公爵臥底士兵 MAV T... https://t.co/JU8nfpnedl 來自 @YouTube</v>
      </c>
      <c r="G5735" s="4" t="str">
        <f>IFERROR(__xludf.DUMMYFUNCTION("GOOGLETRANSLATE(B5735)"),"冒險")</f>
        <v>冒險</v>
      </c>
    </row>
    <row r="5736" ht="15.75" customHeight="1">
      <c r="A5736" s="4">
        <v>5980.0</v>
      </c>
      <c r="B5736" s="4" t="s">
        <v>2755</v>
      </c>
      <c r="C5736" s="4" t="s">
        <v>89</v>
      </c>
      <c r="D5736" s="4" t="s">
        <v>8409</v>
      </c>
      <c r="E5736" s="4">
        <v>0.0</v>
      </c>
      <c r="F5736" s="4" t="str">
        <f>IFERROR(__xludf.DUMMYFUNCTION("GOOGLETRANSLATE(D5736)"),"我們的情報員預覽切爾西對陣斯旺西和斯旺西的比賽有 48/1 雙倍！ http://t.co/PFSrYJS1pc
#切爾西 #Hazard http://t.co/SKdBot7TGF")</f>
        <v>我們的情報員預覽切爾西對陣斯旺西和斯旺西的比賽有 48/1 雙倍！ http://t.co/PFSrYJS1pc
#切爾西 #Hazard http://t.co/SKdBot7TGF</v>
      </c>
      <c r="G5736" s="4" t="str">
        <f>IFERROR(__xludf.DUMMYFUNCTION("GOOGLETRANSLATE(B5736)"),"冒險")</f>
        <v>冒險</v>
      </c>
    </row>
    <row r="5737" ht="15.75" customHeight="1">
      <c r="A5737" s="4">
        <v>5981.0</v>
      </c>
      <c r="B5737" s="4" t="s">
        <v>2755</v>
      </c>
      <c r="D5737" s="4" t="s">
        <v>8410</v>
      </c>
      <c r="E5737" s="4">
        <v>0.0</v>
      </c>
      <c r="F5737" s="4" t="str">
        <f>IFERROR(__xludf.DUMMYFUNCTION("GOOGLETRANSLATE(D5737)"),"@ArianaGrande 女孩你還在舔公共甜甜圈？？？健康危害......你應該進監獄。")</f>
        <v>@ArianaGrande 女孩你還在舔公共甜甜圈？？？健康危害......你應該進監獄。</v>
      </c>
      <c r="G5737" s="4" t="str">
        <f>IFERROR(__xludf.DUMMYFUNCTION("GOOGLETRANSLATE(B5737)"),"冒險")</f>
        <v>冒險</v>
      </c>
    </row>
    <row r="5738" ht="15.75" customHeight="1">
      <c r="A5738" s="4">
        <v>5982.0</v>
      </c>
      <c r="B5738" s="4" t="s">
        <v>2755</v>
      </c>
      <c r="C5738" s="4" t="s">
        <v>8411</v>
      </c>
      <c r="D5738" s="4" t="s">
        <v>8412</v>
      </c>
      <c r="E5738" s="4">
        <v>0.0</v>
      </c>
      <c r="F5738" s="4" t="str">
        <f>IFERROR(__xludf.DUMMYFUNCTION("GOOGLETRANSLATE(D5738)"),"公平地說，我們有兩名英超最好的攻擊型邊鋒，阿扎爾和威廉，他們基本上每場比賽都會100%首發")</f>
        <v>公平地說，我們有兩名英超最好的攻擊型邊鋒，阿扎爾和威廉，他們基本上每場比賽都會100%首發</v>
      </c>
      <c r="G5738" s="4" t="str">
        <f>IFERROR(__xludf.DUMMYFUNCTION("GOOGLETRANSLATE(B5738)"),"冒險")</f>
        <v>冒險</v>
      </c>
    </row>
    <row r="5739" ht="15.75" customHeight="1">
      <c r="A5739" s="4">
        <v>5985.0</v>
      </c>
      <c r="B5739" s="4" t="s">
        <v>2766</v>
      </c>
      <c r="C5739" s="4" t="s">
        <v>8413</v>
      </c>
      <c r="D5739" s="4" t="s">
        <v>8414</v>
      </c>
      <c r="E5739" s="4">
        <v>0.0</v>
      </c>
      <c r="F5739" s="4" t="str">
        <f>IFERROR(__xludf.DUMMYFUNCTION("GOOGLETRANSLATE(D5739)"),"批發#WE Gon Rep 不惜一切代價砸錢-危險#WholeTeam3 #WholesaleEnt https://t.co/JWnXH9Q5ov")</f>
        <v>批發#WE Gon Rep 不惜一切代價砸錢-危險#WholeTeam3 #WholesaleEnt https://t.co/JWnXH9Q5ov</v>
      </c>
      <c r="G5739" s="4" t="str">
        <f>IFERROR(__xludf.DUMMYFUNCTION("GOOGLETRANSLATE(B5739)"),"危險的")</f>
        <v>危險的</v>
      </c>
    </row>
    <row r="5740" ht="15.75" customHeight="1">
      <c r="A5740" s="4">
        <v>5990.0</v>
      </c>
      <c r="B5740" s="4" t="s">
        <v>2766</v>
      </c>
      <c r="D5740" s="4" t="s">
        <v>8415</v>
      </c>
      <c r="E5740" s="4">
        <v>0.0</v>
      </c>
      <c r="F5740" s="4" t="str">
        <f>IFERROR(__xludf.DUMMYFUNCTION("GOOGLETRANSLATE(D5740)"),"JAX 發布危險天氣展望 (HWO) http://t.co/fuCOQhcLAD")</f>
        <v>JAX 發布危險天氣展望 (HWO) http://t.co/fuCOQhcLAD</v>
      </c>
      <c r="G5740" s="4" t="str">
        <f>IFERROR(__xludf.DUMMYFUNCTION("GOOGLETRANSLATE(B5740)"),"危險的")</f>
        <v>危險的</v>
      </c>
    </row>
    <row r="5741" ht="15.75" customHeight="1">
      <c r="A5741" s="4">
        <v>5991.0</v>
      </c>
      <c r="B5741" s="4" t="s">
        <v>2766</v>
      </c>
      <c r="D5741" s="4" t="s">
        <v>8416</v>
      </c>
      <c r="E5741" s="4">
        <v>0.0</v>
      </c>
      <c r="F5741" s="4" t="str">
        <f>IFERROR(__xludf.DUMMYFUNCTION("GOOGLETRANSLATE(D5741)"),"http://t.co/7AzE4IoGMe 危險廢棄物收集路線的風險評估與最佳化#sustainable Environmental")</f>
        <v>http://t.co/7AzE4IoGMe 危險廢棄物收集路線的風險評估與最佳化#sustainable Environmental</v>
      </c>
      <c r="G5741" s="4" t="str">
        <f>IFERROR(__xludf.DUMMYFUNCTION("GOOGLETRANSLATE(B5741)"),"危險的")</f>
        <v>危險的</v>
      </c>
    </row>
    <row r="5742" ht="15.75" customHeight="1">
      <c r="A5742" s="4">
        <v>5995.0</v>
      </c>
      <c r="B5742" s="4" t="s">
        <v>2766</v>
      </c>
      <c r="C5742" s="4" t="s">
        <v>8417</v>
      </c>
      <c r="D5742" s="4" t="s">
        <v>8418</v>
      </c>
      <c r="E5742" s="4">
        <v>0.0</v>
      </c>
      <c r="F5742" s="4" t="str">
        <f>IFERROR(__xludf.DUMMYFUNCTION("GOOGLETRANSLATE(D5742)"),"@igmpj 懸掛的穿刺晶體不會對眼睛造成潛在危險嗎？ :)")</f>
        <v>@igmpj 懸掛的穿刺晶體不會對眼睛造成潛在危險嗎？ :)</v>
      </c>
      <c r="G5742" s="4" t="str">
        <f>IFERROR(__xludf.DUMMYFUNCTION("GOOGLETRANSLATE(B5742)"),"危險的")</f>
        <v>危險的</v>
      </c>
    </row>
    <row r="5743" ht="15.75" customHeight="1">
      <c r="A5743" s="4">
        <v>5997.0</v>
      </c>
      <c r="B5743" s="4" t="s">
        <v>2766</v>
      </c>
      <c r="D5743" s="4" t="s">
        <v>8419</v>
      </c>
      <c r="E5743" s="4">
        <v>0.0</v>
      </c>
      <c r="F5743" s="4" t="str">
        <f>IFERROR(__xludf.DUMMYFUNCTION("GOOGLETRANSLATE(D5743)"),"#what #tribal Olap #world pres：http://t.co/Jw6FNnsSxT 如何辨識危險廢棄物與多維度 http://t.co/4zAzTB19qE")</f>
        <v>#what #tribal Olap #world pres：http://t.co/Jw6FNnsSxT 如何辨識危險廢棄物與多維度 http://t.co/4zAzTB19qE</v>
      </c>
      <c r="G5743" s="4" t="str">
        <f>IFERROR(__xludf.DUMMYFUNCTION("GOOGLETRANSLATE(B5743)"),"危險的")</f>
        <v>危險的</v>
      </c>
    </row>
    <row r="5744" ht="15.75" customHeight="1">
      <c r="A5744" s="4">
        <v>6001.0</v>
      </c>
      <c r="B5744" s="4" t="s">
        <v>2766</v>
      </c>
      <c r="D5744" s="4" t="s">
        <v>8420</v>
      </c>
      <c r="E5744" s="4">
        <v>0.0</v>
      </c>
      <c r="F5744" s="4" t="str">
        <f>IFERROR(__xludf.DUMMYFUNCTION("GOOGLETRANSLATE(D5744)"),"永遠不要害怕爭吵，而是尋求危險的冒險。 https://t.co/dlvZaay7qr")</f>
        <v>永遠不要害怕爭吵，而是尋求危險的冒險。 https://t.co/dlvZaay7qr</v>
      </c>
      <c r="G5744" s="4" t="str">
        <f>IFERROR(__xludf.DUMMYFUNCTION("GOOGLETRANSLATE(B5744)"),"危險的")</f>
        <v>危險的</v>
      </c>
    </row>
    <row r="5745" ht="15.75" customHeight="1">
      <c r="A5745" s="4">
        <v>6002.0</v>
      </c>
      <c r="B5745" s="4" t="s">
        <v>2766</v>
      </c>
      <c r="C5745" s="4" t="s">
        <v>762</v>
      </c>
      <c r="D5745" s="4" t="s">
        <v>8421</v>
      </c>
      <c r="E5745" s="4">
        <v>0.0</v>
      </c>
      <c r="F5745" s="4" t="str">
        <f>IFERROR(__xludf.DUMMYFUNCTION("GOOGLETRANSLATE(D5745)"),"09:13 PM：危險天氣展望 (http://t.co/ed1VpITsWY)：目前預計不會有危險天氣...... http://t.co/6XSbddlZiy")</f>
        <v>09:13 PM：危險天氣展望 (http://t.co/ed1VpITsWY)：目前預計不會有危險天氣...... http://t.co/6XSbddlZiy</v>
      </c>
      <c r="G5745" s="4" t="str">
        <f>IFERROR(__xludf.DUMMYFUNCTION("GOOGLETRANSLATE(B5745)"),"危險的")</f>
        <v>危險的</v>
      </c>
    </row>
    <row r="5746" ht="15.75" customHeight="1">
      <c r="A5746" s="4">
        <v>6004.0</v>
      </c>
      <c r="B5746" s="4" t="s">
        <v>2766</v>
      </c>
      <c r="C5746" s="4" t="s">
        <v>8422</v>
      </c>
      <c r="D5746" s="4" t="s">
        <v>8423</v>
      </c>
      <c r="E5746" s="4">
        <v>0.0</v>
      </c>
      <c r="F5746" s="4" t="str">
        <f>IFERROR(__xludf.DUMMYFUNCTION("GOOGLETRANSLATE(D5746)"),"@HearItFromPa 另外，請幫助我們進行活動，警告公眾危險的角蛋白治療。巴西的井噴模仿者。")</f>
        <v>@HearItFromPa 另外，請幫助我們進行活動，警告公眾危險的角蛋白治療。巴西的井噴模仿者。</v>
      </c>
      <c r="G5746" s="4" t="str">
        <f>IFERROR(__xludf.DUMMYFUNCTION("GOOGLETRANSLATE(B5746)"),"危險的")</f>
        <v>危險的</v>
      </c>
    </row>
    <row r="5747" ht="15.75" customHeight="1">
      <c r="A5747" s="4">
        <v>6009.0</v>
      </c>
      <c r="B5747" s="4" t="s">
        <v>2766</v>
      </c>
      <c r="C5747" s="4" t="s">
        <v>8422</v>
      </c>
      <c r="D5747" s="4" t="s">
        <v>8424</v>
      </c>
      <c r="E5747" s="4">
        <v>0.0</v>
      </c>
      <c r="F5747" s="4" t="str">
        <f>IFERROR(__xludf.DUMMYFUNCTION("GOOGLETRANSLATE(D5747)"),"@HearItFromPatty 另外，請幫助我們進行活動，警告公眾危險的角蛋白治療。巴西的井噴模仿者")</f>
        <v>@HearItFromPatty 另外，請幫助我們進行活動，警告公眾危險的角蛋白治療。巴西的井噴模仿者</v>
      </c>
      <c r="G5747" s="4" t="str">
        <f>IFERROR(__xludf.DUMMYFUNCTION("GOOGLETRANSLATE(B5747)"),"危險的")</f>
        <v>危險的</v>
      </c>
    </row>
    <row r="5748" ht="15.75" customHeight="1">
      <c r="A5748" s="4">
        <v>6013.0</v>
      </c>
      <c r="B5748" s="4" t="s">
        <v>2766</v>
      </c>
      <c r="C5748" s="4" t="s">
        <v>5165</v>
      </c>
      <c r="D5748" s="4" t="s">
        <v>8425</v>
      </c>
      <c r="E5748" s="4">
        <v>0.0</v>
      </c>
      <c r="F5748" s="4" t="str">
        <f>IFERROR(__xludf.DUMMYFUNCTION("GOOGLETRANSLATE(D5748)"),"是否有可能潛入醫院，這樣我就可以用危險的針刺傷自己，並向我的靜脈注射一些瘋狂的疾病，直到我死")</f>
        <v>是否有可能潛入醫院，這樣我就可以用危險的針刺傷自己，並向我的靜脈注射一些瘋狂的疾病，直到我死</v>
      </c>
      <c r="G5748" s="4" t="str">
        <f>IFERROR(__xludf.DUMMYFUNCTION("GOOGLETRANSLATE(B5748)"),"危險的")</f>
        <v>危險的</v>
      </c>
    </row>
    <row r="5749" ht="15.75" customHeight="1">
      <c r="A5749" s="4">
        <v>6017.0</v>
      </c>
      <c r="B5749" s="4" t="s">
        <v>2766</v>
      </c>
      <c r="D5749" s="4" t="s">
        <v>2778</v>
      </c>
      <c r="E5749" s="4">
        <v>0.0</v>
      </c>
      <c r="F5749" s="4" t="str">
        <f>IFERROR(__xludf.DUMMYFUNCTION("GOOGLETRANSLATE(D5749)"),"注意：呼吸可能危害您的健康。")</f>
        <v>注意：呼吸可能危害您的健康。</v>
      </c>
      <c r="G5749" s="4" t="str">
        <f>IFERROR(__xludf.DUMMYFUNCTION("GOOGLETRANSLATE(B5749)"),"危險的")</f>
        <v>危險的</v>
      </c>
    </row>
    <row r="5750" ht="15.75" customHeight="1">
      <c r="A5750" s="4">
        <v>6022.0</v>
      </c>
      <c r="B5750" s="4" t="s">
        <v>2766</v>
      </c>
      <c r="C5750" s="4" t="s">
        <v>495</v>
      </c>
      <c r="D5750" s="4" t="s">
        <v>8426</v>
      </c>
      <c r="E5750" s="4">
        <v>0.0</v>
      </c>
      <c r="F5750" s="4" t="str">
        <f>IFERROR(__xludf.DUMMYFUNCTION("GOOGLETRANSLATE(D5750)"),"@Josh_LaDo 不要發推文和駕駛約書亞。拼字錯誤是危險的。")</f>
        <v>@Josh_LaDo 不要發推文和駕駛約書亞。拼字錯誤是危險的。</v>
      </c>
      <c r="G5750" s="4" t="str">
        <f>IFERROR(__xludf.DUMMYFUNCTION("GOOGLETRANSLATE(B5750)"),"危險的")</f>
        <v>危險的</v>
      </c>
    </row>
    <row r="5751" ht="15.75" customHeight="1">
      <c r="A5751" s="4">
        <v>6031.0</v>
      </c>
      <c r="B5751" s="4" t="s">
        <v>2766</v>
      </c>
      <c r="C5751" s="4" t="s">
        <v>633</v>
      </c>
      <c r="D5751" s="4" t="s">
        <v>2772</v>
      </c>
      <c r="E5751" s="4">
        <v>0.0</v>
      </c>
      <c r="F5751" s="4" t="str">
        <f>IFERROR(__xludf.DUMMYFUNCTION("GOOGLETRANSLATE(D5751)"),"#foodscare #offers2go #NestleIndia 在 #Magginoodle #ban 對 # humanconspiration 不安全和危險後陷入損失")</f>
        <v>#foodscare #offers2go #NestleIndia 在 #Magginoodle #ban 對 # humanconspiration 不安全和危險後陷入損失</v>
      </c>
      <c r="G5751" s="4" t="str">
        <f>IFERROR(__xludf.DUMMYFUNCTION("GOOGLETRANSLATE(B5751)"),"危險的")</f>
        <v>危險的</v>
      </c>
    </row>
    <row r="5752" ht="15.75" customHeight="1">
      <c r="A5752" s="4">
        <v>6037.0</v>
      </c>
      <c r="B5752" s="4" t="s">
        <v>2790</v>
      </c>
      <c r="D5752" s="4" t="s">
        <v>8427</v>
      </c>
      <c r="E5752" s="4">
        <v>0.0</v>
      </c>
      <c r="F5752" s="4" t="str">
        <f>IFERROR(__xludf.DUMMYFUNCTION("GOOGLETRANSLATE(D5752)"),"@rawfoodbliss 我正處於潮濕的熱浪之中，我額頭上的一塊斑塊突然冒出來。我服用橄欖油萃取物和 4 湯匙橄欖油")</f>
        <v>@rawfoodbliss 我正處於潮濕的熱浪之中，我額頭上的一塊斑塊突然冒出來。我服用橄欖油萃取物和 4 湯匙橄欖油</v>
      </c>
      <c r="G5752" s="4" t="str">
        <f>IFERROR(__xludf.DUMMYFUNCTION("GOOGLETRANSLATE(B5752)"),"熱%20波")</f>
        <v>熱%20波</v>
      </c>
    </row>
    <row r="5753" ht="15.75" customHeight="1">
      <c r="A5753" s="4">
        <v>6039.0</v>
      </c>
      <c r="B5753" s="4" t="s">
        <v>2790</v>
      </c>
      <c r="C5753" s="4" t="s">
        <v>8428</v>
      </c>
      <c r="D5753" s="4" t="s">
        <v>8429</v>
      </c>
      <c r="E5753" s="4">
        <v>0.0</v>
      </c>
      <c r="F5753" s="4" t="str">
        <f>IFERROR(__xludf.DUMMYFUNCTION("GOOGLETRANSLATE(D5753)"),"非常感謝您的分享和評論亞歷克斯·萊特曼 -
對於您或您的...，它需要或將會需要什麼證據http://t.co/4Wsva9WO0F")</f>
        <v>非常感謝您的分享和評論亞歷克斯·萊特曼 -
對於您或您的...，它需要或將會需要什麼證據http://t.co/4Wsva9WO0F</v>
      </c>
      <c r="G5753" s="4" t="str">
        <f>IFERROR(__xludf.DUMMYFUNCTION("GOOGLETRANSLATE(B5753)"),"熱%20波")</f>
        <v>熱%20波</v>
      </c>
    </row>
    <row r="5754" ht="15.75" customHeight="1">
      <c r="A5754" s="4">
        <v>6045.0</v>
      </c>
      <c r="B5754" s="4" t="s">
        <v>2790</v>
      </c>
      <c r="D5754" s="4" t="s">
        <v>8430</v>
      </c>
      <c r="E5754" s="4">
        <v>0.0</v>
      </c>
      <c r="F5754" s="4" t="str">
        <f>IFERROR(__xludf.DUMMYFUNCTION("GOOGLETRANSLATE(D5754)"),"@heebsterrr_ 我記得我去布魯赫那年的熱浪，他們沒有空調？？？")</f>
        <v>@heebsterrr_ 我記得我去布魯赫那年的熱浪，他們沒有空調？？？</v>
      </c>
      <c r="G5754" s="4" t="str">
        <f>IFERROR(__xludf.DUMMYFUNCTION("GOOGLETRANSLATE(B5754)"),"熱%20波")</f>
        <v>熱%20波</v>
      </c>
    </row>
    <row r="5755" ht="15.75" customHeight="1">
      <c r="A5755" s="4">
        <v>6066.0</v>
      </c>
      <c r="B5755" s="4" t="s">
        <v>2790</v>
      </c>
      <c r="D5755" s="4" t="s">
        <v>8431</v>
      </c>
      <c r="E5755" s="4">
        <v>0.0</v>
      </c>
      <c r="F5755" s="4" t="str">
        <f>IFERROR(__xludf.DUMMYFUNCTION("GOOGLETRANSLATE(D5755)"),"辣椒熱浪多力多滋永遠不會失敗！")</f>
        <v>辣椒熱浪多力多滋永遠不會失敗！</v>
      </c>
      <c r="G5755" s="4" t="str">
        <f>IFERROR(__xludf.DUMMYFUNCTION("GOOGLETRANSLATE(B5755)"),"熱%20波")</f>
        <v>熱%20波</v>
      </c>
    </row>
    <row r="5756" ht="15.75" customHeight="1">
      <c r="A5756" s="4">
        <v>6071.0</v>
      </c>
      <c r="B5756" s="4" t="s">
        <v>2790</v>
      </c>
      <c r="D5756" s="4" t="s">
        <v>8432</v>
      </c>
      <c r="E5756" s="4">
        <v>0.0</v>
      </c>
      <c r="F5756" s="4" t="str">
        <f>IFERROR(__xludf.DUMMYFUNCTION("GOOGLETRANSLATE(D5756)"),"櫻桃印花+配套口紅（剛剛重新發現NarsÛªÛ÷Heat WaveÛª）。？作者：@emilysc human http://t.co/4eGh1G1Jk7")</f>
        <v>櫻桃印花+配套口紅（剛剛重新發現NarsÛªÛ÷Heat WaveÛª）。？作者：@emilysc human http://t.co/4eGh1G1Jk7</v>
      </c>
      <c r="G5756" s="4" t="str">
        <f>IFERROR(__xludf.DUMMYFUNCTION("GOOGLETRANSLATE(B5756)"),"熱%20波")</f>
        <v>熱%20波</v>
      </c>
    </row>
    <row r="5757" ht="15.75" customHeight="1">
      <c r="A5757" s="4">
        <v>6074.0</v>
      </c>
      <c r="B5757" s="4" t="s">
        <v>2790</v>
      </c>
      <c r="C5757" s="4" t="s">
        <v>8433</v>
      </c>
      <c r="D5757" s="4" t="s">
        <v>8434</v>
      </c>
      <c r="E5757" s="4">
        <v>0.0</v>
      </c>
      <c r="F5757" s="4" t="str">
        <f>IFERROR(__xludf.DUMMYFUNCTION("GOOGLETRANSLATE(D5757)"),"@Startide 本週那裡比鳳凰城更熱，濕度是鳳凰城的三倍。 &amp;gt;.&amp;gt;;熱浪。")</f>
        <v>@Startide 本週那裡比鳳凰城更熱，濕度是鳳凰城的三倍。 &amp;gt;.&amp;gt;;熱浪。</v>
      </c>
      <c r="G5757" s="4" t="str">
        <f>IFERROR(__xludf.DUMMYFUNCTION("GOOGLETRANSLATE(B5757)"),"熱%20波")</f>
        <v>熱%20波</v>
      </c>
    </row>
    <row r="5758" ht="15.75" customHeight="1">
      <c r="A5758" s="4">
        <v>6075.0</v>
      </c>
      <c r="B5758" s="4" t="s">
        <v>2790</v>
      </c>
      <c r="C5758" s="4" t="s">
        <v>8435</v>
      </c>
      <c r="D5758" s="4" t="s">
        <v>8436</v>
      </c>
      <c r="E5758" s="4">
        <v>0.0</v>
      </c>
      <c r="F5758" s="4" t="str">
        <f>IFERROR(__xludf.DUMMYFUNCTION("GOOGLETRANSLATE(D5758)"),"#greatbritishbakeoff 很想知道這麼好的天氣發生時我在哪裡！錯過熱浪了嗎？ ??")</f>
        <v>#greatbritishbakeoff 很想知道這麼好的天氣發生時我在哪裡！錯過熱浪了嗎？ ??</v>
      </c>
      <c r="G5758" s="4" t="str">
        <f>IFERROR(__xludf.DUMMYFUNCTION("GOOGLETRANSLATE(B5758)"),"熱%20波")</f>
        <v>熱%20波</v>
      </c>
    </row>
    <row r="5759" ht="15.75" customHeight="1">
      <c r="A5759" s="4">
        <v>6076.0</v>
      </c>
      <c r="B5759" s="4" t="s">
        <v>2790</v>
      </c>
      <c r="C5759" s="4" t="s">
        <v>8437</v>
      </c>
      <c r="D5759" s="4" t="s">
        <v>8438</v>
      </c>
      <c r="E5759" s="4">
        <v>0.0</v>
      </c>
      <c r="F5759" s="4" t="str">
        <f>IFERROR(__xludf.DUMMYFUNCTION("GOOGLETRANSLATE(D5759)"),"@kristenKOIN6 是的，PDX 天氣涼爽了。ABQ NM 現在感受到了熱浪，因為我的雨舞不起作用:-)")</f>
        <v>@kristenKOIN6 是的，PDX 天氣涼爽了。ABQ NM 現在感受到了熱浪，因為我的雨舞不起作用:-)</v>
      </c>
      <c r="G5759" s="4" t="str">
        <f>IFERROR(__xludf.DUMMYFUNCTION("GOOGLETRANSLATE(B5759)"),"熱%20波")</f>
        <v>熱%20波</v>
      </c>
    </row>
    <row r="5760" ht="15.75" customHeight="1">
      <c r="A5760" s="4">
        <v>6083.0</v>
      </c>
      <c r="B5760" s="4" t="s">
        <v>2790</v>
      </c>
      <c r="C5760" s="4" t="s">
        <v>8439</v>
      </c>
      <c r="D5760" s="4" t="s">
        <v>8440</v>
      </c>
      <c r="E5760" s="4">
        <v>0.0</v>
      </c>
      <c r="F5760" s="4" t="str">
        <f>IFERROR(__xludf.DUMMYFUNCTION("GOOGLETRANSLATE(D5760)"),"您是否聽過 #SoundCloud 上 George deejayempiresound 的 Û÷05 LOVE TO LOVE YOU...HEAT WAVE VOL 5Ûª ？ #np https://t.co/rQiuqXNM2X")</f>
        <v>您是否聽過 #SoundCloud 上 George deejayempiresound 的 Û÷05 LOVE TO LOVE YOU...HEAT WAVE VOL 5Ûª ？ #np https://t.co/rQiuqXNM2X</v>
      </c>
      <c r="G5760" s="4" t="str">
        <f>IFERROR(__xludf.DUMMYFUNCTION("GOOGLETRANSLATE(B5760)"),"熱%20波")</f>
        <v>熱%20波</v>
      </c>
    </row>
    <row r="5761" ht="15.75" customHeight="1">
      <c r="A5761" s="4">
        <v>6085.0</v>
      </c>
      <c r="B5761" s="4" t="s">
        <v>2830</v>
      </c>
      <c r="C5761" s="4" t="s">
        <v>8441</v>
      </c>
      <c r="D5761" s="4" t="s">
        <v>8442</v>
      </c>
      <c r="E5761" s="4">
        <v>0.0</v>
      </c>
      <c r="F5761" s="4" t="str">
        <f>IFERROR(__xludf.DUMMYFUNCTION("GOOGLETRANSLATE(D5761)"),"蘭花 - 女巫的印記 http://t.co/YtkXwPyIHg")</f>
        <v>蘭花 - 女巫的印記 http://t.co/YtkXwPyIHg</v>
      </c>
      <c r="G5761" s="4" t="str">
        <f>IFERROR(__xludf.DUMMYFUNCTION("GOOGLETRANSLATE(B5761)"),"地獄火")</f>
        <v>地獄火</v>
      </c>
    </row>
    <row r="5762" ht="15.75" customHeight="1">
      <c r="A5762" s="4">
        <v>6086.0</v>
      </c>
      <c r="B5762" s="4" t="s">
        <v>2830</v>
      </c>
      <c r="D5762" s="4" t="s">
        <v>8443</v>
      </c>
      <c r="E5762" s="4">
        <v>0.0</v>
      </c>
      <c r="F5762" s="4" t="str">
        <f>IFERROR(__xludf.DUMMYFUNCTION("GOOGLETRANSLATE(D5762)"),"第三天沒有我的手機，而且由於我的電腦太慢了，這真是地獄之火:'(
請發送協助")</f>
        <v>第三天沒有我的手機，而且由於我的電腦太慢了，這真是地獄之火:'(
請發送協助</v>
      </c>
      <c r="G5762" s="4" t="str">
        <f>IFERROR(__xludf.DUMMYFUNCTION("GOOGLETRANSLATE(B5762)"),"地獄火")</f>
        <v>地獄火</v>
      </c>
    </row>
    <row r="5763" ht="15.75" customHeight="1">
      <c r="A5763" s="4">
        <v>6087.0</v>
      </c>
      <c r="B5763" s="4" t="s">
        <v>2830</v>
      </c>
      <c r="D5763" s="4" t="s">
        <v>2831</v>
      </c>
      <c r="E5763" s="4">
        <v>0.0</v>
      </c>
      <c r="F5763" s="4" t="str">
        <f>IFERROR(__xludf.DUMMYFUNCTION("GOOGLETRANSLATE(D5763)"),"先知（願主福安之）說：“即使是通過施捨半顆棗子，也能將自己從地獄之火中拯救出來。”")</f>
        <v>先知（願主福安之）說：“即使是通過施捨半顆棗子，也能將自己從地獄之火中拯救出來。”</v>
      </c>
      <c r="G5763" s="4" t="str">
        <f>IFERROR(__xludf.DUMMYFUNCTION("GOOGLETRANSLATE(B5763)"),"地獄火")</f>
        <v>地獄火</v>
      </c>
    </row>
    <row r="5764" ht="15.75" customHeight="1">
      <c r="A5764" s="4">
        <v>6088.0</v>
      </c>
      <c r="B5764" s="4" t="s">
        <v>2830</v>
      </c>
      <c r="D5764" s="4" t="s">
        <v>2832</v>
      </c>
      <c r="E5764" s="4">
        <v>0.0</v>
      </c>
      <c r="F5764" s="4" t="str">
        <f>IFERROR(__xludf.DUMMYFUNCTION("GOOGLETRANSLATE(D5764)"),"地獄之火被慾望包圍，所以要小心，不要讓你的慾望控制你！ #來世")</f>
        <v>地獄之火被慾望包圍，所以要小心，不要讓你的慾望控制你！ #來世</v>
      </c>
      <c r="G5764" s="4" t="str">
        <f>IFERROR(__xludf.DUMMYFUNCTION("GOOGLETRANSLATE(B5764)"),"地獄火")</f>
        <v>地獄火</v>
      </c>
    </row>
    <row r="5765" ht="15.75" customHeight="1">
      <c r="A5765" s="4">
        <v>6090.0</v>
      </c>
      <c r="B5765" s="4" t="s">
        <v>2830</v>
      </c>
      <c r="C5765" s="4" t="s">
        <v>4280</v>
      </c>
      <c r="D5765" s="4" t="s">
        <v>2831</v>
      </c>
      <c r="E5765" s="4">
        <v>0.0</v>
      </c>
      <c r="F5765" s="4" t="str">
        <f>IFERROR(__xludf.DUMMYFUNCTION("GOOGLETRANSLATE(D5765)"),"先知（願主福安之）說：“即使是通過施捨半顆棗子，也能將自己從地獄之火中拯救出來。”")</f>
        <v>先知（願主福安之）說：“即使是通過施捨半顆棗子，也能將自己從地獄之火中拯救出來。”</v>
      </c>
      <c r="G5765" s="4" t="str">
        <f>IFERROR(__xludf.DUMMYFUNCTION("GOOGLETRANSLATE(B5765)"),"地獄火")</f>
        <v>地獄火</v>
      </c>
    </row>
    <row r="5766" ht="15.75" customHeight="1">
      <c r="A5766" s="4">
        <v>6091.0</v>
      </c>
      <c r="B5766" s="4" t="s">
        <v>2830</v>
      </c>
      <c r="C5766" s="4" t="s">
        <v>89</v>
      </c>
      <c r="D5766" s="4" t="s">
        <v>8444</v>
      </c>
      <c r="E5766" s="4">
        <v>0.0</v>
      </c>
      <c r="F5766" s="4" t="str">
        <f>IFERROR(__xludf.DUMMYFUNCTION("GOOGLETRANSLATE(D5766)"),"@DeeDee_Casey 當天一直在地獄火洞穴巡迴演唱會！不過很想調查這個地方！")</f>
        <v>@DeeDee_Casey 當天一直在地獄火洞穴巡迴演唱會！不過很想調查這個地方！</v>
      </c>
      <c r="G5766" s="4" t="str">
        <f>IFERROR(__xludf.DUMMYFUNCTION("GOOGLETRANSLATE(B5766)"),"地獄火")</f>
        <v>地獄火</v>
      </c>
    </row>
    <row r="5767" ht="15.75" customHeight="1">
      <c r="A5767" s="4">
        <v>6092.0</v>
      </c>
      <c r="B5767" s="4" t="s">
        <v>2830</v>
      </c>
      <c r="C5767" s="4" t="s">
        <v>8445</v>
      </c>
      <c r="D5767" s="4" t="s">
        <v>8446</v>
      </c>
      <c r="E5767" s="4">
        <v>0.0</v>
      </c>
      <c r="F5767" s="4" t="str">
        <f>IFERROR(__xludf.DUMMYFUNCTION("GOOGLETRANSLATE(D5767)"),"小心你的脾氣和舌頭！這兩種危險的武器結合在一起可以將一個人引向地獄火#islam！")</f>
        <v>小心你的脾氣和舌頭！這兩種危險的武器結合在一起可以將一個人引向地獄火#islam！</v>
      </c>
      <c r="G5767" s="4" t="str">
        <f>IFERROR(__xludf.DUMMYFUNCTION("GOOGLETRANSLATE(B5767)"),"地獄火")</f>
        <v>地獄火</v>
      </c>
    </row>
    <row r="5768" ht="15.75" customHeight="1">
      <c r="A5768" s="4">
        <v>6093.0</v>
      </c>
      <c r="B5768" s="4" t="s">
        <v>2830</v>
      </c>
      <c r="C5768" s="4" t="s">
        <v>8447</v>
      </c>
      <c r="D5768" s="4" t="s">
        <v>8448</v>
      </c>
      <c r="E5768" s="4">
        <v>0.0</v>
      </c>
      <c r="F5768" s="4" t="str">
        <f>IFERROR(__xludf.DUMMYFUNCTION("GOOGLETRANSLATE(D5768)"),"《地獄之火》EP - Silentmind &amp;amp; @_bookofdaniel https://t.co/FKqJY3EzyG")</f>
        <v>《地獄之火》EP - Silentmind &amp;amp; @_bookofdaniel https://t.co/FKqJY3EzyG</v>
      </c>
      <c r="G5768" s="4" t="str">
        <f>IFERROR(__xludf.DUMMYFUNCTION("GOOGLETRANSLATE(B5768)"),"地獄火")</f>
        <v>地獄火</v>
      </c>
    </row>
    <row r="5769" ht="15.75" customHeight="1">
      <c r="A5769" s="4">
        <v>6094.0</v>
      </c>
      <c r="B5769" s="4" t="s">
        <v>2830</v>
      </c>
      <c r="C5769" s="4" t="s">
        <v>8449</v>
      </c>
      <c r="D5769" s="4" t="s">
        <v>2835</v>
      </c>
      <c r="E5769" s="4">
        <v>0.0</v>
      </c>
      <c r="F5769" s="4" t="str">
        <f>IFERROR(__xludf.DUMMYFUNCTION("GOOGLETRANSLATE(D5769)"),"#Allah 描述了堆積 #wealth 並認為它會持續#forever，就像 Surah Humaza 中對 #Hellfire 人民的描述一樣。 ＃反映")</f>
        <v>#Allah 描述了堆積 #wealth 並認為它會持續#forever，就像 Surah Humaza 中對 #Hellfire 人民的描述一樣。 ＃反映</v>
      </c>
      <c r="G5769" s="4" t="str">
        <f>IFERROR(__xludf.DUMMYFUNCTION("GOOGLETRANSLATE(B5769)"),"地獄火")</f>
        <v>地獄火</v>
      </c>
    </row>
    <row r="5770" ht="15.75" customHeight="1">
      <c r="A5770" s="4">
        <v>6096.0</v>
      </c>
      <c r="B5770" s="4" t="s">
        <v>2830</v>
      </c>
      <c r="D5770" s="4" t="s">
        <v>8446</v>
      </c>
      <c r="E5770" s="4">
        <v>0.0</v>
      </c>
      <c r="F5770" s="4" t="str">
        <f>IFERROR(__xludf.DUMMYFUNCTION("GOOGLETRANSLATE(D5770)"),"小心你的脾氣和舌頭！這兩種危險的武器結合在一起可以將一個人引向地獄火#islam！")</f>
        <v>小心你的脾氣和舌頭！這兩種危險的武器結合在一起可以將一個人引向地獄火#islam！</v>
      </c>
      <c r="G5770" s="4" t="str">
        <f>IFERROR(__xludf.DUMMYFUNCTION("GOOGLETRANSLATE(B5770)"),"地獄火")</f>
        <v>地獄火</v>
      </c>
    </row>
    <row r="5771" ht="15.75" customHeight="1">
      <c r="A5771" s="4">
        <v>6098.0</v>
      </c>
      <c r="B5771" s="4" t="s">
        <v>2830</v>
      </c>
      <c r="D5771" s="4" t="s">
        <v>8450</v>
      </c>
      <c r="E5771" s="4">
        <v>0.0</v>
      </c>
      <c r="F5771" s="4" t="str">
        <f>IFERROR(__xludf.DUMMYFUNCTION("GOOGLETRANSLATE(D5771)"),"地獄火！我們甚至不想考慮它或提及它，所以我們不要做任何導致它的事情！")</f>
        <v>地獄火！我們甚至不想考慮它或提及它，所以我們不要做任何導致它的事情！</v>
      </c>
      <c r="G5771" s="4" t="str">
        <f>IFERROR(__xludf.DUMMYFUNCTION("GOOGLETRANSLATE(B5771)"),"地獄火")</f>
        <v>地獄火</v>
      </c>
    </row>
    <row r="5772" ht="15.75" customHeight="1">
      <c r="A5772" s="4">
        <v>6099.0</v>
      </c>
      <c r="B5772" s="4" t="s">
        <v>2830</v>
      </c>
      <c r="D5772" s="4" t="s">
        <v>8451</v>
      </c>
      <c r="E5772" s="4">
        <v>0.0</v>
      </c>
      <c r="F5772" s="4" t="str">
        <f>IFERROR(__xludf.DUMMYFUNCTION("GOOGLETRANSLATE(D5772)"),"地獄之火被慾望包圍，所以要小心，不要讓你的慾望控制你！ #來世#伊斯蘭")</f>
        <v>地獄之火被慾望包圍，所以要小心，不要讓你的慾望控制你！ #來世#伊斯蘭</v>
      </c>
      <c r="G5772" s="4" t="str">
        <f>IFERROR(__xludf.DUMMYFUNCTION("GOOGLETRANSLATE(B5772)"),"地獄火")</f>
        <v>地獄火</v>
      </c>
    </row>
    <row r="5773" ht="15.75" customHeight="1">
      <c r="A5773" s="4">
        <v>6100.0</v>
      </c>
      <c r="B5773" s="4" t="s">
        <v>2830</v>
      </c>
      <c r="C5773" s="4" t="s">
        <v>1125</v>
      </c>
      <c r="D5773" s="4" t="s">
        <v>8452</v>
      </c>
      <c r="E5773" s="4">
        <v>0.0</v>
      </c>
      <c r="F5773" s="4" t="str">
        <f>IFERROR(__xludf.DUMMYFUNCTION("GOOGLETRANSLATE(D5773)"),"@IAN_Hellfire 根據經驗你說這很粗魯。某種程度上，這是下一個等級的子推文，哈哈。不管怎樣，你都激動了")</f>
        <v>@IAN_Hellfire 根據經驗你說這很粗魯。某種程度上，這是下一個等級的子推文，哈哈。不管怎樣，你都激動了</v>
      </c>
      <c r="G5773" s="4" t="str">
        <f>IFERROR(__xludf.DUMMYFUNCTION("GOOGLETRANSLATE(B5773)"),"地獄火")</f>
        <v>地獄火</v>
      </c>
    </row>
    <row r="5774" ht="15.75" customHeight="1">
      <c r="A5774" s="4">
        <v>6102.0</v>
      </c>
      <c r="B5774" s="4" t="s">
        <v>2830</v>
      </c>
      <c r="D5774" s="4" t="s">
        <v>8453</v>
      </c>
      <c r="E5774" s="4">
        <v>0.0</v>
      </c>
      <c r="F5774" s="4" t="str">
        <f>IFERROR(__xludf.DUMMYFUNCTION("GOOGLETRANSLATE(D5774)"),"@JYHeffect 我的好你留在紐約？？？ ？")</f>
        <v>@JYHeffect 我的好你留在紐約？？？ ？</v>
      </c>
      <c r="G5774" s="4" t="str">
        <f>IFERROR(__xludf.DUMMYFUNCTION("GOOGLETRANSLATE(B5774)"),"地獄火")</f>
        <v>地獄火</v>
      </c>
    </row>
    <row r="5775" ht="15.75" customHeight="1">
      <c r="A5775" s="4">
        <v>6103.0</v>
      </c>
      <c r="B5775" s="4" t="s">
        <v>2830</v>
      </c>
      <c r="D5775" s="4" t="s">
        <v>8454</v>
      </c>
      <c r="E5775" s="4">
        <v>0.0</v>
      </c>
      <c r="F5775" s="4" t="str">
        <f>IFERROR(__xludf.DUMMYFUNCTION("GOOGLETRANSLATE(D5775)"),"@HellFire_eV @JackPERU1 然後我對其中一個這樣做？？？")</f>
        <v>@HellFire_eV @JackPERU1 然後我對其中一個這樣做？？？</v>
      </c>
      <c r="G5775" s="4" t="str">
        <f>IFERROR(__xludf.DUMMYFUNCTION("GOOGLETRANSLATE(B5775)"),"地獄火")</f>
        <v>地獄火</v>
      </c>
    </row>
    <row r="5776" ht="15.75" customHeight="1">
      <c r="A5776" s="4">
        <v>6104.0</v>
      </c>
      <c r="B5776" s="4" t="s">
        <v>2830</v>
      </c>
      <c r="C5776" s="4" t="s">
        <v>679</v>
      </c>
      <c r="D5776" s="4" t="s">
        <v>8455</v>
      </c>
      <c r="E5776" s="4">
        <v>0.0</v>
      </c>
      <c r="F5776" s="4" t="str">
        <f>IFERROR(__xludf.DUMMYFUNCTION("GOOGLETRANSLATE(D5776)"),"（而且我不認為縫紉認為皮帶會那麼好，哈哈）")</f>
        <v>（而且我不認為縫紉認為皮帶會那麼好，哈哈）</v>
      </c>
      <c r="G5776" s="4" t="str">
        <f>IFERROR(__xludf.DUMMYFUNCTION("GOOGLETRANSLATE(B5776)"),"地獄火")</f>
        <v>地獄火</v>
      </c>
    </row>
    <row r="5777" ht="15.75" customHeight="1">
      <c r="A5777" s="4">
        <v>6105.0</v>
      </c>
      <c r="B5777" s="4" t="s">
        <v>2830</v>
      </c>
      <c r="C5777" s="4" t="s">
        <v>8456</v>
      </c>
      <c r="D5777" s="4" t="s">
        <v>2835</v>
      </c>
      <c r="E5777" s="4">
        <v>0.0</v>
      </c>
      <c r="F5777" s="4" t="str">
        <f>IFERROR(__xludf.DUMMYFUNCTION("GOOGLETRANSLATE(D5777)"),"#Allah 描述了堆積 #wealth 並認為它會持續#forever，就像 Surah Humaza 中對 #Hellfire 人民的描述一樣。 ＃反映")</f>
        <v>#Allah 描述了堆積 #wealth 並認為它會持續#forever，就像 Surah Humaza 中對 #Hellfire 人民的描述一樣。 ＃反映</v>
      </c>
      <c r="G5777" s="4" t="str">
        <f>IFERROR(__xludf.DUMMYFUNCTION("GOOGLETRANSLATE(B5777)"),"地獄火")</f>
        <v>地獄火</v>
      </c>
    </row>
    <row r="5778" ht="15.75" customHeight="1">
      <c r="A5778" s="4">
        <v>6106.0</v>
      </c>
      <c r="B5778" s="4" t="s">
        <v>2830</v>
      </c>
      <c r="C5778" s="4" t="s">
        <v>8457</v>
      </c>
      <c r="D5778" s="4" t="s">
        <v>8458</v>
      </c>
      <c r="E5778" s="4">
        <v>0.0</v>
      </c>
      <c r="F5778" s="4" t="str">
        <f>IFERROR(__xludf.DUMMYFUNCTION("GOOGLETRANSLATE(D5778)"),"@IAN_Hellfire 我因為這個錯誤而得到了它，但老闆的情況更糟，因為他們的工作是監督我的工作。之後boss就沒有變了...")</f>
        <v>@IAN_Hellfire 我因為這個錯誤而得到了它，但老闆的情況更糟，因為他們的工作是監督我的工作。之後boss就沒有變了...</v>
      </c>
      <c r="G5778" s="4" t="str">
        <f>IFERROR(__xludf.DUMMYFUNCTION("GOOGLETRANSLATE(B5778)"),"地獄火")</f>
        <v>地獄火</v>
      </c>
    </row>
    <row r="5779" ht="15.75" customHeight="1">
      <c r="A5779" s="4">
        <v>6108.0</v>
      </c>
      <c r="B5779" s="4" t="s">
        <v>2830</v>
      </c>
      <c r="C5779" s="4" t="s">
        <v>8459</v>
      </c>
      <c r="D5779" s="4" t="s">
        <v>8460</v>
      </c>
      <c r="E5779" s="4">
        <v>0.0</v>
      </c>
      <c r="F5779" s="4" t="str">
        <f>IFERROR(__xludf.DUMMYFUNCTION("GOOGLETRANSLATE(D5779)"),"巴黎聖母院駝背的那首地獄之火歌曲讓我想起了我的房子")</f>
        <v>巴黎聖母院駝背的那首地獄之火歌曲讓我想起了我的房子</v>
      </c>
      <c r="G5779" s="4" t="str">
        <f>IFERROR(__xludf.DUMMYFUNCTION("GOOGLETRANSLATE(B5779)"),"地獄火")</f>
        <v>地獄火</v>
      </c>
    </row>
    <row r="5780" ht="15.75" customHeight="1">
      <c r="A5780" s="4">
        <v>6109.0</v>
      </c>
      <c r="B5780" s="4" t="s">
        <v>2830</v>
      </c>
      <c r="C5780" s="4" t="s">
        <v>679</v>
      </c>
      <c r="D5780" s="4" t="s">
        <v>8461</v>
      </c>
      <c r="E5780" s="4">
        <v>0.0</v>
      </c>
      <c r="F5780" s="4" t="str">
        <f>IFERROR(__xludf.DUMMYFUNCTION("GOOGLETRANSLATE(D5780)"),"您發送的訊息，他們沒有回覆。我發現你看到了我的消息，你至少可以告訴我「滾開」之類的。")</f>
        <v>您發送的訊息，他們沒有回覆。我發現你看到了我的消息，你至少可以告訴我「滾開」之類的。</v>
      </c>
      <c r="G5780" s="4" t="str">
        <f>IFERROR(__xludf.DUMMYFUNCTION("GOOGLETRANSLATE(B5780)"),"地獄火")</f>
        <v>地獄火</v>
      </c>
    </row>
    <row r="5781" ht="15.75" customHeight="1">
      <c r="A5781" s="4">
        <v>6110.0</v>
      </c>
      <c r="B5781" s="4" t="s">
        <v>2830</v>
      </c>
      <c r="D5781" s="4" t="s">
        <v>8446</v>
      </c>
      <c r="E5781" s="4">
        <v>0.0</v>
      </c>
      <c r="F5781" s="4" t="str">
        <f>IFERROR(__xludf.DUMMYFUNCTION("GOOGLETRANSLATE(D5781)"),"小心你的脾氣和舌頭！這兩種危險的武器結合在一起可以將一個人引向地獄火#islam！")</f>
        <v>小心你的脾氣和舌頭！這兩種危險的武器結合在一起可以將一個人引向地獄火#islam！</v>
      </c>
      <c r="G5781" s="4" t="str">
        <f>IFERROR(__xludf.DUMMYFUNCTION("GOOGLETRANSLATE(B5781)"),"地獄火")</f>
        <v>地獄火</v>
      </c>
    </row>
    <row r="5782" ht="15.75" customHeight="1">
      <c r="A5782" s="4">
        <v>6111.0</v>
      </c>
      <c r="B5782" s="4" t="s">
        <v>2830</v>
      </c>
      <c r="D5782" s="4" t="s">
        <v>2831</v>
      </c>
      <c r="E5782" s="4">
        <v>0.0</v>
      </c>
      <c r="F5782" s="4" t="str">
        <f>IFERROR(__xludf.DUMMYFUNCTION("GOOGLETRANSLATE(D5782)"),"先知（願主福安之）說：“即使是通過施捨半顆棗子，也能將自己從地獄之火中拯救出來。”")</f>
        <v>先知（願主福安之）說：“即使是通過施捨半顆棗子，也能將自己從地獄之火中拯救出來。”</v>
      </c>
      <c r="G5782" s="4" t="str">
        <f>IFERROR(__xludf.DUMMYFUNCTION("GOOGLETRANSLATE(B5782)"),"地獄火")</f>
        <v>地獄火</v>
      </c>
    </row>
    <row r="5783" ht="15.75" customHeight="1">
      <c r="A5783" s="4">
        <v>6113.0</v>
      </c>
      <c r="B5783" s="4" t="s">
        <v>2830</v>
      </c>
      <c r="D5783" s="4" t="s">
        <v>2839</v>
      </c>
      <c r="E5783" s="4">
        <v>0.0</v>
      </c>
      <c r="F5783" s="4" t="str">
        <f>IFERROR(__xludf.DUMMYFUNCTION("GOOGLETRANSLATE(D5783)"),"地獄火！我們甚至不想考慮它或提及它，所以我們不要做任何導致它的事情#islam！")</f>
        <v>地獄火！我們甚至不想考慮它或提及它，所以我們不要做任何導致它的事情#islam！</v>
      </c>
      <c r="G5783" s="4" t="str">
        <f>IFERROR(__xludf.DUMMYFUNCTION("GOOGLETRANSLATE(B5783)"),"地獄火")</f>
        <v>地獄火</v>
      </c>
    </row>
    <row r="5784" ht="15.75" customHeight="1">
      <c r="A5784" s="4">
        <v>6115.0</v>
      </c>
      <c r="B5784" s="4" t="s">
        <v>2830</v>
      </c>
      <c r="C5784" s="4" t="s">
        <v>8462</v>
      </c>
      <c r="D5784" s="4" t="s">
        <v>8463</v>
      </c>
      <c r="E5784" s="4">
        <v>0.0</v>
      </c>
      <c r="F5784" s="4" t="str">
        <f>IFERROR(__xludf.DUMMYFUNCTION("GOOGLETRANSLATE(D5784)"),"新雞尾酒上榜！ El Diablo Mas Verde：梅斯卡爾黃綠蜂蜜小黃瓜地獄火苦味酒......http://t.co/REuosJEK4m")</f>
        <v>新雞尾酒上榜！ El Diablo Mas Verde：梅斯卡爾黃綠蜂蜜小黃瓜地獄火苦味酒......http://t.co/REuosJEK4m</v>
      </c>
      <c r="G5784" s="4" t="str">
        <f>IFERROR(__xludf.DUMMYFUNCTION("GOOGLETRANSLATE(B5784)"),"地獄火")</f>
        <v>地獄火</v>
      </c>
    </row>
    <row r="5785" ht="15.75" customHeight="1">
      <c r="A5785" s="4">
        <v>6116.0</v>
      </c>
      <c r="B5785" s="4" t="s">
        <v>2830</v>
      </c>
      <c r="C5785" s="4" t="s">
        <v>8464</v>
      </c>
      <c r="D5785" s="4" t="s">
        <v>8451</v>
      </c>
      <c r="E5785" s="4">
        <v>0.0</v>
      </c>
      <c r="F5785" s="4" t="str">
        <f>IFERROR(__xludf.DUMMYFUNCTION("GOOGLETRANSLATE(D5785)"),"地獄之火被慾望包圍，所以要小心，不要讓你的慾望控制你！ #來世#伊斯蘭")</f>
        <v>地獄之火被慾望包圍，所以要小心，不要讓你的慾望控制你！ #來世#伊斯蘭</v>
      </c>
      <c r="G5785" s="4" t="str">
        <f>IFERROR(__xludf.DUMMYFUNCTION("GOOGLETRANSLATE(B5785)"),"地獄火")</f>
        <v>地獄火</v>
      </c>
    </row>
    <row r="5786" ht="15.75" customHeight="1">
      <c r="A5786" s="4">
        <v>6118.0</v>
      </c>
      <c r="B5786" s="4" t="s">
        <v>2830</v>
      </c>
      <c r="D5786" s="4" t="s">
        <v>2831</v>
      </c>
      <c r="E5786" s="4">
        <v>0.0</v>
      </c>
      <c r="F5786" s="4" t="str">
        <f>IFERROR(__xludf.DUMMYFUNCTION("GOOGLETRANSLATE(D5786)"),"先知（願主福安之）說：“即使是通過施捨半顆棗子，也能將自己從地獄之火中拯救出來。”")</f>
        <v>先知（願主福安之）說：“即使是通過施捨半顆棗子，也能將自己從地獄之火中拯救出來。”</v>
      </c>
      <c r="G5786" s="4" t="str">
        <f>IFERROR(__xludf.DUMMYFUNCTION("GOOGLETRANSLATE(B5786)"),"地獄火")</f>
        <v>地獄火</v>
      </c>
    </row>
    <row r="5787" ht="15.75" customHeight="1">
      <c r="A5787" s="4">
        <v>6119.0</v>
      </c>
      <c r="B5787" s="4" t="s">
        <v>2830</v>
      </c>
      <c r="D5787" s="4" t="s">
        <v>8450</v>
      </c>
      <c r="E5787" s="4">
        <v>0.0</v>
      </c>
      <c r="F5787" s="4" t="str">
        <f>IFERROR(__xludf.DUMMYFUNCTION("GOOGLETRANSLATE(D5787)"),"地獄火！我們甚至不想考慮它或提及它，所以我們不要做任何導致它的事情！")</f>
        <v>地獄火！我們甚至不想考慮它或提及它，所以我們不要做任何導致它的事情！</v>
      </c>
      <c r="G5787" s="4" t="str">
        <f>IFERROR(__xludf.DUMMYFUNCTION("GOOGLETRANSLATE(B5787)"),"地獄火")</f>
        <v>地獄火</v>
      </c>
    </row>
    <row r="5788" ht="15.75" customHeight="1">
      <c r="A5788" s="4">
        <v>6125.0</v>
      </c>
      <c r="B5788" s="4" t="s">
        <v>2830</v>
      </c>
      <c r="D5788" s="4" t="s">
        <v>2832</v>
      </c>
      <c r="E5788" s="4">
        <v>0.0</v>
      </c>
      <c r="F5788" s="4" t="str">
        <f>IFERROR(__xludf.DUMMYFUNCTION("GOOGLETRANSLATE(D5788)"),"地獄之火被慾望包圍，所以要小心，不要讓你的慾望控制你！ #來世")</f>
        <v>地獄之火被慾望包圍，所以要小心，不要讓你的慾望控制你！ #來世</v>
      </c>
      <c r="G5788" s="4" t="str">
        <f>IFERROR(__xludf.DUMMYFUNCTION("GOOGLETRANSLATE(B5788)"),"地獄火")</f>
        <v>地獄火</v>
      </c>
    </row>
    <row r="5789" ht="15.75" customHeight="1">
      <c r="A5789" s="4">
        <v>6127.0</v>
      </c>
      <c r="B5789" s="4" t="s">
        <v>2830</v>
      </c>
      <c r="C5789" s="4" t="s">
        <v>8465</v>
      </c>
      <c r="D5789" s="4" t="s">
        <v>8466</v>
      </c>
      <c r="E5789" s="4">
        <v>0.0</v>
      </c>
      <c r="F5789" s="4" t="str">
        <f>IFERROR(__xludf.DUMMYFUNCTION("GOOGLETRANSLATE(D5789)"),"地獄火石像鬼蹄線圈 http://t.co/2ii3Brc7NX")</f>
        <v>地獄火石像鬼蹄線圈 http://t.co/2ii3Brc7NX</v>
      </c>
      <c r="G5789" s="4" t="str">
        <f>IFERROR(__xludf.DUMMYFUNCTION("GOOGLETRANSLATE(B5789)"),"地獄火")</f>
        <v>地獄火</v>
      </c>
    </row>
    <row r="5790" ht="15.75" customHeight="1">
      <c r="A5790" s="4">
        <v>6128.0</v>
      </c>
      <c r="B5790" s="4" t="s">
        <v>2830</v>
      </c>
      <c r="C5790" s="4" t="s">
        <v>679</v>
      </c>
      <c r="D5790" s="4" t="s">
        <v>8467</v>
      </c>
      <c r="E5790" s="4">
        <v>0.0</v>
      </c>
      <c r="F5790" s="4" t="str">
        <f>IFERROR(__xludf.DUMMYFUNCTION("GOOGLETRANSLATE(D5790)"),"@MechaMacGyver 哇打賭你也因此受到指責吧？")</f>
        <v>@MechaMacGyver 哇打賭你也因此受到指責吧？</v>
      </c>
      <c r="G5790" s="4" t="str">
        <f>IFERROR(__xludf.DUMMYFUNCTION("GOOGLETRANSLATE(B5790)"),"地獄火")</f>
        <v>地獄火</v>
      </c>
    </row>
    <row r="5791" ht="15.75" customHeight="1">
      <c r="A5791" s="4">
        <v>6130.0</v>
      </c>
      <c r="B5791" s="4" t="s">
        <v>2830</v>
      </c>
      <c r="C5791" s="4" t="s">
        <v>1125</v>
      </c>
      <c r="D5791" s="4" t="s">
        <v>8468</v>
      </c>
      <c r="E5791" s="4">
        <v>0.0</v>
      </c>
      <c r="F5791" s="4" t="str">
        <f>IFERROR(__xludf.DUMMYFUNCTION("GOOGLETRANSLATE(D5791)"),"@IAN_Hellfire 又不是真的。你知道我被fadc忽略了幾次嗎？你不能指望任何事。")</f>
        <v>@IAN_Hellfire 又不是真的。你知道我被fadc忽略了幾次嗎？你不能指望任何事。</v>
      </c>
      <c r="G5791" s="4" t="str">
        <f>IFERROR(__xludf.DUMMYFUNCTION("GOOGLETRANSLATE(B5791)"),"地獄火")</f>
        <v>地獄火</v>
      </c>
    </row>
    <row r="5792" ht="15.75" customHeight="1">
      <c r="A5792" s="4">
        <v>6133.0</v>
      </c>
      <c r="B5792" s="4" t="s">
        <v>2830</v>
      </c>
      <c r="C5792" s="4" t="s">
        <v>8469</v>
      </c>
      <c r="D5792" s="4" t="s">
        <v>8470</v>
      </c>
      <c r="E5792" s="4">
        <v>0.0</v>
      </c>
      <c r="F5792" s="4" t="str">
        <f>IFERROR(__xludf.DUMMYFUNCTION("GOOGLETRANSLATE(D5792)"),"@USArmy 已加入#JAGM 項目以取代#TOW 和地獄火飛彈。在這裡查看：http://t.co/2mnQC73hFk")</f>
        <v>@USArmy 已加入#JAGM 項目以取代#TOW 和地獄火飛彈。在這裡查看：http://t.co/2mnQC73hFk</v>
      </c>
      <c r="G5792" s="4" t="str">
        <f>IFERROR(__xludf.DUMMYFUNCTION("GOOGLETRANSLATE(B5792)"),"地獄火")</f>
        <v>地獄火</v>
      </c>
    </row>
    <row r="5793" ht="15.75" customHeight="1">
      <c r="A5793" s="4">
        <v>6137.0</v>
      </c>
      <c r="B5793" s="4" t="s">
        <v>2840</v>
      </c>
      <c r="C5793" s="4" t="s">
        <v>8471</v>
      </c>
      <c r="D5793" s="4" t="s">
        <v>8472</v>
      </c>
      <c r="E5793" s="4">
        <v>0.0</v>
      </c>
      <c r="F5793" s="4" t="str">
        <f>IFERROR(__xludf.DUMMYFUNCTION("GOOGLETRANSLATE(D5793)"),"#GamerGate 「我們劫持您的社區、摧毀您的行業並欺騙所有看到的人的整個嘗試只是諷刺」。
摔死吧")</f>
        <v>#GamerGate 「我們劫持您的社區、摧毀您的行業並欺騙所有看到的人的整個嘗試只是諷刺」。
摔死吧</v>
      </c>
      <c r="G5793" s="4" t="str">
        <f>IFERROR(__xludf.DUMMYFUNCTION("GOOGLETRANSLATE(B5793)"),"劫持")</f>
        <v>劫持</v>
      </c>
    </row>
    <row r="5794" ht="15.75" customHeight="1">
      <c r="A5794" s="4">
        <v>6141.0</v>
      </c>
      <c r="B5794" s="4" t="s">
        <v>2840</v>
      </c>
      <c r="C5794" s="4" t="s">
        <v>917</v>
      </c>
      <c r="D5794" s="4" t="s">
        <v>8473</v>
      </c>
      <c r="E5794" s="4">
        <v>0.0</v>
      </c>
      <c r="F5794" s="4" t="str">
        <f>IFERROR(__xludf.DUMMYFUNCTION("GOOGLETRANSLATE(D5794)"),"完全修補的 OS X 中的 0day 錯誤正在被積極利用來劫持 Mac http://t.co/sbGiRvQvzb")</f>
        <v>完全修補的 OS X 中的 0day 錯誤正在被積極利用來劫持 Mac http://t.co/sbGiRvQvzb</v>
      </c>
      <c r="G5794" s="4" t="str">
        <f>IFERROR(__xludf.DUMMYFUNCTION("GOOGLETRANSLATE(B5794)"),"劫持")</f>
        <v>劫持</v>
      </c>
    </row>
    <row r="5795" ht="15.75" customHeight="1">
      <c r="A5795" s="4">
        <v>6145.0</v>
      </c>
      <c r="B5795" s="4" t="s">
        <v>2840</v>
      </c>
      <c r="D5795" s="4" t="s">
        <v>8474</v>
      </c>
      <c r="E5795" s="4">
        <v>0.0</v>
      </c>
      <c r="F5795" s="4" t="str">
        <f>IFERROR(__xludf.DUMMYFUNCTION("GOOGLETRANSLATE(D5795)"),"完全修補的 OS X 中的 0day 漏洞正在被主動利用以繞過密碼... - Ars Technica http://t.co/F7OgzrNPfv")</f>
        <v>完全修補的 OS X 中的 0day 漏洞正在被主動利用以繞過密碼... - Ars Technica http://t.co/F7OgzrNPfv</v>
      </c>
      <c r="G5795" s="4" t="str">
        <f>IFERROR(__xludf.DUMMYFUNCTION("GOOGLETRANSLATE(B5795)"),"劫持")</f>
        <v>劫持</v>
      </c>
    </row>
    <row r="5796" ht="15.75" customHeight="1">
      <c r="A5796" s="4">
        <v>6146.0</v>
      </c>
      <c r="B5796" s="4" t="s">
        <v>2840</v>
      </c>
      <c r="D5796" s="4" t="s">
        <v>8475</v>
      </c>
      <c r="E5796" s="4">
        <v>0.0</v>
      </c>
      <c r="F5796" s="4" t="str">
        <f>IFERROR(__xludf.DUMMYFUNCTION("GOOGLETRANSLATE(D5796)"),"揭曉：埃弗頓劫持了曼聯對 14 歲 WONDERKID 的報價！ - http://t.co/nb1E7mNcE5")</f>
        <v>揭曉：埃弗頓劫持了曼聯對 14 歲 WONDERKID 的報價！ - http://t.co/nb1E7mNcE5</v>
      </c>
      <c r="G5796" s="4" t="str">
        <f>IFERROR(__xludf.DUMMYFUNCTION("GOOGLETRANSLATE(B5796)"),"劫持")</f>
        <v>劫持</v>
      </c>
    </row>
    <row r="5797" ht="15.75" customHeight="1">
      <c r="A5797" s="4">
        <v>6153.0</v>
      </c>
      <c r="B5797" s="4" t="s">
        <v>2840</v>
      </c>
      <c r="C5797" s="4" t="s">
        <v>8476</v>
      </c>
      <c r="D5797" s="4" t="s">
        <v>8477</v>
      </c>
      <c r="E5797" s="4">
        <v>0.0</v>
      </c>
      <c r="F5797" s="4" t="str">
        <f>IFERROR(__xludf.DUMMYFUNCTION("GOOGLETRANSLATE(D5797)"),"@mockingpanems @cuddlesforjen 如果他出於錯誤的原因把她撞到牆上，但隨後他退出了劫持模式，那會怎麼樣？")</f>
        <v>@mockingpanems @cuddlesforjen 如果他出於錯誤的原因把她撞到牆上，但隨後他退出了劫持模式，那會怎麼樣？</v>
      </c>
      <c r="G5797" s="4" t="str">
        <f>IFERROR(__xludf.DUMMYFUNCTION("GOOGLETRANSLATE(B5797)"),"劫持")</f>
        <v>劫持</v>
      </c>
    </row>
    <row r="5798" ht="15.75" customHeight="1">
      <c r="A5798" s="4">
        <v>6159.0</v>
      </c>
      <c r="B5798" s="4" t="s">
        <v>2840</v>
      </c>
      <c r="C5798" s="4" t="s">
        <v>656</v>
      </c>
      <c r="D5798" s="4" t="s">
        <v>8478</v>
      </c>
      <c r="E5798" s="4">
        <v>0.0</v>
      </c>
      <c r="F5798" s="4" t="str">
        <f>IFERROR(__xludf.DUMMYFUNCTION("GOOGLETRANSLATE(D5798)"),"耐心喬納森正在巴耶爾薩州劫持 APC http://t.co/Vh8QtbyPZt")</f>
        <v>耐心喬納森正在巴耶爾薩州劫持 APC http://t.co/Vh8QtbyPZt</v>
      </c>
      <c r="G5798" s="4" t="str">
        <f>IFERROR(__xludf.DUMMYFUNCTION("GOOGLETRANSLATE(B5798)"),"劫持")</f>
        <v>劫持</v>
      </c>
    </row>
    <row r="5799" ht="15.75" customHeight="1">
      <c r="A5799" s="4">
        <v>6160.0</v>
      </c>
      <c r="B5799" s="4" t="s">
        <v>2840</v>
      </c>
      <c r="D5799" s="4" t="s">
        <v>8479</v>
      </c>
      <c r="E5799" s="4">
        <v>0.0</v>
      </c>
      <c r="F5799" s="4" t="str">
        <f>IFERROR(__xludf.DUMMYFUNCTION("GOOGLETRANSLATE(D5799)"),"斯旺西？密謀劫持南安普敦目標維吉爾範戴克的轉會舉動？ http://t.co/NZRWDdLntp")</f>
        <v>斯旺西？密謀劫持南安普敦目標維吉爾範戴克的轉會舉動？ http://t.co/NZRWDdLntp</v>
      </c>
      <c r="G5799" s="4" t="str">
        <f>IFERROR(__xludf.DUMMYFUNCTION("GOOGLETRANSLATE(B5799)"),"劫持")</f>
        <v>劫持</v>
      </c>
    </row>
    <row r="5800" ht="15.75" customHeight="1">
      <c r="A5800" s="4">
        <v>6162.0</v>
      </c>
      <c r="B5800" s="4" t="s">
        <v>2840</v>
      </c>
      <c r="C5800" s="4" t="s">
        <v>1108</v>
      </c>
      <c r="D5800" s="4" t="s">
        <v>8480</v>
      </c>
      <c r="E5800" s="4">
        <v>0.0</v>
      </c>
      <c r="F5800" s="4" t="str">
        <f>IFERROR(__xludf.DUMMYFUNCTION("GOOGLETRANSLATE(D5800)"),"吉普切諾基車主在黑客襲擊後對菲亞特克萊斯勒哈曼提起訴訟 - 消費者主義者 http://t.co/2hocEP41kH #mcgsecure")</f>
        <v>吉普切諾基車主在黑客襲擊後對菲亞特克萊斯勒哈曼提起訴訟 - 消費者主義者 http://t.co/2hocEP41kH #mcgsecure</v>
      </c>
      <c r="G5800" s="4" t="str">
        <f>IFERROR(__xludf.DUMMYFUNCTION("GOOGLETRANSLATE(B5800)"),"劫持")</f>
        <v>劫持</v>
      </c>
    </row>
    <row r="5801" ht="15.75" customHeight="1">
      <c r="A5801" s="4">
        <v>6163.0</v>
      </c>
      <c r="B5801" s="4" t="s">
        <v>2840</v>
      </c>
      <c r="D5801" s="4" t="s">
        <v>8481</v>
      </c>
      <c r="E5801" s="4">
        <v>0.0</v>
      </c>
      <c r="F5801" s="4" t="str">
        <f>IFERROR(__xludf.DUMMYFUNCTION("GOOGLETRANSLATE(D5801)"),"完全修補的 OS X 中的 0day 漏洞正在積極利用以繞過密碼... - Ars Technica http://t.co/53P4oOO1XN")</f>
        <v>完全修補的 OS X 中的 0day 漏洞正在積極利用以繞過密碼... - Ars Technica http://t.co/53P4oOO1XN</v>
      </c>
      <c r="G5801" s="4" t="str">
        <f>IFERROR(__xludf.DUMMYFUNCTION("GOOGLETRANSLATE(B5801)"),"劫持")</f>
        <v>劫持</v>
      </c>
    </row>
    <row r="5802" ht="15.75" customHeight="1">
      <c r="A5802" s="4">
        <v>6166.0</v>
      </c>
      <c r="B5802" s="4" t="s">
        <v>2840</v>
      </c>
      <c r="D5802" s="4" t="s">
        <v>8482</v>
      </c>
      <c r="E5802" s="4">
        <v>0.0</v>
      </c>
      <c r="F5802" s="4" t="str">
        <f>IFERROR(__xludf.DUMMYFUNCTION("GOOGLETRANSLATE(D5802)"),"@welshninja87 點擊標籤很多。轉發他們以劫持主題標籤")</f>
        <v>@welshninja87 點擊標籤很多。轉發他們以劫持主題標籤</v>
      </c>
      <c r="G5802" s="4" t="str">
        <f>IFERROR(__xludf.DUMMYFUNCTION("GOOGLETRANSLATE(B5802)"),"劫持")</f>
        <v>劫持</v>
      </c>
    </row>
    <row r="5803" ht="15.75" customHeight="1">
      <c r="A5803" s="4">
        <v>6167.0</v>
      </c>
      <c r="B5803" s="4" t="s">
        <v>2840</v>
      </c>
      <c r="C5803" s="4" t="s">
        <v>8483</v>
      </c>
      <c r="D5803" s="4" t="s">
        <v>8484</v>
      </c>
      <c r="E5803" s="4">
        <v>0.0</v>
      </c>
      <c r="F5803" s="4" t="str">
        <f>IFERROR(__xludf.DUMMYFUNCTION("GOOGLETRANSLATE(D5803)"),"又一個 Mac 漏洞！
https://t.co/OxXRnaB8Un")</f>
        <v>又一個 Mac 漏洞！
https://t.co/OxXRnaB8Un</v>
      </c>
      <c r="G5803" s="4" t="str">
        <f>IFERROR(__xludf.DUMMYFUNCTION("GOOGLETRANSLATE(B5803)"),"劫持")</f>
        <v>劫持</v>
      </c>
    </row>
    <row r="5804" ht="15.75" customHeight="1">
      <c r="A5804" s="4">
        <v>6169.0</v>
      </c>
      <c r="B5804" s="4" t="s">
        <v>2840</v>
      </c>
      <c r="C5804" s="4" t="s">
        <v>656</v>
      </c>
      <c r="D5804" s="4" t="s">
        <v>8485</v>
      </c>
      <c r="E5804" s="4">
        <v>0.0</v>
      </c>
      <c r="F5804" s="4" t="str">
        <f>IFERROR(__xludf.DUMMYFUNCTION("GOOGLETRANSLATE(D5804)"),"[最新貼文] 巴耶爾薩民調：巴耶爾薩局勢緊張，因為耐心喬納森計劃劫持 APC PDP http://t.co/B2yvLMPepR")</f>
        <v>[最新貼文] 巴耶爾薩民調：巴耶爾薩局勢緊張，因為耐心喬納森計劃劫持 APC PDP http://t.co/B2yvLMPepR</v>
      </c>
      <c r="G5804" s="4" t="str">
        <f>IFERROR(__xludf.DUMMYFUNCTION("GOOGLETRANSLATE(B5804)"),"劫持")</f>
        <v>劫持</v>
      </c>
    </row>
    <row r="5805" ht="15.75" customHeight="1">
      <c r="A5805" s="4">
        <v>6173.0</v>
      </c>
      <c r="B5805" s="4" t="s">
        <v>2840</v>
      </c>
      <c r="C5805" s="4" t="s">
        <v>3013</v>
      </c>
      <c r="D5805" s="4" t="s">
        <v>8486</v>
      </c>
      <c r="E5805" s="4">
        <v>0.0</v>
      </c>
      <c r="F5805" s="4" t="str">
        <f>IFERROR(__xludf.DUMMYFUNCTION("GOOGLETRANSLATE(D5805)"),"保持謹慎。 http://t.co/JeJC9XcTMp")</f>
        <v>保持謹慎。 http://t.co/JeJC9XcTMp</v>
      </c>
      <c r="G5805" s="4" t="str">
        <f>IFERROR(__xludf.DUMMYFUNCTION("GOOGLETRANSLATE(B5805)"),"劫持")</f>
        <v>劫持</v>
      </c>
    </row>
    <row r="5806" ht="15.75" customHeight="1">
      <c r="A5806" s="4">
        <v>6174.0</v>
      </c>
      <c r="B5806" s="4" t="s">
        <v>2840</v>
      </c>
      <c r="C5806" s="4" t="s">
        <v>8487</v>
      </c>
      <c r="D5806" s="4" t="s">
        <v>8488</v>
      </c>
      <c r="E5806" s="4">
        <v>0.0</v>
      </c>
      <c r="F5806" s="4" t="str">
        <f>IFERROR(__xludf.DUMMYFUNCTION("GOOGLETRANSLATE(D5806)"),"巴耶爾薩民意調查：巴耶爾薩局勢緊張，因為耐心喬納森計劃劫持 APC PDP：前第一夫人的計劃和... http://t.co/3eJL9lZlCH")</f>
        <v>巴耶爾薩民意調查：巴耶爾薩局勢緊張，因為耐心喬納森計劃劫持 APC PDP：前第一夫人的計劃和... http://t.co/3eJL9lZlCH</v>
      </c>
      <c r="G5806" s="4" t="str">
        <f>IFERROR(__xludf.DUMMYFUNCTION("GOOGLETRANSLATE(B5806)"),"劫持")</f>
        <v>劫持</v>
      </c>
    </row>
    <row r="5807" ht="15.75" customHeight="1">
      <c r="A5807" s="4">
        <v>6175.0</v>
      </c>
      <c r="B5807" s="4" t="s">
        <v>2840</v>
      </c>
      <c r="D5807" s="4" t="s">
        <v>8489</v>
      </c>
      <c r="E5807" s="4">
        <v>0.0</v>
      </c>
      <c r="F5807" s="4" t="str">
        <f>IFERROR(__xludf.DUMMYFUNCTION("GOOGLETRANSLATE(D5807)"),"@RickyBonesSXM 他媽的 u2 特別是有新的狗屎。首先他們劫持了itunes，現在全部劫持了sirius chan。滾蛋吧哈哈只是說")</f>
        <v>@RickyBonesSXM 他媽的 u2 特別是有新的狗屎。首先他們劫持了itunes，現在全部劫持了sirius chan。滾蛋吧哈哈只是說</v>
      </c>
      <c r="G5807" s="4" t="str">
        <f>IFERROR(__xludf.DUMMYFUNCTION("GOOGLETRANSLATE(B5807)"),"劫持")</f>
        <v>劫持</v>
      </c>
    </row>
    <row r="5808" ht="15.75" customHeight="1">
      <c r="A5808" s="4">
        <v>6183.0</v>
      </c>
      <c r="B5808" s="4" t="s">
        <v>2840</v>
      </c>
      <c r="C5808" s="4" t="s">
        <v>3720</v>
      </c>
      <c r="D5808" s="4" t="s">
        <v>8490</v>
      </c>
      <c r="E5808" s="4">
        <v>0.0</v>
      </c>
      <c r="F5808" s="4" t="str">
        <f>IFERROR(__xludf.DUMMYFUNCTION("GOOGLETRANSLATE(D5808)"),"巴耶爾薩民意調查：巴耶爾薩局勢緊張，因為耐心喬納森計劃劫持前第一夫人的 APC PDP 計劃...... http://t.co/RtfirzCPOC")</f>
        <v>巴耶爾薩民意調查：巴耶爾薩局勢緊張，因為耐心喬納森計劃劫持前第一夫人的 APC PDP 計劃...... http://t.co/RtfirzCPOC</v>
      </c>
      <c r="G5808" s="4" t="str">
        <f>IFERROR(__xludf.DUMMYFUNCTION("GOOGLETRANSLATE(B5808)"),"劫持")</f>
        <v>劫持</v>
      </c>
    </row>
    <row r="5809" ht="15.75" customHeight="1">
      <c r="A5809" s="4">
        <v>6184.0</v>
      </c>
      <c r="B5809" s="4" t="s">
        <v>2840</v>
      </c>
      <c r="C5809" s="4" t="s">
        <v>5165</v>
      </c>
      <c r="D5809" s="4" t="s">
        <v>8491</v>
      </c>
      <c r="E5809" s="4">
        <v>0.0</v>
      </c>
      <c r="F5809" s="4" t="str">
        <f>IFERROR(__xludf.DUMMYFUNCTION("GOOGLETRANSLATE(D5809)"),"@jasoncundy05 切爾西需要劫持曼聯對佩德羅的交易..20 米爾討價還價亞當在美國俄勒岡州開車回家cmon 布魯斯！！！")</f>
        <v>@jasoncundy05 切爾西需要劫持曼聯對佩德羅的交易..20 米爾討價還價亞當在美國俄勒岡州開車回家cmon 布魯斯！！！</v>
      </c>
      <c r="G5809" s="4" t="str">
        <f>IFERROR(__xludf.DUMMYFUNCTION("GOOGLETRANSLATE(B5809)"),"劫持")</f>
        <v>劫持</v>
      </c>
    </row>
    <row r="5810" ht="15.75" customHeight="1">
      <c r="A5810" s="4">
        <v>6188.0</v>
      </c>
      <c r="B5810" s="4" t="s">
        <v>2859</v>
      </c>
      <c r="C5810" s="4" t="s">
        <v>2925</v>
      </c>
      <c r="D5810" s="4" t="s">
        <v>8492</v>
      </c>
      <c r="E5810" s="4">
        <v>0.0</v>
      </c>
      <c r="F5810" s="4" t="str">
        <f>IFERROR(__xludf.DUMMYFUNCTION("GOOGLETRANSLATE(D5810)"),"布朗州長允許 1976 年喬奇拉校車劫持者詹姆斯·舍恩菲爾德 (James Schoenfeld) 假釋。 http://t.co/GlWoAKppjq http://t.co/WlLfLFnDgG")</f>
        <v>布朗州長允許 1976 年喬奇拉校車劫持者詹姆斯·舍恩菲爾德 (James Schoenfeld) 假釋。 http://t.co/GlWoAKppjq http://t.co/WlLfLFnDgG</v>
      </c>
      <c r="G5810" s="4" t="str">
        <f>IFERROR(__xludf.DUMMYFUNCTION("GOOGLETRANSLATE(B5810)"),"劫機者")</f>
        <v>劫機者</v>
      </c>
    </row>
    <row r="5811" ht="15.75" customHeight="1">
      <c r="A5811" s="4">
        <v>6192.0</v>
      </c>
      <c r="B5811" s="4" t="s">
        <v>2859</v>
      </c>
      <c r="C5811" s="4" t="s">
        <v>2347</v>
      </c>
      <c r="D5811" s="4" t="s">
        <v>8493</v>
      </c>
      <c r="E5811" s="4">
        <v>0.0</v>
      </c>
      <c r="F5811" s="4" t="str">
        <f>IFERROR(__xludf.DUMMYFUNCTION("GOOGLETRANSLATE(D5811)"),"聖荷西水星報：布朗州長允許加州校車劫持者假釋 http://t.co/GpCeCp9kHv")</f>
        <v>聖荷西水星報：布朗州長允許加州校車劫持者假釋 http://t.co/GpCeCp9kHv</v>
      </c>
      <c r="G5811" s="4" t="str">
        <f>IFERROR(__xludf.DUMMYFUNCTION("GOOGLETRANSLATE(B5811)"),"劫機者")</f>
        <v>劫機者</v>
      </c>
    </row>
    <row r="5812" ht="15.75" customHeight="1">
      <c r="A5812" s="4">
        <v>6193.0</v>
      </c>
      <c r="B5812" s="4" t="s">
        <v>2859</v>
      </c>
      <c r="C5812" s="4" t="s">
        <v>3580</v>
      </c>
      <c r="D5812" s="4" t="s">
        <v>8494</v>
      </c>
      <c r="E5812" s="4">
        <v>0.0</v>
      </c>
      <c r="F5812" s="4" t="str">
        <f>IFERROR(__xludf.DUMMYFUNCTION("GOOGLETRANSLATE(D5812)"),"刪除 http://t.co/Xxj2B4JxRt 和 Linkury 瀏覽器劫持者 http://t.co/9gtYlgXrOE http://t.co/yG6Rj86BKI")</f>
        <v>刪除 http://t.co/Xxj2B4JxRt 和 Linkury 瀏覽器劫持者 http://t.co/9gtYlgXrOE http://t.co/yG6Rj86BKI</v>
      </c>
      <c r="G5812" s="4" t="str">
        <f>IFERROR(__xludf.DUMMYFUNCTION("GOOGLETRANSLATE(B5812)"),"劫機者")</f>
        <v>劫機者</v>
      </c>
    </row>
    <row r="5813" ht="15.75" customHeight="1">
      <c r="A5813" s="4">
        <v>6200.0</v>
      </c>
      <c r="B5813" s="4" t="s">
        <v>2859</v>
      </c>
      <c r="C5813" s="4" t="s">
        <v>8049</v>
      </c>
      <c r="D5813" s="4" t="s">
        <v>8495</v>
      </c>
      <c r="E5813" s="4">
        <v>0.0</v>
      </c>
      <c r="F5813" s="4" t="str">
        <f>IFERROR(__xludf.DUMMYFUNCTION("GOOGLETRANSLATE(D5813)"),"刪除 http://t.co/l4wJHz4AJ6 和 Linkury 瀏覽器劫持者 http://t.co/KMgDv7VSAz http://t.co/byTsfms7Md")</f>
        <v>刪除 http://t.co/l4wJHz4AJ6 和 Linkury 瀏覽器劫持者 http://t.co/KMgDv7VSAz http://t.co/byTsfms7Md</v>
      </c>
      <c r="G5813" s="4" t="str">
        <f>IFERROR(__xludf.DUMMYFUNCTION("GOOGLETRANSLATE(B5813)"),"劫機者")</f>
        <v>劫機者</v>
      </c>
    </row>
    <row r="5814" ht="15.75" customHeight="1">
      <c r="A5814" s="4">
        <v>6202.0</v>
      </c>
      <c r="B5814" s="4" t="s">
        <v>2859</v>
      </c>
      <c r="C5814" s="4" t="s">
        <v>38</v>
      </c>
      <c r="D5814" s="4" t="s">
        <v>8496</v>
      </c>
      <c r="E5814" s="4">
        <v>0.0</v>
      </c>
      <c r="F5814" s="4" t="str">
        <f>IFERROR(__xludf.DUMMYFUNCTION("GOOGLETRANSLATE(D5814)"),"如何刪除 http://t.co/HRSfA8zujI 瀏覽器劫持者 http://t.co/vLnjNoLNme http://t.co/iF5RoGFJRi")</f>
        <v>如何刪除 http://t.co/HRSfA8zujI 瀏覽器劫持者 http://t.co/vLnjNoLNme http://t.co/iF5RoGFJRi</v>
      </c>
      <c r="G5814" s="4" t="str">
        <f>IFERROR(__xludf.DUMMYFUNCTION("GOOGLETRANSLATE(B5814)"),"劫機者")</f>
        <v>劫機者</v>
      </c>
    </row>
    <row r="5815" ht="15.75" customHeight="1">
      <c r="A5815" s="4">
        <v>6203.0</v>
      </c>
      <c r="B5815" s="4" t="s">
        <v>2859</v>
      </c>
      <c r="D5815" s="4" t="s">
        <v>8497</v>
      </c>
      <c r="E5815" s="4">
        <v>0.0</v>
      </c>
      <c r="F5815" s="4" t="str">
        <f>IFERROR(__xludf.DUMMYFUNCTION("GOOGLETRANSLATE(D5815)"),"擺脫 http://t.co/9CntP3nQ6o ÛÒ [瀏覽器劫持者刪除指南] 的完整解決方案！ - http://t.co/Qdf6ASaeLM")</f>
        <v>擺脫 http://t.co/9CntP3nQ6o ÛÒ [瀏覽器劫持者刪除指南] 的完整解決方案！ - http://t.co/Qdf6ASaeLM</v>
      </c>
      <c r="G5815" s="4" t="str">
        <f>IFERROR(__xludf.DUMMYFUNCTION("GOOGLETRANSLATE(B5815)"),"劫機者")</f>
        <v>劫機者</v>
      </c>
    </row>
    <row r="5816" ht="15.75" customHeight="1">
      <c r="A5816" s="4">
        <v>6206.0</v>
      </c>
      <c r="B5816" s="4" t="s">
        <v>2859</v>
      </c>
      <c r="D5816" s="4" t="s">
        <v>8498</v>
      </c>
      <c r="E5816" s="4">
        <v>0.0</v>
      </c>
      <c r="F5816" s="4" t="str">
        <f>IFERROR(__xludf.DUMMYFUNCTION("GOOGLETRANSLATE(D5816)"),"刪除 http://t.co/2nS5TfnxpA 和 Linkury 瀏覽器劫持者 http://t.co/W2kVScbTLp http://t.co/tn8o00NrLP")</f>
        <v>刪除 http://t.co/2nS5TfnxpA 和 Linkury 瀏覽器劫持者 http://t.co/W2kVScbTLp http://t.co/tn8o00NrLP</v>
      </c>
      <c r="G5816" s="4" t="str">
        <f>IFERROR(__xludf.DUMMYFUNCTION("GOOGLETRANSLATE(B5816)"),"劫機者")</f>
        <v>劫機者</v>
      </c>
    </row>
    <row r="5817" ht="15.75" customHeight="1">
      <c r="A5817" s="4">
        <v>6207.0</v>
      </c>
      <c r="B5817" s="4" t="s">
        <v>2859</v>
      </c>
      <c r="C5817" s="4" t="s">
        <v>8499</v>
      </c>
      <c r="D5817" s="4" t="s">
        <v>8500</v>
      </c>
      <c r="E5817" s="4">
        <v>0.0</v>
      </c>
      <c r="F5817" s="4" t="str">
        <f>IFERROR(__xludf.DUMMYFUNCTION("GOOGLETRANSLATE(D5817)"),"刪除 http://t.co/9Jxb3rx8mF 和 Linkury 瀏覽器劫持者 http://t.co/B5s5epJ7Um http://t.co/hPA9GQRyWa")</f>
        <v>刪除 http://t.co/9Jxb3rx8mF 和 Linkury 瀏覽器劫持者 http://t.co/B5s5epJ7Um http://t.co/hPA9GQRyWa</v>
      </c>
      <c r="G5817" s="4" t="str">
        <f>IFERROR(__xludf.DUMMYFUNCTION("GOOGLETRANSLATE(B5817)"),"劫機者")</f>
        <v>劫機者</v>
      </c>
    </row>
    <row r="5818" ht="15.75" customHeight="1">
      <c r="A5818" s="4">
        <v>6211.0</v>
      </c>
      <c r="B5818" s="4" t="s">
        <v>2859</v>
      </c>
      <c r="D5818" s="4" t="s">
        <v>8501</v>
      </c>
      <c r="E5818" s="4">
        <v>0.0</v>
      </c>
      <c r="F5818" s="4" t="str">
        <f>IFERROR(__xludf.DUMMYFUNCTION("GOOGLETRANSLATE(D5818)"),"州長允許加州校車劫持者假釋弗雷斯諾連結本地網絡 http://t.co/Sww0QsMxVM http://t.co/bcdP4gKokA")</f>
        <v>州長允許加州校車劫持者假釋弗雷斯諾連結本地網絡 http://t.co/Sww0QsMxVM http://t.co/bcdP4gKokA</v>
      </c>
      <c r="G5818" s="4" t="str">
        <f>IFERROR(__xludf.DUMMYFUNCTION("GOOGLETRANSLATE(B5818)"),"劫機者")</f>
        <v>劫機者</v>
      </c>
    </row>
    <row r="5819" ht="15.75" customHeight="1">
      <c r="A5819" s="4">
        <v>6217.0</v>
      </c>
      <c r="B5819" s="4" t="s">
        <v>2859</v>
      </c>
      <c r="C5819" s="4" t="s">
        <v>1089</v>
      </c>
      <c r="D5819" s="4" t="s">
        <v>8502</v>
      </c>
      <c r="E5819" s="4">
        <v>0.0</v>
      </c>
      <c r="F5819" s="4" t="str">
        <f>IFERROR(__xludf.DUMMYFUNCTION("GOOGLETRANSLATE(D5819)"),"州長考慮假釋加州校車劫持者 http://t.co/7NPBfRzEJL http://t.co/Y0kByy8nce")</f>
        <v>州長考慮假釋加州校車劫持者 http://t.co/7NPBfRzEJL http://t.co/Y0kByy8nce</v>
      </c>
      <c r="G5819" s="4" t="str">
        <f>IFERROR(__xludf.DUMMYFUNCTION("GOOGLETRANSLATE(B5819)"),"劫機者")</f>
        <v>劫機者</v>
      </c>
    </row>
    <row r="5820" ht="15.75" customHeight="1">
      <c r="A5820" s="4">
        <v>6220.0</v>
      </c>
      <c r="B5820" s="4" t="s">
        <v>2859</v>
      </c>
      <c r="C5820" s="4" t="s">
        <v>2881</v>
      </c>
      <c r="D5820" s="4" t="s">
        <v>2882</v>
      </c>
      <c r="E5820" s="4">
        <v>0.0</v>
      </c>
      <c r="F5820" s="4" t="str">
        <f>IFERROR(__xludf.DUMMYFUNCTION("GOOGLETRANSLATE(D5820)"),"RT 未解釋：臭名昭著的劫機者 D.B. 的唯一已知圖像庫柏. http://t.co/JlzK2HdeTG")</f>
        <v>RT 未解釋：臭名昭著的劫機者 D.B. 的唯一已知圖像庫柏. http://t.co/JlzK2HdeTG</v>
      </c>
      <c r="G5820" s="4" t="str">
        <f>IFERROR(__xludf.DUMMYFUNCTION("GOOGLETRANSLATE(B5820)"),"劫機者")</f>
        <v>劫機者</v>
      </c>
    </row>
    <row r="5821" ht="15.75" customHeight="1">
      <c r="A5821" s="4">
        <v>6224.0</v>
      </c>
      <c r="B5821" s="4" t="s">
        <v>2859</v>
      </c>
      <c r="C5821" s="4" t="s">
        <v>8503</v>
      </c>
      <c r="D5821" s="4" t="s">
        <v>8504</v>
      </c>
      <c r="E5821" s="4">
        <v>0.0</v>
      </c>
      <c r="F5821" s="4" t="str">
        <f>IFERROR(__xludf.DUMMYFUNCTION("GOOGLETRANSLATE(D5821)"),"@Mauds99 @JagexSupport https://t.co/uSH59Uq30j 透過此連結更改密碼，它將踢掉劫機者。")</f>
        <v>@Mauds99 @JagexSupport https://t.co/uSH59Uq30j 透過此連結更改密碼，它將踢掉劫機者。</v>
      </c>
      <c r="G5821" s="4" t="str">
        <f>IFERROR(__xludf.DUMMYFUNCTION("GOOGLETRANSLATE(B5821)"),"劫機者")</f>
        <v>劫機者</v>
      </c>
    </row>
    <row r="5822" ht="15.75" customHeight="1">
      <c r="A5822" s="4">
        <v>6226.0</v>
      </c>
      <c r="B5822" s="4" t="s">
        <v>2859</v>
      </c>
      <c r="D5822" s="4" t="s">
        <v>8505</v>
      </c>
      <c r="E5822" s="4">
        <v>0.0</v>
      </c>
      <c r="F5822" s="4" t="str">
        <f>IFERROR(__xludf.DUMMYFUNCTION("GOOGLETRANSLATE(D5822)"),"@JagexHelpDibi 更新 JAG 已啟用，但劫機者可以訪問可能正是我正在尋找的。手指交叉。")</f>
        <v>@JagexHelpDibi 更新 JAG 已啟用，但劫機者可以訪問可能正是我正在尋找的。手指交叉。</v>
      </c>
      <c r="G5822" s="4" t="str">
        <f>IFERROR(__xludf.DUMMYFUNCTION("GOOGLETRANSLATE(B5822)"),"劫機者")</f>
        <v>劫機者</v>
      </c>
    </row>
    <row r="5823" ht="15.75" customHeight="1">
      <c r="A5823" s="4">
        <v>6227.0</v>
      </c>
      <c r="B5823" s="4" t="s">
        <v>2859</v>
      </c>
      <c r="D5823" s="4" t="s">
        <v>8506</v>
      </c>
      <c r="E5823" s="4">
        <v>0.0</v>
      </c>
      <c r="F5823" s="4" t="str">
        <f>IFERROR(__xludf.DUMMYFUNCTION("GOOGLETRANSLATE(D5823)"),"Demco 8550013 Hijacker 5 輪掛鉤 21K Ultra 系列雙樞軸 http://t.co/hRdwGfbFYq http://t.co/nUOhKmPZFj")</f>
        <v>Demco 8550013 Hijacker 5 輪掛鉤 21K Ultra 系列雙樞軸 http://t.co/hRdwGfbFYq http://t.co/nUOhKmPZFj</v>
      </c>
      <c r="G5823" s="4" t="str">
        <f>IFERROR(__xludf.DUMMYFUNCTION("GOOGLETRANSLATE(B5823)"),"劫機者")</f>
        <v>劫機者</v>
      </c>
    </row>
    <row r="5824" ht="15.75" customHeight="1">
      <c r="A5824" s="4">
        <v>6232.0</v>
      </c>
      <c r="B5824" s="4" t="s">
        <v>2859</v>
      </c>
      <c r="C5824" s="4" t="s">
        <v>8507</v>
      </c>
      <c r="D5824" s="4" t="s">
        <v>8508</v>
      </c>
      <c r="E5824" s="4">
        <v>0.0</v>
      </c>
      <c r="F5824" s="4" t="str">
        <f>IFERROR(__xludf.DUMMYFUNCTION("GOOGLETRANSLATE(D5824)"),"刪除 http://t.co/7IEiZ619h0 和 Linkury 瀏覽器劫持者 http://t.co/tFeaNwhH2h http://t.co/SjicbhzFo4")</f>
        <v>刪除 http://t.co/7IEiZ619h0 和 Linkury 瀏覽器劫持者 http://t.co/tFeaNwhH2h http://t.co/SjicbhzFo4</v>
      </c>
      <c r="G5824" s="4" t="str">
        <f>IFERROR(__xludf.DUMMYFUNCTION("GOOGLETRANSLATE(B5824)"),"劫機者")</f>
        <v>劫機者</v>
      </c>
    </row>
    <row r="5825" ht="15.75" customHeight="1">
      <c r="A5825" s="4">
        <v>6233.0</v>
      </c>
      <c r="B5825" s="4" t="s">
        <v>2859</v>
      </c>
      <c r="D5825" s="4" t="s">
        <v>8509</v>
      </c>
      <c r="E5825" s="4">
        <v>0.0</v>
      </c>
      <c r="F5825" s="4" t="str">
        <f>IFERROR(__xludf.DUMMYFUNCTION("GOOGLETRANSLATE(D5825)"),"如何刪除 Softenza 劫持者？ Softenza 驅蟲自然書 繪製幫助 SEA")</f>
        <v>如何刪除 Softenza 劫持者？ Softenza 驅蟲自然書 繪製幫助 SEA</v>
      </c>
      <c r="G5825" s="4" t="str">
        <f>IFERROR(__xludf.DUMMYFUNCTION("GOOGLETRANSLATE(B5825)"),"劫機者")</f>
        <v>劫機者</v>
      </c>
    </row>
    <row r="5826" ht="15.75" customHeight="1">
      <c r="A5826" s="4">
        <v>6241.0</v>
      </c>
      <c r="B5826" s="4" t="s">
        <v>2885</v>
      </c>
      <c r="C5826" s="4" t="s">
        <v>8510</v>
      </c>
      <c r="D5826" s="4" t="s">
        <v>8511</v>
      </c>
      <c r="E5826" s="4">
        <v>0.0</v>
      </c>
      <c r="F5826" s="4" t="str">
        <f>IFERROR(__xludf.DUMMYFUNCTION("GOOGLETRANSLATE(D5826)"),"@ladyfleur 我使用的例子更糟糕，因為它是一家咖啡館試圖透過主題標籤劫持來推銷自己。")</f>
        <v>@ladyfleur 我使用的例子更糟糕，因為它是一家咖啡館試圖透過主題標籤劫持來推銷自己。</v>
      </c>
      <c r="G5826" s="4" t="str">
        <f>IFERROR(__xludf.DUMMYFUNCTION("GOOGLETRANSLATE(B5826)"),"劫持")</f>
        <v>劫持</v>
      </c>
    </row>
    <row r="5827" ht="15.75" customHeight="1">
      <c r="A5827" s="4">
        <v>6243.0</v>
      </c>
      <c r="B5827" s="4" t="s">
        <v>2885</v>
      </c>
      <c r="C5827" s="4" t="s">
        <v>8512</v>
      </c>
      <c r="D5827" s="4" t="s">
        <v>8513</v>
      </c>
      <c r="E5827" s="4">
        <v>0.0</v>
      </c>
      <c r="F5827" s="4" t="str">
        <f>IFERROR(__xludf.DUMMYFUNCTION("GOOGLETRANSLATE(D5827)"),"#hot Funtenna：劫持電腦以聲波形式傳送資料 [Black Hat 2015] http://t.co/gUJNPLJVvt #prebreak #best")</f>
        <v>#hot Funtenna：劫持電腦以聲波形式傳送資料 [Black Hat 2015] http://t.co/gUJNPLJVvt #prebreak #best</v>
      </c>
      <c r="G5827" s="4" t="str">
        <f>IFERROR(__xludf.DUMMYFUNCTION("GOOGLETRANSLATE(B5827)"),"劫持")</f>
        <v>劫持</v>
      </c>
    </row>
    <row r="5828" ht="15.75" customHeight="1">
      <c r="A5828" s="4">
        <v>6245.0</v>
      </c>
      <c r="B5828" s="4" t="s">
        <v>2885</v>
      </c>
      <c r="C5828" s="4" t="s">
        <v>8514</v>
      </c>
      <c r="D5828" s="4" t="s">
        <v>8515</v>
      </c>
      <c r="E5828" s="4">
        <v>0.0</v>
      </c>
      <c r="F5828" s="4" t="str">
        <f>IFERROR(__xludf.DUMMYFUNCTION("GOOGLETRANSLATE(D5828)"),"#hot Funtenna：劫持電腦以聲波形式傳送資料 [Black Hat 2015] http://t.co/s4PNIhJQX7 #prebreak #best")</f>
        <v>#hot Funtenna：劫持電腦以聲波形式傳送資料 [Black Hat 2015] http://t.co/s4PNIhJQX7 #prebreak #best</v>
      </c>
      <c r="G5828" s="4" t="str">
        <f>IFERROR(__xludf.DUMMYFUNCTION("GOOGLETRANSLATE(B5828)"),"劫持")</f>
        <v>劫持</v>
      </c>
    </row>
    <row r="5829" ht="15.75" customHeight="1">
      <c r="A5829" s="4">
        <v>6246.0</v>
      </c>
      <c r="B5829" s="4" t="s">
        <v>2885</v>
      </c>
      <c r="C5829" s="4" t="s">
        <v>8516</v>
      </c>
      <c r="D5829" s="4" t="s">
        <v>8517</v>
      </c>
      <c r="E5829" s="4">
        <v>0.0</v>
      </c>
      <c r="F5829" s="4" t="str">
        <f>IFERROR(__xludf.DUMMYFUNCTION("GOOGLETRANSLATE(D5829)"),"#hot Funtenna：劫持電腦以聲波形式發送資料 [Black Hat 2015] http://t.co/cx6auPneMu #prebreak #best")</f>
        <v>#hot Funtenna：劫持電腦以聲波形式發送資料 [Black Hat 2015] http://t.co/cx6auPneMu #prebreak #best</v>
      </c>
      <c r="G5829" s="4" t="str">
        <f>IFERROR(__xludf.DUMMYFUNCTION("GOOGLETRANSLATE(B5829)"),"劫持")</f>
        <v>劫持</v>
      </c>
    </row>
    <row r="5830" ht="15.75" customHeight="1">
      <c r="A5830" s="4">
        <v>6248.0</v>
      </c>
      <c r="B5830" s="4" t="s">
        <v>2885</v>
      </c>
      <c r="C5830" s="4" t="s">
        <v>8518</v>
      </c>
      <c r="D5830" s="4" t="s">
        <v>8519</v>
      </c>
      <c r="E5830" s="4">
        <v>0.0</v>
      </c>
      <c r="F5830" s="4" t="str">
        <f>IFERROR(__xludf.DUMMYFUNCTION("GOOGLETRANSLATE(D5830)"),"#hot Funtenna：劫持電腦以聲波形式傳送資料 [Black Hat 2015] http://t.co/wvTPuRYx63 #prebreak #best")</f>
        <v>#hot Funtenna：劫持電腦以聲波形式傳送資料 [Black Hat 2015] http://t.co/wvTPuRYx63 #prebreak #best</v>
      </c>
      <c r="G5830" s="4" t="str">
        <f>IFERROR(__xludf.DUMMYFUNCTION("GOOGLETRANSLATE(B5830)"),"劫持")</f>
        <v>劫持</v>
      </c>
    </row>
    <row r="5831" ht="15.75" customHeight="1">
      <c r="A5831" s="4">
        <v>6253.0</v>
      </c>
      <c r="B5831" s="4" t="s">
        <v>2885</v>
      </c>
      <c r="C5831" s="4" t="s">
        <v>8520</v>
      </c>
      <c r="D5831" s="4" t="s">
        <v>8521</v>
      </c>
      <c r="E5831" s="4">
        <v>0.0</v>
      </c>
      <c r="F5831" s="4" t="str">
        <f>IFERROR(__xludf.DUMMYFUNCTION("GOOGLETRANSLATE(D5831)"),"#hot Funtenna：劫持電腦以聲波形式傳送資料 [Black Hat 2015] http://t.co/J5onxFwLAo #prebreak #best")</f>
        <v>#hot Funtenna：劫持電腦以聲波形式傳送資料 [Black Hat 2015] http://t.co/J5onxFwLAo #prebreak #best</v>
      </c>
      <c r="G5831" s="4" t="str">
        <f>IFERROR(__xludf.DUMMYFUNCTION("GOOGLETRANSLATE(B5831)"),"劫持")</f>
        <v>劫持</v>
      </c>
    </row>
    <row r="5832" ht="15.75" customHeight="1">
      <c r="A5832" s="4">
        <v>6255.0</v>
      </c>
      <c r="B5832" s="4" t="s">
        <v>2885</v>
      </c>
      <c r="C5832" s="4" t="s">
        <v>2966</v>
      </c>
      <c r="D5832" s="4" t="s">
        <v>8522</v>
      </c>
      <c r="E5832" s="4">
        <v>0.0</v>
      </c>
      <c r="F5832" s="4" t="str">
        <f>IFERROR(__xludf.DUMMYFUNCTION("GOOGLETRANSLATE(D5832)"),"#hot Funtenna：劫持電腦以聲波形式發送資料 [黑帽 2015] http://t.co/nQiObcZKrT #prebreak #best")</f>
        <v>#hot Funtenna：劫持電腦以聲波形式發送資料 [黑帽 2015] http://t.co/nQiObcZKrT #prebreak #best</v>
      </c>
      <c r="G5832" s="4" t="str">
        <f>IFERROR(__xludf.DUMMYFUNCTION("GOOGLETRANSLATE(B5832)"),"劫持")</f>
        <v>劫持</v>
      </c>
    </row>
    <row r="5833" ht="15.75" customHeight="1">
      <c r="A5833" s="4">
        <v>6256.0</v>
      </c>
      <c r="B5833" s="4" t="s">
        <v>2885</v>
      </c>
      <c r="C5833" s="4" t="s">
        <v>8030</v>
      </c>
      <c r="D5833" s="4" t="s">
        <v>8523</v>
      </c>
      <c r="E5833" s="4">
        <v>0.0</v>
      </c>
      <c r="F5833" s="4" t="str">
        <f>IFERROR(__xludf.DUMMYFUNCTION("GOOGLETRANSLATE(D5833)"),"#hot Funtenna：劫持電腦以聲波形式傳送資料 [Black Hat 2015] http://t.co/aAtt5aMnmD #prebreak #best")</f>
        <v>#hot Funtenna：劫持電腦以聲波形式傳送資料 [Black Hat 2015] http://t.co/aAtt5aMnmD #prebreak #best</v>
      </c>
      <c r="G5833" s="4" t="str">
        <f>IFERROR(__xludf.DUMMYFUNCTION("GOOGLETRANSLATE(B5833)"),"劫持")</f>
        <v>劫持</v>
      </c>
    </row>
    <row r="5834" ht="15.75" customHeight="1">
      <c r="A5834" s="4">
        <v>6257.0</v>
      </c>
      <c r="B5834" s="4" t="s">
        <v>2885</v>
      </c>
      <c r="C5834" s="4" t="s">
        <v>8524</v>
      </c>
      <c r="D5834" s="4" t="s">
        <v>8525</v>
      </c>
      <c r="E5834" s="4">
        <v>0.0</v>
      </c>
      <c r="F5834" s="4" t="str">
        <f>IFERROR(__xludf.DUMMYFUNCTION("GOOGLETRANSLATE(D5834)"),"劫持電動滑板以使其更安全@scoopit http://t.co/ihInj3eNQi")</f>
        <v>劫持電動滑板以使其更安全@scoopit http://t.co/ihInj3eNQi</v>
      </c>
      <c r="G5834" s="4" t="str">
        <f>IFERROR(__xludf.DUMMYFUNCTION("GOOGLETRANSLATE(B5834)"),"劫持")</f>
        <v>劫持</v>
      </c>
    </row>
    <row r="5835" ht="15.75" customHeight="1">
      <c r="A5835" s="4">
        <v>6261.0</v>
      </c>
      <c r="B5835" s="4" t="s">
        <v>2885</v>
      </c>
      <c r="C5835" s="4" t="s">
        <v>8526</v>
      </c>
      <c r="D5835" s="4" t="s">
        <v>8527</v>
      </c>
      <c r="E5835" s="4">
        <v>0.0</v>
      </c>
      <c r="F5835" s="4" t="str">
        <f>IFERROR(__xludf.DUMMYFUNCTION("GOOGLETRANSLATE(D5835)"),"#hot Funtenna：劫持電腦以聲波形式傳送資料 [Black Hat 2015] http://t.co/6AqrNanKFD #prebreak #best")</f>
        <v>#hot Funtenna：劫持電腦以聲波形式傳送資料 [Black Hat 2015] http://t.co/6AqrNanKFD #prebreak #best</v>
      </c>
      <c r="G5835" s="4" t="str">
        <f>IFERROR(__xludf.DUMMYFUNCTION("GOOGLETRANSLATE(B5835)"),"劫持")</f>
        <v>劫持</v>
      </c>
    </row>
    <row r="5836" ht="15.75" customHeight="1">
      <c r="A5836" s="4">
        <v>6262.0</v>
      </c>
      <c r="B5836" s="4" t="s">
        <v>2885</v>
      </c>
      <c r="D5836" s="4" t="s">
        <v>8528</v>
      </c>
      <c r="E5836" s="4">
        <v>0.0</v>
      </c>
      <c r="F5836" s="4" t="str">
        <f>IFERROR(__xludf.DUMMYFUNCTION("GOOGLETRANSLATE(D5836)"),"#hot Funtenna：劫持電腦以聲波形式傳送資料 [Black Hat 2015] http://t.co/8JcYXhq1AZ #prebreak #best")</f>
        <v>#hot Funtenna：劫持電腦以聲波形式傳送資料 [Black Hat 2015] http://t.co/8JcYXhq1AZ #prebreak #best</v>
      </c>
      <c r="G5836" s="4" t="str">
        <f>IFERROR(__xludf.DUMMYFUNCTION("GOOGLETRANSLATE(B5836)"),"劫持")</f>
        <v>劫持</v>
      </c>
    </row>
    <row r="5837" ht="15.75" customHeight="1">
      <c r="A5837" s="4">
        <v>6263.0</v>
      </c>
      <c r="B5837" s="4" t="s">
        <v>2885</v>
      </c>
      <c r="D5837" s="4" t="s">
        <v>8529</v>
      </c>
      <c r="E5837" s="4">
        <v>0.0</v>
      </c>
      <c r="F5837" s="4" t="str">
        <f>IFERROR(__xludf.DUMMYFUNCTION("GOOGLETRANSLATE(D5837)"),"船已安全抵達。所以完全沒有必要簽署如果發生任何劫持我們不會起訴微軟的棄權書。")</f>
        <v>船已安全抵達。所以完全沒有必要簽署如果發生任何劫持我們不會起訴微軟的棄權書。</v>
      </c>
      <c r="G5837" s="4" t="str">
        <f>IFERROR(__xludf.DUMMYFUNCTION("GOOGLETRANSLATE(B5837)"),"劫持")</f>
        <v>劫持</v>
      </c>
    </row>
    <row r="5838" ht="15.75" customHeight="1">
      <c r="A5838" s="4">
        <v>6265.0</v>
      </c>
      <c r="B5838" s="4" t="s">
        <v>2885</v>
      </c>
      <c r="C5838" s="4" t="s">
        <v>8530</v>
      </c>
      <c r="D5838" s="4" t="s">
        <v>8531</v>
      </c>
      <c r="E5838" s="4">
        <v>0.0</v>
      </c>
      <c r="F5838" s="4" t="str">
        <f>IFERROR(__xludf.DUMMYFUNCTION("GOOGLETRANSLATE(D5838)"),"#hot Funtenna：劫持電腦以聲波形式傳送資料 [Black Hat 2015] http://t.co/gexHzU1VK8 #prebreak #best")</f>
        <v>#hot Funtenna：劫持電腦以聲波形式傳送資料 [Black Hat 2015] http://t.co/gexHzU1VK8 #prebreak #best</v>
      </c>
      <c r="G5838" s="4" t="str">
        <f>IFERROR(__xludf.DUMMYFUNCTION("GOOGLETRANSLATE(B5838)"),"劫持")</f>
        <v>劫持</v>
      </c>
    </row>
    <row r="5839" ht="15.75" customHeight="1">
      <c r="A5839" s="4">
        <v>6267.0</v>
      </c>
      <c r="B5839" s="4" t="s">
        <v>2885</v>
      </c>
      <c r="C5839" s="4" t="s">
        <v>2968</v>
      </c>
      <c r="D5839" s="4" t="s">
        <v>8532</v>
      </c>
      <c r="E5839" s="4">
        <v>0.0</v>
      </c>
      <c r="F5839" s="4" t="str">
        <f>IFERROR(__xludf.DUMMYFUNCTION("GOOGLETRANSLATE(D5839)"),"#hot Funtenna：劫持電腦以聲波形式傳送資料 [Black Hat 2015] http://t.co/MIs0RjxuIr #prebreak #best")</f>
        <v>#hot Funtenna：劫持電腦以聲波形式傳送資料 [Black Hat 2015] http://t.co/MIs0RjxuIr #prebreak #best</v>
      </c>
      <c r="G5839" s="4" t="str">
        <f>IFERROR(__xludf.DUMMYFUNCTION("GOOGLETRANSLATE(B5839)"),"劫持")</f>
        <v>劫持</v>
      </c>
    </row>
    <row r="5840" ht="15.75" customHeight="1">
      <c r="A5840" s="4">
        <v>6272.0</v>
      </c>
      <c r="B5840" s="4" t="s">
        <v>2885</v>
      </c>
      <c r="C5840" s="4" t="s">
        <v>8030</v>
      </c>
      <c r="D5840" s="4" t="s">
        <v>8533</v>
      </c>
      <c r="E5840" s="4">
        <v>0.0</v>
      </c>
      <c r="F5840" s="4" t="str">
        <f>IFERROR(__xludf.DUMMYFUNCTION("GOOGLETRANSLATE(D5840)"),"#hot Funtenna：劫持電腦以聲波形式發送資料 [Black Hat 2015] http://t.co/G62txymzBv #prebreak #best")</f>
        <v>#hot Funtenna：劫持電腦以聲波形式發送資料 [Black Hat 2015] http://t.co/G62txymzBv #prebreak #best</v>
      </c>
      <c r="G5840" s="4" t="str">
        <f>IFERROR(__xludf.DUMMYFUNCTION("GOOGLETRANSLATE(B5840)"),"劫持")</f>
        <v>劫持</v>
      </c>
    </row>
    <row r="5841" ht="15.75" customHeight="1">
      <c r="A5841" s="4">
        <v>6273.0</v>
      </c>
      <c r="B5841" s="4" t="s">
        <v>2885</v>
      </c>
      <c r="C5841" s="4" t="s">
        <v>8534</v>
      </c>
      <c r="D5841" s="4" t="s">
        <v>8535</v>
      </c>
      <c r="E5841" s="4">
        <v>0.0</v>
      </c>
      <c r="F5841" s="4" t="str">
        <f>IFERROR(__xludf.DUMMYFUNCTION("GOOGLETRANSLATE(D5841)"),"任何劫持我的 wifi 熱點的人。我有一套非常具體的技能。我將創造一個角色並為你表演一場獨角戲")</f>
        <v>任何劫持我的 wifi 熱點的人。我有一套非常具體的技能。我將創造一個角色並為你表演一場獨角戲</v>
      </c>
      <c r="G5841" s="4" t="str">
        <f>IFERROR(__xludf.DUMMYFUNCTION("GOOGLETRANSLATE(B5841)"),"劫持")</f>
        <v>劫持</v>
      </c>
    </row>
    <row r="5842" ht="15.75" customHeight="1">
      <c r="A5842" s="4">
        <v>6282.0</v>
      </c>
      <c r="B5842" s="4" t="s">
        <v>2885</v>
      </c>
      <c r="D5842" s="4" t="s">
        <v>8536</v>
      </c>
      <c r="E5842" s="4">
        <v>0.0</v>
      </c>
      <c r="F5842" s="4" t="str">
        <f>IFERROR(__xludf.DUMMYFUNCTION("GOOGLETRANSLATE(D5842)"),"媽媽正在劫持我的帳戶以獲得 MCR 狀態！取得您自己的帳戶snor！
http://t.co/jST5hAUK35 #FlavorChargedTea")</f>
        <v>媽媽正在劫持我的帳戶以獲得 MCR 狀態！取得您自己的帳戶snor！
http://t.co/jST5hAUK35 #FlavorChargedTea</v>
      </c>
      <c r="G5842" s="4" t="str">
        <f>IFERROR(__xludf.DUMMYFUNCTION("GOOGLETRANSLATE(B5842)"),"劫持")</f>
        <v>劫持</v>
      </c>
    </row>
    <row r="5843" ht="15.75" customHeight="1">
      <c r="A5843" s="4">
        <v>6293.0</v>
      </c>
      <c r="B5843" s="4" t="s">
        <v>2906</v>
      </c>
      <c r="C5843" s="4" t="s">
        <v>2061</v>
      </c>
      <c r="D5843" s="4" t="s">
        <v>8537</v>
      </c>
      <c r="E5843" s="4">
        <v>0.0</v>
      </c>
      <c r="F5843" s="4" t="str">
        <f>IFERROR(__xludf.DUMMYFUNCTION("GOOGLETRANSLATE(D5843)"),"勒索軟體控制了 BC 省男子的電腦檔案被劫持：病毒鎖定了安德魯威爾森的家庭照片和其他照片 http://t.co/aQbLjComlN")</f>
        <v>勒索軟體控制了 BC 省男子的電腦檔案被劫持：病毒鎖定了安德魯威爾森的家庭照片和其他照片 http://t.co/aQbLjComlN</v>
      </c>
      <c r="G5843" s="4" t="str">
        <f>IFERROR(__xludf.DUMMYFUNCTION("GOOGLETRANSLATE(B5843)"),"人質")</f>
        <v>人質</v>
      </c>
    </row>
    <row r="5844" ht="15.75" customHeight="1">
      <c r="A5844" s="4">
        <v>6294.0</v>
      </c>
      <c r="B5844" s="4" t="s">
        <v>2906</v>
      </c>
      <c r="D5844" s="4" t="s">
        <v>8538</v>
      </c>
      <c r="E5844" s="4">
        <v>0.0</v>
      </c>
      <c r="F5844" s="4" t="str">
        <f>IFERROR(__xludf.DUMMYFUNCTION("GOOGLETRANSLATE(D5844)"),"我總是告訴我媽媽給我帶食物，否則我會把她的貓當作人質？")</f>
        <v>我總是告訴我媽媽給我帶食物，否則我會把她的貓當作人質？</v>
      </c>
      <c r="G5844" s="4" t="str">
        <f>IFERROR(__xludf.DUMMYFUNCTION("GOOGLETRANSLATE(B5844)"),"人質")</f>
        <v>人質</v>
      </c>
    </row>
    <row r="5845" ht="15.75" customHeight="1">
      <c r="A5845" s="4">
        <v>6296.0</v>
      </c>
      <c r="B5845" s="4" t="s">
        <v>2906</v>
      </c>
      <c r="C5845" s="4" t="s">
        <v>8539</v>
      </c>
      <c r="D5845" s="4" t="s">
        <v>8540</v>
      </c>
      <c r="E5845" s="4">
        <v>0.0</v>
      </c>
      <c r="F5845" s="4" t="str">
        <f>IFERROR(__xludf.DUMMYFUNCTION("GOOGLETRANSLATE(D5845)"),"昨天劫持我的那隻飛蛾整天在浴室窗台上發冷，我對此感到不舒服")</f>
        <v>昨天劫持我的那隻飛蛾整天在浴室窗台上發冷，我對此感到不舒服</v>
      </c>
      <c r="G5845" s="4" t="str">
        <f>IFERROR(__xludf.DUMMYFUNCTION("GOOGLETRANSLATE(B5845)"),"人質")</f>
        <v>人質</v>
      </c>
    </row>
    <row r="5846" ht="15.75" customHeight="1">
      <c r="A5846" s="4">
        <v>6300.0</v>
      </c>
      <c r="B5846" s="4" t="s">
        <v>2906</v>
      </c>
      <c r="C5846" s="4" t="s">
        <v>8541</v>
      </c>
      <c r="D5846" s="4" t="s">
        <v>8542</v>
      </c>
      <c r="E5846" s="4">
        <v>0.0</v>
      </c>
      <c r="F5846" s="4" t="str">
        <f>IFERROR(__xludf.DUMMYFUNCTION("GOOGLETRANSLATE(D5846)"),"身為人質我餓了")</f>
        <v>身為人質我餓了</v>
      </c>
      <c r="G5846" s="4" t="str">
        <f>IFERROR(__xludf.DUMMYFUNCTION("GOOGLETRANSLATE(B5846)"),"人質")</f>
        <v>人質</v>
      </c>
    </row>
    <row r="5847" ht="15.75" customHeight="1">
      <c r="A5847" s="4">
        <v>6301.0</v>
      </c>
      <c r="B5847" s="4" t="s">
        <v>2906</v>
      </c>
      <c r="C5847" s="4" t="s">
        <v>7665</v>
      </c>
      <c r="D5847" s="4" t="s">
        <v>8543</v>
      </c>
      <c r="E5847" s="4">
        <v>0.0</v>
      </c>
      <c r="F5847" s="4" t="str">
        <f>IFERROR(__xludf.DUMMYFUNCTION("GOOGLETRANSLATE(D5847)"),"誰是伊斯蘭國最近的人質托米斯拉夫·薩洛佩克？ - http://t.co/wiQJERUktF")</f>
        <v>誰是伊斯蘭國最近的人質托米斯拉夫·薩洛佩克？ - http://t.co/wiQJERUktF</v>
      </c>
      <c r="G5847" s="4" t="str">
        <f>IFERROR(__xludf.DUMMYFUNCTION("GOOGLETRANSLATE(B5847)"),"人質")</f>
        <v>人質</v>
      </c>
    </row>
    <row r="5848" ht="15.75" customHeight="1">
      <c r="A5848" s="4">
        <v>6302.0</v>
      </c>
      <c r="B5848" s="4" t="s">
        <v>2906</v>
      </c>
      <c r="D5848" s="4" t="s">
        <v>8544</v>
      </c>
      <c r="E5848" s="4">
        <v>0.0</v>
      </c>
      <c r="F5848" s="4" t="str">
        <f>IFERROR(__xludf.DUMMYFUNCTION("GOOGLETRANSLATE(D5848)"),"@susanj357 @msnbc @allinwithchris 有時就像看人質影片一樣......但並非總是如此（至少現在還不是）")</f>
        <v>@susanj357 @msnbc @allinwithchris 有時就像看人質影片一樣......但並非總是如此（至少現在還不是）</v>
      </c>
      <c r="G5848" s="4" t="str">
        <f>IFERROR(__xludf.DUMMYFUNCTION("GOOGLETRANSLATE(B5848)"),"人質")</f>
        <v>人質</v>
      </c>
    </row>
    <row r="5849" ht="15.75" customHeight="1">
      <c r="A5849" s="4">
        <v>6304.0</v>
      </c>
      <c r="B5849" s="4" t="s">
        <v>2906</v>
      </c>
      <c r="D5849" s="4" t="s">
        <v>8545</v>
      </c>
      <c r="E5849" s="4">
        <v>0.0</v>
      </c>
      <c r="F5849" s="4" t="str">
        <f>IFERROR(__xludf.DUMMYFUNCTION("GOOGLETRANSLATE(D5849)"),"你將被激進組織扣為人質。")</f>
        <v>你將被激進組織扣為人質。</v>
      </c>
      <c r="G5849" s="4" t="str">
        <f>IFERROR(__xludf.DUMMYFUNCTION("GOOGLETRANSLATE(B5849)"),"人質")</f>
        <v>人質</v>
      </c>
    </row>
    <row r="5850" ht="15.75" customHeight="1">
      <c r="A5850" s="4">
        <v>6305.0</v>
      </c>
      <c r="B5850" s="4" t="s">
        <v>2906</v>
      </c>
      <c r="D5850" s="4" t="s">
        <v>8546</v>
      </c>
      <c r="E5850" s="4">
        <v>0.0</v>
      </c>
      <c r="F5850" s="4" t="str">
        <f>IFERROR(__xludf.DUMMYFUNCTION("GOOGLETRANSLATE(D5850)"),"當你和你的女朋友被搶劫時，你會想出最好的藉口來讓自己看起來不像個婊子“我想打架，但如果他把你扣為人質怎麼辦？”")</f>
        <v>當你和你的女朋友被搶劫時，你會想出最好的藉口來讓自己看起來不像個婊子“我想打架，但如果他把你扣為人質怎麼辦？”</v>
      </c>
      <c r="G5850" s="4" t="str">
        <f>IFERROR(__xludf.DUMMYFUNCTION("GOOGLETRANSLATE(B5850)"),"人質")</f>
        <v>人質</v>
      </c>
    </row>
    <row r="5851" ht="15.75" customHeight="1">
      <c r="A5851" s="4">
        <v>6306.0</v>
      </c>
      <c r="B5851" s="4" t="s">
        <v>2906</v>
      </c>
      <c r="C5851" s="4" t="s">
        <v>6992</v>
      </c>
      <c r="D5851" s="4" t="s">
        <v>8547</v>
      </c>
      <c r="E5851" s="4">
        <v>0.0</v>
      </c>
      <c r="F5851" s="4" t="str">
        <f>IFERROR(__xludf.DUMMYFUNCTION("GOOGLETRANSLATE(D5851)"),"那個劫持我的影子是誰 我已經在這裡好幾天了")</f>
        <v>那個劫持我的影子是誰 我已經在這裡好幾天了</v>
      </c>
      <c r="G5851" s="4" t="str">
        <f>IFERROR(__xludf.DUMMYFUNCTION("GOOGLETRANSLATE(B5851)"),"人質")</f>
        <v>人質</v>
      </c>
    </row>
    <row r="5852" ht="15.75" customHeight="1">
      <c r="A5852" s="4">
        <v>6318.0</v>
      </c>
      <c r="B5852" s="4" t="s">
        <v>2906</v>
      </c>
      <c r="D5852" s="4" t="s">
        <v>8548</v>
      </c>
      <c r="E5852" s="4">
        <v>0.0</v>
      </c>
      <c r="F5852" s="4" t="str">
        <f>IFERROR(__xludf.DUMMYFUNCTION("GOOGLETRANSLATE(D5852)"),"我發送了電子郵件，為什麼 TRINNA 扣留我並敲打我？")</f>
        <v>我發送了電子郵件，為什麼 TRINNA 扣留我並敲打我？</v>
      </c>
      <c r="G5852" s="4" t="str">
        <f>IFERROR(__xludf.DUMMYFUNCTION("GOOGLETRANSLATE(B5852)"),"人質")</f>
        <v>人質</v>
      </c>
    </row>
    <row r="5853" ht="15.75" customHeight="1">
      <c r="A5853" s="4">
        <v>6320.0</v>
      </c>
      <c r="B5853" s="4" t="s">
        <v>2906</v>
      </c>
      <c r="C5853" s="4" t="s">
        <v>8549</v>
      </c>
      <c r="D5853" s="4" t="s">
        <v>8550</v>
      </c>
      <c r="E5853" s="4">
        <v>0.0</v>
      </c>
      <c r="F5853" s="4" t="str">
        <f>IFERROR(__xludf.DUMMYFUNCTION("GOOGLETRANSLATE(D5853)"),"臥槽？她的親生父親將她扣為人質，而她的養父母甚至沒有去找她。犯罪心理讓我完蛋了。")</f>
        <v>臥槽？她的親生父親將她扣為人質，而她的養父母甚至沒有去找她。犯罪心理讓我完蛋了。</v>
      </c>
      <c r="G5853" s="4" t="str">
        <f>IFERROR(__xludf.DUMMYFUNCTION("GOOGLETRANSLATE(B5853)"),"人質")</f>
        <v>人質</v>
      </c>
    </row>
    <row r="5854" ht="15.75" customHeight="1">
      <c r="A5854" s="4">
        <v>6323.0</v>
      </c>
      <c r="B5854" s="4" t="s">
        <v>2906</v>
      </c>
      <c r="D5854" s="4" t="s">
        <v>8551</v>
      </c>
      <c r="E5854" s="4">
        <v>0.0</v>
      </c>
      <c r="F5854" s="4" t="str">
        <f>IFERROR(__xludf.DUMMYFUNCTION("GOOGLETRANSLATE(D5854)"),"如果你的內心充滿鼓勵和積極性，那麼它就不會綁架你。小心你的內容")</f>
        <v>如果你的內心充滿鼓勵和積極性，那麼它就不會綁架你。小心你的內容</v>
      </c>
      <c r="G5854" s="4" t="str">
        <f>IFERROR(__xludf.DUMMYFUNCTION("GOOGLETRANSLATE(B5854)"),"人質")</f>
        <v>人質</v>
      </c>
    </row>
    <row r="5855" ht="15.75" customHeight="1">
      <c r="A5855" s="4">
        <v>6330.0</v>
      </c>
      <c r="B5855" s="4" t="s">
        <v>2906</v>
      </c>
      <c r="C5855" s="4" t="s">
        <v>8552</v>
      </c>
      <c r="D5855" s="4" t="s">
        <v>8553</v>
      </c>
      <c r="E5855" s="4">
        <v>0.0</v>
      </c>
      <c r="F5855" s="4" t="str">
        <f>IFERROR(__xludf.DUMMYFUNCTION("GOOGLETRANSLATE(D5855)"),"午餐很孤單。我被拋棄了。我比人質還餓！")</f>
        <v>午餐很孤單。我被拋棄了。我比人質還餓！</v>
      </c>
      <c r="G5855" s="4" t="str">
        <f>IFERROR(__xludf.DUMMYFUNCTION("GOOGLETRANSLATE(B5855)"),"人質")</f>
        <v>人質</v>
      </c>
    </row>
    <row r="5856" ht="15.75" customHeight="1">
      <c r="A5856" s="4">
        <v>6331.0</v>
      </c>
      <c r="B5856" s="4" t="s">
        <v>2906</v>
      </c>
      <c r="C5856" s="4" t="s">
        <v>387</v>
      </c>
      <c r="D5856" s="4" t="s">
        <v>8554</v>
      </c>
      <c r="E5856" s="4">
        <v>0.0</v>
      </c>
      <c r="F5856" s="4" t="str">
        <f>IFERROR(__xludf.DUMMYFUNCTION("GOOGLETRANSLATE(D5856)"),"在他們從囚禁中獲釋近 35 年後，國會正在提出一項立法，以補償 53Û_ http://t.co/NCjLXzFWaa")</f>
        <v>在他們從囚禁中獲釋近 35 年後，國會正在提出一項立法，以補償 53Û_ http://t.co/NCjLXzFWaa</v>
      </c>
      <c r="G5856" s="4" t="str">
        <f>IFERROR(__xludf.DUMMYFUNCTION("GOOGLETRANSLATE(B5856)"),"人質")</f>
        <v>人質</v>
      </c>
    </row>
    <row r="5857" ht="15.75" customHeight="1">
      <c r="A5857" s="4">
        <v>6332.0</v>
      </c>
      <c r="B5857" s="4" t="s">
        <v>2906</v>
      </c>
      <c r="D5857" s="4" t="s">
        <v>8555</v>
      </c>
      <c r="E5857" s="4">
        <v>0.0</v>
      </c>
      <c r="F5857" s="4" t="str">
        <f>IFERROR(__xludf.DUMMYFUNCTION("GOOGLETRANSLATE(D5857)"),"@gideonstrumpet 你被扣為人質了嗎？")</f>
        <v>@gideonstrumpet 你被扣為人質了嗎？</v>
      </c>
      <c r="G5857" s="4" t="str">
        <f>IFERROR(__xludf.DUMMYFUNCTION("GOOGLETRANSLATE(B5857)"),"人質")</f>
        <v>人質</v>
      </c>
    </row>
    <row r="5858" ht="15.75" customHeight="1">
      <c r="A5858" s="4">
        <v>6334.0</v>
      </c>
      <c r="B5858" s="4" t="s">
        <v>2906</v>
      </c>
      <c r="C5858" s="4" t="s">
        <v>8556</v>
      </c>
      <c r="D5858" s="4" t="s">
        <v>8557</v>
      </c>
      <c r="E5858" s="4">
        <v>0.0</v>
      </c>
      <c r="F5858" s="4" t="str">
        <f>IFERROR(__xludf.DUMMYFUNCTION("GOOGLETRANSLATE(D5858)"),"功能失調的麥康奈爾計劃將司法提名作為人質。共和黨無法執政的另一個例子。 http://t.co/VT2akY5MgKÛ_")</f>
        <v>功能失調的麥康奈爾計劃將司法提名作為人質。共和黨無法執政的另一個例子。 http://t.co/VT2akY5MgKÛ_</v>
      </c>
      <c r="G5858" s="4" t="str">
        <f>IFERROR(__xludf.DUMMYFUNCTION("GOOGLETRANSLATE(B5858)"),"人質")</f>
        <v>人質</v>
      </c>
    </row>
    <row r="5859" ht="15.75" customHeight="1">
      <c r="A5859" s="4">
        <v>6341.0</v>
      </c>
      <c r="B5859" s="4" t="s">
        <v>2930</v>
      </c>
      <c r="D5859" s="4" t="s">
        <v>8558</v>
      </c>
      <c r="E5859" s="4">
        <v>0.0</v>
      </c>
      <c r="F5859" s="4" t="str">
        <f>IFERROR(__xludf.DUMMYFUNCTION("GOOGLETRANSLATE(D5859)"),"廣播新聞業：財富的人質否則「電視盲目否則」自3G監管以來的運作...")</f>
        <v>廣播新聞業：財富的人質否則「電視盲目否則」自3G監管以來的運作...</v>
      </c>
      <c r="G5859" s="4" t="str">
        <f>IFERROR(__xludf.DUMMYFUNCTION("GOOGLETRANSLATE(B5859)"),"人質")</f>
        <v>人質</v>
      </c>
    </row>
    <row r="5860" ht="15.75" customHeight="1">
      <c r="A5860" s="4">
        <v>6343.0</v>
      </c>
      <c r="B5860" s="4" t="s">
        <v>2930</v>
      </c>
      <c r="C5860" s="4" t="s">
        <v>8559</v>
      </c>
      <c r="D5860" s="4" t="s">
        <v>8560</v>
      </c>
      <c r="E5860" s="4">
        <v>0.0</v>
      </c>
      <c r="F5860" s="4" t="str">
        <f>IFERROR(__xludf.DUMMYFUNCTION("GOOGLETRANSLATE(D5860)"),"霍姆格倫描述96年世界盃：我們是盧的人質。")</f>
        <v>霍姆格倫描述96年世界盃：我們是盧的人質。</v>
      </c>
      <c r="G5860" s="4" t="str">
        <f>IFERROR(__xludf.DUMMYFUNCTION("GOOGLETRANSLATE(B5860)"),"人質")</f>
        <v>人質</v>
      </c>
    </row>
    <row r="5861" ht="15.75" customHeight="1">
      <c r="A5861" s="4">
        <v>6346.0</v>
      </c>
      <c r="B5861" s="4" t="s">
        <v>2930</v>
      </c>
      <c r="D5861" s="4" t="s">
        <v>8561</v>
      </c>
      <c r="E5861" s="4">
        <v>0.0</v>
      </c>
      <c r="F5861" s="4" t="str">
        <f>IFERROR(__xludf.DUMMYFUNCTION("GOOGLETRANSLATE(D5861)"),"我們的聯合主演娜塔莉·斯塔沃拉解釋了她在《愛與人質》中的角色。一探究竟！ #LH_movie #indiefilm #comingsoon
https://t.co/2Dw23pMF4B")</f>
        <v>我們的聯合主演娜塔莉·斯塔沃拉解釋了她在《愛與人質》中的角色。一探究竟！ #LH_movie #indiefilm #comingsoon
https://t.co/2Dw23pMF4B</v>
      </c>
      <c r="G5861" s="4" t="str">
        <f>IFERROR(__xludf.DUMMYFUNCTION("GOOGLETRANSLATE(B5861)"),"人質")</f>
        <v>人質</v>
      </c>
    </row>
    <row r="5862" ht="15.75" customHeight="1">
      <c r="A5862" s="4">
        <v>6347.0</v>
      </c>
      <c r="B5862" s="4" t="s">
        <v>2930</v>
      </c>
      <c r="D5862" s="4" t="s">
        <v>8562</v>
      </c>
      <c r="E5862" s="4">
        <v>0.0</v>
      </c>
      <c r="F5862" s="4" t="str">
        <f>IFERROR(__xludf.DUMMYFUNCTION("GOOGLETRANSLATE(D5862)"),"提供援助收益作為人質財富的代理：sSu http://t.co/KS7Ln8HQ8s")</f>
        <v>提供援助收益作為人質財富的代理：sSu http://t.co/KS7Ln8HQ8s</v>
      </c>
      <c r="G5862" s="4" t="str">
        <f>IFERROR(__xludf.DUMMYFUNCTION("GOOGLETRANSLATE(B5862)"),"人質")</f>
        <v>人質</v>
      </c>
    </row>
    <row r="5863" ht="15.75" customHeight="1">
      <c r="A5863" s="4">
        <v>6349.0</v>
      </c>
      <c r="B5863" s="4" t="s">
        <v>2930</v>
      </c>
      <c r="D5863" s="4" t="s">
        <v>8563</v>
      </c>
      <c r="E5863" s="4">
        <v>0.0</v>
      </c>
      <c r="F5863" s="4" t="str">
        <f>IFERROR(__xludf.DUMMYFUNCTION("GOOGLETRANSLATE(D5863)"),"@Deosl86 @xavier_marquis 人質毫無意義，不如玩鱈魚搜索和摧毀。")</f>
        <v>@Deosl86 @xavier_marquis 人質毫無意義，不如玩鱈魚搜索和摧毀。</v>
      </c>
      <c r="G5863" s="4" t="str">
        <f>IFERROR(__xludf.DUMMYFUNCTION("GOOGLETRANSLATE(B5863)"),"人質")</f>
        <v>人質</v>
      </c>
    </row>
    <row r="5864" ht="15.75" customHeight="1">
      <c r="A5864" s="4">
        <v>6350.0</v>
      </c>
      <c r="B5864" s="4" t="s">
        <v>2930</v>
      </c>
      <c r="D5864" s="4" t="s">
        <v>8564</v>
      </c>
      <c r="E5864" s="4">
        <v>0.0</v>
      </c>
      <c r="F5864" s="4" t="str">
        <f>IFERROR(__xludf.DUMMYFUNCTION("GOOGLETRANSLATE(D5864)"),"'好吧，猜猜年輕女孩們會怎樣。你們不是陷入困境的少女。你不會受同儕言論的影響。” http://t.co/5XRC0a76vD")</f>
        <v>'好吧，猜猜年輕女孩們會怎樣。你們不是陷入困境的少女。你不會受同儕言論的影響。” http://t.co/5XRC0a76vD</v>
      </c>
      <c r="G5864" s="4" t="str">
        <f>IFERROR(__xludf.DUMMYFUNCTION("GOOGLETRANSLATE(B5864)"),"人質")</f>
        <v>人質</v>
      </c>
    </row>
    <row r="5865" ht="15.75" customHeight="1">
      <c r="A5865" s="4">
        <v>6355.0</v>
      </c>
      <c r="B5865" s="4" t="s">
        <v>2930</v>
      </c>
      <c r="C5865" s="4" t="s">
        <v>8565</v>
      </c>
      <c r="D5865" s="4" t="s">
        <v>8566</v>
      </c>
      <c r="E5865" s="4">
        <v>0.0</v>
      </c>
      <c r="F5865" s="4" t="str">
        <f>IFERROR(__xludf.DUMMYFUNCTION("GOOGLETRANSLATE(D5865)"),"@TexansDC @kylekrenek @Zepp1978 @Frobeus_NS 從沒想過我能在拯救（和射擊）泰迪熊人質中獲得如此多的樂趣。哈哈")</f>
        <v>@TexansDC @kylekrenek @Zepp1978 @Frobeus_NS 從沒想過我能在拯救（和射擊）泰迪熊人質中獲得如此多的樂趣。哈哈</v>
      </c>
      <c r="G5865" s="4" t="str">
        <f>IFERROR(__xludf.DUMMYFUNCTION("GOOGLETRANSLATE(B5865)"),"人質")</f>
        <v>人質</v>
      </c>
    </row>
    <row r="5866" ht="15.75" customHeight="1">
      <c r="A5866" s="4">
        <v>6366.0</v>
      </c>
      <c r="B5866" s="4" t="s">
        <v>2930</v>
      </c>
      <c r="C5866" s="4" t="s">
        <v>2968</v>
      </c>
      <c r="D5866" s="4" t="s">
        <v>8567</v>
      </c>
      <c r="E5866" s="4">
        <v>0.0</v>
      </c>
      <c r="F5866" s="4" t="str">
        <f>IFERROR(__xludf.DUMMYFUNCTION("GOOGLETRANSLATE(D5866)"),"#hot C-130 經過專門改裝，於 1980 年在伊朗的體育場著陸並解救人質 http://t.co/zY3hpdJNwg #prebreak #best")</f>
        <v>#hot C-130 經過專門改裝，於 1980 年在伊朗的體育場著陸並解救人質 http://t.co/zY3hpdJNwg #prebreak #best</v>
      </c>
      <c r="G5866" s="4" t="str">
        <f>IFERROR(__xludf.DUMMYFUNCTION("GOOGLETRANSLATE(B5866)"),"人質")</f>
        <v>人質</v>
      </c>
    </row>
    <row r="5867" ht="15.75" customHeight="1">
      <c r="A5867" s="4">
        <v>6370.0</v>
      </c>
      <c r="B5867" s="4" t="s">
        <v>2930</v>
      </c>
      <c r="D5867" s="4" t="s">
        <v>8568</v>
      </c>
      <c r="E5867" s="4">
        <v>0.0</v>
      </c>
      <c r="F5867" s="4" t="str">
        <f>IFERROR(__xludf.DUMMYFUNCTION("GOOGLETRANSLATE(D5867)"),"新#Free #Porn #Clip！免費劫持危險人質：http://t.co/MIubkZ77m6
#RT #adult #sex #tube")</f>
        <v>新#Free #Porn #Clip！免費劫持危險人質：http://t.co/MIubkZ77m6
#RT #adult #sex #tube</v>
      </c>
      <c r="G5867" s="4" t="str">
        <f>IFERROR(__xludf.DUMMYFUNCTION("GOOGLETRANSLATE(B5867)"),"人質")</f>
        <v>人質</v>
      </c>
    </row>
    <row r="5868" ht="15.75" customHeight="1">
      <c r="A5868" s="4">
        <v>6371.0</v>
      </c>
      <c r="B5868" s="4" t="s">
        <v>2930</v>
      </c>
      <c r="C5868" s="4" t="s">
        <v>2251</v>
      </c>
      <c r="D5868" s="4" t="s">
        <v>8569</v>
      </c>
      <c r="E5868" s="4">
        <v>0.0</v>
      </c>
      <c r="F5868" s="4" t="str">
        <f>IFERROR(__xludf.DUMMYFUNCTION("GOOGLETRANSLATE(D5868)"),"@banditregina 我也很喜歡第三季中的“爆炸”一集，當時卡羅琳·比斯比（？）在超市劫持了人質。")</f>
        <v>@banditregina 我也很喜歡第三季中的“爆炸”一集，當時卡羅琳·比斯比（？）在超市劫持了人質。</v>
      </c>
      <c r="G5868" s="4" t="str">
        <f>IFERROR(__xludf.DUMMYFUNCTION("GOOGLETRANSLATE(B5868)"),"人質")</f>
        <v>人質</v>
      </c>
    </row>
    <row r="5869" ht="15.75" customHeight="1">
      <c r="A5869" s="4">
        <v>6385.0</v>
      </c>
      <c r="B5869" s="4" t="s">
        <v>2973</v>
      </c>
      <c r="D5869" s="4" t="s">
        <v>8570</v>
      </c>
      <c r="E5869" s="4">
        <v>0.0</v>
      </c>
      <c r="F5869" s="4" t="str">
        <f>IFERROR(__xludf.DUMMYFUNCTION("GOOGLETRANSLATE(D5869)"),"你擾亂了我的感覺，就像颶風摧毀了這個破碎的家")</f>
        <v>你擾亂了我的感覺，就像颶風摧毀了這個破碎的家</v>
      </c>
      <c r="G5869" s="4" t="str">
        <f>IFERROR(__xludf.DUMMYFUNCTION("GOOGLETRANSLATE(B5869)"),"颶風")</f>
        <v>颶風</v>
      </c>
    </row>
    <row r="5870" ht="15.75" customHeight="1">
      <c r="A5870" s="4">
        <v>6387.0</v>
      </c>
      <c r="B5870" s="4" t="s">
        <v>2973</v>
      </c>
      <c r="C5870" s="4" t="s">
        <v>8571</v>
      </c>
      <c r="D5870" s="4" t="s">
        <v>8572</v>
      </c>
      <c r="E5870" s="4">
        <v>0.0</v>
      </c>
      <c r="F5870" s="4" t="str">
        <f>IFERROR(__xludf.DUMMYFUNCTION("GOOGLETRANSLATE(D5870)"),"每個人都想知道誰會獲勝，而我在這裡想知道那些葡萄是真的嗎？？？ #BB17")</f>
        <v>每個人都想知道誰會獲勝，而我在這裡想知道那些葡萄是真的嗎？？？ #BB17</v>
      </c>
      <c r="G5870" s="4" t="str">
        <f>IFERROR(__xludf.DUMMYFUNCTION("GOOGLETRANSLATE(B5870)"),"颶風")</f>
        <v>颶風</v>
      </c>
    </row>
    <row r="5871" ht="15.75" customHeight="1">
      <c r="A5871" s="4">
        <v>6389.0</v>
      </c>
      <c r="B5871" s="4" t="s">
        <v>2973</v>
      </c>
      <c r="D5871" s="4" t="s">
        <v>8573</v>
      </c>
      <c r="E5871" s="4">
        <v>0.0</v>
      </c>
      <c r="F5871" s="4" t="str">
        <f>IFERROR(__xludf.DUMMYFUNCTION("GOOGLETRANSLATE(D5871)"),"@eggalie哈哈因為你我喜歡颶風")</f>
        <v>@eggalie哈哈因為你我喜歡颶風</v>
      </c>
      <c r="G5871" s="4" t="str">
        <f>IFERROR(__xludf.DUMMYFUNCTION("GOOGLETRANSLATE(B5871)"),"颶風")</f>
        <v>颶風</v>
      </c>
    </row>
    <row r="5872" ht="15.75" customHeight="1">
      <c r="A5872" s="4">
        <v>6392.0</v>
      </c>
      <c r="B5872" s="4" t="s">
        <v>2973</v>
      </c>
      <c r="D5872" s="4" t="s">
        <v>8574</v>
      </c>
      <c r="E5872" s="4">
        <v>0.0</v>
      </c>
      <c r="F5872" s="4" t="str">
        <f>IFERROR(__xludf.DUMMYFUNCTION("GOOGLETRANSLATE(D5872)"),"@Hurricane_Dolce 生日快樂大 Bruh")</f>
        <v>@Hurricane_Dolce 生日快樂大 Bruh</v>
      </c>
      <c r="G5872" s="4" t="str">
        <f>IFERROR(__xludf.DUMMYFUNCTION("GOOGLETRANSLATE(B5872)"),"颶風")</f>
        <v>颶風</v>
      </c>
    </row>
    <row r="5873" ht="15.75" customHeight="1">
      <c r="A5873" s="4">
        <v>6393.0</v>
      </c>
      <c r="B5873" s="4" t="s">
        <v>2973</v>
      </c>
      <c r="D5873" s="4" t="s">
        <v>8575</v>
      </c>
      <c r="E5873" s="4">
        <v>0.0</v>
      </c>
      <c r="F5873" s="4" t="str">
        <f>IFERROR(__xludf.DUMMYFUNCTION("GOOGLETRANSLATE(D5873)"),"@Guy_Reginald 哈哈，非常歡迎？？？？？？")</f>
        <v>@Guy_Reginald 哈哈，非常歡迎？？？？？？</v>
      </c>
      <c r="G5873" s="4" t="str">
        <f>IFERROR(__xludf.DUMMYFUNCTION("GOOGLETRANSLATE(B5873)"),"颶風")</f>
        <v>颶風</v>
      </c>
    </row>
    <row r="5874" ht="15.75" customHeight="1">
      <c r="A5874" s="4">
        <v>6395.0</v>
      </c>
      <c r="B5874" s="4" t="s">
        <v>2973</v>
      </c>
      <c r="C5874" s="4" t="s">
        <v>291</v>
      </c>
      <c r="D5874" s="4" t="s">
        <v>8576</v>
      </c>
      <c r="E5874" s="4">
        <v>0.0</v>
      </c>
      <c r="F5874" s="4" t="str">
        <f>IFERROR(__xludf.DUMMYFUNCTION("GOOGLETRANSLATE(D5874)"),"Bluedio Turbine Hurricane H 藍牙 4.1 無線立體聲耳機 黑色 - Full reÛ_ http://t.co/WwFqGCQYII http://t.co/GscswyUuPA")</f>
        <v>Bluedio Turbine Hurricane H 藍牙 4.1 無線立體聲耳機 黑色 - Full reÛ_ http://t.co/WwFqGCQYII http://t.co/GscswyUuPA</v>
      </c>
      <c r="G5874" s="4" t="str">
        <f>IFERROR(__xludf.DUMMYFUNCTION("GOOGLETRANSLATE(B5874)"),"颶風")</f>
        <v>颶風</v>
      </c>
    </row>
    <row r="5875" ht="15.75" customHeight="1">
      <c r="A5875" s="4">
        <v>6398.0</v>
      </c>
      <c r="B5875" s="4" t="s">
        <v>2973</v>
      </c>
      <c r="D5875" s="4" t="s">
        <v>8577</v>
      </c>
      <c r="E5875" s="4">
        <v>0.0</v>
      </c>
      <c r="F5875" s="4" t="str">
        <f>IFERROR(__xludf.DUMMYFUNCTION("GOOGLETRANSLATE(D5875)"),"他們應該用黑人的名字來命名颶風。我會害怕沙奈奈颶風！")</f>
        <v>他們應該用黑人的名字來命名颶風。我會害怕沙奈奈颶風！</v>
      </c>
      <c r="G5875" s="4" t="str">
        <f>IFERROR(__xludf.DUMMYFUNCTION("GOOGLETRANSLATE(B5875)"),"颶風")</f>
        <v>颶風</v>
      </c>
    </row>
    <row r="5876" ht="15.75" customHeight="1">
      <c r="A5876" s="4">
        <v>6399.0</v>
      </c>
      <c r="B5876" s="4" t="s">
        <v>2973</v>
      </c>
      <c r="D5876" s="4" t="s">
        <v>8578</v>
      </c>
      <c r="E5876" s="4">
        <v>0.0</v>
      </c>
      <c r="F5876" s="4" t="str">
        <f>IFERROR(__xludf.DUMMYFUNCTION("GOOGLETRANSLATE(D5876)"),"他們的屍體如此飢餓，燃燒著？？")</f>
        <v>他們的屍體如此飢餓，燃燒著？？</v>
      </c>
      <c r="G5876" s="4" t="str">
        <f>IFERROR(__xludf.DUMMYFUNCTION("GOOGLETRANSLATE(B5876)"),"颶風")</f>
        <v>颶風</v>
      </c>
    </row>
    <row r="5877" ht="15.75" customHeight="1">
      <c r="A5877" s="4">
        <v>6403.0</v>
      </c>
      <c r="B5877" s="4" t="s">
        <v>2973</v>
      </c>
      <c r="C5877" s="4" t="s">
        <v>8579</v>
      </c>
      <c r="D5877" s="4" t="s">
        <v>8580</v>
      </c>
      <c r="E5877" s="4">
        <v>0.0</v>
      </c>
      <c r="F5877" s="4" t="str">
        <f>IFERROR(__xludf.DUMMYFUNCTION("GOOGLETRANSLATE(D5877)"),"AD Miles「歡樂颶風：濕熱的製作」https://t.co/SBZwRuwuFh")</f>
        <v>AD Miles「歡樂颶風：濕熱的製作」https://t.co/SBZwRuwuFh</v>
      </c>
      <c r="G5877" s="4" t="str">
        <f>IFERROR(__xludf.DUMMYFUNCTION("GOOGLETRANSLATE(B5877)"),"颶風")</f>
        <v>颶風</v>
      </c>
    </row>
    <row r="5878" ht="15.75" customHeight="1">
      <c r="A5878" s="4">
        <v>6404.0</v>
      </c>
      <c r="B5878" s="4" t="s">
        <v>2973</v>
      </c>
      <c r="C5878" s="4" t="s">
        <v>8581</v>
      </c>
      <c r="D5878" s="4" t="s">
        <v>8582</v>
      </c>
      <c r="E5878" s="4">
        <v>0.0</v>
      </c>
      <c r="F5878" s="4" t="str">
        <f>IFERROR(__xludf.DUMMYFUNCTION("GOOGLETRANSLATE(D5878)"),"颶風舞者：第一艘加勒比海盜沉船
瑪格麗塔·恩格爾 - 亨利·霍爾特公司 (BYR)。 http://t.co/i7EskymOec")</f>
        <v>颶風舞者：第一艘加勒比海盜沉船
瑪格麗塔·恩格爾 - 亨利·霍爾特公司 (BYR)。 http://t.co/i7EskymOec</v>
      </c>
      <c r="G5878" s="4" t="str">
        <f>IFERROR(__xludf.DUMMYFUNCTION("GOOGLETRANSLATE(B5878)"),"颶風")</f>
        <v>颶風</v>
      </c>
    </row>
    <row r="5879" ht="15.75" customHeight="1">
      <c r="A5879" s="4">
        <v>6410.0</v>
      </c>
      <c r="B5879" s="4" t="s">
        <v>2973</v>
      </c>
      <c r="C5879" s="4" t="s">
        <v>8583</v>
      </c>
      <c r="D5879" s="4" t="s">
        <v>8584</v>
      </c>
      <c r="E5879" s="4">
        <v>0.0</v>
      </c>
      <c r="F5879" s="4" t="str">
        <f>IFERROR(__xludf.DUMMYFUNCTION("GOOGLETRANSLATE(D5879)"),"@Freegeezy17 你留在休士頓嗎？")</f>
        <v>@Freegeezy17 你留在休士頓嗎？</v>
      </c>
      <c r="G5879" s="4" t="str">
        <f>IFERROR(__xludf.DUMMYFUNCTION("GOOGLETRANSLATE(B5879)"),"颶風")</f>
        <v>颶風</v>
      </c>
    </row>
    <row r="5880" ht="15.75" customHeight="1">
      <c r="A5880" s="4">
        <v>6412.0</v>
      </c>
      <c r="B5880" s="4" t="s">
        <v>2973</v>
      </c>
      <c r="C5880" s="4" t="s">
        <v>8585</v>
      </c>
      <c r="D5880" s="4" t="s">
        <v>8586</v>
      </c>
      <c r="E5880" s="4">
        <v>0.0</v>
      </c>
      <c r="F5880" s="4" t="str">
        <f>IFERROR(__xludf.DUMMYFUNCTION("GOOGLETRANSLATE(D5880)"),"現在像颶風一樣搖滾 - Scorpions http://t.co/JRztpT8IJq")</f>
        <v>現在像颶風一樣搖滾 - Scorpions http://t.co/JRztpT8IJq</v>
      </c>
      <c r="G5880" s="4" t="str">
        <f>IFERROR(__xludf.DUMMYFUNCTION("GOOGLETRANSLATE(B5880)"),"颶風")</f>
        <v>颶風</v>
      </c>
    </row>
    <row r="5881" ht="15.75" customHeight="1">
      <c r="A5881" s="4">
        <v>6413.0</v>
      </c>
      <c r="B5881" s="4" t="s">
        <v>2973</v>
      </c>
      <c r="D5881" s="4" t="s">
        <v>8587</v>
      </c>
      <c r="E5881" s="4">
        <v>0.0</v>
      </c>
      <c r="F5881" s="4" t="str">
        <f>IFERROR(__xludf.DUMMYFUNCTION("GOOGLETRANSLATE(D5881)"),"颶風 mixxtail 嘗起來有點像西瓜四洛科。 ??????? @brittsand9")</f>
        <v>颶風 mixxtail 嘗起來有點像西瓜四洛科。 ??????? @brittsand9</v>
      </c>
      <c r="G5881" s="4" t="str">
        <f>IFERROR(__xludf.DUMMYFUNCTION("GOOGLETRANSLATE(B5881)"),"颶風")</f>
        <v>颶風</v>
      </c>
    </row>
    <row r="5882" ht="15.75" customHeight="1">
      <c r="A5882" s="4">
        <v>6414.0</v>
      </c>
      <c r="B5882" s="4" t="s">
        <v>2973</v>
      </c>
      <c r="C5882" s="4" t="s">
        <v>291</v>
      </c>
      <c r="D5882" s="4" t="s">
        <v>8588</v>
      </c>
      <c r="E5882" s="4">
        <v>0.0</v>
      </c>
      <c r="F5882" s="4" t="str">
        <f>IFERROR(__xludf.DUMMYFUNCTION("GOOGLETRANSLATE(D5882)"),"Bluedio Turbine Hurricane H 藍牙 4.1 無線立體聲耳機 黑色 - Full reÛ_ http://t.co/WeUDLkc4o4 http://t.co/trl1dskF81")</f>
        <v>Bluedio Turbine Hurricane H 藍牙 4.1 無線立體聲耳機 黑色 - Full reÛ_ http://t.co/WeUDLkc4o4 http://t.co/trl1dskF81</v>
      </c>
      <c r="G5882" s="4" t="str">
        <f>IFERROR(__xludf.DUMMYFUNCTION("GOOGLETRANSLATE(B5882)"),"颶風")</f>
        <v>颶風</v>
      </c>
    </row>
    <row r="5883" ht="15.75" customHeight="1">
      <c r="A5883" s="4">
        <v>6422.0</v>
      </c>
      <c r="B5883" s="4" t="s">
        <v>2973</v>
      </c>
      <c r="C5883" s="4" t="s">
        <v>8589</v>
      </c>
      <c r="D5883" s="4" t="s">
        <v>8590</v>
      </c>
      <c r="E5883" s="4">
        <v>0.0</v>
      </c>
      <c r="F5883" s="4" t="str">
        <f>IFERROR(__xludf.DUMMYFUNCTION("GOOGLETRANSLATE(D5883)"),"暫時考慮一下這個想法：
腹瀉颶風")</f>
        <v>暫時考慮一下這個想法：
腹瀉颶風</v>
      </c>
      <c r="G5883" s="4" t="str">
        <f>IFERROR(__xludf.DUMMYFUNCTION("GOOGLETRANSLATE(B5883)"),"颶風")</f>
        <v>颶風</v>
      </c>
    </row>
    <row r="5884" ht="15.75" customHeight="1">
      <c r="A5884" s="4">
        <v>6423.0</v>
      </c>
      <c r="B5884" s="4" t="s">
        <v>2973</v>
      </c>
      <c r="D5884" s="4" t="s">
        <v>8591</v>
      </c>
      <c r="E5884" s="4">
        <v>0.0</v>
      </c>
      <c r="F5884" s="4" t="str">
        <f>IFERROR(__xludf.DUMMYFUNCTION("GOOGLETRANSLATE(D5884)"),"Bluedio Turbine Hurricane H 藍牙 4.1 無線立體聲耳機 黑色 - 完整版 http://t.co/jans3Fd4lf http://t.co/2SdMichb2Z")</f>
        <v>Bluedio Turbine Hurricane H 藍牙 4.1 無線立體聲耳機 黑色 - 完整版 http://t.co/jans3Fd4lf http://t.co/2SdMichb2Z</v>
      </c>
      <c r="G5884" s="4" t="str">
        <f>IFERROR(__xludf.DUMMYFUNCTION("GOOGLETRANSLATE(B5884)"),"颶風")</f>
        <v>颶風</v>
      </c>
    </row>
    <row r="5885" ht="15.75" customHeight="1">
      <c r="A5885" s="4">
        <v>6425.0</v>
      </c>
      <c r="B5885" s="4" t="s">
        <v>2973</v>
      </c>
      <c r="D5885" s="4" t="s">
        <v>8592</v>
      </c>
      <c r="E5885" s="4">
        <v>0.0</v>
      </c>
      <c r="F5885" s="4" t="str">
        <f>IFERROR(__xludf.DUMMYFUNCTION("GOOGLETRANSLATE(D5885)"),"直播《炒作颶風》")</f>
        <v>直播《炒作颶風》</v>
      </c>
      <c r="G5885" s="4" t="str">
        <f>IFERROR(__xludf.DUMMYFUNCTION("GOOGLETRANSLATE(B5885)"),"颶風")</f>
        <v>颶風</v>
      </c>
    </row>
    <row r="5886" ht="15.75" customHeight="1">
      <c r="A5886" s="4">
        <v>6430.0</v>
      </c>
      <c r="B5886" s="4" t="s">
        <v>2973</v>
      </c>
      <c r="C5886" s="4" t="s">
        <v>1529</v>
      </c>
      <c r="D5886" s="4" t="s">
        <v>8593</v>
      </c>
      <c r="E5886" s="4">
        <v>0.0</v>
      </c>
      <c r="F5886" s="4" t="str">
        <f>IFERROR(__xludf.DUMMYFUNCTION("GOOGLETRANSLATE(D5886)"),"T先生在2005年不再戴金鍊子，因為他認為這對那些在卡崔娜颶風後失去一切的人來說是一種侮辱")</f>
        <v>T先生在2005年不再戴金鍊子，因為他認為這對那些在卡崔娜颶風後失去一切的人來說是一種侮辱</v>
      </c>
      <c r="G5886" s="4" t="str">
        <f>IFERROR(__xludf.DUMMYFUNCTION("GOOGLETRANSLATE(B5886)"),"颶風")</f>
        <v>颶風</v>
      </c>
    </row>
    <row r="5887" ht="15.75" customHeight="1">
      <c r="A5887" s="4">
        <v>6441.0</v>
      </c>
      <c r="B5887" s="4" t="s">
        <v>3004</v>
      </c>
      <c r="C5887" s="4" t="s">
        <v>8594</v>
      </c>
      <c r="D5887" s="4" t="s">
        <v>8595</v>
      </c>
      <c r="E5887" s="4">
        <v>0.0</v>
      </c>
      <c r="F5887" s="4" t="str">
        <f>IFERROR(__xludf.DUMMYFUNCTION("GOOGLETRANSLATE(D5887)"),"你想知道為什麼他每年都會受傷 https://t.co/XYiwR9JETl")</f>
        <v>你想知道為什麼他每年都會受傷 https://t.co/XYiwR9JETl</v>
      </c>
      <c r="G5887" s="4" t="str">
        <f>IFERROR(__xludf.DUMMYFUNCTION("GOOGLETRANSLATE(B5887)"),"受傷")</f>
        <v>受傷</v>
      </c>
    </row>
    <row r="5888" ht="15.75" customHeight="1">
      <c r="A5888" s="4">
        <v>6449.0</v>
      </c>
      <c r="B5888" s="4" t="s">
        <v>3004</v>
      </c>
      <c r="D5888" s="4" t="s">
        <v>8596</v>
      </c>
      <c r="E5888" s="4">
        <v>0.0</v>
      </c>
      <c r="F5888" s="4" t="str">
        <f>IFERROR(__xludf.DUMMYFUNCTION("GOOGLETRANSLATE(D5888)"),"阿里安·福斯特確實信守了他的承諾……那就是每年都會受傷")</f>
        <v>阿里安·福斯特確實信守了他的承諾……那就是每年都會受傷</v>
      </c>
      <c r="G5888" s="4" t="str">
        <f>IFERROR(__xludf.DUMMYFUNCTION("GOOGLETRANSLATE(B5888)"),"受傷")</f>
        <v>受傷</v>
      </c>
    </row>
    <row r="5889" ht="15.75" customHeight="1">
      <c r="A5889" s="4">
        <v>6450.0</v>
      </c>
      <c r="B5889" s="4" t="s">
        <v>3004</v>
      </c>
      <c r="C5889" s="4" t="s">
        <v>8597</v>
      </c>
      <c r="D5889" s="4" t="s">
        <v>8598</v>
      </c>
      <c r="E5889" s="4">
        <v>0.0</v>
      </c>
      <c r="F5889" s="4" t="str">
        <f>IFERROR(__xludf.DUMMYFUNCTION("GOOGLETRANSLATE(D5889)"),"#WakeUpFlorida...#Floridians 更有可能被 #TrophyHunt 殺手的槍殺死/受傷，而不是被 ISIS 殺死/受傷。 https://t.co/j5In8meXAJ")</f>
        <v>#WakeUpFlorida...#Floridians 更有可能被 #TrophyHunt 殺手的槍殺死/受傷，而不是被 ISIS 殺死/受傷。 https://t.co/j5In8meXAJ</v>
      </c>
      <c r="G5889" s="4" t="str">
        <f>IFERROR(__xludf.DUMMYFUNCTION("GOOGLETRANSLATE(B5889)"),"受傷")</f>
        <v>受傷</v>
      </c>
    </row>
    <row r="5890" ht="15.75" customHeight="1">
      <c r="A5890" s="4">
        <v>6451.0</v>
      </c>
      <c r="B5890" s="4" t="s">
        <v>3004</v>
      </c>
      <c r="D5890" s="4" t="s">
        <v>8599</v>
      </c>
      <c r="E5890" s="4">
        <v>0.0</v>
      </c>
      <c r="F5890" s="4" t="str">
        <f>IFERROR(__xludf.DUMMYFUNCTION("GOOGLETRANSLATE(D5890)"),"@RVacchianoNYDN 唯一令人驚訝的是他們並未全部受傷。")</f>
        <v>@RVacchianoNYDN 唯一令人驚訝的是他們並未全部受傷。</v>
      </c>
      <c r="G5890" s="4" t="str">
        <f>IFERROR(__xludf.DUMMYFUNCTION("GOOGLETRANSLATE(B5890)"),"受傷")</f>
        <v>受傷</v>
      </c>
    </row>
    <row r="5891" ht="15.75" customHeight="1">
      <c r="A5891" s="4">
        <v>6452.0</v>
      </c>
      <c r="B5891" s="4" t="s">
        <v>3004</v>
      </c>
      <c r="D5891" s="4" t="s">
        <v>8600</v>
      </c>
      <c r="E5891" s="4">
        <v>0.0</v>
      </c>
      <c r="F5891" s="4" t="str">
        <f>IFERROR(__xludf.DUMMYFUNCTION("GOOGLETRANSLATE(D5891)"),"@chikislizeth08 你沒有受傷了嗎？ ??")</f>
        <v>@chikislizeth08 你沒有受傷了嗎？ ??</v>
      </c>
      <c r="G5891" s="4" t="str">
        <f>IFERROR(__xludf.DUMMYFUNCTION("GOOGLETRANSLATE(B5891)"),"受傷")</f>
        <v>受傷</v>
      </c>
    </row>
    <row r="5892" ht="15.75" customHeight="1">
      <c r="A5892" s="4">
        <v>6459.0</v>
      </c>
      <c r="B5892" s="4" t="s">
        <v>3004</v>
      </c>
      <c r="C5892" s="4" t="s">
        <v>790</v>
      </c>
      <c r="D5892" s="4" t="s">
        <v>8601</v>
      </c>
      <c r="E5892" s="4">
        <v>0.0</v>
      </c>
      <c r="F5892" s="4" t="str">
        <f>IFERROR(__xludf.DUMMYFUNCTION("GOOGLETRANSLATE(D5892)"),"如果可以的話，我本來會去上班，但受傷了，我們有安全問題，他們必須解決。這是酷刑。")</f>
        <v>如果可以的話，我本來會去上班，但受傷了，我們有安全問題，他們必須解決。這是酷刑。</v>
      </c>
      <c r="G5892" s="4" t="str">
        <f>IFERROR(__xludf.DUMMYFUNCTION("GOOGLETRANSLATE(B5892)"),"受傷")</f>
        <v>受傷</v>
      </c>
    </row>
    <row r="5893" ht="15.75" customHeight="1">
      <c r="A5893" s="4">
        <v>6462.0</v>
      </c>
      <c r="B5893" s="4" t="s">
        <v>3004</v>
      </c>
      <c r="C5893" s="4" t="s">
        <v>8602</v>
      </c>
      <c r="D5893" s="4" t="s">
        <v>8603</v>
      </c>
      <c r="E5893" s="4">
        <v>0.0</v>
      </c>
      <c r="F5893" s="4" t="str">
        <f>IFERROR(__xludf.DUMMYFUNCTION("GOOGLETRANSLATE(D5893)"),"巴塞隆納邊後衛阿爾巴受傷退出超級盃 http://t.co/jYiEgtnC6H")</f>
        <v>巴塞隆納邊後衛阿爾巴受傷退出超級盃 http://t.co/jYiEgtnC6H</v>
      </c>
      <c r="G5893" s="4" t="str">
        <f>IFERROR(__xludf.DUMMYFUNCTION("GOOGLETRANSLATE(B5893)"),"受傷")</f>
        <v>受傷</v>
      </c>
    </row>
    <row r="5894" ht="15.75" customHeight="1">
      <c r="A5894" s="4">
        <v>6463.0</v>
      </c>
      <c r="B5894" s="4" t="s">
        <v>3004</v>
      </c>
      <c r="D5894" s="4" t="s">
        <v>8604</v>
      </c>
      <c r="E5894" s="4">
        <v>0.0</v>
      </c>
      <c r="F5894" s="4" t="str">
        <f>IFERROR(__xludf.DUMMYFUNCTION("GOOGLETRANSLATE(D5894)"),"@michaelgbaron 為什麼斯科特賴斯沒有再獲得一次機會。將左撇子的平均分數控制在 184。他受傷了嗎？")</f>
        <v>@michaelgbaron 為什麼斯科特賴斯沒有再獲得一次機會。將左撇子的平均分數控制在 184。他受傷了嗎？</v>
      </c>
      <c r="G5894" s="4" t="str">
        <f>IFERROR(__xludf.DUMMYFUNCTION("GOOGLETRANSLATE(B5894)"),"受傷")</f>
        <v>受傷</v>
      </c>
    </row>
    <row r="5895" ht="15.75" customHeight="1">
      <c r="A5895" s="4">
        <v>6465.0</v>
      </c>
      <c r="B5895" s="4" t="s">
        <v>3004</v>
      </c>
      <c r="C5895" s="4" t="s">
        <v>8605</v>
      </c>
      <c r="D5895" s="4" t="s">
        <v>8606</v>
      </c>
      <c r="E5895" s="4">
        <v>0.0</v>
      </c>
      <c r="F5895" s="4" t="str">
        <f>IFERROR(__xludf.DUMMYFUNCTION("GOOGLETRANSLATE(D5895)"),"所以保利斯塔受傷了威爾謝爾")</f>
        <v>所以保利斯塔受傷了威爾謝爾</v>
      </c>
      <c r="G5895" s="4" t="str">
        <f>IFERROR(__xludf.DUMMYFUNCTION("GOOGLETRANSLATE(B5895)"),"受傷")</f>
        <v>受傷</v>
      </c>
    </row>
    <row r="5896" ht="15.75" customHeight="1">
      <c r="A5896" s="4">
        <v>6478.0</v>
      </c>
      <c r="B5896" s="4" t="s">
        <v>3004</v>
      </c>
      <c r="D5896" s="4" t="s">
        <v>8607</v>
      </c>
      <c r="E5896" s="4">
        <v>0.0</v>
      </c>
      <c r="F5896" s="4" t="str">
        <f>IFERROR(__xludf.DUMMYFUNCTION("GOOGLETRANSLATE(D5896)"),"#高爾夫麥克羅伊在視頻後引發了 PGA 猜測：受傷的世界排名第一的羅裡·麥克羅伊引發了猜測...... http://t.co/dCyYJVmXHR #news")</f>
        <v>#高爾夫麥克羅伊在視頻後引發了 PGA 猜測：受傷的世界排名第一的羅裡·麥克羅伊引發了猜測...... http://t.co/dCyYJVmXHR #news</v>
      </c>
      <c r="G5896" s="4" t="str">
        <f>IFERROR(__xludf.DUMMYFUNCTION("GOOGLETRANSLATE(B5896)"),"受傷")</f>
        <v>受傷</v>
      </c>
    </row>
    <row r="5897" ht="15.75" customHeight="1">
      <c r="A5897" s="4">
        <v>6482.0</v>
      </c>
      <c r="B5897" s="4" t="s">
        <v>3004</v>
      </c>
      <c r="C5897" s="4" t="s">
        <v>8608</v>
      </c>
      <c r="D5897" s="4" t="s">
        <v>8609</v>
      </c>
      <c r="E5897" s="4">
        <v>0.0</v>
      </c>
      <c r="F5897" s="4" t="str">
        <f>IFERROR(__xludf.DUMMYFUNCTION("GOOGLETRANSLATE(D5897)"),"@Welles_7 他受傷了。他是一名職業碗後衛。")</f>
        <v>@Welles_7 他受傷了。他是一名職業碗後衛。</v>
      </c>
      <c r="G5897" s="4" t="str">
        <f>IFERROR(__xludf.DUMMYFUNCTION("GOOGLETRANSLATE(B5897)"),"受傷")</f>
        <v>受傷</v>
      </c>
    </row>
    <row r="5898" ht="15.75" customHeight="1">
      <c r="A5898" s="4">
        <v>6485.0</v>
      </c>
      <c r="B5898" s="4" t="s">
        <v>3039</v>
      </c>
      <c r="C5898" s="4" t="s">
        <v>569</v>
      </c>
      <c r="D5898" s="4" t="s">
        <v>8610</v>
      </c>
      <c r="E5898" s="4">
        <v>0.0</v>
      </c>
      <c r="F5898" s="4" t="str">
        <f>IFERROR(__xludf.DUMMYFUNCTION("GOOGLETRANSLATE(D5898)"),"傷害可以被原諒，但不能被遺忘。
伊索")</f>
        <v>傷害可以被原諒，但不能被遺忘。
伊索</v>
      </c>
      <c r="G5898" s="4" t="str">
        <f>IFERROR(__xludf.DUMMYFUNCTION("GOOGLETRANSLATE(B5898)"),"受傷")</f>
        <v>受傷</v>
      </c>
    </row>
    <row r="5899" ht="15.75" customHeight="1">
      <c r="A5899" s="4">
        <v>6486.0</v>
      </c>
      <c r="B5899" s="4" t="s">
        <v>3039</v>
      </c>
      <c r="C5899" s="4" t="s">
        <v>8611</v>
      </c>
      <c r="D5899" s="4" t="s">
        <v>8612</v>
      </c>
      <c r="E5899" s="4">
        <v>0.0</v>
      </c>
      <c r="F5899" s="4" t="str">
        <f>IFERROR(__xludf.DUMMYFUNCTION("GOOGLETRANSLATE(D5899)"),"IRONMAN™ 官方運動機能膠帶對常見傷害有持久耐用效果 http://t.co/ejymkZPEEx http://t.co/0IYuntXDUv")</f>
        <v>IRONMAN™ 官方運動機能膠帶對常見傷害有持久耐用效果 http://t.co/ejymkZPEEx http://t.co/0IYuntXDUv</v>
      </c>
      <c r="G5899" s="4" t="str">
        <f>IFERROR(__xludf.DUMMYFUNCTION("GOOGLETRANSLATE(B5899)"),"受傷")</f>
        <v>受傷</v>
      </c>
    </row>
    <row r="5900" ht="15.75" customHeight="1">
      <c r="A5900" s="4">
        <v>6490.0</v>
      </c>
      <c r="B5900" s="4" t="s">
        <v>3039</v>
      </c>
      <c r="C5900" s="4" t="s">
        <v>8613</v>
      </c>
      <c r="D5900" s="4" t="s">
        <v>8614</v>
      </c>
      <c r="E5900" s="4">
        <v>0.0</v>
      </c>
      <c r="F5900" s="4" t="str">
        <f>IFERROR(__xludf.DUMMYFUNCTION("GOOGLETRANSLATE(D5900)"),"@TayIorrMade @MegatronAFC 不過他的雙腳踝可能都受傷了。 2011 年情況更糟，但無論如何。")</f>
        <v>@TayIorrMade @MegatronAFC 不過他的雙腳踝可能都受傷了。 2011 年情況更糟，但無論如何。</v>
      </c>
      <c r="G5900" s="4" t="str">
        <f>IFERROR(__xludf.DUMMYFUNCTION("GOOGLETRANSLATE(B5900)"),"受傷")</f>
        <v>受傷</v>
      </c>
    </row>
    <row r="5901" ht="15.75" customHeight="1">
      <c r="A5901" s="4">
        <v>6491.0</v>
      </c>
      <c r="B5901" s="4" t="s">
        <v>3039</v>
      </c>
      <c r="C5901" s="4" t="s">
        <v>8615</v>
      </c>
      <c r="D5901" s="4" t="s">
        <v>8616</v>
      </c>
      <c r="E5901" s="4">
        <v>0.0</v>
      </c>
      <c r="F5901" s="4" t="str">
        <f>IFERROR(__xludf.DUMMYFUNCTION("GOOGLETRANSLATE(D5901)"),"事實上，如果你們都可以將皮膚的小蠕動或自傷標記為真皮（帶括號），那就太好了")</f>
        <v>事實上，如果你們都可以將皮膚的小蠕動或自傷標記為真皮（帶括號），那就太好了</v>
      </c>
      <c r="G5901" s="4" t="str">
        <f>IFERROR(__xludf.DUMMYFUNCTION("GOOGLETRANSLATE(B5901)"),"受傷")</f>
        <v>受傷</v>
      </c>
    </row>
    <row r="5902" ht="15.75" customHeight="1">
      <c r="A5902" s="4">
        <v>6492.0</v>
      </c>
      <c r="B5902" s="4" t="s">
        <v>3039</v>
      </c>
      <c r="C5902" s="4" t="s">
        <v>8617</v>
      </c>
      <c r="D5902" s="4" t="s">
        <v>8618</v>
      </c>
      <c r="E5902" s="4">
        <v>0.0</v>
      </c>
      <c r="F5902" s="4" t="str">
        <f>IFERROR(__xludf.DUMMYFUNCTION("GOOGLETRANSLATE(D5902)"),"上次我檢查過一段時間很多受傷=容易受傷。
@Calum36Chambers 我錯了嗎？")</f>
        <v>上次我檢查過一段時間很多受傷=容易受傷。
@Calum36Chambers 我錯了嗎？</v>
      </c>
      <c r="G5902" s="4" t="str">
        <f>IFERROR(__xludf.DUMMYFUNCTION("GOOGLETRANSLATE(B5902)"),"受傷")</f>
        <v>受傷</v>
      </c>
    </row>
    <row r="5903" ht="15.75" customHeight="1">
      <c r="A5903" s="4">
        <v>6493.0</v>
      </c>
      <c r="B5903" s="4" t="s">
        <v>3039</v>
      </c>
      <c r="C5903" s="4" t="s">
        <v>8619</v>
      </c>
      <c r="D5903" s="4" t="s">
        <v>8620</v>
      </c>
      <c r="E5903" s="4">
        <v>0.0</v>
      </c>
      <c r="F5903" s="4" t="str">
        <f>IFERROR(__xludf.DUMMYFUNCTION("GOOGLETRANSLATE(D5903)"),"如果你因為@JackWilshere 的受傷而指責@gpaulista5，那麼你就是#AFC 球迷群的恥辱。你們這群混蛋，受傷了！")</f>
        <v>如果你因為@JackWilshere 的受傷而指責@gpaulista5，那麼你就是#AFC 球迷群的恥辱。你們這群混蛋，受傷了！</v>
      </c>
      <c r="G5903" s="4" t="str">
        <f>IFERROR(__xludf.DUMMYFUNCTION("GOOGLETRANSLATE(B5903)"),"受傷")</f>
        <v>受傷</v>
      </c>
    </row>
    <row r="5904" ht="15.75" customHeight="1">
      <c r="A5904" s="4">
        <v>6494.0</v>
      </c>
      <c r="B5904" s="4" t="s">
        <v>3039</v>
      </c>
      <c r="C5904" s="4" t="s">
        <v>8621</v>
      </c>
      <c r="D5904" s="4" t="s">
        <v>8622</v>
      </c>
      <c r="E5904" s="4">
        <v>0.0</v>
      </c>
      <c r="F5904" s="4" t="str">
        <f>IFERROR(__xludf.DUMMYFUNCTION("GOOGLETRANSLATE(D5904)"),"下一個男人起來－－啊，管他的！我已經厭倦了受傷。
坎普蛋糕發生了什麼事？更像是營地抽筋和休息。")</f>
        <v>下一個男人起來－－啊，管他的！我已經厭倦了受傷。
坎普蛋糕發生了什麼事？更像是營地抽筋和休息。</v>
      </c>
      <c r="G5904" s="4" t="str">
        <f>IFERROR(__xludf.DUMMYFUNCTION("GOOGLETRANSLATE(B5904)"),"受傷")</f>
        <v>受傷</v>
      </c>
    </row>
    <row r="5905" ht="15.75" customHeight="1">
      <c r="A5905" s="4">
        <v>6497.0</v>
      </c>
      <c r="B5905" s="4" t="s">
        <v>3039</v>
      </c>
      <c r="D5905" s="4" t="s">
        <v>8623</v>
      </c>
      <c r="E5905" s="4">
        <v>0.0</v>
      </c>
      <c r="F5905" s="4" t="str">
        <f>IFERROR(__xludf.DUMMYFUNCTION("GOOGLETRANSLATE(D5905)"),"我只經歷過腰部以下受傷")</f>
        <v>我只經歷過腰部以下受傷</v>
      </c>
      <c r="G5905" s="4" t="str">
        <f>IFERROR(__xludf.DUMMYFUNCTION("GOOGLETRANSLATE(B5905)"),"受傷")</f>
        <v>受傷</v>
      </c>
    </row>
    <row r="5906" ht="15.75" customHeight="1">
      <c r="A5906" s="4">
        <v>6499.0</v>
      </c>
      <c r="B5906" s="4" t="s">
        <v>3039</v>
      </c>
      <c r="C5906" s="4" t="s">
        <v>8624</v>
      </c>
      <c r="D5906" s="4" t="s">
        <v>8625</v>
      </c>
      <c r="E5906" s="4">
        <v>0.0</v>
      </c>
      <c r="F5906" s="4" t="str">
        <f>IFERROR(__xludf.DUMMYFUNCTION("GOOGLETRANSLATE(D5906)"),"@jamienye，你不能把這一切歸咎於教練管理層的處罰、防守或傷病。詛咒可能是一個很好的表達方式！ #騎手")</f>
        <v>@jamienye，你不能把這一切歸咎於教練管理層的處罰、防守或傷病。詛咒可能是一個很好的表達方式！ #騎手</v>
      </c>
      <c r="G5906" s="4" t="str">
        <f>IFERROR(__xludf.DUMMYFUNCTION("GOOGLETRANSLATE(B5906)"),"受傷")</f>
        <v>受傷</v>
      </c>
    </row>
    <row r="5907" ht="15.75" customHeight="1">
      <c r="A5907" s="4">
        <v>6504.0</v>
      </c>
      <c r="B5907" s="4" t="s">
        <v>3039</v>
      </c>
      <c r="C5907" s="4" t="s">
        <v>8626</v>
      </c>
      <c r="D5907" s="4" t="s">
        <v>8627</v>
      </c>
      <c r="E5907" s="4">
        <v>0.0</v>
      </c>
      <c r="F5907" s="4" t="str">
        <f>IFERROR(__xludf.DUMMYFUNCTION("GOOGLETRANSLATE(D5907)"),"@likeavillasboas @rich_chandler 「容易受傷」其實不只是經常受傷。")</f>
        <v>@likeavillasboas @rich_chandler 「容易受傷」其實不只是經常受傷。</v>
      </c>
      <c r="G5907" s="4" t="str">
        <f>IFERROR(__xludf.DUMMYFUNCTION("GOOGLETRANSLATE(B5907)"),"受傷")</f>
        <v>受傷</v>
      </c>
    </row>
    <row r="5908" ht="15.75" customHeight="1">
      <c r="A5908" s="4">
        <v>6505.0</v>
      </c>
      <c r="B5908" s="4" t="s">
        <v>3039</v>
      </c>
      <c r="D5908" s="4" t="s">
        <v>8628</v>
      </c>
      <c r="E5908" s="4">
        <v>0.0</v>
      </c>
      <c r="F5908" s="4" t="str">
        <f>IFERROR(__xludf.DUMMYFUNCTION("GOOGLETRANSLATE(D5908)"),"@nalathekoala 作為處理所有槍支暴力後遺症的醫療保健專業人員，我認為自殺、傷害、事故和兇殺")</f>
        <v>@nalathekoala 作為處理所有槍支暴力後遺症的醫療保健專業人員，我認為自殺、傷害、事故和兇殺</v>
      </c>
      <c r="G5908" s="4" t="str">
        <f>IFERROR(__xludf.DUMMYFUNCTION("GOOGLETRANSLATE(B5908)"),"受傷")</f>
        <v>受傷</v>
      </c>
    </row>
    <row r="5909" ht="15.75" customHeight="1">
      <c r="A5909" s="4">
        <v>6511.0</v>
      </c>
      <c r="B5909" s="4" t="s">
        <v>3039</v>
      </c>
      <c r="C5909" s="4" t="s">
        <v>8629</v>
      </c>
      <c r="D5909" s="4" t="s">
        <v>8630</v>
      </c>
      <c r="E5909" s="4">
        <v>0.0</v>
      </c>
      <c r="F5909" s="4" t="str">
        <f>IFERROR(__xludf.DUMMYFUNCTION("GOOGLETRANSLATE(D5909)"),"@fkhanage 看看 Shad Forsythe 在一年內做了什麼，我們不會像以前那樣受傷，我們不可避免地會像其他人一樣受傷")</f>
        <v>@fkhanage 看看 Shad Forsythe 在一年內做了什麼，我們不會像以前那樣受傷，我們不可避免地會像其他人一樣受傷</v>
      </c>
      <c r="G5909" s="4" t="str">
        <f>IFERROR(__xludf.DUMMYFUNCTION("GOOGLETRANSLATE(B5909)"),"受傷")</f>
        <v>受傷</v>
      </c>
    </row>
    <row r="5910" ht="15.75" customHeight="1">
      <c r="A5910" s="4">
        <v>6512.0</v>
      </c>
      <c r="B5910" s="4" t="s">
        <v>3039</v>
      </c>
      <c r="C5910" s="4" t="s">
        <v>8631</v>
      </c>
      <c r="D5910" s="4" t="s">
        <v>8632</v>
      </c>
      <c r="E5910" s="4">
        <v>0.0</v>
      </c>
      <c r="F5910" s="4" t="str">
        <f>IFERROR(__xludf.DUMMYFUNCTION("GOOGLETRANSLATE(D5910)"),"一種新型的過動症？兒童頭部受傷與長期注意力問題有關 http://t.co/I4FZ75Utnh")</f>
        <v>一種新型的過動症？兒童頭部受傷與長期注意力問題有關 http://t.co/I4FZ75Utnh</v>
      </c>
      <c r="G5910" s="4" t="str">
        <f>IFERROR(__xludf.DUMMYFUNCTION("GOOGLETRANSLATE(B5910)"),"受傷")</f>
        <v>受傷</v>
      </c>
    </row>
    <row r="5911" ht="15.75" customHeight="1">
      <c r="A5911" s="4">
        <v>6513.0</v>
      </c>
      <c r="B5911" s="4" t="s">
        <v>3039</v>
      </c>
      <c r="D5911" s="4" t="s">
        <v>8633</v>
      </c>
      <c r="E5911" s="4">
        <v>0.0</v>
      </c>
      <c r="F5911" s="4" t="str">
        <f>IFERROR(__xludf.DUMMYFUNCTION("GOOGLETRANSLATE(D5911)"),"@imSUSHIckoflove @alekalicante 對嗎？是的，你是他受傷的目擊者，哈哈，那是紗布！")</f>
        <v>@imSUSHIckoflove @alekalicante 對嗎？是的，你是他受傷的目擊者，哈哈，那是紗布！</v>
      </c>
      <c r="G5911" s="4" t="str">
        <f>IFERROR(__xludf.DUMMYFUNCTION("GOOGLETRANSLATE(B5911)"),"受傷")</f>
        <v>受傷</v>
      </c>
    </row>
    <row r="5912" ht="15.75" customHeight="1">
      <c r="A5912" s="4">
        <v>6514.0</v>
      </c>
      <c r="B5912" s="4" t="s">
        <v>3039</v>
      </c>
      <c r="C5912" s="4" t="s">
        <v>8634</v>
      </c>
      <c r="D5912" s="4" t="s">
        <v>8635</v>
      </c>
      <c r="E5912" s="4">
        <v>0.0</v>
      </c>
      <c r="F5912" s="4" t="str">
        <f>IFERROR(__xludf.DUMMYFUNCTION("GOOGLETRANSLATE(D5912)"),"@BuffoonMike 我知道如果不做太多事情就會咬我們，他受到了那些糟糕的員工的影響，傷病不是收購")</f>
        <v>@BuffoonMike 我知道如果不做太多事情就會咬我們，他受到了那些糟糕的員工的影響，傷病不是收購</v>
      </c>
      <c r="G5912" s="4" t="str">
        <f>IFERROR(__xludf.DUMMYFUNCTION("GOOGLETRANSLATE(B5912)"),"受傷")</f>
        <v>受傷</v>
      </c>
    </row>
    <row r="5913" ht="15.75" customHeight="1">
      <c r="A5913" s="4">
        <v>6515.0</v>
      </c>
      <c r="B5913" s="4" t="s">
        <v>3039</v>
      </c>
      <c r="C5913" s="4" t="s">
        <v>8636</v>
      </c>
      <c r="D5913" s="4" t="s">
        <v>8637</v>
      </c>
      <c r="E5913" s="4">
        <v>0.0</v>
      </c>
      <c r="F5913" s="4" t="str">
        <f>IFERROR(__xludf.DUMMYFUNCTION("GOOGLETRANSLATE(D5913)"),"保證明天回到健身房。身體還不到50%。不想冒受傷的風險。")</f>
        <v>保證明天回到健身房。身體還不到50%。不想冒受傷的風險。</v>
      </c>
      <c r="G5913" s="4" t="str">
        <f>IFERROR(__xludf.DUMMYFUNCTION("GOOGLETRANSLATE(B5913)"),"受傷")</f>
        <v>受傷</v>
      </c>
    </row>
    <row r="5914" ht="15.75" customHeight="1">
      <c r="A5914" s="4">
        <v>6516.0</v>
      </c>
      <c r="B5914" s="4" t="s">
        <v>3039</v>
      </c>
      <c r="C5914" s="4" t="s">
        <v>8638</v>
      </c>
      <c r="D5914" s="4" t="s">
        <v>8639</v>
      </c>
      <c r="E5914" s="4">
        <v>0.0</v>
      </c>
      <c r="F5914" s="4" t="str">
        <f>IFERROR(__xludf.DUMMYFUNCTION("GOOGLETRANSLATE(D5914)"),"為什麼#GOP 阻止腹股溝受傷的#DisabledVeterans 生育孩子的機會？ #ThePartyofMeanness http://t.co/gzTolLl5WoÛ_")</f>
        <v>為什麼#GOP 阻止腹股溝受傷的#DisabledVeterans 生育孩子的機會？ #ThePartyofMeanness http://t.co/gzTolLl5WoÛ_</v>
      </c>
      <c r="G5914" s="4" t="str">
        <f>IFERROR(__xludf.DUMMYFUNCTION("GOOGLETRANSLATE(B5914)"),"受傷")</f>
        <v>受傷</v>
      </c>
    </row>
    <row r="5915" ht="15.75" customHeight="1">
      <c r="A5915" s="4">
        <v>6518.0</v>
      </c>
      <c r="B5915" s="4" t="s">
        <v>3039</v>
      </c>
      <c r="C5915" s="4" t="s">
        <v>3559</v>
      </c>
      <c r="D5915" s="4" t="s">
        <v>8640</v>
      </c>
      <c r="E5915" s="4">
        <v>0.0</v>
      </c>
      <c r="F5915" s="4" t="str">
        <f>IFERROR(__xludf.DUMMYFUNCTION("GOOGLETRANSLATE(D5915)"),"又來了，傷病又來了，下一個是誰？ https://t.co/TuzacdWFqd")</f>
        <v>又來了，傷病又來了，下一個是誰？ https://t.co/TuzacdWFqd</v>
      </c>
      <c r="G5915" s="4" t="str">
        <f>IFERROR(__xludf.DUMMYFUNCTION("GOOGLETRANSLATE(B5915)"),"受傷")</f>
        <v>受傷</v>
      </c>
    </row>
    <row r="5916" ht="15.75" customHeight="1">
      <c r="A5916" s="4">
        <v>6520.0</v>
      </c>
      <c r="B5916" s="4" t="s">
        <v>3039</v>
      </c>
      <c r="C5916" s="4" t="s">
        <v>8641</v>
      </c>
      <c r="D5916" s="4" t="s">
        <v>8642</v>
      </c>
      <c r="E5916" s="4">
        <v>0.0</v>
      </c>
      <c r="F5916" s="4" t="str">
        <f>IFERROR(__xludf.DUMMYFUNCTION("GOOGLETRANSLATE(D5916)"),"傷兵開始了！！！請@dallascowboys保持健康！ ????????????")</f>
        <v>傷兵開始了！！！請@dallascowboys保持健康！ ????????????</v>
      </c>
      <c r="G5916" s="4" t="str">
        <f>IFERROR(__xludf.DUMMYFUNCTION("GOOGLETRANSLATE(B5916)"),"受傷")</f>
        <v>受傷</v>
      </c>
    </row>
    <row r="5917" ht="15.75" customHeight="1">
      <c r="A5917" s="4">
        <v>6523.0</v>
      </c>
      <c r="B5917" s="4" t="s">
        <v>3039</v>
      </c>
      <c r="C5917" s="4" t="s">
        <v>8643</v>
      </c>
      <c r="D5917" s="4" t="s">
        <v>8644</v>
      </c>
      <c r="E5917" s="4">
        <v>0.0</v>
      </c>
      <c r="F5917" s="4" t="str">
        <f>IFERROR(__xludf.DUMMYFUNCTION("GOOGLETRANSLATE(D5917)"),"健康事實：75% 的肌肉質量由液體組成。喝水以防止拉傷、扭傷和其他傷害。 http://t.co/g0dN1ChLUo")</f>
        <v>健康事實：75% 的肌肉質量由液體組成。喝水以防止拉傷、扭傷和其他傷害。 http://t.co/g0dN1ChLUo</v>
      </c>
      <c r="G5917" s="4" t="str">
        <f>IFERROR(__xludf.DUMMYFUNCTION("GOOGLETRANSLATE(B5917)"),"受傷")</f>
        <v>受傷</v>
      </c>
    </row>
    <row r="5918" ht="15.75" customHeight="1">
      <c r="A5918" s="4">
        <v>6525.0</v>
      </c>
      <c r="B5918" s="4" t="s">
        <v>3039</v>
      </c>
      <c r="C5918" s="4" t="s">
        <v>142</v>
      </c>
      <c r="D5918" s="4" t="s">
        <v>8645</v>
      </c>
      <c r="E5918" s="4">
        <v>0.0</v>
      </c>
      <c r="F5918" s="4" t="str">
        <f>IFERROR(__xludf.DUMMYFUNCTION("GOOGLETRANSLATE(D5918)"),"所有傷病都發生在福斯特/佛洛伊德之前。這些內容將在下週討論。 https://t.co/zRZEjPEF5j")</f>
        <v>所有傷病都發生在福斯特/佛洛伊德之前。這些內容將在下週討論。 https://t.co/zRZEjPEF5j</v>
      </c>
      <c r="G5918" s="4" t="str">
        <f>IFERROR(__xludf.DUMMYFUNCTION("GOOGLETRANSLATE(B5918)"),"受傷")</f>
        <v>受傷</v>
      </c>
    </row>
    <row r="5919" ht="15.75" customHeight="1">
      <c r="A5919" s="4">
        <v>6529.0</v>
      </c>
      <c r="B5919" s="4" t="s">
        <v>3039</v>
      </c>
      <c r="D5919" s="4" t="s">
        <v>8646</v>
      </c>
      <c r="E5919" s="4">
        <v>0.0</v>
      </c>
      <c r="F5919" s="4" t="str">
        <f>IFERROR(__xludf.DUMMYFUNCTION("GOOGLETRANSLATE(D5919)"),"@Judson1360 @XTRA1360 O線和通行衝刺。除傷病外，其餘球員陣容都很強")</f>
        <v>@Judson1360 @XTRA1360 O線和通行衝刺。除傷病外，其餘球員陣容都很強</v>
      </c>
      <c r="G5919" s="4" t="str">
        <f>IFERROR(__xludf.DUMMYFUNCTION("GOOGLETRANSLATE(B5919)"),"受傷")</f>
        <v>受傷</v>
      </c>
    </row>
    <row r="5920" ht="15.75" customHeight="1">
      <c r="A5920" s="4">
        <v>6530.0</v>
      </c>
      <c r="B5920" s="4" t="s">
        <v>3039</v>
      </c>
      <c r="D5920" s="4" t="s">
        <v>8647</v>
      </c>
      <c r="E5920" s="4">
        <v>0.0</v>
      </c>
      <c r="F5920" s="4" t="str">
        <f>IFERROR(__xludf.DUMMYFUNCTION("GOOGLETRANSLATE(D5920)"),"迭戈·科斯塔需要停止受傷")</f>
        <v>迭戈·科斯塔需要停止受傷</v>
      </c>
      <c r="G5920" s="4" t="str">
        <f>IFERROR(__xludf.DUMMYFUNCTION("GOOGLETRANSLATE(B5920)"),"受傷")</f>
        <v>受傷</v>
      </c>
    </row>
    <row r="5921" ht="15.75" customHeight="1">
      <c r="A5921" s="4">
        <v>6532.0</v>
      </c>
      <c r="B5921" s="4" t="s">
        <v>3039</v>
      </c>
      <c r="C5921" s="4" t="s">
        <v>8648</v>
      </c>
      <c r="D5921" s="4" t="s">
        <v>8649</v>
      </c>
      <c r="E5921" s="4">
        <v>0.0</v>
      </c>
      <c r="F5921" s="4" t="str">
        <f>IFERROR(__xludf.DUMMYFUNCTION("GOOGLETRANSLATE(D5921)"),"4 種常見的跑步傷害以及如何避免它們 http://t.co/E5cNS6ufPA")</f>
        <v>4 種常見的跑步傷害以及如何避免它們 http://t.co/E5cNS6ufPA</v>
      </c>
      <c r="G5921" s="4" t="str">
        <f>IFERROR(__xludf.DUMMYFUNCTION("GOOGLETRANSLATE(B5921)"),"受傷")</f>
        <v>受傷</v>
      </c>
    </row>
    <row r="5922" ht="15.75" customHeight="1">
      <c r="A5922" s="4">
        <v>6535.0</v>
      </c>
      <c r="B5922" s="4" t="s">
        <v>3053</v>
      </c>
      <c r="D5922" s="4" t="s">
        <v>8650</v>
      </c>
      <c r="E5922" s="4">
        <v>0.0</v>
      </c>
      <c r="F5922" s="4" t="str">
        <f>IFERROR(__xludf.DUMMYFUNCTION("GOOGLETRANSLATE(D5922)"),"nflexpertpicks：邁克爾·弗洛伊德的手部受傷不應貶低他的幻想股票：邁克爾·弗洛伊德受損的手指獲勝......Û_")</f>
        <v>nflexpertpicks：邁克爾·弗洛伊德的手部受傷不應貶低他的幻想股票：邁克爾·弗洛伊德受損的手指獲勝......Û_</v>
      </c>
      <c r="G5922" s="4" t="str">
        <f>IFERROR(__xludf.DUMMYFUNCTION("GOOGLETRANSLATE(B5922)"),"受傷")</f>
        <v>受傷</v>
      </c>
    </row>
    <row r="5923" ht="15.75" customHeight="1">
      <c r="A5923" s="4">
        <v>6536.0</v>
      </c>
      <c r="B5923" s="4" t="s">
        <v>3053</v>
      </c>
      <c r="C5923" s="4" t="s">
        <v>8651</v>
      </c>
      <c r="D5923" s="4" t="s">
        <v>8652</v>
      </c>
      <c r="E5923" s="4">
        <v>0.0</v>
      </c>
      <c r="F5923" s="4" t="str">
        <f>IFERROR(__xludf.DUMMYFUNCTION("GOOGLETRANSLATE(D5923)"),"羅瑞麥克羅伊將在週末訓練中測試腳踝受傷 #chinadotcom #sports http://t.co/UDTGWfSc3P http://t.co/V5wSx0LQN2")</f>
        <v>羅瑞麥克羅伊將在週末訓練中測試腳踝受傷 #chinadotcom #sports http://t.co/UDTGWfSc3P http://t.co/V5wSx0LQN2</v>
      </c>
      <c r="G5923" s="4" t="str">
        <f>IFERROR(__xludf.DUMMYFUNCTION("GOOGLETRANSLATE(B5923)"),"受傷")</f>
        <v>受傷</v>
      </c>
    </row>
    <row r="5924" ht="15.75" customHeight="1">
      <c r="A5924" s="4">
        <v>6540.0</v>
      </c>
      <c r="B5924" s="4" t="s">
        <v>3053</v>
      </c>
      <c r="D5924" s="4" t="s">
        <v>8653</v>
      </c>
      <c r="E5924" s="4">
        <v>0.0</v>
      </c>
      <c r="F5924" s="4" t="str">
        <f>IFERROR(__xludf.DUMMYFUNCTION("GOOGLETRANSLATE(D5924)"),"JOBOOZOSO：USAT usatoday_nfl 邁克爾弗洛伊德的手部受傷不應貶低他的幻想股票 http://t.co/DGkmUEoAxZ")</f>
        <v>JOBOOZOSO：USAT usatoday_nfl 邁克爾弗洛伊德的手部受傷不應貶低他的幻想股票 http://t.co/DGkmUEoAxZ</v>
      </c>
      <c r="G5924" s="4" t="str">
        <f>IFERROR(__xludf.DUMMYFUNCTION("GOOGLETRANSLATE(B5924)"),"受傷")</f>
        <v>受傷</v>
      </c>
    </row>
    <row r="5925" ht="15.75" customHeight="1">
      <c r="A5925" s="4">
        <v>6542.0</v>
      </c>
      <c r="B5925" s="4" t="s">
        <v>3053</v>
      </c>
      <c r="C5925" s="4" t="s">
        <v>1972</v>
      </c>
      <c r="D5925" s="4" t="s">
        <v>8654</v>
      </c>
      <c r="E5925" s="4">
        <v>0.0</v>
      </c>
      <c r="F5925" s="4" t="str">
        <f>IFERROR(__xludf.DUMMYFUNCTION("GOOGLETRANSLATE(D5925)"),"@NEPD_Loyko 德州人希望你錯了。福斯特受傷後，休士頓電台讓他擔任先發")</f>
        <v>@NEPD_Loyko 德州人希望你錯了。福斯特受傷後，休士頓電台讓他擔任先發</v>
      </c>
      <c r="G5925" s="4" t="str">
        <f>IFERROR(__xludf.DUMMYFUNCTION("GOOGLETRANSLATE(B5925)"),"受傷")</f>
        <v>受傷</v>
      </c>
    </row>
    <row r="5926" ht="15.75" customHeight="1">
      <c r="A5926" s="4">
        <v>6545.0</v>
      </c>
      <c r="B5926" s="4" t="s">
        <v>3053</v>
      </c>
      <c r="C5926" s="4" t="s">
        <v>8655</v>
      </c>
      <c r="D5926" s="4" t="s">
        <v>8656</v>
      </c>
      <c r="E5926" s="4">
        <v>0.0</v>
      </c>
      <c r="F5926" s="4" t="str">
        <f>IFERROR(__xludf.DUMMYFUNCTION("GOOGLETRANSLATE(D5926)"),"@SergioPiaggio 「我非常努力地達到這樣的水平，所以我不會讓傷病來定義我。我正要定義它。Û 酷")</f>
        <v>@SergioPiaggio 「我非常努力地達到這樣的水平，所以我不會讓傷病來定義我。我正要定義它。Û 酷</v>
      </c>
      <c r="G5926" s="4" t="str">
        <f>IFERROR(__xludf.DUMMYFUNCTION("GOOGLETRANSLATE(B5926)"),"受傷")</f>
        <v>受傷</v>
      </c>
    </row>
    <row r="5927" ht="15.75" customHeight="1">
      <c r="A5927" s="4">
        <v>6546.0</v>
      </c>
      <c r="B5927" s="4" t="s">
        <v>3053</v>
      </c>
      <c r="D5927" s="4" t="s">
        <v>8657</v>
      </c>
      <c r="E5927" s="4">
        <v>0.0</v>
      </c>
      <c r="F5927" s="4" t="str">
        <f>IFERROR(__xludf.DUMMYFUNCTION("GOOGLETRANSLATE(D5927)"),"進入極限潛水世界 9 層樓高，進入伏爾加河 http://t.co/dMTZMgyRiK")</f>
        <v>進入極限潛水世界 9 層樓高，進入伏爾加河 http://t.co/dMTZMgyRiK</v>
      </c>
      <c r="G5927" s="4" t="str">
        <f>IFERROR(__xludf.DUMMYFUNCTION("GOOGLETRANSLATE(B5927)"),"受傷")</f>
        <v>受傷</v>
      </c>
    </row>
    <row r="5928" ht="15.75" customHeight="1">
      <c r="A5928" s="4">
        <v>6549.0</v>
      </c>
      <c r="B5928" s="4" t="s">
        <v>3053</v>
      </c>
      <c r="C5928" s="4" t="s">
        <v>8658</v>
      </c>
      <c r="D5928" s="4" t="s">
        <v>8659</v>
      </c>
      <c r="E5928" s="4">
        <v>0.0</v>
      </c>
      <c r="F5928" s="4" t="str">
        <f>IFERROR(__xludf.DUMMYFUNCTION("GOOGLETRANSLATE(D5928)"),"格雷格·加爾薩 (Greg Garza) 沒有參加今晚阿特拉斯 (Atlas) 對陣萊昂​​內斯·內格羅斯 (Leones Negros) 墨西哥杯比賽的 18 場比賽。他在上一場比賽中受傷離場。 #美國國家隊")</f>
        <v>格雷格·加爾薩 (Greg Garza) 沒有參加今晚阿特拉斯 (Atlas) 對陣萊昂​​內斯·內格羅斯 (Leones Negros) 墨西哥杯比賽的 18 場比賽。他在上一場比賽中受傷離場。 #美國國家隊</v>
      </c>
      <c r="G5928" s="4" t="str">
        <f>IFERROR(__xludf.DUMMYFUNCTION("GOOGLETRANSLATE(B5928)"),"受傷")</f>
        <v>受傷</v>
      </c>
    </row>
    <row r="5929" ht="15.75" customHeight="1">
      <c r="A5929" s="4">
        <v>6550.0</v>
      </c>
      <c r="B5929" s="4" t="s">
        <v>3053</v>
      </c>
      <c r="D5929" s="4" t="s">
        <v>8660</v>
      </c>
      <c r="E5929" s="4">
        <v>0.0</v>
      </c>
      <c r="F5929" s="4" t="str">
        <f>IFERROR(__xludf.DUMMYFUNCTION("GOOGLETRANSLATE(D5929)"),"#poster #ergo Rotator #cuff 損傷恢復套件：http://t.co/zj3ODGQHyp 超高轉換肩袖注射 http://t.co/VZhTiBe4jh")</f>
        <v>#poster #ergo Rotator #cuff 損傷恢復套件：http://t.co/zj3ODGQHyp 超高轉換肩袖注射 http://t.co/VZhTiBe4jh</v>
      </c>
      <c r="G5929" s="4" t="str">
        <f>IFERROR(__xludf.DUMMYFUNCTION("GOOGLETRANSLATE(B5929)"),"受傷")</f>
        <v>受傷</v>
      </c>
    </row>
    <row r="5930" ht="15.75" customHeight="1">
      <c r="A5930" s="4">
        <v>6551.0</v>
      </c>
      <c r="B5930" s="4" t="s">
        <v>3053</v>
      </c>
      <c r="C5930" s="4" t="s">
        <v>8661</v>
      </c>
      <c r="D5930" s="4" t="s">
        <v>8662</v>
      </c>
      <c r="E5930" s="4">
        <v>0.0</v>
      </c>
      <c r="F5930" s="4" t="str">
        <f>IFERROR(__xludf.DUMMYFUNCTION("GOOGLETRANSLATE(D5930)"),"國際所有比賽即時板球比分
國內的
團隊旅遊 團隊小隊
簡介&amp;受傷
拉姆哈巴拉姆哈更新
+
跟隨
@ICC_RealCKT")</f>
        <v>國際所有比賽即時板球比分
國內的
團隊旅遊 團隊小隊
簡介&amp;受傷
拉姆哈巴拉姆哈更新
+
跟隨
@ICC_RealCKT</v>
      </c>
      <c r="G5930" s="4" t="str">
        <f>IFERROR(__xludf.DUMMYFUNCTION("GOOGLETRANSLATE(B5930)"),"受傷")</f>
        <v>受傷</v>
      </c>
    </row>
    <row r="5931" ht="15.75" customHeight="1">
      <c r="A5931" s="4">
        <v>6553.0</v>
      </c>
      <c r="B5931" s="4" t="s">
        <v>3053</v>
      </c>
      <c r="D5931" s="4" t="s">
        <v>8663</v>
      </c>
      <c r="E5931" s="4">
        <v>0.0</v>
      </c>
      <c r="F5931" s="4" t="str">
        <f>IFERROR(__xludf.DUMMYFUNCTION("GOOGLETRANSLATE(D5931)"),"DAL 新聞：週三的傷病報告：RB 蘭斯鄧巴腳踝受傷被列為每日報道 http://t.co/Eujgu1HVVx")</f>
        <v>DAL 新聞：週三的傷病報告：RB 蘭斯鄧巴腳踝受傷被列為每日報道 http://t.co/Eujgu1HVVx</v>
      </c>
      <c r="G5931" s="4" t="str">
        <f>IFERROR(__xludf.DUMMYFUNCTION("GOOGLETRANSLATE(B5931)"),"受傷")</f>
        <v>受傷</v>
      </c>
    </row>
    <row r="5932" ht="15.75" customHeight="1">
      <c r="A5932" s="4">
        <v>6556.0</v>
      </c>
      <c r="B5932" s="4" t="s">
        <v>3053</v>
      </c>
      <c r="C5932" s="4" t="s">
        <v>512</v>
      </c>
      <c r="D5932" s="4" t="s">
        <v>8664</v>
      </c>
      <c r="E5932" s="4">
        <v>0.0</v>
      </c>
      <c r="F5932" s="4" t="str">
        <f>IFERROR(__xludf.DUMMYFUNCTION("GOOGLETRANSLATE(D5932)"),"傑克·斯特恩博士採訪結束 #Military #Injury 的背痛。現在收聽：http://t.co/YhH7X0MAio")</f>
        <v>傑克·斯特恩博士採訪結束 #Military #Injury 的背痛。現在收聽：http://t.co/YhH7X0MAio</v>
      </c>
      <c r="G5932" s="4" t="str">
        <f>IFERROR(__xludf.DUMMYFUNCTION("GOOGLETRANSLATE(B5932)"),"受傷")</f>
        <v>受傷</v>
      </c>
    </row>
    <row r="5933" ht="15.75" customHeight="1">
      <c r="A5933" s="4">
        <v>6559.0</v>
      </c>
      <c r="B5933" s="4" t="s">
        <v>3053</v>
      </c>
      <c r="C5933" s="4" t="s">
        <v>8665</v>
      </c>
      <c r="D5933" s="4" t="s">
        <v>8666</v>
      </c>
      <c r="E5933" s="4">
        <v>0.0</v>
      </c>
      <c r="F5933" s="4" t="str">
        <f>IFERROR(__xludf.DUMMYFUNCTION("GOOGLETRANSLATE(D5933)"),"做了一場惡夢，正要從床上跳起來，這時我想起了自己的傷，可惜為時已晚，我在臥室裡尖叫起來")</f>
        <v>做了一場惡夢，正要從床上跳起來，這時我想起了自己的傷，可惜為時已晚，我在臥室裡尖叫起來</v>
      </c>
      <c r="G5933" s="4" t="str">
        <f>IFERROR(__xludf.DUMMYFUNCTION("GOOGLETRANSLATE(B5933)"),"受傷")</f>
        <v>受傷</v>
      </c>
    </row>
    <row r="5934" ht="15.75" customHeight="1">
      <c r="A5934" s="4">
        <v>6560.0</v>
      </c>
      <c r="B5934" s="4" t="s">
        <v>3053</v>
      </c>
      <c r="C5934" s="4" t="s">
        <v>3818</v>
      </c>
      <c r="D5934" s="4" t="s">
        <v>8667</v>
      </c>
      <c r="E5934" s="4">
        <v>0.0</v>
      </c>
      <c r="F5934" s="4" t="str">
        <f>IFERROR(__xludf.DUMMYFUNCTION("GOOGLETRANSLATE(D5934)"),"網球：衛冕冠軍斯維特蘭娜·庫茲涅佐娃因左小腿受傷退出花旗公開賽 (ESPN) http://t.co/iM2HdsKlq5")</f>
        <v>網球：衛冕冠軍斯維特蘭娜·庫茲涅佐娃因左小腿受傷退出花旗公開賽 (ESPN) http://t.co/iM2HdsKlq5</v>
      </c>
      <c r="G5934" s="4" t="str">
        <f>IFERROR(__xludf.DUMMYFUNCTION("GOOGLETRANSLATE(B5934)"),"受傷")</f>
        <v>受傷</v>
      </c>
    </row>
    <row r="5935" ht="15.75" customHeight="1">
      <c r="A5935" s="4">
        <v>6561.0</v>
      </c>
      <c r="B5935" s="4" t="s">
        <v>3053</v>
      </c>
      <c r="C5935" s="4" t="s">
        <v>8668</v>
      </c>
      <c r="D5935" s="4" t="s">
        <v>8669</v>
      </c>
      <c r="E5935" s="4">
        <v>0.0</v>
      </c>
      <c r="F5935" s="4" t="str">
        <f>IFERROR(__xludf.DUMMYFUNCTION("GOOGLETRANSLATE(D5935)"),"#PFT Barkevious Mingo 因神秘受傷缺席布朗隊訓練 http://t.co/D7m9KGMPJI")</f>
        <v>#PFT Barkevious Mingo 因神秘受傷缺席布朗隊訓練 http://t.co/D7m9KGMPJI</v>
      </c>
      <c r="G5935" s="4" t="str">
        <f>IFERROR(__xludf.DUMMYFUNCTION("GOOGLETRANSLATE(B5935)"),"受傷")</f>
        <v>受傷</v>
      </c>
    </row>
    <row r="5936" ht="15.75" customHeight="1">
      <c r="A5936" s="4">
        <v>6565.0</v>
      </c>
      <c r="B5936" s="4" t="s">
        <v>3053</v>
      </c>
      <c r="D5936" s="4" t="s">
        <v>8670</v>
      </c>
      <c r="E5936" s="4">
        <v>0.0</v>
      </c>
      <c r="F5936" s="4" t="str">
        <f>IFERROR(__xludf.DUMMYFUNCTION("GOOGLETRANSLATE(D5936)"),"@Patricia_Traina 今天的訓練中麥克萊恩受傷有什麼最新消息嗎？#NYG")</f>
        <v>@Patricia_Traina 今天的訓練中麥克萊恩受傷有什麼最新消息嗎？#NYG</v>
      </c>
      <c r="G5936" s="4" t="str">
        <f>IFERROR(__xludf.DUMMYFUNCTION("GOOGLETRANSLATE(B5936)"),"受傷")</f>
        <v>受傷</v>
      </c>
    </row>
    <row r="5937" ht="15.75" customHeight="1">
      <c r="A5937" s="4">
        <v>6566.0</v>
      </c>
      <c r="B5937" s="4" t="s">
        <v>3053</v>
      </c>
      <c r="D5937" s="4" t="s">
        <v>3054</v>
      </c>
      <c r="E5937" s="4">
        <v>0.0</v>
      </c>
      <c r="F5937" s="4" t="str">
        <f>IFERROR(__xludf.DUMMYFUNCTION("GOOGLETRANSLATE(D5937)"),"已清除：受傷事故：I-495 內環路 31 號出口 - MD 97/Georgia Ave Silver Spring")</f>
        <v>已清除：受傷事故：I-495 內環路 31 號出口 - MD 97/Georgia Ave Silver Spring</v>
      </c>
      <c r="G5937" s="4" t="str">
        <f>IFERROR(__xludf.DUMMYFUNCTION("GOOGLETRANSLATE(B5937)"),"受傷")</f>
        <v>受傷</v>
      </c>
    </row>
    <row r="5938" ht="15.75" customHeight="1">
      <c r="A5938" s="4">
        <v>6567.0</v>
      </c>
      <c r="B5938" s="4" t="s">
        <v>3053</v>
      </c>
      <c r="D5938" s="4" t="s">
        <v>8671</v>
      </c>
      <c r="E5938" s="4">
        <v>0.0</v>
      </c>
      <c r="F5938" s="4" t="str">
        <f>IFERROR(__xludf.DUMMYFUNCTION("GOOGLETRANSLATE(D5938)"),"FollowNFLNews：麥可佛洛伊德的手傷不應貶值他的夢幻股票 http://t.co/5dUjGypImA #NFL #News #Playoffs")</f>
        <v>FollowNFLNews：麥可佛洛伊德的手傷不應貶值他的夢幻股票 http://t.co/5dUjGypImA #NFL #News #Playoffs</v>
      </c>
      <c r="G5938" s="4" t="str">
        <f>IFERROR(__xludf.DUMMYFUNCTION("GOOGLETRANSLATE(B5938)"),"受傷")</f>
        <v>受傷</v>
      </c>
    </row>
    <row r="5939" ht="15.75" customHeight="1">
      <c r="A5939" s="4">
        <v>6568.0</v>
      </c>
      <c r="B5939" s="4" t="s">
        <v>3053</v>
      </c>
      <c r="C5939" s="4" t="s">
        <v>8672</v>
      </c>
      <c r="D5939" s="4" t="s">
        <v>8673</v>
      </c>
      <c r="E5939" s="4">
        <v>0.0</v>
      </c>
      <c r="F5939" s="4" t="str">
        <f>IFERROR(__xludf.DUMMYFUNCTION("GOOGLETRANSLATE(D5939)"),"據報道，“麥克法登週四將測試腿筋”，通過 @TeamStream http://t.co/jWq4KvJH2j")</f>
        <v>據報道，“麥克法登週四將測試腿筋”，通過 @TeamStream http://t.co/jWq4KvJH2j</v>
      </c>
      <c r="G5939" s="4" t="str">
        <f>IFERROR(__xludf.DUMMYFUNCTION("GOOGLETRANSLATE(B5939)"),"受傷")</f>
        <v>受傷</v>
      </c>
    </row>
    <row r="5940" ht="15.75" customHeight="1">
      <c r="A5940" s="4">
        <v>6569.0</v>
      </c>
      <c r="B5940" s="4" t="s">
        <v>3053</v>
      </c>
      <c r="C5940" s="4" t="s">
        <v>8674</v>
      </c>
      <c r="D5940" s="4" t="s">
        <v>8675</v>
      </c>
      <c r="E5940" s="4">
        <v>0.0</v>
      </c>
      <c r="F5940" s="4" t="str">
        <f>IFERROR(__xludf.DUMMYFUNCTION("GOOGLETRANSLATE(D5940)"),"tita-dom的新水準：保齡球傷害。 http://t.co/tdeQwm8ZXn")</f>
        <v>tita-dom的新水準：保齡球傷害。 http://t.co/tdeQwm8ZXn</v>
      </c>
      <c r="G5940" s="4" t="str">
        <f>IFERROR(__xludf.DUMMYFUNCTION("GOOGLETRANSLATE(B5940)"),"受傷")</f>
        <v>受傷</v>
      </c>
    </row>
    <row r="5941" ht="15.75" customHeight="1">
      <c r="A5941" s="4">
        <v>6572.0</v>
      </c>
      <c r="B5941" s="4" t="s">
        <v>3053</v>
      </c>
      <c r="C5941" s="4" t="s">
        <v>295</v>
      </c>
      <c r="D5941" s="4" t="s">
        <v>8676</v>
      </c>
      <c r="E5941" s="4">
        <v>0.0</v>
      </c>
      <c r="F5941" s="4" t="str">
        <f>IFERROR(__xludf.DUMMYFUNCTION("GOOGLETRANSLATE(D5941)"),"#Cowboys：週三的傷病報告：RB Lance Dunbar 腳踝受傷被列為每日：http://t.co/RkB7EgKveb")</f>
        <v>#Cowboys：週三的傷病報告：RB Lance Dunbar 腳踝受傷被列為每日：http://t.co/RkB7EgKveb</v>
      </c>
      <c r="G5941" s="4" t="str">
        <f>IFERROR(__xludf.DUMMYFUNCTION("GOOGLETRANSLATE(B5941)"),"受傷")</f>
        <v>受傷</v>
      </c>
    </row>
    <row r="5942" ht="15.75" customHeight="1">
      <c r="A5942" s="4">
        <v>6573.0</v>
      </c>
      <c r="B5942" s="4" t="s">
        <v>3053</v>
      </c>
      <c r="C5942" s="4" t="s">
        <v>8677</v>
      </c>
      <c r="D5942" s="4" t="s">
        <v>8678</v>
      </c>
      <c r="E5942" s="4">
        <v>0.0</v>
      </c>
      <c r="F5942" s="4" t="str">
        <f>IFERROR(__xludf.DUMMYFUNCTION("GOOGLETRANSLATE(D5942)"),"@JJ_DIRTY @MLSTransfers @greggmair 哦，Gio 是我的備份。但隨著接下來的 SKC 和 BWP 與 NYCFC 的較量以及受傷，我選擇了 BWP。哈哈錯了")</f>
        <v>@JJ_DIRTY @MLSTransfers @greggmair 哦，Gio 是我的備份。但隨著接下來的 SKC 和 BWP 與 NYCFC 的較量以及受傷，我選擇了 BWP。哈哈錯了</v>
      </c>
      <c r="G5942" s="4" t="str">
        <f>IFERROR(__xludf.DUMMYFUNCTION("GOOGLETRANSLATE(B5942)"),"受傷")</f>
        <v>受傷</v>
      </c>
    </row>
    <row r="5943" ht="15.75" customHeight="1">
      <c r="A5943" s="4">
        <v>6575.0</v>
      </c>
      <c r="B5943" s="4" t="s">
        <v>3053</v>
      </c>
      <c r="C5943" s="4" t="s">
        <v>8679</v>
      </c>
      <c r="D5943" s="4" t="s">
        <v>8680</v>
      </c>
      <c r="E5943" s="4">
        <v>0.0</v>
      </c>
      <c r="F5943" s="4" t="str">
        <f>IFERROR(__xludf.DUMMYFUNCTION("GOOGLETRANSLATE(D5943)"),"進入極限潛水世界 9 層樓高，進入伏爾加河 http://t.co/7adqV1gRVR")</f>
        <v>進入極限潛水世界 9 層樓高，進入伏爾加河 http://t.co/7adqV1gRVR</v>
      </c>
      <c r="G5943" s="4" t="str">
        <f>IFERROR(__xludf.DUMMYFUNCTION("GOOGLETRANSLATE(B5943)"),"受傷")</f>
        <v>受傷</v>
      </c>
    </row>
    <row r="5944" ht="15.75" customHeight="1">
      <c r="A5944" s="4">
        <v>6576.0</v>
      </c>
      <c r="B5944" s="4" t="s">
        <v>3053</v>
      </c>
      <c r="C5944" s="4" t="s">
        <v>289</v>
      </c>
      <c r="D5944" s="4" t="s">
        <v>8681</v>
      </c>
      <c r="E5944" s="4">
        <v>0.0</v>
      </c>
      <c r="F5944" s="4" t="str">
        <f>IFERROR(__xludf.DUMMYFUNCTION("GOOGLETRANSLATE(D5944)"),"怪異傷害法的新聞已發布！ http://t.co/HxVIhDuShP 故事來自@dantmatrafajlo")</f>
        <v>怪異傷害法的新聞已發布！ http://t.co/HxVIhDuShP 故事來自@dantmatrafajlo</v>
      </c>
      <c r="G5944" s="4" t="str">
        <f>IFERROR(__xludf.DUMMYFUNCTION("GOOGLETRANSLATE(B5944)"),"受傷")</f>
        <v>受傷</v>
      </c>
    </row>
    <row r="5945" ht="15.75" customHeight="1">
      <c r="A5945" s="4">
        <v>6577.0</v>
      </c>
      <c r="B5945" s="4" t="s">
        <v>3053</v>
      </c>
      <c r="C5945" s="4" t="s">
        <v>295</v>
      </c>
      <c r="D5945" s="4" t="s">
        <v>8682</v>
      </c>
      <c r="E5945" s="4">
        <v>0.0</v>
      </c>
      <c r="F5945" s="4" t="str">
        <f>IFERROR(__xludf.DUMMYFUNCTION("GOOGLETRANSLATE(D5945)"),"#Cowboys：喬治：傷病困擾克萊伯恩從第一輪開始試圖堅持下去；他能做到嗎？：http://t.co/12giQbVLYs")</f>
        <v>#Cowboys：喬治：傷病困擾克萊伯恩從第一輪開始試圖堅持下去；他能做到嗎？：http://t.co/12giQbVLYs</v>
      </c>
      <c r="G5945" s="4" t="str">
        <f>IFERROR(__xludf.DUMMYFUNCTION("GOOGLETRANSLATE(B5945)"),"受傷")</f>
        <v>受傷</v>
      </c>
    </row>
    <row r="5946" ht="15.75" customHeight="1">
      <c r="A5946" s="4">
        <v>6579.0</v>
      </c>
      <c r="B5946" s="4" t="s">
        <v>3053</v>
      </c>
      <c r="D5946" s="4" t="s">
        <v>8683</v>
      </c>
      <c r="E5946" s="4">
        <v>0.0</v>
      </c>
      <c r="F5946" s="4" t="str">
        <f>IFERROR(__xludf.DUMMYFUNCTION("GOOGLETRANSLATE(D5946)"),"進入極限潛水世界 9 層樓高，進入伏爾加河 http://t.co/vz19VvgMnn")</f>
        <v>進入極限潛水世界 9 層樓高，進入伏爾加河 http://t.co/vz19VvgMnn</v>
      </c>
      <c r="G5946" s="4" t="str">
        <f>IFERROR(__xludf.DUMMYFUNCTION("GOOGLETRANSLATE(B5946)"),"受傷")</f>
        <v>受傷</v>
      </c>
    </row>
    <row r="5947" ht="15.75" customHeight="1">
      <c r="A5947" s="4">
        <v>6580.0</v>
      </c>
      <c r="B5947" s="4" t="s">
        <v>3053</v>
      </c>
      <c r="C5947" s="4" t="s">
        <v>8684</v>
      </c>
      <c r="D5947" s="4" t="s">
        <v>8685</v>
      </c>
      <c r="E5947" s="4">
        <v>0.0</v>
      </c>
      <c r="F5947" s="4" t="str">
        <f>IFERROR(__xludf.DUMMYFUNCTION("GOOGLETRANSLATE(D5947)"),"我們的大寶貝爬上了這個帶輪子的東西-（IO Hawk）！他的膝蓋受傷了！！！！我的腰帶呢？SRK 先生煮了你漂亮的屁股作為懲罰！")</f>
        <v>我們的大寶貝爬上了這個帶輪子的東西-（IO Hawk）！他的膝蓋受傷了！！！！我的腰帶呢？SRK 先生煮了你漂亮的屁股作為懲罰！</v>
      </c>
      <c r="G5947" s="4" t="str">
        <f>IFERROR(__xludf.DUMMYFUNCTION("GOOGLETRANSLATE(B5947)"),"受傷")</f>
        <v>受傷</v>
      </c>
    </row>
    <row r="5948" ht="15.75" customHeight="1">
      <c r="A5948" s="4">
        <v>6583.0</v>
      </c>
      <c r="B5948" s="4" t="s">
        <v>3053</v>
      </c>
      <c r="C5948" s="4" t="s">
        <v>8686</v>
      </c>
      <c r="D5948" s="4" t="s">
        <v>8687</v>
      </c>
      <c r="E5948" s="4">
        <v>0.0</v>
      </c>
      <c r="F5948" s="4" t="str">
        <f>IFERROR(__xludf.DUMMYFUNCTION("GOOGLETRANSLATE(D5948)"),"Ngata 在獅子隊訓練開始時就出現在傷病名單上 http://t.co/Z16DtoQHhG")</f>
        <v>Ngata 在獅子隊訓練開始時就出現在傷病名單上 http://t.co/Z16DtoQHhG</v>
      </c>
      <c r="G5948" s="4" t="str">
        <f>IFERROR(__xludf.DUMMYFUNCTION("GOOGLETRANSLATE(B5948)"),"受傷")</f>
        <v>受傷</v>
      </c>
    </row>
    <row r="5949" ht="15.75" customHeight="1">
      <c r="A5949" s="4">
        <v>6585.0</v>
      </c>
      <c r="B5949" s="4" t="s">
        <v>3065</v>
      </c>
      <c r="C5949" s="4" t="s">
        <v>542</v>
      </c>
      <c r="D5949" s="4" t="s">
        <v>8688</v>
      </c>
      <c r="E5949" s="4">
        <v>0.0</v>
      </c>
      <c r="F5949" s="4" t="str">
        <f>IFERROR(__xludf.DUMMYFUNCTION("GOOGLETRANSLATE(D5949)"),"一名寮國女孩登廣告尋找新朋友來取代她心愛的最好的朋友，結果被淹沒了 http://t.co/IGM2fcmupm http://t.co/UxcfBJ3mzx")</f>
        <v>一名寮國女孩登廣告尋找新朋友來取代她心愛的最好的朋友，結果被淹沒了 http://t.co/IGM2fcmupm http://t.co/UxcfBJ3mzx</v>
      </c>
      <c r="G5949" s="4" t="str">
        <f>IFERROR(__xludf.DUMMYFUNCTION("GOOGLETRANSLATE(B5949)"),"被淹沒")</f>
        <v>被淹沒</v>
      </c>
    </row>
    <row r="5950" ht="15.75" customHeight="1">
      <c r="A5950" s="4">
        <v>6586.0</v>
      </c>
      <c r="B5950" s="4" t="s">
        <v>3065</v>
      </c>
      <c r="C5950" s="4" t="s">
        <v>8689</v>
      </c>
      <c r="D5950" s="4" t="s">
        <v>8690</v>
      </c>
      <c r="E5950" s="4">
        <v>0.0</v>
      </c>
      <c r="F5950" s="4" t="str">
        <f>IFERROR(__xludf.DUMMYFUNCTION("GOOGLETRANSLATE(D5950)"),"@Lenn_Len 可能吧。大多數時候我們都被它們淹沒了！")</f>
        <v>@Lenn_Len 可能吧。大多數時候我們都被它們淹沒了！</v>
      </c>
      <c r="G5950" s="4" t="str">
        <f>IFERROR(__xludf.DUMMYFUNCTION("GOOGLETRANSLATE(B5950)"),"被淹沒")</f>
        <v>被淹沒</v>
      </c>
    </row>
    <row r="5951" ht="15.75" customHeight="1">
      <c r="A5951" s="4">
        <v>6588.0</v>
      </c>
      <c r="B5951" s="4" t="s">
        <v>3065</v>
      </c>
      <c r="C5951" s="4" t="s">
        <v>8691</v>
      </c>
      <c r="D5951" s="4" t="s">
        <v>8692</v>
      </c>
      <c r="E5951" s="4">
        <v>0.0</v>
      </c>
      <c r="F5951" s="4" t="str">
        <f>IFERROR(__xludf.DUMMYFUNCTION("GOOGLETRANSLATE(D5951)"),"我們大多數人都沒有聽過這個英語 RT @ReIgN_CoCo：世界充斥著炫耀的人，保持清醒！")</f>
        <v>我們大多數人都沒有聽過這個英語 RT @ReIgN_CoCo：世界充斥著炫耀的人，保持清醒！</v>
      </c>
      <c r="G5951" s="4" t="str">
        <f>IFERROR(__xludf.DUMMYFUNCTION("GOOGLETRANSLATE(B5951)"),"被淹沒")</f>
        <v>被淹沒</v>
      </c>
    </row>
    <row r="5952" ht="15.75" customHeight="1">
      <c r="A5952" s="4">
        <v>6591.0</v>
      </c>
      <c r="B5952" s="4" t="s">
        <v>3065</v>
      </c>
      <c r="C5952" s="4" t="s">
        <v>915</v>
      </c>
      <c r="D5952" s="4" t="s">
        <v>8693</v>
      </c>
      <c r="E5952" s="4">
        <v>0.0</v>
      </c>
      <c r="F5952" s="4" t="str">
        <f>IFERROR(__xludf.DUMMYFUNCTION("GOOGLETRANSLATE(D5952)"),"雷尼爾飲食的第一週和我的街道蘇厄德公園大道被繞行交通淹沒，所以@seattledot 你的計劃是什麼？ @西雅圖時報")</f>
        <v>雷尼爾飲食的第一週和我的街道蘇厄德公園大道被繞行交通淹沒，所以@seattledot 你的計劃是什麼？ @西雅圖時報</v>
      </c>
      <c r="G5952" s="4" t="str">
        <f>IFERROR(__xludf.DUMMYFUNCTION("GOOGLETRANSLATE(B5952)"),"被淹沒")</f>
        <v>被淹沒</v>
      </c>
    </row>
    <row r="5953" ht="15.75" customHeight="1">
      <c r="A5953" s="4">
        <v>6594.0</v>
      </c>
      <c r="B5953" s="4" t="s">
        <v>3065</v>
      </c>
      <c r="C5953" s="4" t="s">
        <v>8694</v>
      </c>
      <c r="D5953" s="4" t="s">
        <v>8695</v>
      </c>
      <c r="E5953" s="4">
        <v>0.0</v>
      </c>
      <c r="F5953" s="4" t="str">
        <f>IFERROR(__xludf.DUMMYFUNCTION("GOOGLETRANSLATE(D5953)"),"嗨@FionaGilbert_ 抱歉耽擱了。目前的申請有點氾濫，但我們已經收到了您的申請，我們會盡快回覆您！")</f>
        <v>嗨@FionaGilbert_ 抱歉耽擱了。目前的申請有點氾濫，但我們已經收到了您的申請，我們會盡快回覆您！</v>
      </c>
      <c r="G5953" s="4" t="str">
        <f>IFERROR(__xludf.DUMMYFUNCTION("GOOGLETRANSLATE(B5953)"),"被淹沒")</f>
        <v>被淹沒</v>
      </c>
    </row>
    <row r="5954" ht="15.75" customHeight="1">
      <c r="A5954" s="4">
        <v>6596.0</v>
      </c>
      <c r="B5954" s="4" t="s">
        <v>3065</v>
      </c>
      <c r="C5954" s="4" t="s">
        <v>542</v>
      </c>
      <c r="D5954" s="4" t="s">
        <v>8696</v>
      </c>
      <c r="E5954" s="4">
        <v>0.0</v>
      </c>
      <c r="F5954" s="4" t="str">
        <f>IFERROR(__xludf.DUMMYFUNCTION("GOOGLETRANSLATE(D5954)"),"一名寮國女孩登廣告尋找新朋友來取代她心愛的最好的朋友，結果被淹沒了 http://t.co/IGM2fc4T0M http://t.co/YiLTu7SXAr")</f>
        <v>一名寮國女孩登廣告尋找新朋友來取代她心愛的最好的朋友，結果被淹沒了 http://t.co/IGM2fc4T0M http://t.co/YiLTu7SXAr</v>
      </c>
      <c r="G5954" s="4" t="str">
        <f>IFERROR(__xludf.DUMMYFUNCTION("GOOGLETRANSLATE(B5954)"),"被淹沒")</f>
        <v>被淹沒</v>
      </c>
    </row>
    <row r="5955" ht="15.75" customHeight="1">
      <c r="A5955" s="4">
        <v>6597.0</v>
      </c>
      <c r="B5955" s="4" t="s">
        <v>3065</v>
      </c>
      <c r="C5955" s="4" t="s">
        <v>8697</v>
      </c>
      <c r="D5955" s="4" t="s">
        <v>8698</v>
      </c>
      <c r="E5955" s="4">
        <v>0.0</v>
      </c>
      <c r="F5955" s="4" t="str">
        <f>IFERROR(__xludf.DUMMYFUNCTION("GOOGLETRANSLATE(D5955)"),"我想我的時間線將被“濕透的底部”和“潮濕的底部”淹沒。現在猛烈抨擊「潮濕」的推文！ :-D")</f>
        <v>我想我的時間線將被“濕透的底部”和“潮濕的底部”淹沒。現在猛烈抨擊「潮濕」的推文！ :-D</v>
      </c>
      <c r="G5955" s="4" t="str">
        <f>IFERROR(__xludf.DUMMYFUNCTION("GOOGLETRANSLATE(B5955)"),"被淹沒")</f>
        <v>被淹沒</v>
      </c>
    </row>
    <row r="5956" ht="15.75" customHeight="1">
      <c r="A5956" s="4">
        <v>6598.0</v>
      </c>
      <c r="B5956" s="4" t="s">
        <v>3065</v>
      </c>
      <c r="C5956" s="4" t="s">
        <v>8699</v>
      </c>
      <c r="D5956" s="4" t="s">
        <v>8700</v>
      </c>
      <c r="E5956" s="4">
        <v>0.0</v>
      </c>
      <c r="F5956" s="4" t="str">
        <f>IFERROR(__xludf.DUMMYFUNCTION("GOOGLETRANSLATE(D5956)"),"@VZWSupport 文字使用資料嗎？昨天她被一群簡訊淹沒了。")</f>
        <v>@VZWSupport 文字使用資料嗎？昨天她被一群簡訊淹沒了。</v>
      </c>
      <c r="G5956" s="4" t="str">
        <f>IFERROR(__xludf.DUMMYFUNCTION("GOOGLETRANSLATE(B5956)"),"被淹沒")</f>
        <v>被淹沒</v>
      </c>
    </row>
    <row r="5957" ht="15.75" customHeight="1">
      <c r="A5957" s="4">
        <v>6601.0</v>
      </c>
      <c r="B5957" s="4" t="s">
        <v>3065</v>
      </c>
      <c r="C5957" s="4" t="s">
        <v>8701</v>
      </c>
      <c r="D5957" s="4" t="s">
        <v>8702</v>
      </c>
      <c r="E5957" s="4">
        <v>0.0</v>
      </c>
      <c r="F5957" s="4" t="str">
        <f>IFERROR(__xludf.DUMMYFUNCTION("GOOGLETRANSLATE(D5957)"),"@AssassinKPg 兄弟，你不想要我的友誼 - 你想在我的帖子上添加你的廣告。坦白說，我每天都被這些廢話淹沒了。")</f>
        <v>@AssassinKPg 兄弟，你不想要我的友誼 - 你想在我的帖子上添加你的廣告。坦白說，我每天都被這些廢話淹沒了。</v>
      </c>
      <c r="G5957" s="4" t="str">
        <f>IFERROR(__xludf.DUMMYFUNCTION("GOOGLETRANSLATE(B5957)"),"被淹沒")</f>
        <v>被淹沒</v>
      </c>
    </row>
    <row r="5958" ht="15.75" customHeight="1">
      <c r="A5958" s="4">
        <v>6602.0</v>
      </c>
      <c r="B5958" s="4" t="s">
        <v>3065</v>
      </c>
      <c r="C5958" s="4" t="s">
        <v>8703</v>
      </c>
      <c r="D5958" s="4" t="s">
        <v>8704</v>
      </c>
      <c r="E5958" s="4">
        <v>0.0</v>
      </c>
      <c r="F5958" s="4" t="str">
        <f>IFERROR(__xludf.DUMMYFUNCTION("GOOGLETRANSLATE(D5958)"),"@bentossell @ProductHunt 謝謝！我知道你們都被淹沒了。祝你有個好的一天！")</f>
        <v>@bentossell @ProductHunt 謝謝！我知道你們都被淹沒了。祝你有個好的一天！</v>
      </c>
      <c r="G5958" s="4" t="str">
        <f>IFERROR(__xludf.DUMMYFUNCTION("GOOGLETRANSLATE(B5958)"),"被淹沒")</f>
        <v>被淹沒</v>
      </c>
    </row>
    <row r="5959" ht="15.75" customHeight="1">
      <c r="A5959" s="4">
        <v>6603.0</v>
      </c>
      <c r="B5959" s="4" t="s">
        <v>3065</v>
      </c>
      <c r="C5959" s="4" t="s">
        <v>8705</v>
      </c>
      <c r="D5959" s="4" t="s">
        <v>8706</v>
      </c>
      <c r="E5959" s="4">
        <v>0.0</v>
      </c>
      <c r="F5959" s="4" t="str">
        <f>IFERROR(__xludf.DUMMYFUNCTION("GOOGLETRANSLATE(D5959)"),"@yahoocare 也許你應該將你的名字改為 yahoo 不在乎。你是否被太多的抱怨淹沒而無法回覆我？")</f>
        <v>@yahoocare 也許你應該將你的名字改為 yahoo 不在乎。你是否被太多的抱怨淹沒而無法回覆我？</v>
      </c>
      <c r="G5959" s="4" t="str">
        <f>IFERROR(__xludf.DUMMYFUNCTION("GOOGLETRANSLATE(B5959)"),"被淹沒")</f>
        <v>被淹沒</v>
      </c>
    </row>
    <row r="5960" ht="15.75" customHeight="1">
      <c r="A5960" s="4">
        <v>6604.0</v>
      </c>
      <c r="B5960" s="4" t="s">
        <v>3065</v>
      </c>
      <c r="D5960" s="4" t="s">
        <v>8707</v>
      </c>
      <c r="E5960" s="4">
        <v>0.0</v>
      </c>
      <c r="F5960" s="4" t="str">
        <f>IFERROR(__xludf.DUMMYFUNCTION("GOOGLETRANSLATE(D5960)"),"讓人們衝浪！ HI 不是威美亞灣。海灘不會被衝浪者淹沒 https://t.co/czDW8ooWa2")</f>
        <v>讓人們衝浪！ HI 不是威美亞灣。海灘不會被衝浪者淹沒 https://t.co/czDW8ooWa2</v>
      </c>
      <c r="G5960" s="4" t="str">
        <f>IFERROR(__xludf.DUMMYFUNCTION("GOOGLETRANSLATE(B5960)"),"被淹沒")</f>
        <v>被淹沒</v>
      </c>
    </row>
    <row r="5961" ht="15.75" customHeight="1">
      <c r="A5961" s="4">
        <v>6605.0</v>
      </c>
      <c r="B5961" s="4" t="s">
        <v>3065</v>
      </c>
      <c r="C5961" s="4" t="s">
        <v>900</v>
      </c>
      <c r="D5961" s="4" t="s">
        <v>8708</v>
      </c>
      <c r="E5961" s="4">
        <v>0.0</v>
      </c>
      <c r="F5961" s="4" t="str">
        <f>IFERROR(__xludf.DUMMYFUNCTION("GOOGLETRANSLATE(D5961)"),"津巴布韋Bushman Safari公司的FB頁面充斥著負面評論 https://t.co/QwIIhNMChR")</f>
        <v>津巴布韋Bushman Safari公司的FB頁面充斥著負面評論 https://t.co/QwIIhNMChR</v>
      </c>
      <c r="G5961" s="4" t="str">
        <f>IFERROR(__xludf.DUMMYFUNCTION("GOOGLETRANSLATE(B5961)"),"被淹沒")</f>
        <v>被淹沒</v>
      </c>
    </row>
    <row r="5962" ht="15.75" customHeight="1">
      <c r="A5962" s="4">
        <v>6607.0</v>
      </c>
      <c r="B5962" s="4" t="s">
        <v>3065</v>
      </c>
      <c r="C5962" s="4" t="s">
        <v>54</v>
      </c>
      <c r="D5962" s="4" t="s">
        <v>8709</v>
      </c>
      <c r="E5962" s="4">
        <v>0.0</v>
      </c>
      <c r="F5962" s="4" t="str">
        <f>IFERROR(__xludf.DUMMYFUNCTION("GOOGLETRANSLATE(D5962)"),"孩子們被網路和媒體中的圖像和資訊淹沒，無法解構。 -凱裡·薩克維爾#TMS7")</f>
        <v>孩子們被網路和媒體中的圖像和資訊淹沒，無法解構。 -凱裡·薩克維爾#TMS7</v>
      </c>
      <c r="G5962" s="4" t="str">
        <f>IFERROR(__xludf.DUMMYFUNCTION("GOOGLETRANSLATE(B5962)"),"被淹沒")</f>
        <v>被淹沒</v>
      </c>
    </row>
    <row r="5963" ht="15.75" customHeight="1">
      <c r="A5963" s="4">
        <v>6608.0</v>
      </c>
      <c r="B5963" s="4" t="s">
        <v>3065</v>
      </c>
      <c r="D5963" s="4" t="s">
        <v>8710</v>
      </c>
      <c r="E5963" s="4">
        <v>0.0</v>
      </c>
      <c r="F5963" s="4" t="str">
        <f>IFERROR(__xludf.DUMMYFUNCTION("GOOGLETRANSLATE(D5963)"),"@MistressPip 我很驚訝你沒有被淹沒情婦。")</f>
        <v>@MistressPip 我很驚訝你沒有被淹沒情婦。</v>
      </c>
      <c r="G5963" s="4" t="str">
        <f>IFERROR(__xludf.DUMMYFUNCTION("GOOGLETRANSLATE(B5963)"),"被淹沒")</f>
        <v>被淹沒</v>
      </c>
    </row>
    <row r="5964" ht="15.75" customHeight="1">
      <c r="A5964" s="4">
        <v>6610.0</v>
      </c>
      <c r="B5964" s="4" t="s">
        <v>3065</v>
      </c>
      <c r="C5964" s="4" t="s">
        <v>8711</v>
      </c>
      <c r="D5964" s="4" t="s">
        <v>8712</v>
      </c>
      <c r="E5964" s="4">
        <v>0.0</v>
      </c>
      <c r="F5964" s="4" t="str">
        <f>IFERROR(__xludf.DUMMYFUNCTION("GOOGLETRANSLATE(D5964)"),"@allyinwondrland 這聽起來像是完美的麵包！這週我會去Trader Joes ??。不是真的哈哈已經被淹沒了")</f>
        <v>@allyinwondrland 這聽起來像是完美的麵包！這週我會去Trader Joes ??。不是真的哈哈已經被淹沒了</v>
      </c>
      <c r="G5964" s="4" t="str">
        <f>IFERROR(__xludf.DUMMYFUNCTION("GOOGLETRANSLATE(B5964)"),"被淹沒")</f>
        <v>被淹沒</v>
      </c>
    </row>
    <row r="5965" ht="15.75" customHeight="1">
      <c r="A5965" s="4">
        <v>6611.0</v>
      </c>
      <c r="B5965" s="4" t="s">
        <v>3065</v>
      </c>
      <c r="C5965" s="4" t="s">
        <v>8713</v>
      </c>
      <c r="D5965" s="4" t="s">
        <v>8714</v>
      </c>
      <c r="E5965" s="4">
        <v>0.0</v>
      </c>
      <c r="F5965" s="4" t="str">
        <f>IFERROR(__xludf.DUMMYFUNCTION("GOOGLETRANSLATE(D5965)"),"聽我爺爺談論他的假期很棒，但我不想被火車照片淹沒？？？")</f>
        <v>聽我爺爺談論他的假期很棒，但我不想被火車照片淹沒？？？</v>
      </c>
      <c r="G5965" s="4" t="str">
        <f>IFERROR(__xludf.DUMMYFUNCTION("GOOGLETRANSLATE(B5965)"),"被淹沒")</f>
        <v>被淹沒</v>
      </c>
    </row>
    <row r="5966" ht="15.75" customHeight="1">
      <c r="A5966" s="4">
        <v>6613.0</v>
      </c>
      <c r="B5966" s="4" t="s">
        <v>3065</v>
      </c>
      <c r="C5966" s="4" t="s">
        <v>8715</v>
      </c>
      <c r="D5966" s="4" t="s">
        <v>8716</v>
      </c>
      <c r="E5966" s="4">
        <v>0.0</v>
      </c>
      <c r="F5966" s="4" t="str">
        <f>IFERROR(__xludf.DUMMYFUNCTION("GOOGLETRANSLATE(D5966)"),"@sophieingle01 @AngharadJames16 現在你會被香蕉麥芽麵包的禮物淹沒嗎？ ＃蟲")</f>
        <v>@sophieingle01 @AngharadJames16 現在你會被香蕉麥芽麵包的禮物淹沒嗎？ ＃蟲</v>
      </c>
      <c r="G5966" s="4" t="str">
        <f>IFERROR(__xludf.DUMMYFUNCTION("GOOGLETRANSLATE(B5966)"),"被淹沒")</f>
        <v>被淹沒</v>
      </c>
    </row>
    <row r="5967" ht="15.75" customHeight="1">
      <c r="A5967" s="4">
        <v>6616.0</v>
      </c>
      <c r="B5967" s="4" t="s">
        <v>3065</v>
      </c>
      <c r="C5967" s="4" t="s">
        <v>7485</v>
      </c>
      <c r="D5967" s="4" t="s">
        <v>8717</v>
      </c>
      <c r="E5967" s="4">
        <v>0.0</v>
      </c>
      <c r="F5967" s="4" t="str">
        <f>IFERROR(__xludf.DUMMYFUNCTION("GOOGLETRANSLATE(D5967)"),"@tonymcguinness 現在可能被這個問題淹沒了，但是誰會來creamfields？？？ （請說出全部 3 個）#Mainstage")</f>
        <v>@tonymcguinness 現在可能被這個問題淹沒了，但是誰會來creamfields？？？ （請說出全部 3 個）#Mainstage</v>
      </c>
      <c r="G5967" s="4" t="str">
        <f>IFERROR(__xludf.DUMMYFUNCTION("GOOGLETRANSLATE(B5967)"),"被淹沒")</f>
        <v>被淹沒</v>
      </c>
    </row>
    <row r="5968" ht="15.75" customHeight="1">
      <c r="A5968" s="4">
        <v>6617.0</v>
      </c>
      <c r="B5968" s="4" t="s">
        <v>3065</v>
      </c>
      <c r="D5968" s="4" t="s">
        <v>8718</v>
      </c>
      <c r="E5968" s="4">
        <v>0.0</v>
      </c>
      <c r="F5968" s="4" t="str">
        <f>IFERROR(__xludf.DUMMYFUNCTION("GOOGLETRANSLATE(D5968)"),"@BCFCTicketLady @Mr_Aamir_Javaid 可以看到你和被淹沒的 ATM，所以我只想說幹得好。你做得很好#KRO")</f>
        <v>@BCFCTicketLady @Mr_Aamir_Javaid 可以看到你和被淹沒的 ATM，所以我只想說幹得好。你做得很好#KRO</v>
      </c>
      <c r="G5968" s="4" t="str">
        <f>IFERROR(__xludf.DUMMYFUNCTION("GOOGLETRANSLATE(B5968)"),"被淹沒")</f>
        <v>被淹沒</v>
      </c>
    </row>
    <row r="5969" ht="15.75" customHeight="1">
      <c r="A5969" s="4">
        <v>6619.0</v>
      </c>
      <c r="B5969" s="4" t="s">
        <v>3065</v>
      </c>
      <c r="C5969" s="4" t="s">
        <v>8719</v>
      </c>
      <c r="D5969" s="4" t="s">
        <v>8720</v>
      </c>
      <c r="E5969" s="4">
        <v>0.0</v>
      </c>
      <c r="F5969" s="4" t="str">
        <f>IFERROR(__xludf.DUMMYFUNCTION("GOOGLETRANSLATE(D5969)"),"維斯特洛的冰雨風暴作為一本書被淹沒了完成《權力的遊戲》第 5 季後，我已經分不清我的史塔克家族和葛雷喬伊家族了。")</f>
        <v>維斯特洛的冰雨風暴作為一本書被淹沒了完成《權力的遊戲》第 5 季後，我已經分不清我的史塔克家族和葛雷喬伊家族了。</v>
      </c>
      <c r="G5969" s="4" t="str">
        <f>IFERROR(__xludf.DUMMYFUNCTION("GOOGLETRANSLATE(B5969)"),"被淹沒")</f>
        <v>被淹沒</v>
      </c>
    </row>
    <row r="5970" ht="15.75" customHeight="1">
      <c r="A5970" s="4">
        <v>6622.0</v>
      </c>
      <c r="B5970" s="4" t="s">
        <v>3065</v>
      </c>
      <c r="C5970" s="4" t="s">
        <v>1640</v>
      </c>
      <c r="D5970" s="4" t="s">
        <v>8721</v>
      </c>
      <c r="E5970" s="4">
        <v>0.0</v>
      </c>
      <c r="F5970" s="4" t="str">
        <f>IFERROR(__xludf.DUMMYFUNCTION("GOOGLETRANSLATE(D5970)"),"@teahivetweets 你會被淹沒的！")</f>
        <v>@teahivetweets 你會被淹沒的！</v>
      </c>
      <c r="G5970" s="4" t="str">
        <f>IFERROR(__xludf.DUMMYFUNCTION("GOOGLETRANSLATE(B5970)"),"被淹沒")</f>
        <v>被淹沒</v>
      </c>
    </row>
    <row r="5971" ht="15.75" customHeight="1">
      <c r="A5971" s="4">
        <v>6625.0</v>
      </c>
      <c r="B5971" s="4" t="s">
        <v>3065</v>
      </c>
      <c r="C5971" s="4" t="s">
        <v>8722</v>
      </c>
      <c r="D5971" s="4" t="s">
        <v>8723</v>
      </c>
      <c r="E5971" s="4">
        <v>0.0</v>
      </c>
      <c r="F5971" s="4" t="str">
        <f>IFERROR(__xludf.DUMMYFUNCTION("GOOGLETRANSLATE(D5971)"),"是否被員工假期申請文書淹沒？我們基於雲端的人力資源軟體 @hronlinetweets 將協助簡化您的人員配備流程。")</f>
        <v>是否被員工假期申請文書淹沒？我們基於雲端的人力資源軟體 @hronlinetweets 將協助簡化您的人員配備流程。</v>
      </c>
      <c r="G5971" s="4" t="str">
        <f>IFERROR(__xludf.DUMMYFUNCTION("GOOGLETRANSLATE(B5971)"),"被淹沒")</f>
        <v>被淹沒</v>
      </c>
    </row>
    <row r="5972" ht="15.75" customHeight="1">
      <c r="A5972" s="4">
        <v>6626.0</v>
      </c>
      <c r="B5972" s="4" t="s">
        <v>3065</v>
      </c>
      <c r="C5972" s="4" t="s">
        <v>8724</v>
      </c>
      <c r="D5972" s="4" t="s">
        <v>8725</v>
      </c>
      <c r="E5972" s="4">
        <v>0.0</v>
      </c>
      <c r="F5972" s="4" t="str">
        <f>IFERROR(__xludf.DUMMYFUNCTION("GOOGLETRANSLATE(D5972)"),"振作起來@samaritans 到週日晚上，你將會被來自沮喪的@Arsenal 球迷的數千個電話淹沒 http://t.co/HexPc77otN")</f>
        <v>振作起來@samaritans 到週日晚上，你將會被來自沮喪的@Arsenal 球迷的數千個電話淹沒 http://t.co/HexPc77otN</v>
      </c>
      <c r="G5972" s="4" t="str">
        <f>IFERROR(__xludf.DUMMYFUNCTION("GOOGLETRANSLATE(B5972)"),"被淹沒")</f>
        <v>被淹沒</v>
      </c>
    </row>
    <row r="5973" ht="15.75" customHeight="1">
      <c r="A5973" s="4">
        <v>6628.0</v>
      </c>
      <c r="B5973" s="4" t="s">
        <v>3065</v>
      </c>
      <c r="C5973" s="4" t="s">
        <v>8726</v>
      </c>
      <c r="D5973" s="4" t="s">
        <v>8727</v>
      </c>
      <c r="E5973" s="4">
        <v>0.0</v>
      </c>
      <c r="F5973" s="4" t="str">
        <f>IFERROR(__xludf.DUMMYFUNCTION("GOOGLETRANSLATE(D5973)"),"@MI_Country_Hick 噗！我希望我有一個這樣的機器人。相反，我每天都會被 140 個同樣瘋狂的大男子主義廢話淹沒。")</f>
        <v>@MI_Country_Hick 噗！我希望我有一個這樣的機器人。相反，我每天都會被 140 個同樣瘋狂的大男子主義廢話淹沒。</v>
      </c>
      <c r="G5973" s="4" t="str">
        <f>IFERROR(__xludf.DUMMYFUNCTION("GOOGLETRANSLATE(B5973)"),"被淹沒")</f>
        <v>被淹沒</v>
      </c>
    </row>
    <row r="5974" ht="15.75" customHeight="1">
      <c r="A5974" s="4">
        <v>6629.0</v>
      </c>
      <c r="B5974" s="4" t="s">
        <v>3065</v>
      </c>
      <c r="C5974" s="4" t="s">
        <v>627</v>
      </c>
      <c r="D5974" s="4" t="s">
        <v>8728</v>
      </c>
      <c r="E5974" s="4">
        <v>0.0</v>
      </c>
      <c r="F5974" s="4" t="str">
        <f>IFERROR(__xludf.DUMMYFUNCTION("GOOGLETRANSLATE(D5974)"),"#tech 資料過載：對情境和結構的需求不斷增長：在一個資訊氾濫的世界中... http://t.co/s0ctCQJvjX #news")</f>
        <v>#tech 資料過載：對情境和結構的需求不斷增長：在一個資訊氾濫的世界中... http://t.co/s0ctCQJvjX #news</v>
      </c>
      <c r="G5974" s="4" t="str">
        <f>IFERROR(__xludf.DUMMYFUNCTION("GOOGLETRANSLATE(B5974)"),"被淹沒")</f>
        <v>被淹沒</v>
      </c>
    </row>
    <row r="5975" ht="15.75" customHeight="1">
      <c r="A5975" s="4">
        <v>6630.0</v>
      </c>
      <c r="B5975" s="4" t="s">
        <v>3065</v>
      </c>
      <c r="D5975" s="4" t="s">
        <v>8729</v>
      </c>
      <c r="E5975" s="4">
        <v>0.0</v>
      </c>
      <c r="F5975" s="4" t="str">
        <f>IFERROR(__xludf.DUMMYFUNCTION("GOOGLETRANSLATE(D5975)"),"[枯萎]至死。這是一張專輯，當時他[破壞]了他的後院，因為他的貓[淹沒]了地板[聚集]貓糧。")</f>
        <v>[枯萎]至死。這是一張專輯，當時他[破壞]了他的後院，因為他的貓[淹沒]了地板[聚集]貓糧。</v>
      </c>
      <c r="G5975" s="4" t="str">
        <f>IFERROR(__xludf.DUMMYFUNCTION("GOOGLETRANSLATE(B5975)"),"被淹沒")</f>
        <v>被淹沒</v>
      </c>
    </row>
    <row r="5976" ht="15.75" customHeight="1">
      <c r="A5976" s="4">
        <v>6632.0</v>
      </c>
      <c r="B5976" s="4" t="s">
        <v>3065</v>
      </c>
      <c r="C5976" s="4" t="s">
        <v>1108</v>
      </c>
      <c r="D5976" s="4" t="s">
        <v>8730</v>
      </c>
      <c r="E5976" s="4">
        <v>0.0</v>
      </c>
      <c r="F5976" s="4" t="str">
        <f>IFERROR(__xludf.DUMMYFUNCTION("GOOGLETRANSLATE(D5976)"),"已經預計到明年初將會被有關傳統作者薪酬暴跌的文章淹沒，但如果這是真的，情況會更糟")</f>
        <v>已經預計到明年初將會被有關傳統作者薪酬暴跌的文章淹沒，但如果這是真的，情況會更糟</v>
      </c>
      <c r="G5976" s="4" t="str">
        <f>IFERROR(__xludf.DUMMYFUNCTION("GOOGLETRANSLATE(B5976)"),"被淹沒")</f>
        <v>被淹沒</v>
      </c>
    </row>
    <row r="5977" ht="15.75" customHeight="1">
      <c r="A5977" s="4">
        <v>6634.0</v>
      </c>
      <c r="B5977" s="4" t="s">
        <v>3065</v>
      </c>
      <c r="D5977" s="4" t="s">
        <v>8731</v>
      </c>
      <c r="E5977" s="4">
        <v>0.0</v>
      </c>
      <c r="F5977" s="4" t="str">
        <f>IFERROR(__xludf.DUMMYFUNCTION("GOOGLETRANSLATE(D5977)"),"@Legna989，你是對的，它來自雙方。也許我只是 FB 上的朋友，有更多的代表，所以我的提要被虛假聲明淹沒了...")</f>
        <v>@Legna989，你是對的，它來自雙方。也許我只是 FB 上的朋友，有更多的代表，所以我的提要被虛假聲明淹沒了...</v>
      </c>
      <c r="G5977" s="4" t="str">
        <f>IFERROR(__xludf.DUMMYFUNCTION("GOOGLETRANSLATE(B5977)"),"被淹沒")</f>
        <v>被淹沒</v>
      </c>
    </row>
    <row r="5978" ht="15.75" customHeight="1">
      <c r="A5978" s="4">
        <v>6635.0</v>
      </c>
      <c r="B5978" s="4" t="s">
        <v>3077</v>
      </c>
      <c r="C5978" s="4" t="s">
        <v>8732</v>
      </c>
      <c r="D5978" s="4" t="s">
        <v>8733</v>
      </c>
      <c r="E5978" s="4">
        <v>0.0</v>
      </c>
      <c r="F5978" s="4" t="str">
        <f>IFERROR(__xludf.DUMMYFUNCTION("GOOGLETRANSLATE(D5978)"),"MEGALPOLIS 區域 撫摸派對 顫抖
恐懼瞬間......全球洪水氾濫
開始寫了嗎？ ？")</f>
        <v>MEGALPOLIS 區域 撫摸派對 顫抖
恐懼瞬間......全球洪水氾濫
開始寫了嗎？ ？</v>
      </c>
      <c r="G5978" s="4" t="str">
        <f>IFERROR(__xludf.DUMMYFUNCTION("GOOGLETRANSLATE(B5978)"),"淹沒")</f>
        <v>淹沒</v>
      </c>
    </row>
    <row r="5979" ht="15.75" customHeight="1">
      <c r="A5979" s="4">
        <v>6636.0</v>
      </c>
      <c r="B5979" s="4" t="s">
        <v>3077</v>
      </c>
      <c r="D5979" s="4" t="s">
        <v>8734</v>
      </c>
      <c r="E5979" s="4">
        <v>0.0</v>
      </c>
      <c r="F5979" s="4" t="str">
        <f>IFERROR(__xludf.DUMMYFUNCTION("GOOGLETRANSLATE(D5979)"),"@ZachLowe_NBA 造成這種情況的原因有幾個，但其中之一就是德雷克的持續氾濫。極度煩人。如果德雷克為我們帶來了")</f>
        <v>@ZachLowe_NBA 造成這種情況的原因有幾個，但其中之一就是德雷克的持續氾濫。極度煩人。如果德雷克為我們帶來了</v>
      </c>
      <c r="G5979" s="4" t="str">
        <f>IFERROR(__xludf.DUMMYFUNCTION("GOOGLETRANSLATE(B5979)"),"淹沒")</f>
        <v>淹沒</v>
      </c>
    </row>
    <row r="5980" ht="15.75" customHeight="1">
      <c r="A5980" s="4">
        <v>6637.0</v>
      </c>
      <c r="B5980" s="4" t="s">
        <v>3077</v>
      </c>
      <c r="D5980" s="4" t="s">
        <v>8735</v>
      </c>
      <c r="E5980" s="4">
        <v>0.0</v>
      </c>
      <c r="F5980" s="4" t="str">
        <f>IFERROR(__xludf.DUMMYFUNCTION("GOOGLETRANSLATE(D5980)"),"不好了。靴子和社群媒體的氾濫之心正在開始。請不")</f>
        <v>不好了。靴子和社群媒體的氾濫之心正在開始。請不</v>
      </c>
      <c r="G5980" s="4" t="str">
        <f>IFERROR(__xludf.DUMMYFUNCTION("GOOGLETRANSLATE(B5980)"),"淹沒")</f>
        <v>淹沒</v>
      </c>
    </row>
    <row r="5981" ht="15.75" customHeight="1">
      <c r="A5981" s="4">
        <v>6643.0</v>
      </c>
      <c r="B5981" s="4" t="s">
        <v>3077</v>
      </c>
      <c r="C5981" s="4" t="s">
        <v>8736</v>
      </c>
      <c r="D5981" s="4" t="s">
        <v>8737</v>
      </c>
      <c r="E5981" s="4">
        <v>0.0</v>
      </c>
      <c r="F5981" s="4" t="str">
        <f>IFERROR(__xludf.DUMMYFUNCTION("GOOGLETRANSLATE(D5981)"),"不幸的是，我的追隨者今天收到了舞台照片。對洪水的提前致歉Û_ https://t.co/u8hSrtrXMm")</f>
        <v>不幸的是，我的追隨者今天收到了舞台照片。對洪水的提前致歉Û_ https://t.co/u8hSrtrXMm</v>
      </c>
      <c r="G5981" s="4" t="str">
        <f>IFERROR(__xludf.DUMMYFUNCTION("GOOGLETRANSLATE(B5981)"),"淹沒")</f>
        <v>淹沒</v>
      </c>
    </row>
    <row r="5982" ht="15.75" customHeight="1">
      <c r="A5982" s="4">
        <v>6644.0</v>
      </c>
      <c r="B5982" s="4" t="s">
        <v>3077</v>
      </c>
      <c r="C5982" s="4" t="s">
        <v>8738</v>
      </c>
      <c r="D5982" s="4" t="s">
        <v>8739</v>
      </c>
      <c r="E5982" s="4">
        <v>0.0</v>
      </c>
      <c r="F5982" s="4" t="str">
        <f>IFERROR(__xludf.DUMMYFUNCTION("GOOGLETRANSLATE(D5982)"),"@kathrynschulz 另外，你已經遠離阿米里特淹沒區了嗎？")</f>
        <v>@kathrynschulz 另外，你已經遠離阿米里特淹沒區了嗎？</v>
      </c>
      <c r="G5982" s="4" t="str">
        <f>IFERROR(__xludf.DUMMYFUNCTION("GOOGLETRANSLATE(B5982)"),"淹沒")</f>
        <v>淹沒</v>
      </c>
    </row>
    <row r="5983" ht="15.75" customHeight="1">
      <c r="A5983" s="4">
        <v>6646.0</v>
      </c>
      <c r="B5983" s="4" t="s">
        <v>3077</v>
      </c>
      <c r="C5983" s="4" t="s">
        <v>8740</v>
      </c>
      <c r="D5983" s="4" t="s">
        <v>8741</v>
      </c>
      <c r="E5983" s="4">
        <v>0.0</v>
      </c>
      <c r="F5983" s="4" t="str">
        <f>IFERROR(__xludf.DUMMYFUNCTION("GOOGLETRANSLATE(D5983)"),"抱歉，慕斯淹沒真是太搞笑了 https://t.co/tUai0ZwGXU")</f>
        <v>抱歉，慕斯淹沒真是太搞笑了 https://t.co/tUai0ZwGXU</v>
      </c>
      <c r="G5983" s="4" t="str">
        <f>IFERROR(__xludf.DUMMYFUNCTION("GOOGLETRANSLATE(B5983)"),"淹沒")</f>
        <v>淹沒</v>
      </c>
    </row>
    <row r="5984" ht="15.75" customHeight="1">
      <c r="A5984" s="4">
        <v>6647.0</v>
      </c>
      <c r="B5984" s="4" t="s">
        <v>3077</v>
      </c>
      <c r="D5984" s="4" t="s">
        <v>8742</v>
      </c>
      <c r="E5984" s="4">
        <v>0.0</v>
      </c>
      <c r="F5984" s="4" t="str">
        <f>IFERROR(__xludf.DUMMYFUNCTION("GOOGLETRANSLATE(D5984)"),"超越一切界限；直到洪水上漲")</f>
        <v>超越一切界限；直到洪水上漲</v>
      </c>
      <c r="G5984" s="4" t="str">
        <f>IFERROR(__xludf.DUMMYFUNCTION("GOOGLETRANSLATE(B5984)"),"淹沒")</f>
        <v>淹沒</v>
      </c>
    </row>
    <row r="5985" ht="15.75" customHeight="1">
      <c r="A5985" s="4">
        <v>6648.0</v>
      </c>
      <c r="B5985" s="4" t="s">
        <v>3077</v>
      </c>
      <c r="D5985" s="4" t="s">
        <v>8743</v>
      </c>
      <c r="E5985" s="4">
        <v>0.0</v>
      </c>
      <c r="F5985" s="4" t="str">
        <f>IFERROR(__xludf.DUMMYFUNCTION("GOOGLETRANSLATE(D5985)"),"灑水器：關於草坪淹沒系統的常見問題 eBb")</f>
        <v>灑水器：關於草坪淹沒系統的常見問題 eBb</v>
      </c>
      <c r="G5985" s="4" t="str">
        <f>IFERROR(__xludf.DUMMYFUNCTION("GOOGLETRANSLATE(B5985)"),"淹沒")</f>
        <v>淹沒</v>
      </c>
    </row>
    <row r="5986" ht="15.75" customHeight="1">
      <c r="A5986" s="4">
        <v>6655.0</v>
      </c>
      <c r="B5986" s="4" t="s">
        <v>3081</v>
      </c>
      <c r="D5986" s="4" t="s">
        <v>8744</v>
      </c>
      <c r="E5986" s="4">
        <v>0.0</v>
      </c>
      <c r="F5986" s="4" t="str">
        <f>IFERROR(__xludf.DUMMYFUNCTION("GOOGLETRANSLATE(D5986)"),"@hoodedu 你他媽的更好Berlatsky。如果我沒能以壓倒性優勢贏得這該死的事情，我他媽的就要你個人負責。")</f>
        <v>@hoodedu 你他媽的更好Berlatsky。如果我沒能以壓倒性優勢贏得這該死的事情，我他媽的就要你個人負責。</v>
      </c>
      <c r="G5986" s="4" t="str">
        <f>IFERROR(__xludf.DUMMYFUNCTION("GOOGLETRANSLATE(B5986)"),"土石流")</f>
        <v>土石流</v>
      </c>
    </row>
    <row r="5987" ht="15.75" customHeight="1">
      <c r="A5987" s="4">
        <v>6656.0</v>
      </c>
      <c r="B5987" s="4" t="s">
        <v>3081</v>
      </c>
      <c r="C5987" s="4" t="s">
        <v>745</v>
      </c>
      <c r="D5987" s="4" t="s">
        <v>8745</v>
      </c>
      <c r="E5987" s="4">
        <v>0.0</v>
      </c>
      <c r="F5987" s="4" t="str">
        <f>IFERROR(__xludf.DUMMYFUNCTION("GOOGLETRANSLATE(D5987)"),"LANDSLIDE（現場），FLEETWOOD MAC #nowplaying #Q99")</f>
        <v>LANDSLIDE（現場），FLEETWOOD MAC #nowplaying #Q99</v>
      </c>
      <c r="G5987" s="4" t="str">
        <f>IFERROR(__xludf.DUMMYFUNCTION("GOOGLETRANSLATE(B5987)"),"土石流")</f>
        <v>土石流</v>
      </c>
    </row>
    <row r="5988" ht="15.75" customHeight="1">
      <c r="A5988" s="4">
        <v>6660.0</v>
      </c>
      <c r="B5988" s="4" t="s">
        <v>3081</v>
      </c>
      <c r="C5988" s="4" t="s">
        <v>1248</v>
      </c>
      <c r="D5988" s="4" t="s">
        <v>8746</v>
      </c>
      <c r="E5988" s="4">
        <v>0.0</v>
      </c>
      <c r="F5988" s="4" t="str">
        <f>IFERROR(__xludf.DUMMYFUNCTION("GOOGLETRANSLATE(D5988)"),"＃滑坡！川普 25.5% 布希 12.5% http://t.co/xY41z0O5ei 來自 @pollster @realdonaldtrump")</f>
        <v>＃滑坡！川普 25.5% 布希 12.5% http://t.co/xY41z0O5ei 來自 @pollster @realdonaldtrump</v>
      </c>
      <c r="G5988" s="4" t="str">
        <f>IFERROR(__xludf.DUMMYFUNCTION("GOOGLETRANSLATE(B5988)"),"土石流")</f>
        <v>土石流</v>
      </c>
    </row>
    <row r="5989" ht="15.75" customHeight="1">
      <c r="A5989" s="4">
        <v>6662.0</v>
      </c>
      <c r="B5989" s="4" t="s">
        <v>3081</v>
      </c>
      <c r="C5989" s="4" t="s">
        <v>530</v>
      </c>
      <c r="D5989" s="4" t="s">
        <v>8747</v>
      </c>
      <c r="E5989" s="4">
        <v>0.0</v>
      </c>
      <c r="F5989" s="4" t="str">
        <f>IFERROR(__xludf.DUMMYFUNCTION("GOOGLETRANSLATE(D5989)"),"@toddstarnes 享受即將發生的山體滑坡托德。呵呵。")</f>
        <v>@toddstarnes 享受即將發生的山體滑坡托德。呵呵。</v>
      </c>
      <c r="G5989" s="4" t="str">
        <f>IFERROR(__xludf.DUMMYFUNCTION("GOOGLETRANSLATE(B5989)"),"土石流")</f>
        <v>土石流</v>
      </c>
    </row>
    <row r="5990" ht="15.75" customHeight="1">
      <c r="A5990" s="4">
        <v>6664.0</v>
      </c>
      <c r="B5990" s="4" t="s">
        <v>3081</v>
      </c>
      <c r="C5990" s="4" t="s">
        <v>8748</v>
      </c>
      <c r="D5990" s="4" t="s">
        <v>8749</v>
      </c>
      <c r="E5990" s="4">
        <v>0.0</v>
      </c>
      <c r="F5990" s="4" t="str">
        <f>IFERROR(__xludf.DUMMYFUNCTION("GOOGLETRANSLATE(D5990)"),"我一生中最喜歡的歌曲是「Landslide」。這首歌讓我經歷了很多次…http://t.co/RfB3JXbiEJ")</f>
        <v>我一生中最喜歡的歌曲是「Landslide」。這首歌讓我經歷了很多次…http://t.co/RfB3JXbiEJ</v>
      </c>
      <c r="G5990" s="4" t="str">
        <f>IFERROR(__xludf.DUMMYFUNCTION("GOOGLETRANSLATE(B5990)"),"土石流")</f>
        <v>土石流</v>
      </c>
    </row>
    <row r="5991" ht="15.75" customHeight="1">
      <c r="A5991" s="4">
        <v>6665.0</v>
      </c>
      <c r="B5991" s="4" t="s">
        <v>3081</v>
      </c>
      <c r="C5991" s="4" t="s">
        <v>38</v>
      </c>
      <c r="D5991" s="4" t="s">
        <v>8750</v>
      </c>
      <c r="E5991" s="4">
        <v>0.0</v>
      </c>
      <c r="F5991" s="4" t="str">
        <f>IFERROR(__xludf.DUMMYFUNCTION("GOOGLETRANSLATE(D5991)"),"說到令人難忘的辯論：60 秒萬事通：羅納德·裡根在 1980 年選舉日的壓倒性勝利...... http://t.co/2XOhtjQJWh")</f>
        <v>說到令人難忘的辯論：60 秒萬事通：羅納德·裡根在 1980 年選舉日的壓倒性勝利...... http://t.co/2XOhtjQJWh</v>
      </c>
      <c r="G5991" s="4" t="str">
        <f>IFERROR(__xludf.DUMMYFUNCTION("GOOGLETRANSLATE(B5991)"),"土石流")</f>
        <v>土石流</v>
      </c>
    </row>
    <row r="5992" ht="15.75" customHeight="1">
      <c r="A5992" s="4">
        <v>6667.0</v>
      </c>
      <c r="B5992" s="4" t="s">
        <v>3081</v>
      </c>
      <c r="C5992" s="4" t="s">
        <v>8751</v>
      </c>
      <c r="D5992" s="4" t="s">
        <v>8752</v>
      </c>
      <c r="E5992" s="4">
        <v>0.0</v>
      </c>
      <c r="F5992" s="4" t="str">
        <f>IFERROR(__xludf.DUMMYFUNCTION("GOOGLETRANSLATE(D5992)"),"@awadgolf @GOP 一個資本家將贏得歷史上最大的壓倒性勝利，那些多年沒有投票的人們甚至連老派的民主黨人都會選他。")</f>
        <v>@awadgolf @GOP 一個資本家將贏得歷史上最大的壓倒性勝利，那些多年沒有投票的人們甚至連老派的民主黨人都會選他。</v>
      </c>
      <c r="G5992" s="4" t="str">
        <f>IFERROR(__xludf.DUMMYFUNCTION("GOOGLETRANSLATE(B5992)"),"土石流")</f>
        <v>土石流</v>
      </c>
    </row>
    <row r="5993" ht="15.75" customHeight="1">
      <c r="A5993" s="4">
        <v>6670.0</v>
      </c>
      <c r="B5993" s="4" t="s">
        <v>3081</v>
      </c>
      <c r="C5993" s="4" t="s">
        <v>8753</v>
      </c>
      <c r="D5993" s="4" t="s">
        <v>8754</v>
      </c>
      <c r="E5993" s="4">
        <v>0.0</v>
      </c>
      <c r="F5993" s="4" t="str">
        <f>IFERROR(__xludf.DUMMYFUNCTION("GOOGLETRANSLATE(D5993)"),"正在播放：Smashing Pumpkins 的山崩 http://t.co/7pQS4rshHb #89X")</f>
        <v>正在播放：Smashing Pumpkins 的山崩 http://t.co/7pQS4rshHb #89X</v>
      </c>
      <c r="G5993" s="4" t="str">
        <f>IFERROR(__xludf.DUMMYFUNCTION("GOOGLETRANSLATE(B5993)"),"土石流")</f>
        <v>土石流</v>
      </c>
    </row>
    <row r="5994" ht="15.75" customHeight="1">
      <c r="A5994" s="4">
        <v>6672.0</v>
      </c>
      <c r="B5994" s="4" t="s">
        <v>3081</v>
      </c>
      <c r="D5994" s="4" t="s">
        <v>8755</v>
      </c>
      <c r="E5994" s="4">
        <v>0.0</v>
      </c>
      <c r="F5994" s="4" t="str">
        <f>IFERROR(__xludf.DUMMYFUNCTION("GOOGLETRANSLATE(D5994)"),"讓它以壓倒性優勢獲勝，這是完美的詞，因為我把它從泥漿裡拿出來了...")</f>
        <v>讓它以壓倒性優勢獲勝，這是完美的詞，因為我把它從泥漿裡拿出來了...</v>
      </c>
      <c r="G5994" s="4" t="str">
        <f>IFERROR(__xludf.DUMMYFUNCTION("GOOGLETRANSLATE(B5994)"),"土石流")</f>
        <v>土石流</v>
      </c>
    </row>
    <row r="5995" ht="15.75" customHeight="1">
      <c r="A5995" s="4">
        <v>6676.0</v>
      </c>
      <c r="B5995" s="4" t="s">
        <v>3081</v>
      </c>
      <c r="C5995" s="4" t="s">
        <v>7665</v>
      </c>
      <c r="D5995" s="4" t="s">
        <v>8756</v>
      </c>
      <c r="E5995" s="4">
        <v>0.0</v>
      </c>
      <c r="F5995" s="4" t="str">
        <f>IFERROR(__xludf.DUMMYFUNCTION("GOOGLETRANSLATE(D5995)"),"新聞裡的@GarbanzoBean23 太酷了！最可愛的 INDOT 工作人員，但我可能有點偏見？ http://t.co/g7K9TqVQbk")</f>
        <v>新聞裡的@GarbanzoBean23 太酷了！最可愛的 INDOT 工作人員，但我可能有點偏見？ http://t.co/g7K9TqVQbk</v>
      </c>
      <c r="G5995" s="4" t="str">
        <f>IFERROR(__xludf.DUMMYFUNCTION("GOOGLETRANSLATE(B5995)"),"土石流")</f>
        <v>土石流</v>
      </c>
    </row>
    <row r="5996" ht="15.75" customHeight="1">
      <c r="A5996" s="4">
        <v>6678.0</v>
      </c>
      <c r="B5996" s="4" t="s">
        <v>3081</v>
      </c>
      <c r="C5996" s="4" t="s">
        <v>6836</v>
      </c>
      <c r="D5996" s="4" t="s">
        <v>8757</v>
      </c>
      <c r="E5996" s="4">
        <v>0.0</v>
      </c>
      <c r="F5996" s="4" t="str">
        <f>IFERROR(__xludf.DUMMYFUNCTION("GOOGLETRANSLATE(D5996)"),"@CrowtherJohn @Effiedeans 你只是把頭埋在沙子裡約翰。最適合它的地方。 97年山體滑坡後的Lbr。無法想像現在的情景")</f>
        <v>@CrowtherJohn @Effiedeans 你只是把頭埋在沙子裡約翰。最適合它的地方。 97年山體滑坡後的Lbr。無法想像現在的情景</v>
      </c>
      <c r="G5996" s="4" t="str">
        <f>IFERROR(__xludf.DUMMYFUNCTION("GOOGLETRANSLATE(B5996)"),"土石流")</f>
        <v>土石流</v>
      </c>
    </row>
    <row r="5997" ht="15.75" customHeight="1">
      <c r="A5997" s="4">
        <v>6682.0</v>
      </c>
      <c r="B5997" s="4" t="s">
        <v>3081</v>
      </c>
      <c r="D5997" s="4" t="s">
        <v>8758</v>
      </c>
      <c r="E5997" s="4">
        <v>0.0</v>
      </c>
      <c r="F5997" s="4" t="str">
        <f>IFERROR(__xludf.DUMMYFUNCTION("GOOGLETRANSLATE(D5997)"),"「自 1970 年以來，加元的兩次最大貶值：美元在今年的聯邦選舉中與反對派取得壓倒性勝利同時發生」http://t.co/wgqKXmby3B")</f>
        <v>「自 1970 年以來，加元的兩次最大貶值：美元在今年的聯邦選舉中與反對派取得壓倒性勝利同時發生」http://t.co/wgqKXmby3B</v>
      </c>
      <c r="G5997" s="4" t="str">
        <f>IFERROR(__xludf.DUMMYFUNCTION("GOOGLETRANSLATE(B5997)"),"土石流")</f>
        <v>土石流</v>
      </c>
    </row>
    <row r="5998" ht="15.75" customHeight="1">
      <c r="A5998" s="4">
        <v>6687.0</v>
      </c>
      <c r="B5998" s="4" t="s">
        <v>3081</v>
      </c>
      <c r="C5998" s="4" t="s">
        <v>8759</v>
      </c>
      <c r="D5998" s="4" t="s">
        <v>8760</v>
      </c>
      <c r="E5998" s="4">
        <v>0.0</v>
      </c>
      <c r="F5998" s="4" t="str">
        <f>IFERROR(__xludf.DUMMYFUNCTION("GOOGLETRANSLATE(D5998)"),"所以當你陷入山體滑坡時
我會在那等你
而在雨中
給你陽光
我會在那等你")</f>
        <v>所以當你陷入山體滑坡時
我會在那等你
而在雨中
給你陽光
我會在那等你</v>
      </c>
      <c r="G5998" s="4" t="str">
        <f>IFERROR(__xludf.DUMMYFUNCTION("GOOGLETRANSLATE(B5998)"),"土石流")</f>
        <v>土石流</v>
      </c>
    </row>
    <row r="5999" ht="15.75" customHeight="1">
      <c r="A5999" s="4">
        <v>6688.0</v>
      </c>
      <c r="B5999" s="4" t="s">
        <v>3081</v>
      </c>
      <c r="D5999" s="4" t="s">
        <v>8761</v>
      </c>
      <c r="E5999" s="4">
        <v>0.0</v>
      </c>
      <c r="F5999" s="4" t="str">
        <f>IFERROR(__xludf.DUMMYFUNCTION("GOOGLETRANSLATE(D5999)"),"在#skardu 旅行時#landslide https://t.co/nqNWkTRhsA")</f>
        <v>在#skardu 旅行時#landslide https://t.co/nqNWkTRhsA</v>
      </c>
      <c r="G5999" s="4" t="str">
        <f>IFERROR(__xludf.DUMMYFUNCTION("GOOGLETRANSLATE(B5999)"),"土石流")</f>
        <v>土石流</v>
      </c>
    </row>
    <row r="6000" ht="15.75" customHeight="1">
      <c r="A6000" s="4">
        <v>6689.0</v>
      </c>
      <c r="B6000" s="4" t="s">
        <v>3081</v>
      </c>
      <c r="D6000" s="4" t="s">
        <v>8762</v>
      </c>
      <c r="E6000" s="4">
        <v>0.0</v>
      </c>
      <c r="F6000" s="4" t="str">
        <f>IFERROR(__xludf.DUMMYFUNCTION("GOOGLETRANSLATE(D6000)"),"聽聽 Oh Wo​​min 的 Landslide #SoundCloud https://t.co/SJkgJxff2r")</f>
        <v>聽聽 Oh Wo​​min 的 Landslide #SoundCloud https://t.co/SJkgJxff2r</v>
      </c>
      <c r="G6000" s="4" t="str">
        <f>IFERROR(__xludf.DUMMYFUNCTION("GOOGLETRANSLATE(B6000)"),"土石流")</f>
        <v>土石流</v>
      </c>
    </row>
    <row r="6001" ht="15.75" customHeight="1">
      <c r="A6001" s="4">
        <v>6690.0</v>
      </c>
      <c r="B6001" s="4" t="s">
        <v>3081</v>
      </c>
      <c r="D6001" s="4" t="s">
        <v>8763</v>
      </c>
      <c r="E6001" s="4">
        <v>0.0</v>
      </c>
      <c r="F6001" s="4" t="str">
        <f>IFERROR(__xludf.DUMMYFUNCTION("GOOGLETRANSLATE(D6001)"),"@RonWyden 民主黨限制黑人投票。在 48 分鐘的壓倒性勝利中，林登·約翰遜 (Lyndon Johnson) 以 67 票德克薩斯州死者的票數贏得了參議院選舉！")</f>
        <v>@RonWyden 民主黨限制黑人投票。在 48 分鐘的壓倒性勝利中，林登·約翰遜 (Lyndon Johnson) 以 67 票德克薩斯州死者的票數贏得了參議院選舉！</v>
      </c>
      <c r="G6001" s="4" t="str">
        <f>IFERROR(__xludf.DUMMYFUNCTION("GOOGLETRANSLATE(B6001)"),"土石流")</f>
        <v>土石流</v>
      </c>
    </row>
    <row r="6002" ht="15.75" customHeight="1">
      <c r="A6002" s="4">
        <v>6693.0</v>
      </c>
      <c r="B6002" s="4" t="s">
        <v>3081</v>
      </c>
      <c r="D6002" s="4" t="s">
        <v>8764</v>
      </c>
      <c r="E6002" s="4">
        <v>0.0</v>
      </c>
      <c r="F6002" s="4" t="str">
        <f>IFERROR(__xludf.DUMMYFUNCTION("GOOGLETRANSLATE(D6002)"),"這個狂妄自大的政府雖然規模不大，但表現得卻像是壓倒性的。反對派需要有嚴謹的眼光和敏銳的洞察力。渴望為這個民主國家服務。")</f>
        <v>這個狂妄自大的政府雖然規模不大，但表現得卻像是壓倒性的。反對派需要有嚴謹的眼光和敏銳的洞察力。渴望為這個民主國家服務。</v>
      </c>
      <c r="G6002" s="4" t="str">
        <f>IFERROR(__xludf.DUMMYFUNCTION("GOOGLETRANSLATE(B6002)"),"土石流")</f>
        <v>土石流</v>
      </c>
    </row>
    <row r="6003" ht="15.75" customHeight="1">
      <c r="A6003" s="4">
        <v>6694.0</v>
      </c>
      <c r="B6003" s="4" t="s">
        <v>3081</v>
      </c>
      <c r="C6003" s="4" t="s">
        <v>8765</v>
      </c>
      <c r="D6003" s="4" t="s">
        <v>8766</v>
      </c>
      <c r="E6003" s="4">
        <v>0.0</v>
      </c>
      <c r="F6003" s="4" t="str">
        <f>IFERROR(__xludf.DUMMYFUNCTION("GOOGLETRANSLATE(D6003)"),"*提名自己，但 @_ohhsehuns 以壓倒性優勢獲勝* https://t.co/rCvDrwoWvO")</f>
        <v>*提名自己，但 @_ohhsehuns 以壓倒性優勢獲勝* https://t.co/rCvDrwoWvO</v>
      </c>
      <c r="G6003" s="4" t="str">
        <f>IFERROR(__xludf.DUMMYFUNCTION("GOOGLETRANSLATE(B6003)"),"土石流")</f>
        <v>土石流</v>
      </c>
    </row>
    <row r="6004" ht="15.75" customHeight="1">
      <c r="A6004" s="4">
        <v>6697.0</v>
      </c>
      <c r="B6004" s="4" t="s">
        <v>3081</v>
      </c>
      <c r="D6004" s="4" t="s">
        <v>8767</v>
      </c>
      <c r="E6004" s="4">
        <v>0.0</v>
      </c>
      <c r="F6004" s="4" t="str">
        <f>IFERROR(__xludf.DUMMYFUNCTION("GOOGLETRANSLATE(D6004)"),"@Morning_Joe @Reince @PressSec Joe 你太聰明了，你應該競選四任總統 你太完美了！美國人民喜歡混蛋，你會以壓倒性優勢獲勝")</f>
        <v>@Morning_Joe @Reince @PressSec Joe 你太聰明了，你應該競選四任總統 你太完美了！美國人民喜歡混蛋，你會以壓倒性優勢獲勝</v>
      </c>
      <c r="G6004" s="4" t="str">
        <f>IFERROR(__xludf.DUMMYFUNCTION("GOOGLETRANSLATE(B6004)"),"土石流")</f>
        <v>土石流</v>
      </c>
    </row>
    <row r="6005" ht="15.75" customHeight="1">
      <c r="A6005" s="4">
        <v>6699.0</v>
      </c>
      <c r="B6005" s="4" t="s">
        <v>3099</v>
      </c>
      <c r="C6005" s="4" t="s">
        <v>8768</v>
      </c>
      <c r="D6005" s="4" t="s">
        <v>8769</v>
      </c>
      <c r="E6005" s="4">
        <v>0.0</v>
      </c>
      <c r="F6005" s="4" t="str">
        <f>IFERROR(__xludf.DUMMYFUNCTION("GOOGLETRANSLATE(D6005)"),"完美的泡澡之夜！熔岩我來了？？ http://t.co/cyv2zG935g")</f>
        <v>完美的泡澡之夜！熔岩我來了？？ http://t.co/cyv2zG935g</v>
      </c>
      <c r="G6005" s="4" t="str">
        <f>IFERROR(__xludf.DUMMYFUNCTION("GOOGLETRANSLATE(B6005)"),"足夠的")</f>
        <v>足夠的</v>
      </c>
    </row>
    <row r="6006" ht="15.75" customHeight="1">
      <c r="A6006" s="4">
        <v>6700.0</v>
      </c>
      <c r="B6006" s="4" t="s">
        <v>3099</v>
      </c>
      <c r="C6006" s="4" t="s">
        <v>1118</v>
      </c>
      <c r="D6006" s="4" t="s">
        <v>8770</v>
      </c>
      <c r="E6006" s="4">
        <v>0.0</v>
      </c>
      <c r="F6006" s="4" t="str">
        <f>IFERROR(__xludf.DUMMYFUNCTION("GOOGLETRANSLATE(D6006)"),"說真的，這兩首歌（一首新一首舊）太棒了。帶著淚水的美好回憶。
https://t.co/sZ2RvwpWhj
https://t.co/laJx578DRu")</f>
        <v>說真的，這兩首歌（一首新一首舊）太棒了。帶著淚水的美好回憶。
https://t.co/sZ2RvwpWhj
https://t.co/laJx578DRu</v>
      </c>
      <c r="G6006" s="4" t="str">
        <f>IFERROR(__xludf.DUMMYFUNCTION("GOOGLETRANSLATE(B6006)"),"足夠的")</f>
        <v>足夠的</v>
      </c>
    </row>
    <row r="6007" ht="15.75" customHeight="1">
      <c r="A6007" s="4">
        <v>6703.0</v>
      </c>
      <c r="B6007" s="4" t="s">
        <v>3099</v>
      </c>
      <c r="D6007" s="4" t="s">
        <v>8771</v>
      </c>
      <c r="E6007" s="4">
        <v>0.0</v>
      </c>
      <c r="F6007" s="4" t="str">
        <f>IFERROR(__xludf.DUMMYFUNCTION("GOOGLETRANSLATE(D6007)"),"我的手很冷，但我的腳很溫暖。那是我存放熔岩的地方")</f>
        <v>我的手很冷，但我的腳很溫暖。那是我存放熔岩的地方</v>
      </c>
      <c r="G6007" s="4" t="str">
        <f>IFERROR(__xludf.DUMMYFUNCTION("GOOGLETRANSLATE(B6007)"),"足夠的")</f>
        <v>足夠的</v>
      </c>
    </row>
    <row r="6008" ht="15.75" customHeight="1">
      <c r="A6008" s="4">
        <v>6706.0</v>
      </c>
      <c r="B6008" s="4" t="s">
        <v>3099</v>
      </c>
      <c r="C6008" s="4" t="s">
        <v>8772</v>
      </c>
      <c r="D6008" s="4" t="s">
        <v>8773</v>
      </c>
      <c r="E6008" s="4">
        <v>0.0</v>
      </c>
      <c r="F6008" s="4" t="str">
        <f>IFERROR(__xludf.DUMMYFUNCTION("GOOGLETRANSLATE(D6008)"),"@YoungHeroesID 熔岩爆炸 &amp;amp;動力紅#PantherAttack @JamilAzzaini @alifaditha")</f>
        <v>@YoungHeroesID 熔岩爆炸 &amp;amp;動力紅#PantherAttack @JamilAzzaini @alifaditha</v>
      </c>
      <c r="G6008" s="4" t="str">
        <f>IFERROR(__xludf.DUMMYFUNCTION("GOOGLETRANSLATE(B6008)"),"足夠的")</f>
        <v>足夠的</v>
      </c>
    </row>
    <row r="6009" ht="15.75" customHeight="1">
      <c r="A6009" s="4">
        <v>6707.0</v>
      </c>
      <c r="B6009" s="4" t="s">
        <v>3099</v>
      </c>
      <c r="C6009" s="4" t="s">
        <v>8774</v>
      </c>
      <c r="D6009" s="4" t="s">
        <v>8775</v>
      </c>
      <c r="E6009" s="4">
        <v>0.0</v>
      </c>
      <c r="F6009" s="4" t="str">
        <f>IFERROR(__xludf.DUMMYFUNCTION("GOOGLETRANSLATE(D6009)"),"鄰居的孩子們停下來看我用尤克演奏迪士尼的《I Lava You》歌曲。當我進入旅程的“不要停止相信”時就離開了#kidsthesedays")</f>
        <v>鄰居的孩子們停下來看我用尤克演奏迪士尼的《I Lava You》歌曲。當我進入旅程的“不要停止相信”時就離開了#kidsthesedays</v>
      </c>
      <c r="G6009" s="4" t="str">
        <f>IFERROR(__xludf.DUMMYFUNCTION("GOOGLETRANSLATE(B6009)"),"足夠的")</f>
        <v>足夠的</v>
      </c>
    </row>
    <row r="6010" ht="15.75" customHeight="1">
      <c r="A6010" s="4">
        <v>6708.0</v>
      </c>
      <c r="B6010" s="4" t="s">
        <v>3099</v>
      </c>
      <c r="D6010" s="4" t="s">
        <v>8776</v>
      </c>
      <c r="E6010" s="4">
        <v>0.0</v>
      </c>
      <c r="F6010" s="4" t="str">
        <f>IFERROR(__xludf.DUMMYFUNCTION("GOOGLETRANSLATE(D6010)"),"@eles_kaylee @Jannelix0 所以她為你換了不同的臉？買熔岩蛋糕給我後她心碎了")</f>
        <v>@eles_kaylee @Jannelix0 所以她為你換了不同的臉？買熔岩蛋糕給我後她心碎了</v>
      </c>
      <c r="G6010" s="4" t="str">
        <f>IFERROR(__xludf.DUMMYFUNCTION("GOOGLETRANSLATE(B6010)"),"足夠的")</f>
        <v>足夠的</v>
      </c>
    </row>
    <row r="6011" ht="15.75" customHeight="1">
      <c r="A6011" s="4">
        <v>6709.0</v>
      </c>
      <c r="B6011" s="4" t="s">
        <v>3099</v>
      </c>
      <c r="D6011" s="4" t="s">
        <v>8777</v>
      </c>
      <c r="E6011" s="4">
        <v>0.0</v>
      </c>
      <c r="F6011" s="4" t="str">
        <f>IFERROR(__xludf.DUMMYFUNCTION("GOOGLETRANSLATE(D6011)"),"我可能對我的（自製的）熔岩燈有點太興奮了。透過來源 http://t.co/nxTTd9NrUx http://t.co/iRQj3ZKCUz")</f>
        <v>我可能對我的（自製的）熔岩燈有點太興奮了。透過來源 http://t.co/nxTTd9NrUx http://t.co/iRQj3ZKCUz</v>
      </c>
      <c r="G6011" s="4" t="str">
        <f>IFERROR(__xludf.DUMMYFUNCTION("GOOGLETRANSLATE(B6011)"),"足夠的")</f>
        <v>足夠的</v>
      </c>
    </row>
    <row r="6012" ht="15.75" customHeight="1">
      <c r="A6012" s="4">
        <v>6711.0</v>
      </c>
      <c r="B6012" s="4" t="s">
        <v>3099</v>
      </c>
      <c r="D6012" s="4" t="s">
        <v>8778</v>
      </c>
      <c r="E6012" s="4">
        <v>0.0</v>
      </c>
      <c r="F6012" s="4" t="str">
        <f>IFERROR(__xludf.DUMMYFUNCTION("GOOGLETRANSLATE(D6012)"),"熔岩龍飼養員！我剛剛在龍谷培育了一條熔岩龍！來我的公園看看吧！ http://t.co/QGum9xHEOs")</f>
        <v>熔岩龍飼養員！我剛剛在龍谷培育了一條熔岩龍！來我的公園看看吧！ http://t.co/QGum9xHEOs</v>
      </c>
      <c r="G6012" s="4" t="str">
        <f>IFERROR(__xludf.DUMMYFUNCTION("GOOGLETRANSLATE(B6012)"),"足夠的")</f>
        <v>足夠的</v>
      </c>
    </row>
    <row r="6013" ht="15.75" customHeight="1">
      <c r="A6013" s="4">
        <v>6712.0</v>
      </c>
      <c r="B6013" s="4" t="s">
        <v>3099</v>
      </c>
      <c r="C6013" s="4" t="s">
        <v>8779</v>
      </c>
      <c r="D6013" s="4" t="s">
        <v>8780</v>
      </c>
      <c r="E6013" s="4">
        <v>0.0</v>
      </c>
      <c r="F6013" s="4" t="str">
        <f>IFERROR(__xludf.DUMMYFUNCTION("GOOGLETRANSLATE(D6013)"),"等待我的巧克力熔岩蛋糕到達這裡??????")</f>
        <v>等待我的巧克力熔岩蛋糕到達這裡??????</v>
      </c>
      <c r="G6013" s="4" t="str">
        <f>IFERROR(__xludf.DUMMYFUNCTION("GOOGLETRANSLATE(B6013)"),"足夠的")</f>
        <v>足夠的</v>
      </c>
    </row>
    <row r="6014" ht="15.75" customHeight="1">
      <c r="A6014" s="4">
        <v>6714.0</v>
      </c>
      <c r="B6014" s="4" t="s">
        <v>3099</v>
      </c>
      <c r="D6014" s="4" t="s">
        <v>8781</v>
      </c>
      <c r="E6014" s="4">
        <v>0.0</v>
      </c>
      <c r="F6014" s="4" t="str">
        <f>IFERROR(__xludf.DUMMYFUNCTION("GOOGLETRANSLATE(D6014)"),"考慮去辣椒只是為了得到一個融化的熔岩蛋糕......??")</f>
        <v>考慮去辣椒只是為了得到一個融化的熔岩蛋糕......??</v>
      </c>
      <c r="G6014" s="4" t="str">
        <f>IFERROR(__xludf.DUMMYFUNCTION("GOOGLETRANSLATE(B6014)"),"足夠的")</f>
        <v>足夠的</v>
      </c>
    </row>
    <row r="6015" ht="15.75" customHeight="1">
      <c r="A6015" s="4">
        <v>6716.0</v>
      </c>
      <c r="B6015" s="4" t="s">
        <v>3099</v>
      </c>
      <c r="C6015" s="4" t="s">
        <v>6281</v>
      </c>
      <c r="D6015" s="4" t="s">
        <v>8782</v>
      </c>
      <c r="E6015" s="4">
        <v>0.0</v>
      </c>
      <c r="F6015" s="4" t="str">
        <f>IFERROR(__xludf.DUMMYFUNCTION("GOOGLETRANSLATE(D6015)"),"「我可能對我的（自製）熔岩燈有點太興奮了。」：http://t.co/724Gq5ebqZ http://t.co/H01j9PIrIe")</f>
        <v>「我可能對我的（自製）熔岩燈有點太興奮了。」：http://t.co/724Gq5ebqZ http://t.co/H01j9PIrIe</v>
      </c>
      <c r="G6015" s="4" t="str">
        <f>IFERROR(__xludf.DUMMYFUNCTION("GOOGLETRANSLATE(B6015)"),"足夠的")</f>
        <v>足夠的</v>
      </c>
    </row>
    <row r="6016" ht="15.75" customHeight="1">
      <c r="A6016" s="4">
        <v>6719.0</v>
      </c>
      <c r="B6016" s="4" t="s">
        <v>3099</v>
      </c>
      <c r="C6016" s="4" t="s">
        <v>8783</v>
      </c>
      <c r="D6016" s="4" t="s">
        <v>8784</v>
      </c>
      <c r="E6016" s="4">
        <v>0.0</v>
      </c>
      <c r="F6016" s="4" t="str">
        <f>IFERROR(__xludf.DUMMYFUNCTION("GOOGLETRANSLATE(D6016)"),"熔岩蛋糕是我的最愛。")</f>
        <v>熔岩蛋糕是我的最愛。</v>
      </c>
      <c r="G6016" s="4" t="str">
        <f>IFERROR(__xludf.DUMMYFUNCTION("GOOGLETRANSLATE(B6016)"),"足夠的")</f>
        <v>足夠的</v>
      </c>
    </row>
    <row r="6017" ht="15.75" customHeight="1">
      <c r="A6017" s="4">
        <v>6721.0</v>
      </c>
      <c r="B6017" s="4" t="s">
        <v>3099</v>
      </c>
      <c r="D6017" s="4" t="s">
        <v>8785</v>
      </c>
      <c r="E6017" s="4">
        <v>0.0</v>
      </c>
      <c r="F6017" s="4" t="str">
        <f>IFERROR(__xludf.DUMMYFUNCTION("GOOGLETRANSLATE(D6017)"),"我熔岩你？？？？？？ http://t.co/aeZ3aK1lRN")</f>
        <v>我熔岩你？？？？？？ http://t.co/aeZ3aK1lRN</v>
      </c>
      <c r="G6017" s="4" t="str">
        <f>IFERROR(__xludf.DUMMYFUNCTION("GOOGLETRANSLATE(B6017)"),"足夠的")</f>
        <v>足夠的</v>
      </c>
    </row>
    <row r="6018" ht="15.75" customHeight="1">
      <c r="A6018" s="4">
        <v>6722.0</v>
      </c>
      <c r="B6018" s="4" t="s">
        <v>3099</v>
      </c>
      <c r="C6018" s="4" t="s">
        <v>3712</v>
      </c>
      <c r="D6018" s="4" t="s">
        <v>8786</v>
      </c>
      <c r="E6018" s="4">
        <v>0.0</v>
      </c>
      <c r="F6018" s="4" t="str">
        <f>IFERROR(__xludf.DUMMYFUNCTION("GOOGLETRANSLATE(D6018)"),"@YoungHeroesID 熔岩爆炸 &amp;amp;動力紅@dieanpink95 @yu_nita99 #PantherAttack")</f>
        <v>@YoungHeroesID 熔岩爆炸 &amp;amp;動力紅@dieanpink95 @yu_nita99 #PantherAttack</v>
      </c>
      <c r="G6018" s="4" t="str">
        <f>IFERROR(__xludf.DUMMYFUNCTION("GOOGLETRANSLATE(B6018)"),"足夠的")</f>
        <v>足夠的</v>
      </c>
    </row>
    <row r="6019" ht="15.75" customHeight="1">
      <c r="A6019" s="4">
        <v>6723.0</v>
      </c>
      <c r="B6019" s="4" t="s">
        <v>3099</v>
      </c>
      <c r="D6019" s="4" t="s">
        <v>8787</v>
      </c>
      <c r="E6019" s="4">
        <v>0.0</v>
      </c>
      <c r="F6019" s="4" t="str">
        <f>IFERROR(__xludf.DUMMYFUNCTION("GOOGLETRANSLATE(D6019)"),"我喜歡來自 @skippy6gaming 的 @YouTube 視頻 http://t.co/MXhrextrkh Minecraft PS4 - 3 X 2 LAVA DOOR - 操作方法 - 教程 ( PS3 / XBOX")</f>
        <v>我喜歡來自 @skippy6gaming 的 @YouTube 視頻 http://t.co/MXhrextrkh Minecraft PS4 - 3 X 2 LAVA DOOR - 操作方法 - 教程 ( PS3 / XBOX</v>
      </c>
      <c r="G6019" s="4" t="str">
        <f>IFERROR(__xludf.DUMMYFUNCTION("GOOGLETRANSLATE(B6019)"),"足夠的")</f>
        <v>足夠的</v>
      </c>
    </row>
    <row r="6020" ht="15.75" customHeight="1">
      <c r="A6020" s="4">
        <v>6724.0</v>
      </c>
      <c r="B6020" s="4" t="s">
        <v>3099</v>
      </c>
      <c r="C6020" s="4" t="s">
        <v>8086</v>
      </c>
      <c r="D6020" s="4" t="s">
        <v>8788</v>
      </c>
      <c r="E6020" s="4">
        <v>0.0</v>
      </c>
      <c r="F6020" s="4" t="str">
        <f>IFERROR(__xludf.DUMMYFUNCTION("GOOGLETRANSLATE(D6020)"),"https://t.co/4i0rKcbK1D
救世主之子熔岩視頻")</f>
        <v>https://t.co/4i0rKcbK1D
救世主之子熔岩視頻</v>
      </c>
      <c r="G6020" s="4" t="str">
        <f>IFERROR(__xludf.DUMMYFUNCTION("GOOGLETRANSLATE(B6020)"),"足夠的")</f>
        <v>足夠的</v>
      </c>
    </row>
    <row r="6021" ht="15.75" customHeight="1">
      <c r="A6021" s="4">
        <v>6725.0</v>
      </c>
      <c r="B6021" s="4" t="s">
        <v>3099</v>
      </c>
      <c r="C6021" s="4" t="s">
        <v>38</v>
      </c>
      <c r="D6021" s="4" t="s">
        <v>8789</v>
      </c>
      <c r="E6021" s="4">
        <v>0.0</v>
      </c>
      <c r="F6021" s="4" t="str">
        <f>IFERROR(__xludf.DUMMYFUNCTION("GOOGLETRANSLATE(D6021)"),"每日特惠：http://t.co/US0qQqhQVj 全新 DSERIALPCILP Lava 電腦 PCI 匯流排雙串列 16550 板 #eÛ_ http://t.co/l0b14SJ7JB")</f>
        <v>每日特惠：http://t.co/US0qQqhQVj 全新 DSERIALPCILP Lava 電腦 PCI 匯流排雙串列 16550 板 #eÛ_ http://t.co/l0b14SJ7JB</v>
      </c>
      <c r="G6021" s="4" t="str">
        <f>IFERROR(__xludf.DUMMYFUNCTION("GOOGLETRANSLATE(B6021)"),"足夠的")</f>
        <v>足夠的</v>
      </c>
    </row>
    <row r="6022" ht="15.75" customHeight="1">
      <c r="A6022" s="4">
        <v>6726.0</v>
      </c>
      <c r="B6022" s="4" t="s">
        <v>3099</v>
      </c>
      <c r="C6022" s="4" t="s">
        <v>8790</v>
      </c>
      <c r="D6022" s="4" t="s">
        <v>8791</v>
      </c>
      <c r="E6022" s="4">
        <v>0.0</v>
      </c>
      <c r="F6022" s="4" t="str">
        <f>IFERROR(__xludf.DUMMYFUNCTION("GOOGLETRANSLATE(D6022)"),"Bleachers 的整場比賽是 The Stage Is Lava 的一場大型比賽 http://t.co/CLlWUD4Wsu")</f>
        <v>Bleachers 的整場比賽是 The Stage Is Lava 的一場大型比賽 http://t.co/CLlWUD4Wsu</v>
      </c>
      <c r="G6022" s="4" t="str">
        <f>IFERROR(__xludf.DUMMYFUNCTION("GOOGLETRANSLATE(B6022)"),"足夠的")</f>
        <v>足夠的</v>
      </c>
    </row>
    <row r="6023" ht="15.75" customHeight="1">
      <c r="A6023" s="4">
        <v>6727.0</v>
      </c>
      <c r="B6023" s="4" t="s">
        <v>3099</v>
      </c>
      <c r="C6023" s="4" t="s">
        <v>8792</v>
      </c>
      <c r="D6023" s="4" t="s">
        <v>8793</v>
      </c>
      <c r="E6023" s="4">
        <v>0.0</v>
      </c>
      <c r="F6023" s="4" t="str">
        <f>IFERROR(__xludf.DUMMYFUNCTION("GOOGLETRANSLATE(D6023)"),"我熔岩你！ ????")</f>
        <v>我熔岩你！ ????</v>
      </c>
      <c r="G6023" s="4" t="str">
        <f>IFERROR(__xludf.DUMMYFUNCTION("GOOGLETRANSLATE(B6023)"),"足夠的")</f>
        <v>足夠的</v>
      </c>
    </row>
    <row r="6024" ht="15.75" customHeight="1">
      <c r="A6024" s="4">
        <v>6730.0</v>
      </c>
      <c r="B6024" s="4" t="s">
        <v>3099</v>
      </c>
      <c r="D6024" s="4" t="s">
        <v>8794</v>
      </c>
      <c r="E6024" s="4">
        <v>0.0</v>
      </c>
      <c r="F6024" s="4" t="str">
        <f>IFERROR(__xludf.DUMMYFUNCTION("GOOGLETRANSLATE(D6024)"),"鯊魚男孩和熔岩女孩今天第三次。我想這就是養小孩的感覺吧。 ????")</f>
        <v>鯊魚男孩和熔岩女孩今天第三次。我想這就是養小孩的感覺吧。 ????</v>
      </c>
      <c r="G6024" s="4" t="str">
        <f>IFERROR(__xludf.DUMMYFUNCTION("GOOGLETRANSLATE(B6024)"),"足夠的")</f>
        <v>足夠的</v>
      </c>
    </row>
    <row r="6025" ht="15.75" customHeight="1">
      <c r="A6025" s="4">
        <v>6734.0</v>
      </c>
      <c r="B6025" s="4" t="s">
        <v>3099</v>
      </c>
      <c r="C6025" s="4" t="s">
        <v>4813</v>
      </c>
      <c r="D6025" s="4" t="s">
        <v>8795</v>
      </c>
      <c r="E6025" s="4">
        <v>0.0</v>
      </c>
      <c r="F6025" s="4" t="str">
        <f>IFERROR(__xludf.DUMMYFUNCTION("GOOGLETRANSLATE(D6025)"),"我熔岩你。")</f>
        <v>我熔岩你。</v>
      </c>
      <c r="G6025" s="4" t="str">
        <f>IFERROR(__xludf.DUMMYFUNCTION("GOOGLETRANSLATE(B6025)"),"足夠的")</f>
        <v>足夠的</v>
      </c>
    </row>
    <row r="6026" ht="15.75" customHeight="1">
      <c r="A6026" s="4">
        <v>6735.0</v>
      </c>
      <c r="B6026" s="4" t="s">
        <v>3099</v>
      </c>
      <c r="C6026" s="4" t="s">
        <v>1290</v>
      </c>
      <c r="D6026" s="4" t="s">
        <v>8796</v>
      </c>
      <c r="E6026" s="4">
        <v>0.0</v>
      </c>
      <c r="F6026" s="4" t="str">
        <f>IFERROR(__xludf.DUMMYFUNCTION("GOOGLETRANSLATE(D6026)"),"今晚天空出現一條熔岩河！今晚的夕陽確實很美。 (8-4-15) http://t.co/17EGMlNi80")</f>
        <v>今晚天空出現一條熔岩河！今晚的夕陽確實很美。 (8-4-15) http://t.co/17EGMlNi80</v>
      </c>
      <c r="G6026" s="4" t="str">
        <f>IFERROR(__xludf.DUMMYFUNCTION("GOOGLETRANSLATE(B6026)"),"足夠的")</f>
        <v>足夠的</v>
      </c>
    </row>
    <row r="6027" ht="15.75" customHeight="1">
      <c r="A6027" s="4">
        <v>6736.0</v>
      </c>
      <c r="B6027" s="4" t="s">
        <v>3099</v>
      </c>
      <c r="C6027" s="4" t="s">
        <v>112</v>
      </c>
      <c r="D6027" s="4" t="s">
        <v>8797</v>
      </c>
      <c r="E6027" s="4">
        <v>0.0</v>
      </c>
      <c r="F6027" s="4" t="str">
        <f>IFERROR(__xludf.DUMMYFUNCTION("GOOGLETRANSLATE(D6027)"),"@YoungHeroesID 4. 熔岩爆炸能量紅色#PantherAttack")</f>
        <v>@YoungHeroesID 4. 熔岩爆炸能量紅色#PantherAttack</v>
      </c>
      <c r="G6027" s="4" t="str">
        <f>IFERROR(__xludf.DUMMYFUNCTION("GOOGLETRANSLATE(B6027)"),"足夠的")</f>
        <v>足夠的</v>
      </c>
    </row>
    <row r="6028" ht="15.75" customHeight="1">
      <c r="A6028" s="4">
        <v>6737.0</v>
      </c>
      <c r="B6028" s="4" t="s">
        <v>3099</v>
      </c>
      <c r="C6028" s="4" t="s">
        <v>1887</v>
      </c>
      <c r="D6028" s="4" t="s">
        <v>8798</v>
      </c>
      <c r="E6028" s="4">
        <v>0.0</v>
      </c>
      <c r="F6028" s="4" t="str">
        <f>IFERROR(__xludf.DUMMYFUNCTION("GOOGLETRANSLATE(D6028)"),"奧利佛的#swim 課上有一個#baby，整個班級都在哭。就像他的#父母正在對他進行#waterboarding或將他浸入#lava中")</f>
        <v>奧利佛的#swim 課上有一個#baby，整個班級都在哭。就像他的#父母正在對他進行#waterboarding或將他浸入#lava中</v>
      </c>
      <c r="G6028" s="4" t="str">
        <f>IFERROR(__xludf.DUMMYFUNCTION("GOOGLETRANSLATE(B6028)"),"足夠的")</f>
        <v>足夠的</v>
      </c>
    </row>
    <row r="6029" ht="15.75" customHeight="1">
      <c r="A6029" s="4">
        <v>6738.0</v>
      </c>
      <c r="B6029" s="4" t="s">
        <v>3099</v>
      </c>
      <c r="C6029" s="4" t="s">
        <v>8799</v>
      </c>
      <c r="D6029" s="4" t="s">
        <v>8800</v>
      </c>
      <c r="E6029" s="4">
        <v>0.0</v>
      </c>
      <c r="F6029" s="4" t="str">
        <f>IFERROR(__xludf.DUMMYFUNCTION("GOOGLETRANSLATE(D6029)"),"讓我們玩地板是熔岩，但不只是地板，讓我們與整個世界一起玩，永遠不要起床http://t.co/aKQ4RwjFVL")</f>
        <v>讓我們玩地板是熔岩，但不只是地板，讓我們與整個世界一起玩，永遠不要起床http://t.co/aKQ4RwjFVL</v>
      </c>
      <c r="G6029" s="4" t="str">
        <f>IFERROR(__xludf.DUMMYFUNCTION("GOOGLETRANSLATE(B6029)"),"足夠的")</f>
        <v>足夠的</v>
      </c>
    </row>
    <row r="6030" ht="15.75" customHeight="1">
      <c r="A6030" s="4">
        <v>6742.0</v>
      </c>
      <c r="B6030" s="4" t="s">
        <v>3099</v>
      </c>
      <c r="C6030" s="4" t="s">
        <v>38</v>
      </c>
      <c r="D6030" s="4" t="s">
        <v>8801</v>
      </c>
      <c r="E6030" s="4">
        <v>0.0</v>
      </c>
      <c r="F6030" s="4" t="str">
        <f>IFERROR(__xludf.DUMMYFUNCTION("GOOGLETRANSLATE(D6030)"),"檢查此交易：http://t.co/uOoYgBb6aZ Sivan Health and Fitness 玄武岩熔岩熱石按摩套件，附 36 件¤Û_ http://t.co/JJxcnwBp15")</f>
        <v>檢查此交易：http://t.co/uOoYgBb6aZ Sivan Health and Fitness 玄武岩熔岩熱石按摩套件，附 36 件¤Û_ http://t.co/JJxcnwBp15</v>
      </c>
      <c r="G6030" s="4" t="str">
        <f>IFERROR(__xludf.DUMMYFUNCTION("GOOGLETRANSLATE(B6030)"),"足夠的")</f>
        <v>足夠的</v>
      </c>
    </row>
    <row r="6031" ht="15.75" customHeight="1">
      <c r="A6031" s="4">
        <v>6744.0</v>
      </c>
      <c r="B6031" s="4" t="s">
        <v>3099</v>
      </c>
      <c r="C6031" s="4" t="s">
        <v>8802</v>
      </c>
      <c r="D6031" s="4" t="s">
        <v>8803</v>
      </c>
      <c r="E6031" s="4">
        <v>0.0</v>
      </c>
      <c r="F6031" s="4" t="str">
        <f>IFERROR(__xludf.DUMMYFUNCTION("GOOGLETRANSLATE(D6031)"),"@AmuMumuX 熔岩你。？退出行動起來")</f>
        <v>@AmuMumuX 熔岩你。？退出行動起來</v>
      </c>
      <c r="G6031" s="4" t="str">
        <f>IFERROR(__xludf.DUMMYFUNCTION("GOOGLETRANSLATE(B6031)"),"足夠的")</f>
        <v>足夠的</v>
      </c>
    </row>
    <row r="6032" ht="15.75" customHeight="1">
      <c r="A6032" s="4">
        <v>6746.0</v>
      </c>
      <c r="B6032" s="4" t="s">
        <v>3099</v>
      </c>
      <c r="D6032" s="4" t="s">
        <v>8804</v>
      </c>
      <c r="E6032" s="4">
        <v>0.0</v>
      </c>
      <c r="F6032" s="4" t="str">
        <f>IFERROR(__xludf.DUMMYFUNCTION("GOOGLETRANSLATE(D6032)"),"願天上地海
會派人去熔岩嗎？？？")</f>
        <v>願天上地海
會派人去熔岩嗎？？？</v>
      </c>
      <c r="G6032" s="4" t="str">
        <f>IFERROR(__xludf.DUMMYFUNCTION("GOOGLETRANSLATE(B6032)"),"足夠的")</f>
        <v>足夠的</v>
      </c>
    </row>
    <row r="6033" ht="15.75" customHeight="1">
      <c r="A6033" s="4">
        <v>6748.0</v>
      </c>
      <c r="B6033" s="4" t="s">
        <v>3099</v>
      </c>
      <c r="C6033" s="4" t="s">
        <v>2678</v>
      </c>
      <c r="D6033" s="4" t="s">
        <v>8805</v>
      </c>
      <c r="E6033" s="4">
        <v>0.0</v>
      </c>
      <c r="F6033" s="4" t="str">
        <f>IFERROR(__xludf.DUMMYFUNCTION("GOOGLETRANSLATE(D6033)"),"我嘗試使用我的 #shakeology 蛋白質奶昔混合物和 aÛ_ https://t.co/APoD4EIVBa 製作巧克力和花生醬熔岩蛋糕")</f>
        <v>我嘗試使用我的 #shakeology 蛋白質奶昔混合物和 aÛ_ https://t.co/APoD4EIVBa 製作巧克力和花生醬熔岩蛋糕</v>
      </c>
      <c r="G6033" s="4" t="str">
        <f>IFERROR(__xludf.DUMMYFUNCTION("GOOGLETRANSLATE(B6033)"),"足夠的")</f>
        <v>足夠的</v>
      </c>
    </row>
    <row r="6034" ht="15.75" customHeight="1">
      <c r="A6034" s="4">
        <v>6751.0</v>
      </c>
      <c r="B6034" s="4" t="s">
        <v>3109</v>
      </c>
      <c r="C6034" s="4" t="s">
        <v>8806</v>
      </c>
      <c r="D6034" s="4" t="s">
        <v>8807</v>
      </c>
      <c r="E6034" s="4">
        <v>0.0</v>
      </c>
      <c r="F6034" s="4" t="str">
        <f>IFERROR(__xludf.DUMMYFUNCTION("GOOGLETRANSLATE(D6034)"),"閃電在原子層面重塑岩石 - 雷擊可以重塑礦物的晶體結構...... http://t.co/2Wvmij5SA4")</f>
        <v>閃電在原子層面重塑岩石 - 雷擊可以重塑礦物的晶體結構...... http://t.co/2Wvmij5SA4</v>
      </c>
      <c r="G6034" s="4" t="str">
        <f>IFERROR(__xludf.DUMMYFUNCTION("GOOGLETRANSLATE(B6034)"),"閃電")</f>
        <v>閃電</v>
      </c>
    </row>
    <row r="6035" ht="15.75" customHeight="1">
      <c r="A6035" s="4">
        <v>6754.0</v>
      </c>
      <c r="B6035" s="4" t="s">
        <v>3109</v>
      </c>
      <c r="C6035" s="4" t="s">
        <v>800</v>
      </c>
      <c r="D6035" s="4" t="s">
        <v>8808</v>
      </c>
      <c r="E6035" s="4">
        <v>0.0</v>
      </c>
      <c r="F6035" s="4" t="str">
        <f>IFERROR(__xludf.DUMMYFUNCTION("GOOGLETRANSLATE(D6035)"),"小狗們現在要做什麼？不再破壞我的 #iPhone 閃電電纜！ https://t.co/Z4jyHaRreW")</f>
        <v>小狗們現在要做什麼？不再破壞我的 #iPhone 閃電電纜！ https://t.co/Z4jyHaRreW</v>
      </c>
      <c r="G6035" s="4" t="str">
        <f>IFERROR(__xludf.DUMMYFUNCTION("GOOGLETRANSLATE(B6035)"),"閃電")</f>
        <v>閃電</v>
      </c>
    </row>
    <row r="6036" ht="15.75" customHeight="1">
      <c r="A6036" s="4">
        <v>6759.0</v>
      </c>
      <c r="B6036" s="4" t="s">
        <v>3109</v>
      </c>
      <c r="C6036" s="4" t="s">
        <v>38</v>
      </c>
      <c r="D6036" s="4" t="s">
        <v>8809</v>
      </c>
      <c r="E6036" s="4">
        <v>0.0</v>
      </c>
      <c r="F6036" s="4" t="str">
        <f>IFERROR(__xludf.DUMMYFUNCTION("GOOGLETRANSLATE(D6036)"),"手機優惠&gt;&gt; http://t.co/bYtbZ8s5ux #034 8 針閃電連接器 2.1A 車用充電器適用於 Apple 5 5S 5C 6 6+ iPÛ_ http://t.co/o3wVScLiCX")</f>
        <v>手機優惠&gt;&gt; http://t.co/bYtbZ8s5ux #034 8 針閃電連接器 2.1A 車用充電器適用於 Apple 5 5S 5C 6 6+ iPÛ_ http://t.co/o3wVScLiCX</v>
      </c>
      <c r="G6036" s="4" t="str">
        <f>IFERROR(__xludf.DUMMYFUNCTION("GOOGLETRANSLATE(B6036)"),"閃電")</f>
        <v>閃電</v>
      </c>
    </row>
    <row r="6037" ht="15.75" customHeight="1">
      <c r="A6037" s="4">
        <v>6765.0</v>
      </c>
      <c r="B6037" s="4" t="s">
        <v>3109</v>
      </c>
      <c r="D6037" s="4" t="s">
        <v>8810</v>
      </c>
      <c r="E6037" s="4">
        <v>0.0</v>
      </c>
      <c r="F6037" s="4" t="str">
        <f>IFERROR(__xludf.DUMMYFUNCTION("GOOGLETRANSLATE(D6037)"),"iCASEIT - MFi 認證閃電電纜 - 1m http://t.co/b32Jmvsb1E http://t.co/XKMiJGY59T")</f>
        <v>iCASEIT - MFi 認證閃電電纜 - 1m http://t.co/b32Jmvsb1E http://t.co/XKMiJGY59T</v>
      </c>
      <c r="G6037" s="4" t="str">
        <f>IFERROR(__xludf.DUMMYFUNCTION("GOOGLETRANSLATE(B6037)"),"閃電")</f>
        <v>閃電</v>
      </c>
    </row>
    <row r="6038" ht="15.75" customHeight="1">
      <c r="A6038" s="4">
        <v>6767.0</v>
      </c>
      <c r="B6038" s="4" t="s">
        <v>3109</v>
      </c>
      <c r="C6038" s="4" t="s">
        <v>8811</v>
      </c>
      <c r="D6038" s="4" t="s">
        <v>8812</v>
      </c>
      <c r="E6038" s="4">
        <v>0.0</v>
      </c>
      <c r="F6038" s="4" t="str">
        <f>IFERROR(__xludf.DUMMYFUNCTION("GOOGLETRANSLATE(D6038)"),"沃爾福斯在中路打出兩出單打。阿爾塔蒙特斯普林斯當晚的第四首熱門歌曲。")</f>
        <v>沃爾福斯在中路打出兩出單打。阿爾塔蒙特斯普林斯當晚的第四首熱門歌曲。</v>
      </c>
      <c r="G6038" s="4" t="str">
        <f>IFERROR(__xludf.DUMMYFUNCTION("GOOGLETRANSLATE(B6038)"),"閃電")</f>
        <v>閃電</v>
      </c>
    </row>
    <row r="6039" ht="15.75" customHeight="1">
      <c r="A6039" s="4">
        <v>6769.0</v>
      </c>
      <c r="B6039" s="4" t="s">
        <v>3109</v>
      </c>
      <c r="C6039" s="4" t="s">
        <v>8813</v>
      </c>
      <c r="D6039" s="4" t="s">
        <v>8814</v>
      </c>
      <c r="E6039" s="4">
        <v>0.0</v>
      </c>
      <c r="F6039" s="4" t="str">
        <f>IFERROR(__xludf.DUMMYFUNCTION("GOOGLETRANSLATE(D6039)"),"@Benji_Devos 謝謝謝謝：3")</f>
        <v>@Benji_Devos 謝謝謝謝：3</v>
      </c>
      <c r="G6039" s="4" t="str">
        <f>IFERROR(__xludf.DUMMYFUNCTION("GOOGLETRANSLATE(B6039)"),"閃電")</f>
        <v>閃電</v>
      </c>
    </row>
    <row r="6040" ht="15.75" customHeight="1">
      <c r="A6040" s="4">
        <v>6775.0</v>
      </c>
      <c r="B6040" s="4" t="s">
        <v>3109</v>
      </c>
      <c r="D6040" s="4" t="s">
        <v>8815</v>
      </c>
      <c r="E6040" s="4">
        <v>0.0</v>
      </c>
      <c r="F6040" s="4" t="str">
        <f>IFERROR(__xludf.DUMMYFUNCTION("GOOGLETRANSLATE(D6040)"),"第二次世界大戰書籍《閃電喬》，J. Lawton Collins 將軍的自傳 http://t.co/BzdfznKvoG http://t.co/eRhdH37rDh")</f>
        <v>第二次世界大戰書籍《閃電喬》，J. Lawton Collins 將軍的自傳 http://t.co/BzdfznKvoG http://t.co/eRhdH37rDh</v>
      </c>
      <c r="G6040" s="4" t="str">
        <f>IFERROR(__xludf.DUMMYFUNCTION("GOOGLETRANSLATE(B6040)"),"閃電")</f>
        <v>閃電</v>
      </c>
    </row>
    <row r="6041" ht="15.75" customHeight="1">
      <c r="A6041" s="4">
        <v>6779.0</v>
      </c>
      <c r="B6041" s="4" t="s">
        <v>3109</v>
      </c>
      <c r="C6041" s="4" t="s">
        <v>8811</v>
      </c>
      <c r="D6041" s="4" t="s">
        <v>8816</v>
      </c>
      <c r="E6041" s="4">
        <v>0.0</v>
      </c>
      <c r="F6041" s="4" t="str">
        <f>IFERROR(__xludf.DUMMYFUNCTION("GOOGLETRANSLATE(D6041)"),".@dantwitty52 關上了下半部 Boom 上的門。 #閃電出現在第八名的頂部。")</f>
        <v>.@dantwitty52 關上了下半部 Boom 上的門。 #閃電出現在第八名的頂部。</v>
      </c>
      <c r="G6041" s="4" t="str">
        <f>IFERROR(__xludf.DUMMYFUNCTION("GOOGLETRANSLATE(B6041)"),"閃電")</f>
        <v>閃電</v>
      </c>
    </row>
    <row r="6042" ht="15.75" customHeight="1">
      <c r="A6042" s="4">
        <v>6781.0</v>
      </c>
      <c r="B6042" s="4" t="s">
        <v>3109</v>
      </c>
      <c r="C6042" s="4" t="s">
        <v>8817</v>
      </c>
      <c r="D6042" s="4" t="s">
        <v>8818</v>
      </c>
      <c r="E6042" s="4">
        <v>0.0</v>
      </c>
      <c r="F6042" s="4" t="str">
        <f>IFERROR(__xludf.DUMMYFUNCTION("GOOGLETRANSLATE(D6042)"),"#現在正在播放一億個太陽的雪地巡邏隊的「雷擊」嗎？ http://t.co/GrzcHkDF37")</f>
        <v>#現在正在播放一億個太陽的雪地巡邏隊的「雷擊」嗎？ http://t.co/GrzcHkDF37</v>
      </c>
      <c r="G6042" s="4" t="str">
        <f>IFERROR(__xludf.DUMMYFUNCTION("GOOGLETRANSLATE(B6042)"),"閃電")</f>
        <v>閃電</v>
      </c>
    </row>
    <row r="6043" ht="15.75" customHeight="1">
      <c r="A6043" s="4">
        <v>6783.0</v>
      </c>
      <c r="B6043" s="4" t="s">
        <v>3109</v>
      </c>
      <c r="C6043" s="4" t="s">
        <v>8819</v>
      </c>
      <c r="D6043" s="4" t="s">
        <v>8820</v>
      </c>
      <c r="E6043" s="4">
        <v>0.0</v>
      </c>
      <c r="F6043" s="4" t="str">
        <f>IFERROR(__xludf.DUMMYFUNCTION("GOOGLETRANSLATE(D6043)"),"@Lightning_OOC 我正在遭受毫無根據的性對話。")</f>
        <v>@Lightning_OOC 我正在遭受毫無根據的性對話。</v>
      </c>
      <c r="G6043" s="4" t="str">
        <f>IFERROR(__xludf.DUMMYFUNCTION("GOOGLETRANSLATE(B6043)"),"閃電")</f>
        <v>閃電</v>
      </c>
    </row>
    <row r="6044" ht="15.75" customHeight="1">
      <c r="A6044" s="4">
        <v>6784.0</v>
      </c>
      <c r="B6044" s="4" t="s">
        <v>3109</v>
      </c>
      <c r="C6044" s="4" t="s">
        <v>8821</v>
      </c>
      <c r="D6044" s="4" t="s">
        <v>8822</v>
      </c>
      <c r="E6044" s="4">
        <v>0.0</v>
      </c>
      <c r="F6044" s="4" t="str">
        <f>IFERROR(__xludf.DUMMYFUNCTION("GOOGLETRANSLATE(D6044)"),"@Lightning_Wolf_ 你真的有活動目錄嗎？ ：P")</f>
        <v>@Lightning_Wolf_ 你真的有活動目錄嗎？ ：P</v>
      </c>
      <c r="G6044" s="4" t="str">
        <f>IFERROR(__xludf.DUMMYFUNCTION("GOOGLETRANSLATE(B6044)"),"閃電")</f>
        <v>閃電</v>
      </c>
    </row>
    <row r="6045" ht="15.75" customHeight="1">
      <c r="A6045" s="4">
        <v>6785.0</v>
      </c>
      <c r="B6045" s="4" t="s">
        <v>3109</v>
      </c>
      <c r="D6045" s="4" t="s">
        <v>8823</v>
      </c>
      <c r="E6045" s="4">
        <v>0.0</v>
      </c>
      <c r="F6045" s="4" t="str">
        <f>IFERROR(__xludf.DUMMYFUNCTION("GOOGLETRANSLATE(D6045)"),"是的，今晚我乘著閃電來到我最後的安息之地??????")</f>
        <v>是的，今晚我乘著閃電來到我最後的安息之地??????</v>
      </c>
      <c r="G6045" s="4" t="str">
        <f>IFERROR(__xludf.DUMMYFUNCTION("GOOGLETRANSLATE(B6045)"),"閃電")</f>
        <v>閃電</v>
      </c>
    </row>
    <row r="6046" ht="15.75" customHeight="1">
      <c r="A6046" s="4">
        <v>6790.0</v>
      </c>
      <c r="B6046" s="4" t="s">
        <v>3109</v>
      </c>
      <c r="C6046" s="4" t="s">
        <v>8824</v>
      </c>
      <c r="D6046" s="4" t="s">
        <v>8825</v>
      </c>
      <c r="E6046" s="4">
        <v>0.0</v>
      </c>
      <c r="F6046" s="4" t="str">
        <f>IFERROR(__xludf.DUMMYFUNCTION("GOOGLETRANSLATE(D6046)"),"外面有一些瘋狂的閃電")</f>
        <v>外面有一些瘋狂的閃電</v>
      </c>
      <c r="G6046" s="4" t="str">
        <f>IFERROR(__xludf.DUMMYFUNCTION("GOOGLETRANSLATE(B6046)"),"閃電")</f>
        <v>閃電</v>
      </c>
    </row>
    <row r="6047" ht="15.75" customHeight="1">
      <c r="A6047" s="4">
        <v>6792.0</v>
      </c>
      <c r="B6047" s="4" t="s">
        <v>3109</v>
      </c>
      <c r="C6047" s="4" t="s">
        <v>8826</v>
      </c>
      <c r="D6047" s="4" t="s">
        <v>8827</v>
      </c>
      <c r="E6047" s="4">
        <v>0.0</v>
      </c>
      <c r="F6047" s="4" t="str">
        <f>IFERROR(__xludf.DUMMYFUNCTION("GOOGLETRANSLATE(D6047)"),"科里·羅賓遜 (Corey Robinson) 在 RT 上有一些穩定的表現，儘管在我打字時，他在閃電下降中被 T. Walker 擊敗")</f>
        <v>科里·羅賓遜 (Corey Robinson) 在 RT 上有一些穩定的表現，儘管在我打字時，他在閃電下降中被 T. Walker 擊敗</v>
      </c>
      <c r="G6047" s="4" t="str">
        <f>IFERROR(__xludf.DUMMYFUNCTION("GOOGLETRANSLATE(B6047)"),"閃電")</f>
        <v>閃電</v>
      </c>
    </row>
    <row r="6048" ht="15.75" customHeight="1">
      <c r="A6048" s="4">
        <v>6794.0</v>
      </c>
      <c r="B6048" s="4" t="s">
        <v>3109</v>
      </c>
      <c r="C6048" s="4" t="s">
        <v>2811</v>
      </c>
      <c r="D6048" s="4" t="s">
        <v>8828</v>
      </c>
      <c r="E6048" s="4">
        <v>0.0</v>
      </c>
      <c r="F6048" s="4" t="str">
        <f>IFERROR(__xludf.DUMMYFUNCTION("GOOGLETRANSLATE(D6048)"),"看看從芝加哥起飛時拍攝的閃電的驚人鏡頭...http://t.co/AOg5chjmVs http://t.co/cLN2SXzY1Z")</f>
        <v>看看從芝加哥起飛時拍攝的閃電的驚人鏡頭...http://t.co/AOg5chjmVs http://t.co/cLN2SXzY1Z</v>
      </c>
      <c r="G6048" s="4" t="str">
        <f>IFERROR(__xludf.DUMMYFUNCTION("GOOGLETRANSLATE(B6048)"),"閃電")</f>
        <v>閃電</v>
      </c>
    </row>
    <row r="6049" ht="15.75" customHeight="1">
      <c r="A6049" s="4">
        <v>6796.0</v>
      </c>
      <c r="B6049" s="4" t="s">
        <v>3109</v>
      </c>
      <c r="C6049" s="4" t="s">
        <v>8829</v>
      </c>
      <c r="D6049" s="4" t="s">
        <v>8830</v>
      </c>
      <c r="E6049" s="4">
        <v>0.0</v>
      </c>
      <c r="F6049" s="4" t="str">
        <f>IFERROR(__xludf.DUMMYFUNCTION("GOOGLETRANSLATE(D6049)"),"'當你走開時
沒什麼好說的
看到你眼中的閃電
看到他們為自己的生命奔跑”")</f>
        <v>'當你走開時
沒什麼好說的
看到你眼中的閃電
看到他們為自己的生命奔跑”</v>
      </c>
      <c r="G6049" s="4" t="str">
        <f>IFERROR(__xludf.DUMMYFUNCTION("GOOGLETRANSLATE(B6049)"),"閃電")</f>
        <v>閃電</v>
      </c>
    </row>
    <row r="6050" ht="15.75" customHeight="1">
      <c r="A6050" s="4">
        <v>6799.0</v>
      </c>
      <c r="B6050" s="4" t="s">
        <v>3136</v>
      </c>
      <c r="C6050" s="4" t="s">
        <v>900</v>
      </c>
      <c r="D6050" s="4" t="s">
        <v>8831</v>
      </c>
      <c r="E6050" s="4">
        <v>0.0</v>
      </c>
      <c r="F6050" s="4" t="str">
        <f>IFERROR(__xludf.DUMMYFUNCTION("GOOGLETRANSLATE(D6050)"),"kabwandi_：突發新聞！未經證實！我剛剛聽到附近傳來一聲巨響。似乎是從我鄰居的屁股吹來的一陣風。")</f>
        <v>kabwandi_：突發新聞！未經證實！我剛剛聽到附近傳來一聲巨響。似乎是從我鄰居的屁股吹來的一陣風。</v>
      </c>
      <c r="G6050" s="4" t="str">
        <f>IFERROR(__xludf.DUMMYFUNCTION("GOOGLETRANSLATE(B6050)"),"大聲%20bang")</f>
        <v>大聲%20bang</v>
      </c>
    </row>
    <row r="6051" ht="15.75" customHeight="1">
      <c r="A6051" s="4">
        <v>6800.0</v>
      </c>
      <c r="B6051" s="4" t="s">
        <v>3136</v>
      </c>
      <c r="C6051" s="4" t="s">
        <v>900</v>
      </c>
      <c r="D6051" s="4" t="s">
        <v>8832</v>
      </c>
      <c r="E6051" s="4">
        <v>0.0</v>
      </c>
      <c r="F6051" s="4" t="str">
        <f>IFERROR(__xludf.DUMMYFUNCTION("GOOGLETRANSLATE(D6051)"),"tkyonly1fmk：突發新聞！未經證實！我剛剛聽到附近傳來一聲巨響。似乎是從我鄰居的屁股吹來的一陣風。")</f>
        <v>tkyonly1fmk：突發新聞！未經證實！我剛剛聽到附近傳來一聲巨響。似乎是從我鄰居的屁股吹來的一陣風。</v>
      </c>
      <c r="G6051" s="4" t="str">
        <f>IFERROR(__xludf.DUMMYFUNCTION("GOOGLETRANSLATE(B6051)"),"大聲%20bang")</f>
        <v>大聲%20bang</v>
      </c>
    </row>
    <row r="6052" ht="15.75" customHeight="1">
      <c r="A6052" s="4">
        <v>6801.0</v>
      </c>
      <c r="B6052" s="4" t="s">
        <v>3136</v>
      </c>
      <c r="D6052" s="4" t="s">
        <v>8833</v>
      </c>
      <c r="E6052" s="4">
        <v>0.0</v>
      </c>
      <c r="F6052" s="4" t="str">
        <f>IFERROR(__xludf.DUMMYFUNCTION("GOOGLETRANSLATE(D6052)"),"#ActionMoviesTaughtUs 東西實際上可以在太空中發出巨響爆炸。")</f>
        <v>#ActionMoviesTaughtUs 東西實際上可以在太空中發出巨響爆炸。</v>
      </c>
      <c r="G6052" s="4" t="str">
        <f>IFERROR(__xludf.DUMMYFUNCTION("GOOGLETRANSLATE(B6052)"),"大聲%20bang")</f>
        <v>大聲%20bang</v>
      </c>
    </row>
    <row r="6053" ht="15.75" customHeight="1">
      <c r="A6053" s="4">
        <v>6802.0</v>
      </c>
      <c r="B6053" s="4" t="s">
        <v>3136</v>
      </c>
      <c r="D6053" s="4" t="s">
        <v>8834</v>
      </c>
      <c r="E6053" s="4">
        <v>0.0</v>
      </c>
      <c r="F6053" s="4" t="str">
        <f>IFERROR(__xludf.DUMMYFUNCTION("GOOGLETRANSLATE(D6053)"),"@LayLoveTournay @RyroTheUnaware [大聲呻吟] 讓我們爆炸。")</f>
        <v>@LayLoveTournay @RyroTheUnaware [大聲呻吟] 讓我們爆炸。</v>
      </c>
      <c r="G6053" s="4" t="str">
        <f>IFERROR(__xludf.DUMMYFUNCTION("GOOGLETRANSLATE(B6053)"),"大聲%20bang")</f>
        <v>大聲%20bang</v>
      </c>
    </row>
    <row r="6054" ht="15.75" customHeight="1">
      <c r="A6054" s="4">
        <v>6804.0</v>
      </c>
      <c r="B6054" s="4" t="s">
        <v>3136</v>
      </c>
      <c r="C6054" s="4" t="s">
        <v>900</v>
      </c>
      <c r="D6054" s="4" t="s">
        <v>8835</v>
      </c>
      <c r="E6054" s="4">
        <v>0.0</v>
      </c>
      <c r="F6054" s="4" t="str">
        <f>IFERROR(__xludf.DUMMYFUNCTION("GOOGLETRANSLATE(D6054)"),"埃西姆內亞：突發新聞！未經證實！我剛剛聽到附近傳來一聲巨響。似乎是從我鄰居的屁股吹來的一陣風。")</f>
        <v>埃西姆內亞：突發新聞！未經證實！我剛剛聽到附近傳來一聲巨響。似乎是從我鄰居的屁股吹來的一陣風。</v>
      </c>
      <c r="G6054" s="4" t="str">
        <f>IFERROR(__xludf.DUMMYFUNCTION("GOOGLETRANSLATE(B6054)"),"大聲%20bang")</f>
        <v>大聲%20bang</v>
      </c>
    </row>
    <row r="6055" ht="15.75" customHeight="1">
      <c r="A6055" s="4">
        <v>6807.0</v>
      </c>
      <c r="B6055" s="4" t="s">
        <v>3136</v>
      </c>
      <c r="C6055" s="4" t="s">
        <v>900</v>
      </c>
      <c r="D6055" s="4" t="s">
        <v>8836</v>
      </c>
      <c r="E6055" s="4">
        <v>0.0</v>
      </c>
      <c r="F6055" s="4" t="str">
        <f>IFERROR(__xludf.DUMMYFUNCTION("GOOGLETRANSLATE(D6055)"),"kotolily_：突發新聞！未經證實！我剛剛聽到附近傳來一聲巨響。似乎是從我鄰居的屁股吹來的一陣風。")</f>
        <v>kotolily_：突發新聞！未經證實！我剛剛聽到附近傳來一聲巨響。似乎是從我鄰居的屁股吹來的一陣風。</v>
      </c>
      <c r="G6055" s="4" t="str">
        <f>IFERROR(__xludf.DUMMYFUNCTION("GOOGLETRANSLATE(B6055)"),"大聲%20bang")</f>
        <v>大聲%20bang</v>
      </c>
    </row>
    <row r="6056" ht="15.75" customHeight="1">
      <c r="A6056" s="4">
        <v>6808.0</v>
      </c>
      <c r="B6056" s="4" t="s">
        <v>3136</v>
      </c>
      <c r="C6056" s="4" t="s">
        <v>900</v>
      </c>
      <c r="D6056" s="4" t="s">
        <v>8837</v>
      </c>
      <c r="E6056" s="4">
        <v>0.0</v>
      </c>
      <c r="F6056" s="4" t="str">
        <f>IFERROR(__xludf.DUMMYFUNCTION("GOOGLETRANSLATE(D6056)"),"tarmineta3：突發新聞！未經證實！我剛剛聽到附近傳來一聲巨響。似乎是從我鄰居的屁股吹來的一陣風。")</f>
        <v>tarmineta3：突發新聞！未經證實！我剛剛聽到附近傳來一聲巨響。似乎是從我鄰居的屁股吹來的一陣風。</v>
      </c>
      <c r="G6056" s="4" t="str">
        <f>IFERROR(__xludf.DUMMYFUNCTION("GOOGLETRANSLATE(B6056)"),"大聲%20bang")</f>
        <v>大聲%20bang</v>
      </c>
    </row>
    <row r="6057" ht="15.75" customHeight="1">
      <c r="A6057" s="4">
        <v>6809.0</v>
      </c>
      <c r="B6057" s="4" t="s">
        <v>3136</v>
      </c>
      <c r="C6057" s="4" t="s">
        <v>900</v>
      </c>
      <c r="D6057" s="4" t="s">
        <v>8838</v>
      </c>
      <c r="E6057" s="4">
        <v>0.0</v>
      </c>
      <c r="F6057" s="4" t="str">
        <f>IFERROR(__xludf.DUMMYFUNCTION("GOOGLETRANSLATE(D6057)"),"shawie17shawie：突發新聞！未經證實！我剛剛聽到附近傳來一聲巨響。似乎是從我鄰居的屁股吹來的一陣風。")</f>
        <v>shawie17shawie：突發新聞！未經證實！我剛剛聽到附近傳來一聲巨響。似乎是從我鄰居的屁股吹來的一陣風。</v>
      </c>
      <c r="G6057" s="4" t="str">
        <f>IFERROR(__xludf.DUMMYFUNCTION("GOOGLETRANSLATE(B6057)"),"大聲%20bang")</f>
        <v>大聲%20bang</v>
      </c>
    </row>
    <row r="6058" ht="15.75" customHeight="1">
      <c r="A6058" s="4">
        <v>6810.0</v>
      </c>
      <c r="B6058" s="4" t="s">
        <v>3136</v>
      </c>
      <c r="D6058" s="4" t="s">
        <v>8839</v>
      </c>
      <c r="E6058" s="4">
        <v>0.0</v>
      </c>
      <c r="F6058" s="4" t="str">
        <f>IFERROR(__xludf.DUMMYFUNCTION("GOOGLETRANSLATE(D6058)"),"早些時候外面傳來一聲巨響，我檢查發現我父親坐在地板上，因為他坐的椅子壞了 http://t.co/uniJ1RVrRq")</f>
        <v>早些時候外面傳來一聲巨響，我檢查發現我父親坐在地板上，因為他坐的椅子壞了 http://t.co/uniJ1RVrRq</v>
      </c>
      <c r="G6058" s="4" t="str">
        <f>IFERROR(__xludf.DUMMYFUNCTION("GOOGLETRANSLATE(B6058)"),"大聲%20bang")</f>
        <v>大聲%20bang</v>
      </c>
    </row>
    <row r="6059" ht="15.75" customHeight="1">
      <c r="A6059" s="4">
        <v>6811.0</v>
      </c>
      <c r="B6059" s="4" t="s">
        <v>3136</v>
      </c>
      <c r="D6059" s="4" t="s">
        <v>8840</v>
      </c>
      <c r="E6059" s="4">
        <v>0.0</v>
      </c>
      <c r="F6059" s="4" t="str">
        <f>IFERROR(__xludf.DUMMYFUNCTION("GOOGLETRANSLATE(D6059)"),"誰他媽的會在星期二早上 9 點大聲播放音樂？布魯夫他們想要我來打他們嗎？")</f>
        <v>誰他媽的會在星期二早上 9 點大聲播放音樂？布魯夫他們想要我來打他們嗎？</v>
      </c>
      <c r="G6059" s="4" t="str">
        <f>IFERROR(__xludf.DUMMYFUNCTION("GOOGLETRANSLATE(B6059)"),"大聲%20bang")</f>
        <v>大聲%20bang</v>
      </c>
    </row>
    <row r="6060" ht="15.75" customHeight="1">
      <c r="A6060" s="4">
        <v>6815.0</v>
      </c>
      <c r="B6060" s="4" t="s">
        <v>3136</v>
      </c>
      <c r="C6060" s="4" t="s">
        <v>8841</v>
      </c>
      <c r="D6060" s="4" t="s">
        <v>8842</v>
      </c>
      <c r="E6060" s="4">
        <v>0.0</v>
      </c>
      <c r="F6060" s="4" t="str">
        <f>IFERROR(__xludf.DUMMYFUNCTION("GOOGLETRANSLATE(D6060)"),"#auspol 你能看出雅培和雅培之間的相似之處嗎？坎貝爾兩人都很大聲，進來時一聲巨響！！同路出去；讓我們來看看 ！")</f>
        <v>#auspol 你能看出雅培和雅培之間的相似之處嗎？坎貝爾兩人都很大聲，進來時一聲巨響！！同路出去；讓我們來看看 ！</v>
      </c>
      <c r="G6060" s="4" t="str">
        <f>IFERROR(__xludf.DUMMYFUNCTION("GOOGLETRANSLATE(B6060)"),"大聲%20bang")</f>
        <v>大聲%20bang</v>
      </c>
    </row>
    <row r="6061" ht="15.75" customHeight="1">
      <c r="A6061" s="4">
        <v>6817.0</v>
      </c>
      <c r="B6061" s="4" t="s">
        <v>3136</v>
      </c>
      <c r="C6061" s="4" t="s">
        <v>8843</v>
      </c>
      <c r="D6061" s="4" t="s">
        <v>8844</v>
      </c>
      <c r="E6061" s="4">
        <v>0.0</v>
      </c>
      <c r="F6061" s="4" t="str">
        <f>IFERROR(__xludf.DUMMYFUNCTION("GOOGLETRANSLATE(D6061)"),"跟我一起工作的小妞嚼口香糖的聲音那麼大？感覺要撞她")</f>
        <v>跟我一起工作的小妞嚼口香糖的聲音那麼大？感覺要撞她</v>
      </c>
      <c r="G6061" s="4" t="str">
        <f>IFERROR(__xludf.DUMMYFUNCTION("GOOGLETRANSLATE(B6061)"),"大聲%20bang")</f>
        <v>大聲%20bang</v>
      </c>
    </row>
    <row r="6062" ht="15.75" customHeight="1">
      <c r="A6062" s="4">
        <v>6819.0</v>
      </c>
      <c r="B6062" s="4" t="s">
        <v>3136</v>
      </c>
      <c r="C6062" s="4" t="s">
        <v>900</v>
      </c>
      <c r="D6062" s="4" t="s">
        <v>8845</v>
      </c>
      <c r="E6062" s="4">
        <v>0.0</v>
      </c>
      <c r="F6062" s="4" t="str">
        <f>IFERROR(__xludf.DUMMYFUNCTION("GOOGLETRANSLATE(D6062)"),"nikoniko12022：突發新聞！未經證實！我剛剛聽到附近傳來一聲巨響。似乎是從我鄰居的屁股吹來的一陣風。")</f>
        <v>nikoniko12022：突發新聞！未經證實！我剛剛聽到附近傳來一聲巨響。似乎是從我鄰居的屁股吹來的一陣風。</v>
      </c>
      <c r="G6062" s="4" t="str">
        <f>IFERROR(__xludf.DUMMYFUNCTION("GOOGLETRANSLATE(B6062)"),"大聲%20bang")</f>
        <v>大聲%20bang</v>
      </c>
    </row>
    <row r="6063" ht="15.75" customHeight="1">
      <c r="A6063" s="4">
        <v>6820.0</v>
      </c>
      <c r="B6063" s="4" t="s">
        <v>3136</v>
      </c>
      <c r="C6063" s="4" t="s">
        <v>8846</v>
      </c>
      <c r="D6063" s="4" t="s">
        <v>8847</v>
      </c>
      <c r="E6063" s="4">
        <v>0.0</v>
      </c>
      <c r="F6063" s="4" t="str">
        <f>IFERROR(__xludf.DUMMYFUNCTION("GOOGLETRANSLATE(D6063)"),"那是什麼鬼東西。外面傳來一聲巨響，一道閃光。我很確定我沒有死，但到底是什麼？？")</f>
        <v>那是什麼鬼東西。外面傳來一聲巨響，一道閃光。我很確定我沒有死，但到底是什麼？？</v>
      </c>
      <c r="G6063" s="4" t="str">
        <f>IFERROR(__xludf.DUMMYFUNCTION("GOOGLETRANSLATE(B6063)"),"大聲%20bang")</f>
        <v>大聲%20bang</v>
      </c>
    </row>
    <row r="6064" ht="15.75" customHeight="1">
      <c r="A6064" s="4">
        <v>6821.0</v>
      </c>
      <c r="B6064" s="4" t="s">
        <v>3136</v>
      </c>
      <c r="C6064" s="4" t="s">
        <v>8848</v>
      </c>
      <c r="D6064" s="4" t="s">
        <v>8849</v>
      </c>
      <c r="E6064" s="4">
        <v>0.0</v>
      </c>
      <c r="F6064" s="4" t="str">
        <f>IFERROR(__xludf.DUMMYFUNCTION("GOOGLETRANSLATE(D6064)"),"@SW_Trains 前往埃普索姆的火車即將抵達#Wimbledon 時發出奇怪的巨大撞擊聲")</f>
        <v>@SW_Trains 前往埃普索姆的火車即將抵達#Wimbledon 時發出奇怪的巨大撞擊聲</v>
      </c>
      <c r="G6064" s="4" t="str">
        <f>IFERROR(__xludf.DUMMYFUNCTION("GOOGLETRANSLATE(B6064)"),"大聲%20bang")</f>
        <v>大聲%20bang</v>
      </c>
    </row>
    <row r="6065" ht="15.75" customHeight="1">
      <c r="A6065" s="4">
        <v>6824.0</v>
      </c>
      <c r="B6065" s="4" t="s">
        <v>3136</v>
      </c>
      <c r="C6065" s="4" t="s">
        <v>900</v>
      </c>
      <c r="D6065" s="4" t="s">
        <v>8850</v>
      </c>
      <c r="E6065" s="4">
        <v>0.0</v>
      </c>
      <c r="F6065" s="4" t="str">
        <f>IFERROR(__xludf.DUMMYFUNCTION("GOOGLETRANSLATE(D6065)"),"k_matako_bot：突發新聞！未經證實！我剛剛聽到附近傳來一聲巨響。似乎是從我鄰居的屁股吹來的一陣風。")</f>
        <v>k_matako_bot：突發新聞！未經證實！我剛剛聽到附近傳來一聲巨響。似乎是從我鄰居的屁股吹來的一陣風。</v>
      </c>
      <c r="G6065" s="4" t="str">
        <f>IFERROR(__xludf.DUMMYFUNCTION("GOOGLETRANSLATE(B6065)"),"大聲%20bang")</f>
        <v>大聲%20bang</v>
      </c>
    </row>
    <row r="6066" ht="15.75" customHeight="1">
      <c r="A6066" s="4">
        <v>6830.0</v>
      </c>
      <c r="B6066" s="4" t="s">
        <v>3136</v>
      </c>
      <c r="C6066" s="4" t="s">
        <v>900</v>
      </c>
      <c r="D6066" s="4" t="s">
        <v>8851</v>
      </c>
      <c r="E6066" s="4">
        <v>0.0</v>
      </c>
      <c r="F6066" s="4" t="str">
        <f>IFERROR(__xludf.DUMMYFUNCTION("GOOGLETRANSLATE(D6066)"),"木島又子：突發新聞！未經證實！我剛剛聽到附近傳來一聲巨響。似乎是從我鄰居的屁股吹來的一陣風。")</f>
        <v>木島又子：突發新聞！未經證實！我剛剛聽到附近傳來一聲巨響。似乎是從我鄰居的屁股吹來的一陣風。</v>
      </c>
      <c r="G6066" s="4" t="str">
        <f>IFERROR(__xludf.DUMMYFUNCTION("GOOGLETRANSLATE(B6066)"),"大聲%20bang")</f>
        <v>大聲%20bang</v>
      </c>
    </row>
    <row r="6067" ht="15.75" customHeight="1">
      <c r="A6067" s="4">
        <v>6832.0</v>
      </c>
      <c r="B6067" s="4" t="s">
        <v>3136</v>
      </c>
      <c r="C6067" s="4" t="s">
        <v>900</v>
      </c>
      <c r="D6067" s="4" t="s">
        <v>8852</v>
      </c>
      <c r="E6067" s="4">
        <v>0.0</v>
      </c>
      <c r="F6067" s="4" t="str">
        <f>IFERROR(__xludf.DUMMYFUNCTION("GOOGLETRANSLATE(D6067)"),"matako_3：突發新聞！未經證實！我剛剛聽到附近傳來一聲巨響。似乎是從我鄰居的屁股吹來的一陣風。")</f>
        <v>matako_3：突發新聞！未經證實！我剛剛聽到附近傳來一聲巨響。似乎是從我鄰居的屁股吹來的一陣風。</v>
      </c>
      <c r="G6067" s="4" t="str">
        <f>IFERROR(__xludf.DUMMYFUNCTION("GOOGLETRANSLATE(B6067)"),"大聲%20bang")</f>
        <v>大聲%20bang</v>
      </c>
    </row>
    <row r="6068" ht="15.75" customHeight="1">
      <c r="A6068" s="4">
        <v>6833.0</v>
      </c>
      <c r="B6068" s="4" t="s">
        <v>3136</v>
      </c>
      <c r="C6068" s="4" t="s">
        <v>8853</v>
      </c>
      <c r="D6068" s="4" t="s">
        <v>8854</v>
      </c>
      <c r="E6068" s="4">
        <v>0.0</v>
      </c>
      <c r="F6068" s="4" t="str">
        <f>IFERROR(__xludf.DUMMYFUNCTION("GOOGLETRANSLATE(D6068)"),"當時是凌晨2點30分左右&amp;amp;我下樓看電視&amp;amp;我不小心發出一聲巨響&amp;amp;我爸爸（腿斷了）走了-")</f>
        <v>當時是凌晨2點30分左右&amp;amp;我下樓看電視&amp;amp;我不小心發出一聲巨響&amp;amp;我爸爸（腿斷了）走了-</v>
      </c>
      <c r="G6068" s="4" t="str">
        <f>IFERROR(__xludf.DUMMYFUNCTION("GOOGLETRANSLATE(B6068)"),"大聲%20bang")</f>
        <v>大聲%20bang</v>
      </c>
    </row>
    <row r="6069" ht="15.75" customHeight="1">
      <c r="A6069" s="4">
        <v>6834.0</v>
      </c>
      <c r="B6069" s="4" t="s">
        <v>3136</v>
      </c>
      <c r="C6069" s="4" t="s">
        <v>900</v>
      </c>
      <c r="D6069" s="4" t="s">
        <v>8855</v>
      </c>
      <c r="E6069" s="4">
        <v>0.0</v>
      </c>
      <c r="F6069" s="4" t="str">
        <f>IFERROR(__xludf.DUMMYFUNCTION("GOOGLETRANSLATE(D6069)"),"ykelquiban：突發新聞！未經證實！我剛剛聽到附近傳來一聲巨響。似乎是從我鄰居的屁股吹來的一陣風。")</f>
        <v>ykelquiban：突發新聞！未經證實！我剛剛聽到附近傳來一聲巨響。似乎是從我鄰居的屁股吹來的一陣風。</v>
      </c>
      <c r="G6069" s="4" t="str">
        <f>IFERROR(__xludf.DUMMYFUNCTION("GOOGLETRANSLATE(B6069)"),"大聲%20bang")</f>
        <v>大聲%20bang</v>
      </c>
    </row>
    <row r="6070" ht="15.75" customHeight="1">
      <c r="A6070" s="4">
        <v>6835.0</v>
      </c>
      <c r="B6070" s="4" t="s">
        <v>3136</v>
      </c>
      <c r="C6070" s="4" t="s">
        <v>8856</v>
      </c>
      <c r="D6070" s="4" t="s">
        <v>8857</v>
      </c>
      <c r="E6070" s="4">
        <v>0.0</v>
      </c>
      <c r="F6070" s="4" t="str">
        <f>IFERROR(__xludf.DUMMYFUNCTION("GOOGLETRANSLATE(D6070)"),"@ToxicSavior_ -一聲巨響。他愣在原地，所有人的頭慢慢轉向他。他最討厭的事情之一就是——")</f>
        <v>@ToxicSavior_ -一聲巨響。他愣在原地，所有人的頭慢慢轉向他。他最討厭的事情之一就是——</v>
      </c>
      <c r="G6070" s="4" t="str">
        <f>IFERROR(__xludf.DUMMYFUNCTION("GOOGLETRANSLATE(B6070)"),"大聲%20bang")</f>
        <v>大聲%20bang</v>
      </c>
    </row>
    <row r="6071" ht="15.75" customHeight="1">
      <c r="A6071" s="4">
        <v>6839.0</v>
      </c>
      <c r="B6071" s="4" t="s">
        <v>3136</v>
      </c>
      <c r="D6071" s="4" t="s">
        <v>8858</v>
      </c>
      <c r="E6071" s="4">
        <v>0.0</v>
      </c>
      <c r="F6071" s="4" t="str">
        <f>IFERROR(__xludf.DUMMYFUNCTION("GOOGLETRANSLATE(D6071)"),"@Bang_Me_Up_Guk 他是；-；就像他唱歌那麼大聲；-；")</f>
        <v>@Bang_Me_Up_Guk 他是；-；就像他唱歌那麼大聲；-；</v>
      </c>
      <c r="G6071" s="4" t="str">
        <f>IFERROR(__xludf.DUMMYFUNCTION("GOOGLETRANSLATE(B6071)"),"大聲%20bang")</f>
        <v>大聲%20bang</v>
      </c>
    </row>
    <row r="6072" ht="15.75" customHeight="1">
      <c r="A6072" s="4">
        <v>6841.0</v>
      </c>
      <c r="B6072" s="4" t="s">
        <v>3136</v>
      </c>
      <c r="C6072" s="4" t="s">
        <v>8859</v>
      </c>
      <c r="D6072" s="4" t="s">
        <v>8860</v>
      </c>
      <c r="E6072" s="4">
        <v>0.0</v>
      </c>
      <c r="F6072" s="4" t="str">
        <f>IFERROR(__xludf.DUMMYFUNCTION("GOOGLETRANSLATE(D6072)"),"轉到@Art_Brut_ 的“Bang Bang Rock and Roll”。我已經很久沒有大聲播放過這首曲子了。流行藝術中的原生藝術。")</f>
        <v>轉到@Art_Brut_ 的“Bang Bang Rock and Roll”。我已經很久沒有大聲播放過這首曲子了。流行藝術中的原生藝術。</v>
      </c>
      <c r="G6072" s="4" t="str">
        <f>IFERROR(__xludf.DUMMYFUNCTION("GOOGLETRANSLATE(B6072)"),"大聲%20bang")</f>
        <v>大聲%20bang</v>
      </c>
    </row>
    <row r="6073" ht="15.75" customHeight="1">
      <c r="A6073" s="4">
        <v>6844.0</v>
      </c>
      <c r="B6073" s="4" t="s">
        <v>3136</v>
      </c>
      <c r="C6073" s="4" t="s">
        <v>900</v>
      </c>
      <c r="D6073" s="4" t="s">
        <v>8861</v>
      </c>
      <c r="E6073" s="4">
        <v>0.0</v>
      </c>
      <c r="F6073" s="4" t="str">
        <f>IFERROR(__xludf.DUMMYFUNCTION("GOOGLETRANSLATE(D6073)"),"matako_milk：突發新聞！未經證實！我剛剛聽到附近傳來一聲巨響。似乎是從我鄰居的屁股吹來的一陣風。")</f>
        <v>matako_milk：突發新聞！未經證實！我剛剛聽到附近傳來一聲巨響。似乎是從我鄰居的屁股吹來的一陣風。</v>
      </c>
      <c r="G6073" s="4" t="str">
        <f>IFERROR(__xludf.DUMMYFUNCTION("GOOGLETRANSLATE(B6073)"),"大聲%20bang")</f>
        <v>大聲%20bang</v>
      </c>
    </row>
    <row r="6074" ht="15.75" customHeight="1">
      <c r="A6074" s="4">
        <v>6845.0</v>
      </c>
      <c r="B6074" s="4" t="s">
        <v>3136</v>
      </c>
      <c r="D6074" s="4" t="s">
        <v>8862</v>
      </c>
      <c r="E6074" s="4">
        <v>0.0</v>
      </c>
      <c r="F6074" s="4" t="str">
        <f>IFERROR(__xludf.DUMMYFUNCTION("GOOGLETRANSLATE(D6074)"),"需要在辦公室工作 我可以大聲地大聲敲打所有我最喜歡的 Future jam")</f>
        <v>需要在辦公室工作 我可以大聲地大聲敲打所有我最喜歡的 Future jam</v>
      </c>
      <c r="G6074" s="4" t="str">
        <f>IFERROR(__xludf.DUMMYFUNCTION("GOOGLETRANSLATE(B6074)"),"大聲%20bang")</f>
        <v>大聲%20bang</v>
      </c>
    </row>
    <row r="6075" ht="15.75" customHeight="1">
      <c r="A6075" s="4">
        <v>6847.0</v>
      </c>
      <c r="B6075" s="4" t="s">
        <v>3136</v>
      </c>
      <c r="C6075" s="4" t="s">
        <v>900</v>
      </c>
      <c r="D6075" s="4" t="s">
        <v>8863</v>
      </c>
      <c r="E6075" s="4">
        <v>0.0</v>
      </c>
      <c r="F6075" s="4" t="str">
        <f>IFERROR(__xludf.DUMMYFUNCTION("GOOGLETRANSLATE(D6075)"),"ColnHarun：突發新聞！未經證實！我剛剛聽到附近傳來一聲巨響。似乎是從我鄰居的屁股吹來的一陣風。")</f>
        <v>ColnHarun：突發新聞！未經證實！我剛剛聽到附近傳來一聲巨響。似乎是從我鄰居的屁股吹來的一陣風。</v>
      </c>
      <c r="G6075" s="4" t="str">
        <f>IFERROR(__xludf.DUMMYFUNCTION("GOOGLETRANSLATE(B6075)"),"大聲%20bang")</f>
        <v>大聲%20bang</v>
      </c>
    </row>
    <row r="6076" ht="15.75" customHeight="1">
      <c r="A6076" s="4">
        <v>6848.0</v>
      </c>
      <c r="B6076" s="4" t="s">
        <v>3136</v>
      </c>
      <c r="D6076" s="4" t="s">
        <v>8864</v>
      </c>
      <c r="E6076" s="4">
        <v>0.0</v>
      </c>
      <c r="F6076" s="4" t="str">
        <f>IFERROR(__xludf.DUMMYFUNCTION("GOOGLETRANSLATE(D6076)"),"我對很多事情都不會笑出聲。但我真的哈哈@大爆炸理論。")</f>
        <v>我對很多事情都不會笑出聲。但我真的哈哈@大爆炸理論。</v>
      </c>
      <c r="G6076" s="4" t="str">
        <f>IFERROR(__xludf.DUMMYFUNCTION("GOOGLETRANSLATE(B6076)"),"大聲%20bang")</f>
        <v>大聲%20bang</v>
      </c>
    </row>
    <row r="6077" ht="15.75" customHeight="1">
      <c r="A6077" s="4">
        <v>6862.0</v>
      </c>
      <c r="B6077" s="4" t="s">
        <v>3148</v>
      </c>
      <c r="D6077" s="4" t="s">
        <v>8865</v>
      </c>
      <c r="E6077" s="4">
        <v>0.0</v>
      </c>
      <c r="F6077" s="4" t="str">
        <f>IFERROR(__xludf.DUMMYFUNCTION("GOOGLETRANSLATE(D6077)"),"@noah_anyname 這就是集中營和大規模謀殺的根源。
每一個。他媽的。時間。")</f>
        <v>@noah_anyname 這就是集中營和大規模謀殺的根源。
每一個。他媽的。時間。</v>
      </c>
      <c r="G6077" s="4" t="str">
        <f>IFERROR(__xludf.DUMMYFUNCTION("GOOGLETRANSLATE(B6077)"),"質量%20謀殺")</f>
        <v>質量%20謀殺</v>
      </c>
    </row>
    <row r="6078" ht="15.75" customHeight="1">
      <c r="A6078" s="4">
        <v>6877.0</v>
      </c>
      <c r="B6078" s="4" t="s">
        <v>3148</v>
      </c>
      <c r="C6078" s="4" t="s">
        <v>1193</v>
      </c>
      <c r="D6078" s="4" t="s">
        <v>8866</v>
      </c>
      <c r="E6078" s="4">
        <v>0.0</v>
      </c>
      <c r="F6078" s="4" t="str">
        <f>IFERROR(__xludf.DUMMYFUNCTION("GOOGLETRANSLATE(D6078)"),"歐巴馬政府為您帶來的這起未遂大規模謀殺案http://t.co/jbrK8ZsrY6")</f>
        <v>歐巴馬政府為您帶來的這起未遂大規模謀殺案http://t.co/jbrK8ZsrY6</v>
      </c>
      <c r="G6078" s="4" t="str">
        <f>IFERROR(__xludf.DUMMYFUNCTION("GOOGLETRANSLATE(B6078)"),"質量%20謀殺")</f>
        <v>質量%20謀殺</v>
      </c>
    </row>
    <row r="6079" ht="15.75" customHeight="1">
      <c r="A6079" s="4">
        <v>6878.0</v>
      </c>
      <c r="B6079" s="4" t="s">
        <v>3148</v>
      </c>
      <c r="D6079" s="4" t="s">
        <v>8867</v>
      </c>
      <c r="E6079" s="4">
        <v>0.0</v>
      </c>
      <c r="F6079" s="4" t="str">
        <f>IFERROR(__xludf.DUMMYFUNCTION("GOOGLETRANSLATE(D6079)"),"他提出了一個很好的觀點。被標記為犯罪少數群體的白人大規模謀殺也會做同樣的事情... http://t.co/37qPsSnaCv")</f>
        <v>他提出了一個很好的觀點。被標記為犯罪少數群體的白人大規模謀殺也會做同樣的事情... http://t.co/37qPsSnaCv</v>
      </c>
      <c r="G6079" s="4" t="str">
        <f>IFERROR(__xludf.DUMMYFUNCTION("GOOGLETRANSLATE(B6079)"),"質量%20謀殺")</f>
        <v>質量%20謀殺</v>
      </c>
    </row>
    <row r="6080" ht="15.75" customHeight="1">
      <c r="A6080" s="4">
        <v>6879.0</v>
      </c>
      <c r="B6080" s="4" t="s">
        <v>3148</v>
      </c>
      <c r="C6080" s="4" t="s">
        <v>3170</v>
      </c>
      <c r="D6080" s="4" t="s">
        <v>8868</v>
      </c>
      <c r="E6080" s="4">
        <v>0.0</v>
      </c>
      <c r="F6080" s="4" t="str">
        <f>IFERROR(__xludf.DUMMYFUNCTION("GOOGLETRANSLATE(D6080)"),"http://t.co/FhI4qBpwFH @FredOlsenCruise 請把 #FaroeIslands 從你的行程中刪除，直到海豚和海豚被大規模謀殺為止。鯨魚停下來。")</f>
        <v>http://t.co/FhI4qBpwFH @FredOlsenCruise 請把 #FaroeIslands 從你的行程中刪除，直到海豚和海豚被大規模謀殺為止。鯨魚停下來。</v>
      </c>
      <c r="G6080" s="4" t="str">
        <f>IFERROR(__xludf.DUMMYFUNCTION("GOOGLETRANSLATE(B6080)"),"質量%20謀殺")</f>
        <v>質量%20謀殺</v>
      </c>
    </row>
    <row r="6081" ht="15.75" customHeight="1">
      <c r="A6081" s="4">
        <v>6882.0</v>
      </c>
      <c r="B6081" s="4" t="s">
        <v>3148</v>
      </c>
      <c r="C6081" s="4" t="s">
        <v>3155</v>
      </c>
      <c r="D6081" s="4" t="s">
        <v>8869</v>
      </c>
      <c r="E6081" s="4">
        <v>0.0</v>
      </c>
      <c r="F6081" s="4" t="str">
        <f>IFERROR(__xludf.DUMMYFUNCTION("GOOGLETRANSLATE(D6081)"),"媒體需要停止宣傳大規模謀殺。如此多的病人希望得到世界和媒體的關注...... http://t.co/QZlPFHpwDO")</f>
        <v>媒體需要停止宣傳大規模謀殺。如此多的病人希望得到世界和媒體的關注...... http://t.co/QZlPFHpwDO</v>
      </c>
      <c r="G6081" s="4" t="str">
        <f>IFERROR(__xludf.DUMMYFUNCTION("GOOGLETRANSLATE(B6081)"),"質量%20謀殺")</f>
        <v>質量%20謀殺</v>
      </c>
    </row>
    <row r="6082" ht="15.75" customHeight="1">
      <c r="A6082" s="4">
        <v>6900.0</v>
      </c>
      <c r="B6082" s="4" t="s">
        <v>3192</v>
      </c>
      <c r="C6082" s="4" t="s">
        <v>3203</v>
      </c>
      <c r="D6082" s="4" t="s">
        <v>8870</v>
      </c>
      <c r="E6082" s="4">
        <v>0.0</v>
      </c>
      <c r="F6082" s="4" t="str">
        <f>IFERROR(__xludf.DUMMYFUNCTION("GOOGLETRANSLATE(D6082)"),"@CarlaChamorros 希拉蕊是個大規模殺人犯。")</f>
        <v>@CarlaChamorros 希拉蕊是個大規模殺人犯。</v>
      </c>
      <c r="G6082" s="4" t="str">
        <f>IFERROR(__xludf.DUMMYFUNCTION("GOOGLETRANSLATE(B6082)"),"質量%20兇手")</f>
        <v>質量%20兇手</v>
      </c>
    </row>
    <row r="6083" ht="15.75" customHeight="1">
      <c r="A6083" s="4">
        <v>6908.0</v>
      </c>
      <c r="B6083" s="4" t="s">
        <v>3192</v>
      </c>
      <c r="C6083" s="4" t="s">
        <v>8871</v>
      </c>
      <c r="D6083" s="4" t="s">
        <v>8872</v>
      </c>
      <c r="E6083" s="4">
        <v>0.0</v>
      </c>
      <c r="F6083" s="4" t="str">
        <f>IFERROR(__xludf.DUMMYFUNCTION("GOOGLETRANSLATE(D6083)"),"[紗架：你一定認為我是一個真正的白痴旗人！一群無腦的肌肉！]我確實…但我不認為你是個大規模殺人犯！")</f>
        <v>[紗架：你一定認為我是一個真正的白痴旗人！一群無腦的肌肉！]我確實…但我不認為你是個大規模殺人犯！</v>
      </c>
      <c r="G6083" s="4" t="str">
        <f>IFERROR(__xludf.DUMMYFUNCTION("GOOGLETRANSLATE(B6083)"),"質量%20兇手")</f>
        <v>質量%20兇手</v>
      </c>
    </row>
    <row r="6084" ht="15.75" customHeight="1">
      <c r="A6084" s="4">
        <v>6911.0</v>
      </c>
      <c r="B6084" s="4" t="s">
        <v>3192</v>
      </c>
      <c r="C6084" s="4" t="s">
        <v>8873</v>
      </c>
      <c r="D6084" s="4" t="s">
        <v>8874</v>
      </c>
      <c r="E6084" s="4">
        <v>0.0</v>
      </c>
      <c r="F6084" s="4" t="str">
        <f>IFERROR(__xludf.DUMMYFUNCTION("GOOGLETRANSLATE(D6084)"),"就好像上帝希望我成為大屠殺兇手，每天都要與多少白痴打交道。")</f>
        <v>就好像上帝希望我成為大屠殺兇手，每天都要與多少白痴打交道。</v>
      </c>
      <c r="G6084" s="4" t="str">
        <f>IFERROR(__xludf.DUMMYFUNCTION("GOOGLETRANSLATE(B6084)"),"質量%20兇手")</f>
        <v>質量%20兇手</v>
      </c>
    </row>
    <row r="6085" ht="15.75" customHeight="1">
      <c r="A6085" s="4">
        <v>6912.0</v>
      </c>
      <c r="B6085" s="4" t="s">
        <v>3192</v>
      </c>
      <c r="D6085" s="4" t="s">
        <v>8875</v>
      </c>
      <c r="E6085" s="4">
        <v>0.0</v>
      </c>
      <c r="F6085" s="4" t="str">
        <f>IFERROR(__xludf.DUMMYFUNCTION("GOOGLETRANSLATE(D6085)"),"@atljw @cnnbrk 細線順便說一句，大規模殺人犯和恐怖分子。是的，我們不知道是否有政治。或社會方面；然而他去了一個")</f>
        <v>@atljw @cnnbrk 細線順便說一句，大規模殺人犯和恐怖分子。是的，我們不知道是否有政治。或社會方面；然而他去了一個</v>
      </c>
      <c r="G6085" s="4" t="str">
        <f>IFERROR(__xludf.DUMMYFUNCTION("GOOGLETRANSLATE(B6085)"),"質量%20兇手")</f>
        <v>質量%20兇手</v>
      </c>
    </row>
    <row r="6086" ht="15.75" customHeight="1">
      <c r="A6086" s="4">
        <v>6914.0</v>
      </c>
      <c r="B6086" s="4" t="s">
        <v>3192</v>
      </c>
      <c r="D6086" s="4" t="s">
        <v>8876</v>
      </c>
      <c r="E6086" s="4">
        <v>0.0</v>
      </c>
      <c r="F6086" s="4" t="str">
        <f>IFERROR(__xludf.DUMMYFUNCTION("GOOGLETRANSLATE(D6086)"),"@defendbutera 我看起來像個大屠殺兇手")</f>
        <v>@defendbutera 我看起來像個大屠殺兇手</v>
      </c>
      <c r="G6086" s="4" t="str">
        <f>IFERROR(__xludf.DUMMYFUNCTION("GOOGLETRANSLATE(B6086)"),"質量%20兇手")</f>
        <v>質量%20兇手</v>
      </c>
    </row>
    <row r="6087" ht="15.75" customHeight="1">
      <c r="A6087" s="4">
        <v>6915.0</v>
      </c>
      <c r="B6087" s="4" t="s">
        <v>3192</v>
      </c>
      <c r="C6087" s="4" t="s">
        <v>3871</v>
      </c>
      <c r="D6087" s="4" t="s">
        <v>8877</v>
      </c>
      <c r="E6087" s="4">
        <v>0.0</v>
      </c>
      <c r="F6087" s="4" t="str">
        <f>IFERROR(__xludf.DUMMYFUNCTION("GOOGLETRANSLATE(D6087)"),".@LibertyGeek83 親吻大屠殺兇手的屁股的事不適合我。 @POTUS 覺得沒關係。 http://t.co/LeJ5OnUs9Q")</f>
        <v>.@LibertyGeek83 親吻大屠殺兇手的屁股的事不適合我。 @POTUS 覺得沒關係。 http://t.co/LeJ5OnUs9Q</v>
      </c>
      <c r="G6087" s="4" t="str">
        <f>IFERROR(__xludf.DUMMYFUNCTION("GOOGLETRANSLATE(B6087)"),"質量%20兇手")</f>
        <v>質量%20兇手</v>
      </c>
    </row>
    <row r="6088" ht="15.75" customHeight="1">
      <c r="A6088" s="4">
        <v>6917.0</v>
      </c>
      <c r="B6088" s="4" t="s">
        <v>3192</v>
      </c>
      <c r="C6088" s="4" t="s">
        <v>8878</v>
      </c>
      <c r="D6088" s="4" t="s">
        <v>8879</v>
      </c>
      <c r="E6088" s="4">
        <v>0.0</v>
      </c>
      <c r="F6088" s="4" t="str">
        <f>IFERROR(__xludf.DUMMYFUNCTION("GOOGLETRANSLATE(D6088)"),"看到這個人是一個大屠殺的兇手，並且擁有像聯邦調查局中央情報局這樣的裝備來做壞事。")</f>
        <v>看到這個人是一個大屠殺的兇手，並且擁有像聯邦調查局中央情報局這樣的裝備來做壞事。</v>
      </c>
      <c r="G6088" s="4" t="str">
        <f>IFERROR(__xludf.DUMMYFUNCTION("GOOGLETRANSLATE(B6088)"),"質量%20兇手")</f>
        <v>質量%20兇手</v>
      </c>
    </row>
    <row r="6089" ht="15.75" customHeight="1">
      <c r="A6089" s="4">
        <v>6925.0</v>
      </c>
      <c r="B6089" s="4" t="s">
        <v>3192</v>
      </c>
      <c r="C6089" s="4" t="s">
        <v>3187</v>
      </c>
      <c r="D6089" s="4" t="s">
        <v>8880</v>
      </c>
      <c r="E6089" s="4">
        <v>0.0</v>
      </c>
      <c r="F6089" s="4" t="str">
        <f>IFERROR(__xludf.DUMMYFUNCTION("GOOGLETRANSLATE(D6089)"),"@TheEconomist 第一步：把那個大屠殺兇手的肖像從人民幣上去掉。")</f>
        <v>@TheEconomist 第一步：把那個大屠殺兇手的肖像從人民幣上去掉。</v>
      </c>
      <c r="G6089" s="4" t="str">
        <f>IFERROR(__xludf.DUMMYFUNCTION("GOOGLETRANSLATE(B6089)"),"質量%20兇手")</f>
        <v>質量%20兇手</v>
      </c>
    </row>
    <row r="6090" ht="15.75" customHeight="1">
      <c r="A6090" s="4">
        <v>6926.0</v>
      </c>
      <c r="B6090" s="4" t="s">
        <v>3192</v>
      </c>
      <c r="C6090" s="4" t="s">
        <v>8881</v>
      </c>
      <c r="D6090" s="4" t="s">
        <v>8882</v>
      </c>
      <c r="E6090" s="4">
        <v>0.0</v>
      </c>
      <c r="F6090" s="4" t="str">
        <f>IFERROR(__xludf.DUMMYFUNCTION("GOOGLETRANSLATE(D6090)"),"如果你的朋友真的是你的朋友，無論你的決定如何，他們都會支持你。
除非你成為大屠殺犯或什麼的")</f>
        <v>如果你的朋友真的是你的朋友，無論你的決定如何，他們都會支持你。
除非你成為大屠殺犯或什麼的</v>
      </c>
      <c r="G6090" s="4" t="str">
        <f>IFERROR(__xludf.DUMMYFUNCTION("GOOGLETRANSLATE(B6090)"),"質量%20兇手")</f>
        <v>質量%20兇手</v>
      </c>
    </row>
    <row r="6091" ht="15.75" customHeight="1">
      <c r="A6091" s="4">
        <v>6928.0</v>
      </c>
      <c r="B6091" s="4" t="s">
        <v>3192</v>
      </c>
      <c r="C6091" s="4" t="s">
        <v>8883</v>
      </c>
      <c r="D6091" s="4" t="s">
        <v>8884</v>
      </c>
      <c r="E6091" s="4">
        <v>0.0</v>
      </c>
      <c r="F6091" s="4" t="str">
        <f>IFERROR(__xludf.DUMMYFUNCTION("GOOGLETRANSLATE(D6091)"),"@VictoriaGittins 你覺得我怎麼樣，因為我不是大屠殺兇手！就那一個...")</f>
        <v>@VictoriaGittins 你覺得我怎麼樣，因為我不是大屠殺兇手！就那一個...</v>
      </c>
      <c r="G6091" s="4" t="str">
        <f>IFERROR(__xludf.DUMMYFUNCTION("GOOGLETRANSLATE(B6091)"),"質量%20兇手")</f>
        <v>質量%20兇手</v>
      </c>
    </row>
    <row r="6092" ht="15.75" customHeight="1">
      <c r="A6092" s="4">
        <v>6933.0</v>
      </c>
      <c r="B6092" s="4" t="s">
        <v>3192</v>
      </c>
      <c r="C6092" s="4" t="s">
        <v>8885</v>
      </c>
      <c r="D6092" s="4" t="s">
        <v>8886</v>
      </c>
      <c r="E6092" s="4">
        <v>0.0</v>
      </c>
      <c r="F6092" s="4" t="str">
        <f>IFERROR(__xludf.DUMMYFUNCTION("GOOGLETRANSLATE(D6092)"),"@TelegraphWorld 希望這是一個上流社會的白人大屠殺殺手......''' 嗯")</f>
        <v>@TelegraphWorld 希望這是一個上流社會的白人大屠殺殺手......''' 嗯</v>
      </c>
      <c r="G6092" s="4" t="str">
        <f>IFERROR(__xludf.DUMMYFUNCTION("GOOGLETRANSLATE(B6092)"),"質量%20兇手")</f>
        <v>質量%20兇手</v>
      </c>
    </row>
    <row r="6093" ht="15.75" customHeight="1">
      <c r="A6093" s="4">
        <v>6936.0</v>
      </c>
      <c r="B6093" s="4" t="s">
        <v>3192</v>
      </c>
      <c r="C6093" s="4" t="s">
        <v>8887</v>
      </c>
      <c r="D6093" s="4" t="s">
        <v>8888</v>
      </c>
      <c r="E6093" s="4">
        <v>0.0</v>
      </c>
      <c r="F6093" s="4" t="str">
        <f>IFERROR(__xludf.DUMMYFUNCTION("GOOGLETRANSLATE(D6093)"),"你不只是一個大屠殺的兇手，還在電影院裡讓黑鬼們丟麵包去看電影？來吧，夥計。")</f>
        <v>你不只是一個大屠殺的兇手，還在電影院裡讓黑鬼們丟麵包去看電影？來吧，夥計。</v>
      </c>
      <c r="G6093" s="4" t="str">
        <f>IFERROR(__xludf.DUMMYFUNCTION("GOOGLETRANSLATE(B6093)"),"質量%20兇手")</f>
        <v>質量%20兇手</v>
      </c>
    </row>
    <row r="6094" ht="15.75" customHeight="1">
      <c r="A6094" s="4">
        <v>6937.0</v>
      </c>
      <c r="B6094" s="4" t="s">
        <v>3192</v>
      </c>
      <c r="C6094" s="4" t="s">
        <v>3203</v>
      </c>
      <c r="D6094" s="4" t="s">
        <v>8889</v>
      </c>
      <c r="E6094" s="4">
        <v>0.0</v>
      </c>
      <c r="F6094" s="4" t="str">
        <f>IFERROR(__xludf.DUMMYFUNCTION("GOOGLETRANSLATE(D6094)"),"@BenignoVito @LibertyBell1000 希拉里馬斯兇手。")</f>
        <v>@BenignoVito @LibertyBell1000 希拉里馬斯兇手。</v>
      </c>
      <c r="G6094" s="4" t="str">
        <f>IFERROR(__xludf.DUMMYFUNCTION("GOOGLETRANSLATE(B6094)"),"質量%20兇手")</f>
        <v>質量%20兇手</v>
      </c>
    </row>
    <row r="6095" ht="15.75" customHeight="1">
      <c r="A6095" s="4">
        <v>6951.0</v>
      </c>
      <c r="B6095" s="4" t="s">
        <v>3218</v>
      </c>
      <c r="C6095" s="4" t="s">
        <v>8890</v>
      </c>
      <c r="D6095" s="4" t="s">
        <v>8891</v>
      </c>
      <c r="E6095" s="4">
        <v>0.0</v>
      </c>
      <c r="F6095" s="4" t="str">
        <f>IFERROR(__xludf.DUMMYFUNCTION("GOOGLETRANSLATE(D6095)"),"我剛剛在@AlamoDC 購買了 DEATH BED / DUDE BRO PARTY MASSACRE III w/ @pattonoswalt Live 的門票！ https://t.co/pmXLeZJBRc")</f>
        <v>我剛剛在@AlamoDC 購買了 DEATH BED / DUDE BRO PARTY MASSACRE III w/ @pattonoswalt Live 的門票！ https://t.co/pmXLeZJBRc</v>
      </c>
      <c r="G6095" s="4" t="str">
        <f>IFERROR(__xludf.DUMMYFUNCTION("GOOGLETRANSLATE(B6095)"),"屠殺")</f>
        <v>屠殺</v>
      </c>
    </row>
    <row r="6096" ht="15.75" customHeight="1">
      <c r="A6096" s="4">
        <v>6953.0</v>
      </c>
      <c r="B6096" s="4" t="s">
        <v>3218</v>
      </c>
      <c r="C6096" s="4" t="s">
        <v>8892</v>
      </c>
      <c r="D6096" s="4" t="s">
        <v>8893</v>
      </c>
      <c r="E6096" s="4">
        <v>0.0</v>
      </c>
      <c r="F6096" s="4" t="str">
        <f>IFERROR(__xludf.DUMMYFUNCTION("GOOGLETRANSLATE(D6096)"),"這個星期五！！棕櫚灘縣 #Grindhouse 系列一晚放映 #TexasChainsawMassacre http://t.co/1WopsGbVvv @morbidmovies")</f>
        <v>這個星期五！！棕櫚灘縣 #Grindhouse 系列一晚放映 #TexasChainsawMassacre http://t.co/1WopsGbVvv @morbidmovies</v>
      </c>
      <c r="G6096" s="4" t="str">
        <f>IFERROR(__xludf.DUMMYFUNCTION("GOOGLETRANSLATE(B6096)"),"屠殺")</f>
        <v>屠殺</v>
      </c>
    </row>
    <row r="6097" ht="15.75" customHeight="1">
      <c r="A6097" s="4">
        <v>6954.0</v>
      </c>
      <c r="B6097" s="4" t="s">
        <v>3218</v>
      </c>
      <c r="C6097" s="4" t="s">
        <v>8894</v>
      </c>
      <c r="D6097" s="4" t="s">
        <v>8895</v>
      </c>
      <c r="E6097" s="4">
        <v>0.0</v>
      </c>
      <c r="F6097" s="4" t="str">
        <f>IFERROR(__xludf.DUMMYFUNCTION("GOOGLETRANSLATE(D6097)"),"@AnimalLogic LOTG 在藍鳥和飛蛾被抓住並放走後就變得平滑了。將老鼠大屠殺歸結為一次微妙的迪士尼diss。")</f>
        <v>@AnimalLogic LOTG 在藍鳥和飛蛾被抓住並放走後就變得平滑了。將老鼠大屠殺歸結為一次微妙的迪士尼diss。</v>
      </c>
      <c r="G6097" s="4" t="str">
        <f>IFERROR(__xludf.DUMMYFUNCTION("GOOGLETRANSLATE(B6097)"),"屠殺")</f>
        <v>屠殺</v>
      </c>
    </row>
    <row r="6098" ht="15.75" customHeight="1">
      <c r="A6098" s="4">
        <v>6962.0</v>
      </c>
      <c r="B6098" s="4" t="s">
        <v>3218</v>
      </c>
      <c r="D6098" s="4" t="s">
        <v>8896</v>
      </c>
      <c r="E6098" s="4">
        <v>0.0</v>
      </c>
      <c r="F6098" s="4" t="str">
        <f>IFERROR(__xludf.DUMMYFUNCTION("GOOGLETRANSLATE(D6098)"),"糟糕的一天")</f>
        <v>糟糕的一天</v>
      </c>
      <c r="G6098" s="4" t="str">
        <f>IFERROR(__xludf.DUMMYFUNCTION("GOOGLETRANSLATE(B6098)"),"屠殺")</f>
        <v>屠殺</v>
      </c>
    </row>
    <row r="6099" ht="15.75" customHeight="1">
      <c r="A6099" s="4">
        <v>6963.0</v>
      </c>
      <c r="B6099" s="4" t="s">
        <v>3218</v>
      </c>
      <c r="D6099" s="4" t="s">
        <v>8897</v>
      </c>
      <c r="E6099" s="4">
        <v>0.0</v>
      </c>
      <c r="F6099" s="4" t="str">
        <f>IFERROR(__xludf.DUMMYFUNCTION("GOOGLETRANSLATE(D6099)"),"@eileenmfl 你是認真的嗎？")</f>
        <v>@eileenmfl 你是認真的嗎？</v>
      </c>
      <c r="G6099" s="4" t="str">
        <f>IFERROR(__xludf.DUMMYFUNCTION("GOOGLETRANSLATE(B6099)"),"屠殺")</f>
        <v>屠殺</v>
      </c>
    </row>
    <row r="6100" ht="15.75" customHeight="1">
      <c r="A6100" s="4">
        <v>6971.0</v>
      </c>
      <c r="B6100" s="4" t="s">
        <v>3218</v>
      </c>
      <c r="C6100" s="4" t="s">
        <v>8898</v>
      </c>
      <c r="D6100" s="4" t="s">
        <v>8899</v>
      </c>
      <c r="E6100" s="4">
        <v>0.0</v>
      </c>
      <c r="F6100" s="4" t="str">
        <f>IFERROR(__xludf.DUMMYFUNCTION("GOOGLETRANSLATE(D6100)"),"@Bloodbath_TV 最喜歡的 YouTube 頻道正在播放。
喜歡你們所做的一切，感謝你們向我介紹了 Dude Bro Party Massacre")</f>
        <v>@Bloodbath_TV 最喜歡的 YouTube 頻道正在播放。
喜歡你們所做的一切，感謝你們向我介紹了 Dude Bro Party Massacre</v>
      </c>
      <c r="G6100" s="4" t="str">
        <f>IFERROR(__xludf.DUMMYFUNCTION("GOOGLETRANSLATE(B6100)"),"屠殺")</f>
        <v>屠殺</v>
      </c>
    </row>
    <row r="6101" ht="15.75" customHeight="1">
      <c r="A6101" s="4">
        <v>6974.0</v>
      </c>
      <c r="B6101" s="4" t="s">
        <v>3218</v>
      </c>
      <c r="C6101" s="4" t="s">
        <v>8900</v>
      </c>
      <c r="D6101" s="4" t="s">
        <v>8901</v>
      </c>
      <c r="E6101" s="4">
        <v>0.0</v>
      </c>
      <c r="F6101" s="4" t="str">
        <f>IFERROR(__xludf.DUMMYFUNCTION("GOOGLETRANSLATE(D6101)"),"別惹我爸，我會變成一場屠殺。 #小心哈利")</f>
        <v>別惹我爸，我會變成一場屠殺。 #小心哈利</v>
      </c>
      <c r="G6101" s="4" t="str">
        <f>IFERROR(__xludf.DUMMYFUNCTION("GOOGLETRANSLATE(B6101)"),"屠殺")</f>
        <v>屠殺</v>
      </c>
    </row>
    <row r="6102" ht="15.75" customHeight="1">
      <c r="A6102" s="4">
        <v>6977.0</v>
      </c>
      <c r="B6102" s="4" t="s">
        <v>3218</v>
      </c>
      <c r="D6102" s="4" t="s">
        <v>8902</v>
      </c>
      <c r="E6102" s="4">
        <v>0.0</v>
      </c>
      <c r="F6102" s="4" t="str">
        <f>IFERROR(__xludf.DUMMYFUNCTION("GOOGLETRANSLATE(D6102)"),"@CIA 嘿，你這傢伙，我阻止了一場屠殺，所以你派警察到我家，讓這個小鎮永遠恨我，wtf？")</f>
        <v>@CIA 嘿，你這傢伙，我阻止了一場屠殺，所以你派警察到我家，讓這個小鎮永遠恨我，wtf？</v>
      </c>
      <c r="G6102" s="4" t="str">
        <f>IFERROR(__xludf.DUMMYFUNCTION("GOOGLETRANSLATE(B6102)"),"屠殺")</f>
        <v>屠殺</v>
      </c>
    </row>
    <row r="6103" ht="15.75" customHeight="1">
      <c r="A6103" s="4">
        <v>6979.0</v>
      </c>
      <c r="B6103" s="4" t="s">
        <v>3218</v>
      </c>
      <c r="C6103" s="4" t="s">
        <v>8903</v>
      </c>
      <c r="D6103" s="4" t="s">
        <v>8904</v>
      </c>
      <c r="E6103" s="4">
        <v>0.0</v>
      </c>
      <c r="F6103" s="4" t="str">
        <f>IFERROR(__xludf.DUMMYFUNCTION("GOOGLETRANSLATE(D6103)"),"評論：Dude Bro Party Massacre III http://t.co/f0WQlobOoy 作者：Patrick Bromley 標題為 http://t.co/THpBDPdj35")</f>
        <v>評論：Dude Bro Party Massacre III http://t.co/f0WQlobOoy 作者：Patrick Bromley 標題為 http://t.co/THpBDPdj35</v>
      </c>
      <c r="G6103" s="4" t="str">
        <f>IFERROR(__xludf.DUMMYFUNCTION("GOOGLETRANSLATE(B6103)"),"屠殺")</f>
        <v>屠殺</v>
      </c>
    </row>
    <row r="6104" ht="15.75" customHeight="1">
      <c r="A6104" s="4">
        <v>6983.0</v>
      </c>
      <c r="B6104" s="4" t="s">
        <v>3218</v>
      </c>
      <c r="D6104" s="4" t="s">
        <v>8905</v>
      </c>
      <c r="E6104" s="4">
        <v>0.0</v>
      </c>
      <c r="F6104" s="4" t="str">
        <f>IFERROR(__xludf.DUMMYFUNCTION("GOOGLETRANSLATE(D6104)"),"肥皂劇和教育雖然不像屠殺那麼突然，但長遠來看卻更加致命。 ——馬克吐溫")</f>
        <v>肥皂劇和教育雖然不像屠殺那麼突然，但長遠來看卻更加致命。 ——馬克吐溫</v>
      </c>
      <c r="G6104" s="4" t="str">
        <f>IFERROR(__xludf.DUMMYFUNCTION("GOOGLETRANSLATE(B6104)"),"屠殺")</f>
        <v>屠殺</v>
      </c>
    </row>
    <row r="6105" ht="15.75" customHeight="1">
      <c r="A6105" s="4">
        <v>6994.0</v>
      </c>
      <c r="B6105" s="4" t="s">
        <v>3218</v>
      </c>
      <c r="C6105" s="4" t="s">
        <v>1619</v>
      </c>
      <c r="D6105" s="4" t="s">
        <v>8906</v>
      </c>
      <c r="E6105" s="4">
        <v>0.0</v>
      </c>
      <c r="F6105" s="4" t="str">
        <f>IFERROR(__xludf.DUMMYFUNCTION("GOOGLETRANSLATE(D6105)"),"這是有史以​​來最令人毛骨悚然的青少年營嗎？ http://t.co/T8uqm7Imir")</f>
        <v>這是有史以​​來最令人毛骨悚然的青少年營嗎？ http://t.co/T8uqm7Imir</v>
      </c>
      <c r="G6105" s="4" t="str">
        <f>IFERROR(__xludf.DUMMYFUNCTION("GOOGLETRANSLATE(B6105)"),"屠殺")</f>
        <v>屠殺</v>
      </c>
    </row>
    <row r="6106" ht="15.75" customHeight="1">
      <c r="A6106" s="4">
        <v>6996.0</v>
      </c>
      <c r="B6106" s="4" t="s">
        <v>3251</v>
      </c>
      <c r="D6106" s="4" t="s">
        <v>8907</v>
      </c>
      <c r="E6106" s="4">
        <v>0.0</v>
      </c>
      <c r="F6106" s="4" t="str">
        <f>IFERROR(__xludf.DUMMYFUNCTION("GOOGLETRANSLATE(D6106)"),"八月海灘閱讀#Giveaway Hop &amp;amp; @StuckInBooks 正在贈送《混亂》系列中的任何一本書！ http://t.co/Jp3OY0OuXq")</f>
        <v>八月海灘閱讀#Giveaway Hop &amp;amp; @StuckInBooks 正在贈送《混亂》系列中的任何一本書！ http://t.co/Jp3OY0OuXq</v>
      </c>
      <c r="G6106" s="4" t="str">
        <f>IFERROR(__xludf.DUMMYFUNCTION("GOOGLETRANSLATE(B6106)"),"混亂")</f>
        <v>混亂</v>
      </c>
    </row>
    <row r="6107" ht="15.75" customHeight="1">
      <c r="A6107" s="4">
        <v>6998.0</v>
      </c>
      <c r="B6107" s="4" t="s">
        <v>3251</v>
      </c>
      <c r="C6107" s="4" t="s">
        <v>8908</v>
      </c>
      <c r="D6107" s="4" t="s">
        <v>8909</v>
      </c>
      <c r="E6107" s="4">
        <v>0.0</v>
      </c>
      <c r="F6107" s="4" t="str">
        <f>IFERROR(__xludf.DUMMYFUNCTION("GOOGLETRANSLATE(D6107)"),"@CVinch_WAOW 謝謝！被混亂驅趕。多可怕！ -史黛西")</f>
        <v>@CVinch_WAOW 謝謝！被混亂驅趕。多可怕！ -史黛西</v>
      </c>
      <c r="G6107" s="4" t="str">
        <f>IFERROR(__xludf.DUMMYFUNCTION("GOOGLETRANSLATE(B6107)"),"混亂")</f>
        <v>混亂</v>
      </c>
    </row>
    <row r="6108" ht="15.75" customHeight="1">
      <c r="A6108" s="4">
        <v>6999.0</v>
      </c>
      <c r="B6108" s="4" t="s">
        <v>3251</v>
      </c>
      <c r="D6108" s="4" t="s">
        <v>8910</v>
      </c>
      <c r="E6108" s="4">
        <v>0.0</v>
      </c>
      <c r="F6108" s="4" t="str">
        <f>IFERROR(__xludf.DUMMYFUNCTION("GOOGLETRANSLATE(D6108)"),"Slayer 反思 King Diamond &amp;amp; 低混亂音樂節出席率傑夫漢尼曼的去世 http://t.co/lfw4iymsak")</f>
        <v>Slayer 反思 King Diamond &amp;amp; 低混亂音樂節出席率傑夫漢尼曼的去世 http://t.co/lfw4iymsak</v>
      </c>
      <c r="G6108" s="4" t="str">
        <f>IFERROR(__xludf.DUMMYFUNCTION("GOOGLETRANSLATE(B6108)"),"混亂")</f>
        <v>混亂</v>
      </c>
    </row>
    <row r="6109" ht="15.75" customHeight="1">
      <c r="A6109" s="4">
        <v>7001.0</v>
      </c>
      <c r="B6109" s="4" t="s">
        <v>3251</v>
      </c>
      <c r="C6109" s="4" t="s">
        <v>1660</v>
      </c>
      <c r="D6109" s="4" t="s">
        <v>8911</v>
      </c>
      <c r="E6109" s="4">
        <v>0.0</v>
      </c>
      <c r="F6109" s="4" t="str">
        <f>IFERROR(__xludf.DUMMYFUNCTION("GOOGLETRANSLATE(D6109)"),"我猜我永遠無法去混亂...")</f>
        <v>我猜我永遠無法去混亂...</v>
      </c>
      <c r="G6109" s="4" t="str">
        <f>IFERROR(__xludf.DUMMYFUNCTION("GOOGLETRANSLATE(B6109)"),"混亂")</f>
        <v>混亂</v>
      </c>
    </row>
    <row r="6110" ht="15.75" customHeight="1">
      <c r="A6110" s="4">
        <v>7005.0</v>
      </c>
      <c r="B6110" s="4" t="s">
        <v>3251</v>
      </c>
      <c r="C6110" s="4" t="s">
        <v>8912</v>
      </c>
      <c r="D6110" s="4" t="s">
        <v>8913</v>
      </c>
      <c r="E6110" s="4">
        <v>0.0</v>
      </c>
      <c r="F6110" s="4" t="str">
        <f>IFERROR(__xludf.DUMMYFUNCTION("GOOGLETRANSLATE(D6110)"),"@RaynbowAffair 主編 @DiamondKesawn 發行 #RAmag 的第 7 期 http://t.co/ge0yd3mKAv。 #時尚#模特兒和#Mayhem")</f>
        <v>@RaynbowAffair 主編 @DiamondKesawn 發行 #RAmag 的第 7 期 http://t.co/ge0yd3mKAv。 #時尚#模特兒和#Mayhem</v>
      </c>
      <c r="G6110" s="4" t="str">
        <f>IFERROR(__xludf.DUMMYFUNCTION("GOOGLETRANSLATE(B6110)"),"混亂")</f>
        <v>混亂</v>
      </c>
    </row>
    <row r="6111" ht="15.75" customHeight="1">
      <c r="A6111" s="4">
        <v>7006.0</v>
      </c>
      <c r="B6111" s="4" t="s">
        <v>3251</v>
      </c>
      <c r="C6111" s="4" t="s">
        <v>752</v>
      </c>
      <c r="D6111" s="4" t="s">
        <v>8914</v>
      </c>
      <c r="E6111" s="4">
        <v>0.0</v>
      </c>
      <c r="F6111" s="4" t="str">
        <f>IFERROR(__xludf.DUMMYFUNCTION("GOOGLETRANSLATE(D6111)"),"@alexbelloli 我願意，只是看起來頁面亂了")</f>
        <v>@alexbelloli 我願意，只是看起來頁面亂了</v>
      </c>
      <c r="G6111" s="4" t="str">
        <f>IFERROR(__xludf.DUMMYFUNCTION("GOOGLETRANSLATE(B6111)"),"混亂")</f>
        <v>混亂</v>
      </c>
    </row>
    <row r="6112" ht="15.75" customHeight="1">
      <c r="A6112" s="4">
        <v>7008.0</v>
      </c>
      <c r="B6112" s="4" t="s">
        <v>3251</v>
      </c>
      <c r="C6112" s="4" t="s">
        <v>8915</v>
      </c>
      <c r="D6112" s="4" t="s">
        <v>8916</v>
      </c>
      <c r="E6112" s="4">
        <v>0.0</v>
      </c>
      <c r="F6112" s="4" t="str">
        <f>IFERROR(__xludf.DUMMYFUNCTION("GOOGLETRANSLATE(D6112)"),"@RaynbowAffair 主編 @DiamondKesawn 發布 #RAmag 的第 7 期 http://t.co/7mzYcU2IHo。 #時尚#模特兒和#Mayhem")</f>
        <v>@RaynbowAffair 主編 @DiamondKesawn 發布 #RAmag 的第 7 期 http://t.co/7mzYcU2IHo。 #時尚#模特兒和#Mayhem</v>
      </c>
      <c r="G6112" s="4" t="str">
        <f>IFERROR(__xludf.DUMMYFUNCTION("GOOGLETRANSLATE(B6112)"),"混亂")</f>
        <v>混亂</v>
      </c>
    </row>
    <row r="6113" ht="15.75" customHeight="1">
      <c r="A6113" s="4">
        <v>7009.0</v>
      </c>
      <c r="B6113" s="4" t="s">
        <v>3251</v>
      </c>
      <c r="D6113" s="4" t="s">
        <v>8917</v>
      </c>
      <c r="E6113" s="4">
        <v>0.0</v>
      </c>
      <c r="F6113" s="4" t="str">
        <f>IFERROR(__xludf.DUMMYFUNCTION("GOOGLETRANSLATE(D6113)"),"今晚將會是混亂@#4PlayThursdays。每個人都可以免費使用文字。 1716 I ST 西北 (18+) http://t.co/sCu9QZp6nq")</f>
        <v>今晚將會是混亂@#4PlayThursdays。每個人都可以免費使用文字。 1716 I ST 西北 (18+) http://t.co/sCu9QZp6nq</v>
      </c>
      <c r="G6113" s="4" t="str">
        <f>IFERROR(__xludf.DUMMYFUNCTION("GOOGLETRANSLATE(B6113)"),"混亂")</f>
        <v>混亂</v>
      </c>
    </row>
    <row r="6114" ht="15.75" customHeight="1">
      <c r="A6114" s="4">
        <v>7010.0</v>
      </c>
      <c r="B6114" s="4" t="s">
        <v>3251</v>
      </c>
      <c r="D6114" s="4" t="s">
        <v>8918</v>
      </c>
      <c r="E6114" s="4">
        <v>0.0</v>
      </c>
      <c r="F6114" s="4" t="str">
        <f>IFERROR(__xludf.DUMMYFUNCTION("GOOGLETRANSLATE(D6114)"),"混亂是美麗的")</f>
        <v>混亂是美麗的</v>
      </c>
      <c r="G6114" s="4" t="str">
        <f>IFERROR(__xludf.DUMMYFUNCTION("GOOGLETRANSLATE(B6114)"),"混亂")</f>
        <v>混亂</v>
      </c>
    </row>
    <row r="6115" ht="15.75" customHeight="1">
      <c r="A6115" s="4">
        <v>7012.0</v>
      </c>
      <c r="B6115" s="4" t="s">
        <v>3251</v>
      </c>
      <c r="C6115" s="4" t="s">
        <v>8919</v>
      </c>
      <c r="D6115" s="4" t="s">
        <v>8920</v>
      </c>
      <c r="E6115" s="4">
        <v>0.0</v>
      </c>
      <c r="F6115" s="4" t="str">
        <f>IFERROR(__xludf.DUMMYFUNCTION("GOOGLETRANSLATE(D6115)"),"@Mayhem_114 你是從右到左讀的嗎")</f>
        <v>@Mayhem_114 你是從右到左讀的嗎</v>
      </c>
      <c r="G6115" s="4" t="str">
        <f>IFERROR(__xludf.DUMMYFUNCTION("GOOGLETRANSLATE(B6115)"),"混亂")</f>
        <v>混亂</v>
      </c>
    </row>
    <row r="6116" ht="15.75" customHeight="1">
      <c r="A6116" s="4">
        <v>7013.0</v>
      </c>
      <c r="B6116" s="4" t="s">
        <v>3251</v>
      </c>
      <c r="C6116" s="4" t="s">
        <v>8921</v>
      </c>
      <c r="D6116" s="4" t="s">
        <v>8922</v>
      </c>
      <c r="E6116" s="4">
        <v>0.0</v>
      </c>
      <c r="F6116" s="4" t="str">
        <f>IFERROR(__xludf.DUMMYFUNCTION("GOOGLETRANSLATE(D6116)"),"還有人認為史蒂芬興奮時聽起來像安迪迪克嗎？不同的是……我其實很喜歡史蒂芬。 #廚藝大師")</f>
        <v>還有人認為史蒂芬興奮時聽起來像安迪迪克嗎？不同的是……我其實很喜歡史蒂芬。 #廚藝大師</v>
      </c>
      <c r="G6116" s="4" t="str">
        <f>IFERROR(__xludf.DUMMYFUNCTION("GOOGLETRANSLATE(B6116)"),"混亂")</f>
        <v>混亂</v>
      </c>
    </row>
    <row r="6117" ht="15.75" customHeight="1">
      <c r="A6117" s="4">
        <v>7015.0</v>
      </c>
      <c r="B6117" s="4" t="s">
        <v>3251</v>
      </c>
      <c r="C6117" s="4" t="s">
        <v>8923</v>
      </c>
      <c r="D6117" s="4" t="s">
        <v>8924</v>
      </c>
      <c r="E6117" s="4">
        <v>0.0</v>
      </c>
      <c r="F6117" s="4" t="str">
        <f>IFERROR(__xludf.DUMMYFUNCTION("GOOGLETRANSLATE(D6117)"),"#NoSurrender 結果：全金屬混亂世界冠軍賽惡霸雷被淘汰職業生涯結束等等！ http://t.co/G6moNVnpSu")</f>
        <v>#NoSurrender 結果：全金屬混亂世界冠軍賽惡霸雷被淘汰職業生涯結束等等！ http://t.co/G6moNVnpSu</v>
      </c>
      <c r="G6117" s="4" t="str">
        <f>IFERROR(__xludf.DUMMYFUNCTION("GOOGLETRANSLATE(B6117)"),"混亂")</f>
        <v>混亂</v>
      </c>
    </row>
    <row r="6118" ht="15.75" customHeight="1">
      <c r="A6118" s="4">
        <v>7018.0</v>
      </c>
      <c r="B6118" s="4" t="s">
        <v>3251</v>
      </c>
      <c r="C6118" s="4" t="s">
        <v>752</v>
      </c>
      <c r="D6118" s="4" t="s">
        <v>8925</v>
      </c>
      <c r="E6118" s="4">
        <v>0.0</v>
      </c>
      <c r="F6118" s="4" t="str">
        <f>IFERROR(__xludf.DUMMYFUNCTION("GOOGLETRANSLATE(D6118)"),"@alexbelloli 現在我知道了哈哈")</f>
        <v>@alexbelloli 現在我知道了哈哈</v>
      </c>
      <c r="G6118" s="4" t="str">
        <f>IFERROR(__xludf.DUMMYFUNCTION("GOOGLETRANSLATE(B6118)"),"混亂")</f>
        <v>混亂</v>
      </c>
    </row>
    <row r="6119" ht="15.75" customHeight="1">
      <c r="A6119" s="4">
        <v>7019.0</v>
      </c>
      <c r="B6119" s="4" t="s">
        <v>3251</v>
      </c>
      <c r="C6119" s="4" t="s">
        <v>8926</v>
      </c>
      <c r="D6119" s="4" t="s">
        <v>8927</v>
      </c>
      <c r="E6119" s="4">
        <v>0.0</v>
      </c>
      <c r="F6119" s="4" t="str">
        <f>IFERROR(__xludf.DUMMYFUNCTION("GOOGLETRANSLATE(D6119)"),"#TBT 那時我和我最好的朋友在迪斯可舞廳感到驚慌。 https://t.co/htpqvoHtUd")</f>
        <v>#TBT 那時我和我最好的朋友在迪斯可舞廳感到驚慌。 https://t.co/htpqvoHtUd</v>
      </c>
      <c r="G6119" s="4" t="str">
        <f>IFERROR(__xludf.DUMMYFUNCTION("GOOGLETRANSLATE(B6119)"),"混亂")</f>
        <v>混亂</v>
      </c>
    </row>
    <row r="6120" ht="15.75" customHeight="1">
      <c r="A6120" s="4">
        <v>7021.0</v>
      </c>
      <c r="B6120" s="4" t="s">
        <v>3251</v>
      </c>
      <c r="D6120" s="4" t="s">
        <v>8928</v>
      </c>
      <c r="E6120" s="4">
        <v>0.0</v>
      </c>
      <c r="F6120" s="4" t="str">
        <f>IFERROR(__xludf.DUMMYFUNCTION("GOOGLETRANSLATE(D6120)"),"魔法之城混亂：基西米冒險？ 2015 年 8 月 5 日 http://t.co/FpYrU5GOLh")</f>
        <v>魔法之城混亂：基西米冒險？ 2015 年 8 月 5 日 http://t.co/FpYrU5GOLh</v>
      </c>
      <c r="G6120" s="4" t="str">
        <f>IFERROR(__xludf.DUMMYFUNCTION("GOOGLETRANSLATE(B6120)"),"混亂")</f>
        <v>混亂</v>
      </c>
    </row>
    <row r="6121" ht="15.75" customHeight="1">
      <c r="A6121" s="4">
        <v>7023.0</v>
      </c>
      <c r="B6121" s="4" t="s">
        <v>3251</v>
      </c>
      <c r="C6121" s="4" t="s">
        <v>8929</v>
      </c>
      <c r="D6121" s="4" t="s">
        <v>8930</v>
      </c>
      <c r="E6121" s="4">
        <v>0.0</v>
      </c>
      <c r="F6121" s="4" t="str">
        <f>IFERROR(__xludf.DUMMYFUNCTION("GOOGLETRANSLATE(D6121)"),"_
??????轉發
??????
??????關注所有 RT
??????
？？？？？跟著回來
??????
?????增益與
??????
??????關注？@ganseyman #RT_4_A_MENTION
#TY")</f>
        <v>_
??????轉發
??????
??????關注所有 RT
??????
？？？？？跟著回來
??????
?????增益與
??????
??????關注？@ganseyman #RT_4_A_MENTION
#TY</v>
      </c>
      <c r="G6121" s="4" t="str">
        <f>IFERROR(__xludf.DUMMYFUNCTION("GOOGLETRANSLATE(B6121)"),"混亂")</f>
        <v>混亂</v>
      </c>
    </row>
    <row r="6122" ht="15.75" customHeight="1">
      <c r="A6122" s="4">
        <v>7024.0</v>
      </c>
      <c r="B6122" s="4" t="s">
        <v>3251</v>
      </c>
      <c r="C6122" s="4" t="s">
        <v>8931</v>
      </c>
      <c r="D6122" s="4" t="s">
        <v>8932</v>
      </c>
      <c r="E6122" s="4">
        <v>0.0</v>
      </c>
      <c r="F6122" s="4" t="str">
        <f>IFERROR(__xludf.DUMMYFUNCTION("GOOGLETRANSLATE(D6122)"),"@RaynbowAffair 主編 @DiamondKesawn 發布 #RAmag 的第 7 期 http://t.co/RPnEAJ6fOD。 #時尚#模特兒和#Mayhem")</f>
        <v>@RaynbowAffair 主編 @DiamondKesawn 發布 #RAmag 的第 7 期 http://t.co/RPnEAJ6fOD。 #時尚#模特兒和#Mayhem</v>
      </c>
      <c r="G6122" s="4" t="str">
        <f>IFERROR(__xludf.DUMMYFUNCTION("GOOGLETRANSLATE(B6122)"),"混亂")</f>
        <v>混亂</v>
      </c>
    </row>
    <row r="6123" ht="15.75" customHeight="1">
      <c r="A6123" s="4">
        <v>7025.0</v>
      </c>
      <c r="B6123" s="4" t="s">
        <v>3251</v>
      </c>
      <c r="C6123" s="4" t="s">
        <v>8933</v>
      </c>
      <c r="D6123" s="4" t="s">
        <v>8934</v>
      </c>
      <c r="E6123" s="4">
        <v>0.0</v>
      </c>
      <c r="F6123" s="4" t="str">
        <f>IFERROR(__xludf.DUMMYFUNCTION("GOOGLETRANSLATE(D6123)"),"他們才是真正的英雄...安息吧勇敢的心... http://t.co/Q9LxO4QkjI")</f>
        <v>他們才是真正的英雄...安息吧勇敢的心... http://t.co/Q9LxO4QkjI</v>
      </c>
      <c r="G6123" s="4" t="str">
        <f>IFERROR(__xludf.DUMMYFUNCTION("GOOGLETRANSLATE(B6123)"),"混亂")</f>
        <v>混亂</v>
      </c>
    </row>
    <row r="6124" ht="15.75" customHeight="1">
      <c r="A6124" s="4">
        <v>7026.0</v>
      </c>
      <c r="B6124" s="4" t="s">
        <v>3251</v>
      </c>
      <c r="C6124" s="4" t="s">
        <v>8935</v>
      </c>
      <c r="D6124" s="4" t="s">
        <v>8936</v>
      </c>
      <c r="E6124" s="4">
        <v>0.0</v>
      </c>
      <c r="F6124" s="4" t="str">
        <f>IFERROR(__xludf.DUMMYFUNCTION("GOOGLETRANSLATE(D6124)"),"競選活動：威爾·法瑞爾和扎克·加利凡納基斯在這場滑稽的政治鬧劇中製造了喜劇混亂。 4* http://t.co/tQ3j2qGtZQ")</f>
        <v>競選活動：威爾·法瑞爾和扎克·加利凡納基斯在這場滑稽的政治鬧劇中製造了喜劇混亂。 4* http://t.co/tQ3j2qGtZQ</v>
      </c>
      <c r="G6124" s="4" t="str">
        <f>IFERROR(__xludf.DUMMYFUNCTION("GOOGLETRANSLATE(B6124)"),"混亂")</f>
        <v>混亂</v>
      </c>
    </row>
    <row r="6125" ht="15.75" customHeight="1">
      <c r="A6125" s="4">
        <v>7027.0</v>
      </c>
      <c r="B6125" s="4" t="s">
        <v>3251</v>
      </c>
      <c r="C6125" s="4" t="s">
        <v>8937</v>
      </c>
      <c r="D6125" s="4" t="s">
        <v>8938</v>
      </c>
      <c r="E6125" s="4">
        <v>0.0</v>
      </c>
      <c r="F6125" s="4" t="str">
        <f>IFERROR(__xludf.DUMMYFUNCTION("GOOGLETRANSLATE(D6125)"),"今晚將會是混亂@#4PlayThursdays。每個人都可以免費使用文字。 1716 I ST 西北 (18+) http://t.co/cQ7jJ6Yjfz")</f>
        <v>今晚將會是混亂@#4PlayThursdays。每個人都可以免費使用文字。 1716 I ST 西北 (18+) http://t.co/cQ7jJ6Yjfz</v>
      </c>
      <c r="G6125" s="4" t="str">
        <f>IFERROR(__xludf.DUMMYFUNCTION("GOOGLETRANSLATE(B6125)"),"混亂")</f>
        <v>混亂</v>
      </c>
    </row>
    <row r="6126" ht="15.75" customHeight="1">
      <c r="A6126" s="4">
        <v>7030.0</v>
      </c>
      <c r="B6126" s="4" t="s">
        <v>3251</v>
      </c>
      <c r="C6126" s="4" t="s">
        <v>8939</v>
      </c>
      <c r="D6126" s="4" t="s">
        <v>8940</v>
      </c>
      <c r="E6126" s="4">
        <v>0.0</v>
      </c>
      <c r="F6126" s="4" t="str">
        <f>IFERROR(__xludf.DUMMYFUNCTION("GOOGLETRANSLATE(D6126)"),"我看過很多人問這個 MT @JMCwrites #Pitchwars 我要求的是魔幻寫實主義，而不是幻想。有什麼區別？ http://t.co/64xR9LtNOH")</f>
        <v>我看過很多人問這個 MT @JMCwrites #Pitchwars 我要求的是魔幻寫實主義，而不是幻想。有什麼區別？ http://t.co/64xR9LtNOH</v>
      </c>
      <c r="G6126" s="4" t="str">
        <f>IFERROR(__xludf.DUMMYFUNCTION("GOOGLETRANSLATE(B6126)"),"混亂")</f>
        <v>混亂</v>
      </c>
    </row>
    <row r="6127" ht="15.75" customHeight="1">
      <c r="A6127" s="4">
        <v>7031.0</v>
      </c>
      <c r="B6127" s="4" t="s">
        <v>3251</v>
      </c>
      <c r="D6127" s="4" t="s">
        <v>8941</v>
      </c>
      <c r="E6127" s="4">
        <v>0.0</v>
      </c>
      <c r="F6127" s="4" t="str">
        <f>IFERROR(__xludf.DUMMYFUNCTION("GOOGLETRANSLATE(D6127)"),"Slayer 反思 King Diamond &amp;amp; 低混亂音樂節出席率傑夫漢尼曼的去世 http://t.co/6N6Gcej9Iy")</f>
        <v>Slayer 反思 King Diamond &amp;amp; 低混亂音樂節出席率傑夫漢尼曼的去世 http://t.co/6N6Gcej9Iy</v>
      </c>
      <c r="G6127" s="4" t="str">
        <f>IFERROR(__xludf.DUMMYFUNCTION("GOOGLETRANSLATE(B6127)"),"混亂")</f>
        <v>混亂</v>
      </c>
    </row>
    <row r="6128" ht="15.75" customHeight="1">
      <c r="A6128" s="4">
        <v>7032.0</v>
      </c>
      <c r="B6128" s="4" t="s">
        <v>3251</v>
      </c>
      <c r="C6128" s="4" t="s">
        <v>8942</v>
      </c>
      <c r="D6128" s="4" t="s">
        <v>8943</v>
      </c>
      <c r="E6128" s="4">
        <v>0.0</v>
      </c>
      <c r="F6128" s="4" t="str">
        <f>IFERROR(__xludf.DUMMYFUNCTION("GOOGLETRANSLATE(D6128)"),"最好的。頭腦是清晰的內容和幾天的觀察。 https://t.co/pCCwsGCymA")</f>
        <v>最好的。頭腦是清晰的內容和幾天的觀察。 https://t.co/pCCwsGCymA</v>
      </c>
      <c r="G6128" s="4" t="str">
        <f>IFERROR(__xludf.DUMMYFUNCTION("GOOGLETRANSLATE(B6128)"),"混亂")</f>
        <v>混亂</v>
      </c>
    </row>
    <row r="6129" ht="15.75" customHeight="1">
      <c r="A6129" s="4">
        <v>7036.0</v>
      </c>
      <c r="B6129" s="4" t="s">
        <v>3251</v>
      </c>
      <c r="C6129" s="4" t="s">
        <v>8944</v>
      </c>
      <c r="D6129" s="4" t="s">
        <v>8945</v>
      </c>
      <c r="E6129" s="4">
        <v>0.0</v>
      </c>
      <c r="F6129" s="4" t="str">
        <f>IFERROR(__xludf.DUMMYFUNCTION("GOOGLETRANSLATE(D6129)"),"@RaynbowAffair 主編 @DiamondKesawn 發布 #RAmag 的第 7 期 http://t.co/EbbF1N7MAJ。 #時尚#模特兒和#Mayhem")</f>
        <v>@RaynbowAffair 主編 @DiamondKesawn 發布 #RAmag 的第 7 期 http://t.co/EbbF1N7MAJ。 #時尚#模特兒和#Mayhem</v>
      </c>
      <c r="G6129" s="4" t="str">
        <f>IFERROR(__xludf.DUMMYFUNCTION("GOOGLETRANSLATE(B6129)"),"混亂")</f>
        <v>混亂</v>
      </c>
    </row>
    <row r="6130" ht="15.75" customHeight="1">
      <c r="A6130" s="4">
        <v>7037.0</v>
      </c>
      <c r="B6130" s="4" t="s">
        <v>3251</v>
      </c>
      <c r="C6130" s="4" t="s">
        <v>1445</v>
      </c>
      <c r="D6130" s="4" t="s">
        <v>8946</v>
      </c>
      <c r="E6130" s="4">
        <v>0.0</v>
      </c>
      <c r="F6130" s="4" t="str">
        <f>IFERROR(__xludf.DUMMYFUNCTION("GOOGLETRANSLATE(D6130)"),"@Akcsl 兩者都有。一旦我選擇了適合混亂的音樂，我就會冒險出去...")</f>
        <v>@Akcsl 兩者都有。一旦我選擇了適合混亂的音樂，我就會冒險出去...</v>
      </c>
      <c r="G6130" s="4" t="str">
        <f>IFERROR(__xludf.DUMMYFUNCTION("GOOGLETRANSLATE(B6130)"),"混亂")</f>
        <v>混亂</v>
      </c>
    </row>
    <row r="6131" ht="15.75" customHeight="1">
      <c r="A6131" s="4">
        <v>7043.0</v>
      </c>
      <c r="B6131" s="4" t="s">
        <v>3251</v>
      </c>
      <c r="C6131" s="4" t="s">
        <v>8947</v>
      </c>
      <c r="D6131" s="4" t="s">
        <v>8948</v>
      </c>
      <c r="E6131" s="4">
        <v>0.0</v>
      </c>
      <c r="F6131" s="4" t="str">
        <f>IFERROR(__xludf.DUMMYFUNCTION("GOOGLETRANSLATE(D6131)"),"我喜歡 @itsjustinstuart 的 @YouTube 影片 http://t.co/Mnkaji2Q1N 槍林彈雨！")</f>
        <v>我喜歡 @itsjustinstuart 的 @YouTube 影片 http://t.co/Mnkaji2Q1N 槍林彈雨！</v>
      </c>
      <c r="G6131" s="4" t="str">
        <f>IFERROR(__xludf.DUMMYFUNCTION("GOOGLETRANSLATE(B6131)"),"混亂")</f>
        <v>混亂</v>
      </c>
    </row>
    <row r="6132" ht="15.75" customHeight="1">
      <c r="A6132" s="4">
        <v>7044.0</v>
      </c>
      <c r="B6132" s="4" t="s">
        <v>3251</v>
      </c>
      <c r="C6132" s="4" t="s">
        <v>8923</v>
      </c>
      <c r="D6132" s="4" t="s">
        <v>8949</v>
      </c>
      <c r="E6132" s="4">
        <v>0.0</v>
      </c>
      <c r="F6132" s="4" t="str">
        <f>IFERROR(__xludf.DUMMYFUNCTION("GOOGLETRANSLATE(D6132)"),"#NoSurrender 結果：全金屬混亂世界冠軍賽惡霸雷被淘汰職業生涯結束等等！ http://t.co/XEHwmsH7Lv")</f>
        <v>#NoSurrender 結果：全金屬混亂世界冠軍賽惡霸雷被淘汰職業生涯結束等等！ http://t.co/XEHwmsH7Lv</v>
      </c>
      <c r="G6132" s="4" t="str">
        <f>IFERROR(__xludf.DUMMYFUNCTION("GOOGLETRANSLATE(B6132)"),"混亂")</f>
        <v>混亂</v>
      </c>
    </row>
    <row r="6133" ht="15.75" customHeight="1">
      <c r="A6133" s="4">
        <v>7046.0</v>
      </c>
      <c r="B6133" s="4" t="s">
        <v>3257</v>
      </c>
      <c r="C6133" s="4" t="s">
        <v>2970</v>
      </c>
      <c r="D6133" s="4" t="s">
        <v>8950</v>
      </c>
      <c r="E6133" s="4">
        <v>0.0</v>
      </c>
      <c r="F6133" s="4" t="str">
        <f>IFERROR(__xludf.DUMMYFUNCTION("GOOGLETRANSLATE(D6133)"),"&amp;lt;比例開始崩潰我設法讓自己平靜足夠長的時間，將水加熱並等待蒸汽遮蔽我的視線-")</f>
        <v>&amp;lt;比例開始崩潰我設法讓自己平靜足夠長的時間，將水加熱並等待蒸汽遮蔽我的視線-</v>
      </c>
      <c r="G6133" s="4" t="str">
        <f>IFERROR(__xludf.DUMMYFUNCTION("GOOGLETRANSLATE(B6133)"),"崩潰")</f>
        <v>崩潰</v>
      </c>
    </row>
    <row r="6134" ht="15.75" customHeight="1">
      <c r="A6134" s="4">
        <v>7047.0</v>
      </c>
      <c r="B6134" s="4" t="s">
        <v>3257</v>
      </c>
      <c r="C6134" s="4" t="s">
        <v>8951</v>
      </c>
      <c r="D6134" s="4" t="s">
        <v>8952</v>
      </c>
      <c r="E6134" s="4">
        <v>0.0</v>
      </c>
      <c r="F6134" s="4" t="str">
        <f>IFERROR(__xludf.DUMMYFUNCTION("GOOGLETRANSLATE(D6134)"),"當他們打開@meldown時，直低音dubloadz droppd讓每個人都meelllttting http://t.co/vXsQPFE9NA")</f>
        <v>當他們打開@meldown時，直低音dubloadz droppd讓每個人都meelllttting http://t.co/vXsQPFE9NA</v>
      </c>
      <c r="G6134" s="4" t="str">
        <f>IFERROR(__xludf.DUMMYFUNCTION("GOOGLETRANSLATE(B6134)"),"崩潰")</f>
        <v>崩潰</v>
      </c>
    </row>
    <row r="6135" ht="15.75" customHeight="1">
      <c r="A6135" s="4">
        <v>7048.0</v>
      </c>
      <c r="B6135" s="4" t="s">
        <v>3257</v>
      </c>
      <c r="D6135" s="4" t="s">
        <v>8953</v>
      </c>
      <c r="E6135" s="4">
        <v>0.0</v>
      </c>
      <c r="F6135" s="4" t="str">
        <f>IFERROR(__xludf.DUMMYFUNCTION("GOOGLETRANSLATE(D6135)"),"Deepak Chopra 的史詩級 Twitter 崩潰 http://t.co/ethgAGPy5G")</f>
        <v>Deepak Chopra 的史詩級 Twitter 崩潰 http://t.co/ethgAGPy5G</v>
      </c>
      <c r="G6135" s="4" t="str">
        <f>IFERROR(__xludf.DUMMYFUNCTION("GOOGLETRANSLATE(B6135)"),"崩潰")</f>
        <v>崩潰</v>
      </c>
    </row>
    <row r="6136" ht="15.75" customHeight="1">
      <c r="A6136" s="4">
        <v>7051.0</v>
      </c>
      <c r="B6136" s="4" t="s">
        <v>3257</v>
      </c>
      <c r="D6136" s="4" t="s">
        <v>8954</v>
      </c>
      <c r="E6136" s="4">
        <v>0.0</v>
      </c>
      <c r="F6136" s="4" t="str">
        <f>IFERROR(__xludf.DUMMYFUNCTION("GOOGLETRANSLATE(D6136)"),"@DrDrewHLN “一次簡單的崩潰！”阿海琺（Areva）你見過失控的孩子嗎？")</f>
        <v>@DrDrewHLN “一次簡單的崩潰！”阿海琺（Areva）你見過失控的孩子嗎？</v>
      </c>
      <c r="G6136" s="4" t="str">
        <f>IFERROR(__xludf.DUMMYFUNCTION("GOOGLETRANSLATE(B6136)"),"崩潰")</f>
        <v>崩潰</v>
      </c>
    </row>
    <row r="6137" ht="15.75" customHeight="1">
      <c r="A6137" s="4">
        <v>7053.0</v>
      </c>
      <c r="B6137" s="4" t="s">
        <v>3257</v>
      </c>
      <c r="C6137" s="4" t="s">
        <v>8955</v>
      </c>
      <c r="D6137" s="4" t="s">
        <v>8956</v>
      </c>
      <c r="E6137" s="4">
        <v>0.0</v>
      </c>
      <c r="F6137" s="4" t="str">
        <f>IFERROR(__xludf.DUMMYFUNCTION("GOOGLETRANSLATE(D6137)"),"@kinkyconnors 我對我昨晚的崩潰感到抱歉，lmao，但我星期五要去修牙？？？？？？？？？？？？？？？？？？？？ ？？？？ ???")</f>
        <v>@kinkyconnors 我對我昨晚的崩潰感到抱歉，lmao，但我星期五要去修牙？？？？？？？？？？？？？？？？？？？？ ？？？？ ???</v>
      </c>
      <c r="G6137" s="4" t="str">
        <f>IFERROR(__xludf.DUMMYFUNCTION("GOOGLETRANSLATE(B6137)"),"崩潰")</f>
        <v>崩潰</v>
      </c>
    </row>
    <row r="6138" ht="15.75" customHeight="1">
      <c r="A6138" s="4">
        <v>7054.0</v>
      </c>
      <c r="B6138" s="4" t="s">
        <v>3257</v>
      </c>
      <c r="D6138" s="4" t="s">
        <v>8957</v>
      </c>
      <c r="E6138" s="4">
        <v>0.0</v>
      </c>
      <c r="F6138" s="4" t="str">
        <f>IFERROR(__xludf.DUMMYFUNCTION("GOOGLETRANSLATE(D6138)"),"其中一位候選人將因選民無論如何都愛川普而經歷弗蘭克·格萊姆斯(Frank Grimes)級別的崩潰。 http://t.co/pBEgOf4740")</f>
        <v>其中一位候選人將因選民無論如何都愛川普而經歷弗蘭克·格萊姆斯(Frank Grimes)級別的崩潰。 http://t.co/pBEgOf4740</v>
      </c>
      <c r="G6138" s="4" t="str">
        <f>IFERROR(__xludf.DUMMYFUNCTION("GOOGLETRANSLATE(B6138)"),"崩潰")</f>
        <v>崩潰</v>
      </c>
    </row>
    <row r="6139" ht="15.75" customHeight="1">
      <c r="A6139" s="4">
        <v>7056.0</v>
      </c>
      <c r="B6139" s="4" t="s">
        <v>3257</v>
      </c>
      <c r="D6139" s="4" t="s">
        <v>8958</v>
      </c>
      <c r="E6139" s="4">
        <v>0.0</v>
      </c>
      <c r="F6139" s="4" t="str">
        <f>IFERROR(__xludf.DUMMYFUNCTION("GOOGLETRANSLATE(D6139)"),"我對 Demi 的 Instagram 評論感到崩潰 http://t.co/mcc76xOwli")</f>
        <v>我對 Demi 的 Instagram 評論感到崩潰 http://t.co/mcc76xOwli</v>
      </c>
      <c r="G6139" s="4" t="str">
        <f>IFERROR(__xludf.DUMMYFUNCTION("GOOGLETRANSLATE(B6139)"),"崩潰")</f>
        <v>崩潰</v>
      </c>
    </row>
    <row r="6140" ht="15.75" customHeight="1">
      <c r="A6140" s="4">
        <v>7058.0</v>
      </c>
      <c r="B6140" s="4" t="s">
        <v>3257</v>
      </c>
      <c r="D6140" s="4" t="s">
        <v>8959</v>
      </c>
      <c r="E6140" s="4">
        <v>0.0</v>
      </c>
      <c r="F6140" s="4" t="str">
        <f>IFERROR(__xludf.DUMMYFUNCTION("GOOGLETRANSLATE(D6140)"),"@nashhmu 他注意到你了，他崩潰了")</f>
        <v>@nashhmu 他注意到你了，他崩潰了</v>
      </c>
      <c r="G6140" s="4" t="str">
        <f>IFERROR(__xludf.DUMMYFUNCTION("GOOGLETRANSLATE(B6140)"),"崩潰")</f>
        <v>崩潰</v>
      </c>
    </row>
    <row r="6141" ht="15.75" customHeight="1">
      <c r="A6141" s="4">
        <v>7059.0</v>
      </c>
      <c r="B6141" s="4" t="s">
        <v>3257</v>
      </c>
      <c r="D6141" s="4" t="s">
        <v>8960</v>
      </c>
      <c r="E6141" s="4">
        <v>0.0</v>
      </c>
      <c r="F6141" s="4" t="str">
        <f>IFERROR(__xludf.DUMMYFUNCTION("GOOGLETRANSLATE(D6141)"),"每當我崩潰並需要有人時，@Becca_Caitlyn99 總是像“離開 5”，我不知道我怎麼這麼幸運#blessed")</f>
        <v>每當我崩潰並需要有人時，@Becca_Caitlyn99 總是像“離開 5”，我不知道我怎麼這麼幸運#blessed</v>
      </c>
      <c r="G6141" s="4" t="str">
        <f>IFERROR(__xludf.DUMMYFUNCTION("GOOGLETRANSLATE(B6141)"),"崩潰")</f>
        <v>崩潰</v>
      </c>
    </row>
    <row r="6142" ht="15.75" customHeight="1">
      <c r="A6142" s="4">
        <v>7060.0</v>
      </c>
      <c r="B6142" s="4" t="s">
        <v>3257</v>
      </c>
      <c r="D6142" s="4" t="s">
        <v>8961</v>
      </c>
      <c r="E6142" s="4">
        <v>0.0</v>
      </c>
      <c r="F6142" s="4" t="str">
        <f>IFERROR(__xludf.DUMMYFUNCTION("GOOGLETRANSLATE(D6142)"),"看起來可能是微軟的防毒軟體試圖更新導致崩潰")</f>
        <v>看起來可能是微軟的防毒軟體試圖更新導致崩潰</v>
      </c>
      <c r="G6142" s="4" t="str">
        <f>IFERROR(__xludf.DUMMYFUNCTION("GOOGLETRANSLATE(B6142)"),"崩潰")</f>
        <v>崩潰</v>
      </c>
    </row>
    <row r="6143" ht="15.75" customHeight="1">
      <c r="A6143" s="4">
        <v>7061.0</v>
      </c>
      <c r="B6143" s="4" t="s">
        <v>3257</v>
      </c>
      <c r="C6143" s="4" t="s">
        <v>8962</v>
      </c>
      <c r="D6143" s="4" t="s">
        <v>8963</v>
      </c>
      <c r="E6143" s="4">
        <v>0.0</v>
      </c>
      <c r="F6143" s="4" t="str">
        <f>IFERROR(__xludf.DUMMYFUNCTION("GOOGLETRANSLATE(D6143)"),"DFR EP016 每月崩潰 - 在 Dnbheaven 2015.08.06 http://t.co/EjKRf8N8A8 #Drum and Bass #heavy #nasty http://t.co/SPHWE6wFI5")</f>
        <v>DFR EP016 每月崩潰 - 在 Dnbheaven 2015.08.06 http://t.co/EjKRf8N8A8 #Drum and Bass #heavy #nasty http://t.co/SPHWE6wFI5</v>
      </c>
      <c r="G6143" s="4" t="str">
        <f>IFERROR(__xludf.DUMMYFUNCTION("GOOGLETRANSLATE(B6143)"),"崩潰")</f>
        <v>崩潰</v>
      </c>
    </row>
    <row r="6144" ht="15.75" customHeight="1">
      <c r="A6144" s="4">
        <v>7065.0</v>
      </c>
      <c r="B6144" s="4" t="s">
        <v>3257</v>
      </c>
      <c r="C6144" s="4" t="s">
        <v>8964</v>
      </c>
      <c r="D6144" s="4" t="s">
        <v>8965</v>
      </c>
      <c r="E6144" s="4">
        <v>0.0</v>
      </c>
      <c r="F6144" s="4" t="str">
        <f>IFERROR(__xludf.DUMMYFUNCTION("GOOGLETRANSLATE(D6144)"),"@賈斯汀特魯多
世界上最受尊敬的人
最佳就業復甦 G7 和 G20
2008 年世界經濟崩潰期間的最佳領導者
你到底做了什麼？")</f>
        <v>@賈斯汀特魯多
世界上最受尊敬的人
最佳就業復甦 G7 和 G20
2008 年世界經濟崩潰期間的最佳領導者
你到底做了什麼？</v>
      </c>
      <c r="G6144" s="4" t="str">
        <f>IFERROR(__xludf.DUMMYFUNCTION("GOOGLETRANSLATE(B6144)"),"崩潰")</f>
        <v>崩潰</v>
      </c>
    </row>
    <row r="6145" ht="15.75" customHeight="1">
      <c r="A6145" s="4">
        <v>7068.0</v>
      </c>
      <c r="B6145" s="4" t="s">
        <v>3257</v>
      </c>
      <c r="C6145" s="4" t="s">
        <v>8966</v>
      </c>
      <c r="D6145" s="4" t="s">
        <v>8967</v>
      </c>
      <c r="E6145" s="4">
        <v>0.0</v>
      </c>
      <c r="F6145" s="4" t="str">
        <f>IFERROR(__xludf.DUMMYFUNCTION("GOOGLETRANSLATE(D6145)"),"@crowdtappers @joinvroom 天哪，我記得那天我給她做頭髮就像艾莎而不是安娜那樣，那一刻我崩潰了……哦啊啊啊太恐怖了！！！哈哈#tangletalk")</f>
        <v>@crowdtappers @joinvroom 天哪，我記得那天我給她做頭髮就像艾莎而不是安娜那樣，那一刻我崩潰了……哦啊啊啊太恐怖了！！！哈哈#tangletalk</v>
      </c>
      <c r="G6145" s="4" t="str">
        <f>IFERROR(__xludf.DUMMYFUNCTION("GOOGLETRANSLATE(B6145)"),"崩潰")</f>
        <v>崩潰</v>
      </c>
    </row>
    <row r="6146" ht="15.75" customHeight="1">
      <c r="A6146" s="4">
        <v>7069.0</v>
      </c>
      <c r="B6146" s="4" t="s">
        <v>3257</v>
      </c>
      <c r="C6146" s="4" t="s">
        <v>8968</v>
      </c>
      <c r="D6146" s="4" t="s">
        <v>8969</v>
      </c>
      <c r="E6146" s="4">
        <v>0.0</v>
      </c>
      <c r="F6146" s="4" t="str">
        <f>IFERROR(__xludf.DUMMYFUNCTION("GOOGLETRANSLATE(D6146)"),"@DmoneyDemi 我昨天崩潰了。我會非常想念你的。你保證我的 DTB 終身有效。當我回來時注意？")</f>
        <v>@DmoneyDemi 我昨天崩潰了。我會非常想念你的。你保證我的 DTB 終身有效。當我回來時注意？</v>
      </c>
      <c r="G6146" s="4" t="str">
        <f>IFERROR(__xludf.DUMMYFUNCTION("GOOGLETRANSLATE(B6146)"),"崩潰")</f>
        <v>崩潰</v>
      </c>
    </row>
    <row r="6147" ht="15.75" customHeight="1">
      <c r="A6147" s="4">
        <v>7070.0</v>
      </c>
      <c r="B6147" s="4" t="s">
        <v>3257</v>
      </c>
      <c r="D6147" s="4" t="s">
        <v>8970</v>
      </c>
      <c r="E6147" s="4">
        <v>0.0</v>
      </c>
      <c r="F6147" s="4" t="str">
        <f>IFERROR(__xludf.DUMMYFUNCTION("GOOGLETRANSLATE(D6147)"),"為什麼我每隔幾天就要崩潰一次？ ??")</f>
        <v>為什麼我每隔幾天就要崩潰一次？ ??</v>
      </c>
      <c r="G6147" s="4" t="str">
        <f>IFERROR(__xludf.DUMMYFUNCTION("GOOGLETRANSLATE(B6147)"),"崩潰")</f>
        <v>崩潰</v>
      </c>
    </row>
    <row r="6148" ht="15.75" customHeight="1">
      <c r="A6148" s="4">
        <v>7071.0</v>
      </c>
      <c r="B6148" s="4" t="s">
        <v>3257</v>
      </c>
      <c r="C6148" s="4" t="s">
        <v>8971</v>
      </c>
      <c r="D6148" s="4" t="s">
        <v>8972</v>
      </c>
      <c r="E6148" s="4">
        <v>0.0</v>
      </c>
      <c r="F6148" s="4" t="str">
        <f>IFERROR(__xludf.DUMMYFUNCTION("GOOGLETRANSLATE(D6148)"),"@nprfreshair 我真的不敢相信他在共和黨崩潰之前就退出了……我的意思是“辯論”。")</f>
        <v>@nprfreshair 我真的不敢相信他在共和黨崩潰之前就退出了……我的意思是“辯論”。</v>
      </c>
      <c r="G6148" s="4" t="str">
        <f>IFERROR(__xludf.DUMMYFUNCTION("GOOGLETRANSLATE(B6148)"),"崩潰")</f>
        <v>崩潰</v>
      </c>
    </row>
    <row r="6149" ht="15.75" customHeight="1">
      <c r="A6149" s="4">
        <v>7073.0</v>
      </c>
      <c r="B6149" s="4" t="s">
        <v>3257</v>
      </c>
      <c r="C6149" s="4" t="s">
        <v>1193</v>
      </c>
      <c r="D6149" s="4" t="s">
        <v>8973</v>
      </c>
      <c r="E6149" s="4">
        <v>0.0</v>
      </c>
      <c r="F6149" s="4" t="str">
        <f>IFERROR(__xludf.DUMMYFUNCTION("GOOGLETRANSLATE(D6149)"),"大宗商品像 2008 年一樣崩潰 http://t.co/nJD1N5TxXe 來自 @business")</f>
        <v>大宗商品像 2008 年一樣崩潰 http://t.co/nJD1N5TxXe 來自 @business</v>
      </c>
      <c r="G6149" s="4" t="str">
        <f>IFERROR(__xludf.DUMMYFUNCTION("GOOGLETRANSLATE(B6149)"),"崩潰")</f>
        <v>崩潰</v>
      </c>
    </row>
    <row r="6150" ht="15.75" customHeight="1">
      <c r="A6150" s="4">
        <v>7074.0</v>
      </c>
      <c r="B6150" s="4" t="s">
        <v>3257</v>
      </c>
      <c r="C6150" s="4" t="s">
        <v>8974</v>
      </c>
      <c r="D6150" s="4" t="s">
        <v>8975</v>
      </c>
      <c r="E6150" s="4">
        <v>0.0</v>
      </c>
      <c r="F6150" s="4" t="str">
        <f>IFERROR(__xludf.DUMMYFUNCTION("GOOGLETRANSLATE(D6150)"),"播放返校廣告時，我姐姐崩潰了。 ??????????")</f>
        <v>播放返校廣告時，我姐姐崩潰了。 ??????????</v>
      </c>
      <c r="G6150" s="4" t="str">
        <f>IFERROR(__xludf.DUMMYFUNCTION("GOOGLETRANSLATE(B6150)"),"崩潰")</f>
        <v>崩潰</v>
      </c>
    </row>
    <row r="6151" ht="15.75" customHeight="1">
      <c r="A6151" s="4">
        <v>7075.0</v>
      </c>
      <c r="B6151" s="4" t="s">
        <v>3257</v>
      </c>
      <c r="C6151" s="4" t="s">
        <v>8976</v>
      </c>
      <c r="D6151" s="4" t="s">
        <v>8977</v>
      </c>
      <c r="E6151" s="4">
        <v>0.0</v>
      </c>
      <c r="F6151" s="4" t="str">
        <f>IFERROR(__xludf.DUMMYFUNCTION("GOOGLETRANSLATE(D6151)"),"??冰河時期：崩潰")</f>
        <v>??冰河時期：崩潰</v>
      </c>
      <c r="G6151" s="4" t="str">
        <f>IFERROR(__xludf.DUMMYFUNCTION("GOOGLETRANSLATE(B6151)"),"崩潰")</f>
        <v>崩潰</v>
      </c>
    </row>
    <row r="6152" ht="15.75" customHeight="1">
      <c r="A6152" s="4">
        <v>7076.0</v>
      </c>
      <c r="B6152" s="4" t="s">
        <v>3257</v>
      </c>
      <c r="D6152" s="4" t="s">
        <v>8978</v>
      </c>
      <c r="E6152" s="4">
        <v>0.0</v>
      </c>
      <c r="F6152" s="4" t="str">
        <f>IFERROR(__xludf.DUMMYFUNCTION("GOOGLETRANSLATE(D6152)"),"http://t.co/HFqlwo1kMy E-Mini SP 500：獲利下滑等於市場崩盤！ http://t.co/LEi9dWVllq #Amazon")</f>
        <v>http://t.co/HFqlwo1kMy E-Mini SP 500：獲利下滑等於市場崩盤！ http://t.co/LEi9dWVllq #Amazon</v>
      </c>
      <c r="G6152" s="4" t="str">
        <f>IFERROR(__xludf.DUMMYFUNCTION("GOOGLETRANSLATE(B6152)"),"崩潰")</f>
        <v>崩潰</v>
      </c>
    </row>
    <row r="6153" ht="15.75" customHeight="1">
      <c r="A6153" s="4">
        <v>7077.0</v>
      </c>
      <c r="B6153" s="4" t="s">
        <v>3257</v>
      </c>
      <c r="C6153" s="4" t="s">
        <v>8979</v>
      </c>
      <c r="D6153" s="4" t="s">
        <v>8980</v>
      </c>
      <c r="E6153" s="4">
        <v>0.0</v>
      </c>
      <c r="F6153" s="4" t="str">
        <f>IFERROR(__xludf.DUMMYFUNCTION("GOOGLETRANSLATE(D6153)"),"路易斯很累，當他確認自己是爸爸時，粉絲們都崩潰了，但一些粉絲已經到達了
得出結論和其他東西")</f>
        <v>路易斯很累，當他確認自己是爸爸時，粉絲們都崩潰了，但一些粉絲已經到達了
得出結論和其他東西</v>
      </c>
      <c r="G6153" s="4" t="str">
        <f>IFERROR(__xludf.DUMMYFUNCTION("GOOGLETRANSLATE(B6153)"),"崩潰")</f>
        <v>崩潰</v>
      </c>
    </row>
    <row r="6154" ht="15.75" customHeight="1">
      <c r="A6154" s="4">
        <v>7078.0</v>
      </c>
      <c r="B6154" s="4" t="s">
        <v>3257</v>
      </c>
      <c r="C6154" s="4" t="s">
        <v>8981</v>
      </c>
      <c r="D6154" s="4" t="s">
        <v>8982</v>
      </c>
      <c r="E6154" s="4">
        <v>0.0</v>
      </c>
      <c r="F6154" s="4" t="str">
        <f>IFERROR(__xludf.DUMMYFUNCTION("GOOGLETRANSLATE(D6154)"),"自從教士隊以 6-0 慘敗後，我的 Facebook #Mets 崩潰了。不客氣")</f>
        <v>自從教士隊以 6-0 慘敗後，我的 Facebook #Mets 崩潰了。不客氣</v>
      </c>
      <c r="G6154" s="4" t="str">
        <f>IFERROR(__xludf.DUMMYFUNCTION("GOOGLETRANSLATE(B6154)"),"崩潰")</f>
        <v>崩潰</v>
      </c>
    </row>
    <row r="6155" ht="15.75" customHeight="1">
      <c r="A6155" s="4">
        <v>7080.0</v>
      </c>
      <c r="B6155" s="4" t="s">
        <v>3257</v>
      </c>
      <c r="D6155" s="4" t="s">
        <v>8983</v>
      </c>
      <c r="E6155" s="4">
        <v>0.0</v>
      </c>
      <c r="F6155" s="4" t="str">
        <f>IFERROR(__xludf.DUMMYFUNCTION("GOOGLETRANSLATE(D6155)"),"目前：無法控制的崩潰數量2")</f>
        <v>目前：無法控制的崩潰數量2</v>
      </c>
      <c r="G6155" s="4" t="str">
        <f>IFERROR(__xludf.DUMMYFUNCTION("GOOGLETRANSLATE(B6155)"),"崩潰")</f>
        <v>崩潰</v>
      </c>
    </row>
    <row r="6156" ht="15.75" customHeight="1">
      <c r="A6156" s="4">
        <v>7081.0</v>
      </c>
      <c r="B6156" s="4" t="s">
        <v>3257</v>
      </c>
      <c r="C6156" s="4" t="s">
        <v>6044</v>
      </c>
      <c r="D6156" s="4" t="s">
        <v>8984</v>
      </c>
      <c r="E6156" s="4">
        <v>0.0</v>
      </c>
      <c r="F6156" s="4" t="str">
        <f>IFERROR(__xludf.DUMMYFUNCTION("GOOGLETRANSLATE(D6156)"),"帕姆的巴里島婚禮崩潰了？？？？？？？？？")</f>
        <v>帕姆的巴里島婚禮崩潰了？？？？？？？？？</v>
      </c>
      <c r="G6156" s="4" t="str">
        <f>IFERROR(__xludf.DUMMYFUNCTION("GOOGLETRANSLATE(B6156)"),"崩潰")</f>
        <v>崩潰</v>
      </c>
    </row>
    <row r="6157" ht="15.75" customHeight="1">
      <c r="A6157" s="4">
        <v>7086.0</v>
      </c>
      <c r="B6157" s="4" t="s">
        <v>3257</v>
      </c>
      <c r="C6157" s="4" t="s">
        <v>8985</v>
      </c>
      <c r="D6157" s="4" t="s">
        <v>8986</v>
      </c>
      <c r="E6157" s="4">
        <v>0.0</v>
      </c>
      <c r="F6157" s="4" t="str">
        <f>IFERROR(__xludf.DUMMYFUNCTION("GOOGLETRANSLATE(D6157)"),"@LeMaireLee @danharmon 週日晚上有空閒時間排隊等待漫畫的人並不是代表性樣本。第140章")</f>
        <v>@LeMaireLee @danharmon 週日晚上有空閒時間排隊等待漫畫的人並不是代表性樣本。第140章</v>
      </c>
      <c r="G6157" s="4" t="str">
        <f>IFERROR(__xludf.DUMMYFUNCTION("GOOGLETRANSLATE(B6157)"),"崩潰")</f>
        <v>崩潰</v>
      </c>
    </row>
    <row r="6158" ht="15.75" customHeight="1">
      <c r="A6158" s="4">
        <v>7088.0</v>
      </c>
      <c r="B6158" s="4" t="s">
        <v>3257</v>
      </c>
      <c r="D6158" s="4" t="s">
        <v>8987</v>
      </c>
      <c r="E6158" s="4">
        <v>0.0</v>
      </c>
      <c r="F6158" s="4" t="str">
        <f>IFERROR(__xludf.DUMMYFUNCTION("GOOGLETRANSLATE(D6158)"),"崩潰")</f>
        <v>崩潰</v>
      </c>
      <c r="G6158" s="4" t="str">
        <f>IFERROR(__xludf.DUMMYFUNCTION("GOOGLETRANSLATE(B6158)"),"崩潰")</f>
        <v>崩潰</v>
      </c>
    </row>
    <row r="6159" ht="15.75" customHeight="1">
      <c r="A6159" s="4">
        <v>7089.0</v>
      </c>
      <c r="B6159" s="4" t="s">
        <v>3257</v>
      </c>
      <c r="C6159" s="4" t="s">
        <v>126</v>
      </c>
      <c r="D6159" s="4" t="s">
        <v>8988</v>
      </c>
      <c r="E6159" s="4">
        <v>0.0</v>
      </c>
      <c r="F6159" s="4" t="str">
        <f>IFERROR(__xludf.DUMMYFUNCTION("GOOGLETRANSLATE(D6159)"),"你讀過這本很棒的書了嗎？兩萬億美元的崩盤 http://t.co/jPA6sajFE3")</f>
        <v>你讀過這本很棒的書了嗎？兩萬億美元的崩盤 http://t.co/jPA6sajFE3</v>
      </c>
      <c r="G6159" s="4" t="str">
        <f>IFERROR(__xludf.DUMMYFUNCTION("GOOGLETRANSLATE(B6159)"),"崩潰")</f>
        <v>崩潰</v>
      </c>
    </row>
    <row r="6160" ht="15.75" customHeight="1">
      <c r="A6160" s="4">
        <v>7093.0</v>
      </c>
      <c r="B6160" s="4" t="s">
        <v>3257</v>
      </c>
      <c r="C6160" s="4" t="s">
        <v>8989</v>
      </c>
      <c r="D6160" s="4" t="s">
        <v>8990</v>
      </c>
      <c r="E6160" s="4">
        <v>0.0</v>
      </c>
      <c r="F6160" s="4" t="str">
        <f>IFERROR(__xludf.DUMMYFUNCTION("GOOGLETRANSLATE(D6160)"),"哈哈，沃森在牛棚崩潰中伸手去拿雙泡。 #大都會隊")</f>
        <v>哈哈，沃森在牛棚崩潰中伸手去拿雙泡。 #大都會隊</v>
      </c>
      <c r="G6160" s="4" t="str">
        <f>IFERROR(__xludf.DUMMYFUNCTION("GOOGLETRANSLATE(B6160)"),"崩潰")</f>
        <v>崩潰</v>
      </c>
    </row>
    <row r="6161" ht="15.75" customHeight="1">
      <c r="A6161" s="4">
        <v>7095.0</v>
      </c>
      <c r="B6161" s="4" t="s">
        <v>3266</v>
      </c>
      <c r="D6161" s="4" t="s">
        <v>8991</v>
      </c>
      <c r="E6161" s="4">
        <v>0.0</v>
      </c>
      <c r="F6161" s="4" t="str">
        <f>IFERROR(__xludf.DUMMYFUNCTION("GOOGLETRANSLATE(D6161)"),"#3：TITAN WarriorCord 100 英尺 - 正宗軍用 550 傘繩 - MIL-C-5040-H Type III 7 Strand 5/16' di... http://t.co/EEjRMKtJ0R")</f>
        <v>#3：TITAN WarriorCord 100 英尺 - 正宗軍用 550 傘繩 - MIL-C-5040-H Type III 7 Strand 5/16' di... http://t.co/EEjRMKtJ0R</v>
      </c>
      <c r="G6161" s="4" t="str">
        <f>IFERROR(__xludf.DUMMYFUNCTION("GOOGLETRANSLATE(B6161)"),"軍隊")</f>
        <v>軍隊</v>
      </c>
    </row>
    <row r="6162" ht="15.75" customHeight="1">
      <c r="A6162" s="4">
        <v>7097.0</v>
      </c>
      <c r="B6162" s="4" t="s">
        <v>3266</v>
      </c>
      <c r="C6162" s="4" t="s">
        <v>8992</v>
      </c>
      <c r="D6162" s="4" t="s">
        <v>8993</v>
      </c>
      <c r="E6162" s="4">
        <v>0.0</v>
      </c>
      <c r="F6162" s="4" t="str">
        <f>IFERROR(__xludf.DUMMYFUNCTION("GOOGLETRANSLATE(D6162)"),"@FurTrix 然後找到那些穿著軍裝看起來更像她的美洲獅！")</f>
        <v>@FurTrix 然後找到那些穿著軍裝看起來更像她的美洲獅！</v>
      </c>
      <c r="G6162" s="4" t="str">
        <f>IFERROR(__xludf.DUMMYFUNCTION("GOOGLETRANSLATE(B6162)"),"軍隊")</f>
        <v>軍隊</v>
      </c>
    </row>
    <row r="6163" ht="15.75" customHeight="1">
      <c r="A6163" s="4">
        <v>7098.0</v>
      </c>
      <c r="B6163" s="4" t="s">
        <v>3266</v>
      </c>
      <c r="D6163" s="4" t="s">
        <v>8994</v>
      </c>
      <c r="E6163" s="4">
        <v>0.0</v>
      </c>
      <c r="F6163" s="4" t="str">
        <f>IFERROR(__xludf.DUMMYFUNCTION("GOOGLETRANSLATE(D6163)"),"俄羅斯 #ushanka #winter #military 毛皮帽子 (xl61-62) 帶有蘇聯徽章連結：
http://t.co/74YFQxvAK0 http://t.co/KXrEHVt6hL")</f>
        <v>俄羅斯 #ushanka #winter #military 毛皮帽子 (xl61-62) 帶有蘇聯徽章連結：
http://t.co/74YFQxvAK0 http://t.co/KXrEHVt6hL</v>
      </c>
      <c r="G6163" s="4" t="str">
        <f>IFERROR(__xludf.DUMMYFUNCTION("GOOGLETRANSLATE(B6163)"),"軍隊")</f>
        <v>軍隊</v>
      </c>
    </row>
    <row r="6164" ht="15.75" customHeight="1">
      <c r="A6164" s="4">
        <v>7105.0</v>
      </c>
      <c r="B6164" s="4" t="s">
        <v>3266</v>
      </c>
      <c r="D6164" s="4" t="s">
        <v>8995</v>
      </c>
      <c r="E6164" s="4">
        <v>0.0</v>
      </c>
      <c r="F6164" s="4" t="str">
        <f>IFERROR(__xludf.DUMMYFUNCTION("GOOGLETRANSLATE(D6164)"),"@YMcglaun 感謝您對政府的理解。只告訴我們大約 5% 的真實情況中央情報局連接！！！")</f>
        <v>@YMcglaun 感謝您對政府的理解。只告訴我們大約 5% 的真實情況中央情報局連接！！！</v>
      </c>
      <c r="G6164" s="4" t="str">
        <f>IFERROR(__xludf.DUMMYFUNCTION("GOOGLETRANSLATE(B6164)"),"軍隊")</f>
        <v>軍隊</v>
      </c>
    </row>
    <row r="6165" ht="15.75" customHeight="1">
      <c r="A6165" s="4">
        <v>7108.0</v>
      </c>
      <c r="B6165" s="4" t="s">
        <v>3266</v>
      </c>
      <c r="C6165" s="4" t="s">
        <v>7687</v>
      </c>
      <c r="D6165" s="4" t="s">
        <v>8996</v>
      </c>
      <c r="E6165" s="4">
        <v>0.0</v>
      </c>
      <c r="F6165" s="4" t="str">
        <f>IFERROR(__xludf.DUMMYFUNCTION("GOOGLETRANSLATE(D6165)"),"麥克·馬格納 (Mike Magner) 討論被背叛的信任：http://t.co/GETBjip5Rh，來自 @YouTube #military #veterans #environment")</f>
        <v>麥克·馬格納 (Mike Magner) 討論被背叛的信任：http://t.co/GETBjip5Rh，來自 @YouTube #military #veterans #environment</v>
      </c>
      <c r="G6165" s="4" t="str">
        <f>IFERROR(__xludf.DUMMYFUNCTION("GOOGLETRANSLATE(B6165)"),"軍隊")</f>
        <v>軍隊</v>
      </c>
    </row>
    <row r="6166" ht="15.75" customHeight="1">
      <c r="A6166" s="4">
        <v>7109.0</v>
      </c>
      <c r="B6166" s="4" t="s">
        <v>3266</v>
      </c>
      <c r="D6166" s="4" t="s">
        <v>8997</v>
      </c>
      <c r="E6166" s="4">
        <v>0.0</v>
      </c>
      <c r="F6166" s="4" t="str">
        <f>IFERROR(__xludf.DUMMYFUNCTION("GOOGLETRANSLATE(D6166)"),"帽子#俄羅斯蘇聯軍隊克格勃軍事#cossack #ushanka 連結：
http://t.co/bla42Rdt1O http://t.co/EInSQS8tFq")</f>
        <v>帽子#俄羅斯蘇聯軍隊克格勃軍事#cossack #ushanka 連結：
http://t.co/bla42Rdt1O http://t.co/EInSQS8tFq</v>
      </c>
      <c r="G6166" s="4" t="str">
        <f>IFERROR(__xludf.DUMMYFUNCTION("GOOGLETRANSLATE(B6166)"),"軍隊")</f>
        <v>軍隊</v>
      </c>
    </row>
    <row r="6167" ht="15.75" customHeight="1">
      <c r="A6167" s="4">
        <v>7112.0</v>
      </c>
      <c r="B6167" s="4" t="s">
        <v>3266</v>
      </c>
      <c r="C6167" s="4" t="s">
        <v>8998</v>
      </c>
      <c r="D6167" s="4" t="s">
        <v>8999</v>
      </c>
      <c r="E6167" s="4">
        <v>0.0</v>
      </c>
      <c r="F6167" s="4" t="str">
        <f>IFERROR(__xludf.DUMMYFUNCTION("GOOGLETRANSLATE(D6167)"),"陸軍命名第 10 支山地部隊在伊拉克阿富汗部署（行動）http://t.co/N6ZfLXIGvr")</f>
        <v>陸軍命名第 10 支山地部隊在伊拉克阿富汗部署（行動）http://t.co/N6ZfLXIGvr</v>
      </c>
      <c r="G6167" s="4" t="str">
        <f>IFERROR(__xludf.DUMMYFUNCTION("GOOGLETRANSLATE(B6167)"),"軍隊")</f>
        <v>軍隊</v>
      </c>
    </row>
    <row r="6168" ht="15.75" customHeight="1">
      <c r="A6168" s="4">
        <v>7114.0</v>
      </c>
      <c r="B6168" s="4" t="s">
        <v>3266</v>
      </c>
      <c r="D6168" s="4" t="s">
        <v>9000</v>
      </c>
      <c r="E6168" s="4">
        <v>0.0</v>
      </c>
      <c r="F6168" s="4" t="str">
        <f>IFERROR(__xludf.DUMMYFUNCTION("GOOGLETRANSLATE(D6168)"),"福特：其他軍用非常好的 M151A1 MUTT 以及匹配的 M416 拖車 - eBay 完整閱讀 http://t.co/9rrYaYlgyY http://t.co/Nm83jOhLUu")</f>
        <v>福特：其他軍用非常好的 M151A1 MUTT 以及匹配的 M416 拖車 - eBay 完整閱讀 http://t.co/9rrYaYlgyY http://t.co/Nm83jOhLUu</v>
      </c>
      <c r="G6168" s="4" t="str">
        <f>IFERROR(__xludf.DUMMYFUNCTION("GOOGLETRANSLATE(B6168)"),"軍隊")</f>
        <v>軍隊</v>
      </c>
    </row>
    <row r="6169" ht="15.75" customHeight="1">
      <c r="A6169" s="4">
        <v>7115.0</v>
      </c>
      <c r="B6169" s="4" t="s">
        <v>3266</v>
      </c>
      <c r="C6169" s="4" t="s">
        <v>9001</v>
      </c>
      <c r="D6169" s="4" t="s">
        <v>9002</v>
      </c>
      <c r="E6169" s="4">
        <v>0.0</v>
      </c>
      <c r="F6169" s="4" t="str">
        <f>IFERROR(__xludf.DUMMYFUNCTION("GOOGLETRANSLATE(D6169)"),"感謝參議員@timkaine 在 #IranDeal 上的領導
我們的軍隊值得這麼做。謝謝你！！
https://t.co/578GUNP8t9")</f>
        <v>感謝參議員@timkaine 在 #IranDeal 上的領導
我們的軍隊值得這麼做。謝謝你！！
https://t.co/578GUNP8t9</v>
      </c>
      <c r="G6169" s="4" t="str">
        <f>IFERROR(__xludf.DUMMYFUNCTION("GOOGLETRANSLATE(B6169)"),"軍隊")</f>
        <v>軍隊</v>
      </c>
    </row>
    <row r="6170" ht="15.75" customHeight="1">
      <c r="A6170" s="4">
        <v>7116.0</v>
      </c>
      <c r="B6170" s="4" t="s">
        <v>3266</v>
      </c>
      <c r="C6170" s="4" t="s">
        <v>38</v>
      </c>
      <c r="D6170" s="4" t="s">
        <v>9003</v>
      </c>
      <c r="E6170" s="4">
        <v>0.0</v>
      </c>
      <c r="F6170" s="4" t="str">
        <f>IFERROR(__xludf.DUMMYFUNCTION("GOOGLETRANSLATE(D6170)"),"麥克·馬格納 (Mike Magner) 討論被背叛的信任：http://t.co/psbxl1HvU3，來自 @YouTube #military #veterans #environment")</f>
        <v>麥克·馬格納 (Mike Magner) 討論被背叛的信任：http://t.co/psbxl1HvU3，來自 @YouTube #military #veterans #environment</v>
      </c>
      <c r="G6170" s="4" t="str">
        <f>IFERROR(__xludf.DUMMYFUNCTION("GOOGLETRANSLATE(B6170)"),"軍隊")</f>
        <v>軍隊</v>
      </c>
    </row>
    <row r="6171" ht="15.75" customHeight="1">
      <c r="A6171" s="4">
        <v>7118.0</v>
      </c>
      <c r="B6171" s="4" t="s">
        <v>3266</v>
      </c>
      <c r="C6171" s="4" t="s">
        <v>9004</v>
      </c>
      <c r="D6171" s="4" t="s">
        <v>9005</v>
      </c>
      <c r="E6171" s="4">
        <v>0.0</v>
      </c>
      <c r="F6171" s="4" t="str">
        <f>IFERROR(__xludf.DUMMYFUNCTION("GOOGLETRANSLATE(D6171)"),"我強烈支持我們的軍隊和軍隊他們的家人不是他們工作的華盛頓特區的混蛋")</f>
        <v>我強烈支持我們的軍隊和軍隊他們的家人不是他們工作的華盛頓特區的混蛋</v>
      </c>
      <c r="G6171" s="4" t="str">
        <f>IFERROR(__xludf.DUMMYFUNCTION("GOOGLETRANSLATE(B6171)"),"軍隊")</f>
        <v>軍隊</v>
      </c>
    </row>
    <row r="6172" ht="15.75" customHeight="1">
      <c r="A6172" s="4">
        <v>7121.0</v>
      </c>
      <c r="B6172" s="4" t="s">
        <v>3266</v>
      </c>
      <c r="D6172" s="4" t="s">
        <v>9006</v>
      </c>
      <c r="E6172" s="4">
        <v>0.0</v>
      </c>
      <c r="F6172" s="4" t="str">
        <f>IFERROR(__xludf.DUMMYFUNCTION("GOOGLETRANSLATE(D6172)"),"我們熱愛軍隊女性的 13 個理由 - lulgzimbestpicts http://t.co/XKMLQ99SjY http://t.co/a3RGQuCUgo")</f>
        <v>我們熱愛軍隊女性的 13 個理由 - lulgzimbestpicts http://t.co/XKMLQ99SjY http://t.co/a3RGQuCUgo</v>
      </c>
      <c r="G6172" s="4" t="str">
        <f>IFERROR(__xludf.DUMMYFUNCTION("GOOGLETRANSLATE(B6172)"),"軍隊")</f>
        <v>軍隊</v>
      </c>
    </row>
    <row r="6173" ht="15.75" customHeight="1">
      <c r="A6173" s="4">
        <v>7122.0</v>
      </c>
      <c r="B6173" s="4" t="s">
        <v>3266</v>
      </c>
      <c r="D6173" s="4" t="s">
        <v>9007</v>
      </c>
      <c r="E6173" s="4">
        <v>0.0</v>
      </c>
      <c r="F6173" s="4" t="str">
        <f>IFERROR(__xludf.DUMMYFUNCTION("GOOGLETRANSLATE(D6173)"),"線上步兵實驗軍事訓練教程傾注了關於自信的情報...")</f>
        <v>線上步兵實驗軍事訓練教程傾注了關於自信的情報...</v>
      </c>
      <c r="G6173" s="4" t="str">
        <f>IFERROR(__xludf.DUMMYFUNCTION("GOOGLETRANSLATE(B6173)"),"軍隊")</f>
        <v>軍隊</v>
      </c>
    </row>
    <row r="6174" ht="15.75" customHeight="1">
      <c r="A6174" s="4">
        <v>7125.0</v>
      </c>
      <c r="B6174" s="4" t="s">
        <v>3266</v>
      </c>
      <c r="D6174" s="4" t="s">
        <v>9008</v>
      </c>
      <c r="E6174" s="4">
        <v>0.0</v>
      </c>
      <c r="F6174" s="4" t="str">
        <f>IFERROR(__xludf.DUMMYFUNCTION("GOOGLETRANSLATE(D6174)"),"當你認為 2 鴨兵役和 2 鴨兵役沒問題時，你如何稱自己為基本保守派？貢獻數千 2 #HillaryClinton 2012？")</f>
        <v>當你認為 2 鴨兵役和 2 鴨兵役沒問題時，你如何稱自己為基本保守派？貢獻數千 2 #HillaryClinton 2012？</v>
      </c>
      <c r="G6174" s="4" t="str">
        <f>IFERROR(__xludf.DUMMYFUNCTION("GOOGLETRANSLATE(B6174)"),"軍隊")</f>
        <v>軍隊</v>
      </c>
    </row>
    <row r="6175" ht="15.75" customHeight="1">
      <c r="A6175" s="4">
        <v>7126.0</v>
      </c>
      <c r="B6175" s="4" t="s">
        <v>3266</v>
      </c>
      <c r="C6175" s="4" t="s">
        <v>5749</v>
      </c>
      <c r="D6175" s="4" t="s">
        <v>9009</v>
      </c>
      <c r="E6175" s="4">
        <v>0.0</v>
      </c>
      <c r="F6175" s="4" t="str">
        <f>IFERROR(__xludf.DUMMYFUNCTION("GOOGLETRANSLATE(D6175)"),"我們正在招募！在這裡閱讀我們最新的 #job 空缺資訊：註冊護士 - 呼入 - 軍事計劃 - http://t.co/l0hhwB9LSZ #Nursing")</f>
        <v>我們正在招募！在這裡閱讀我們最新的 #job 空缺資訊：註冊護士 - 呼入 - 軍事計劃 - http://t.co/l0hhwB9LSZ #Nursing</v>
      </c>
      <c r="G6175" s="4" t="str">
        <f>IFERROR(__xludf.DUMMYFUNCTION("GOOGLETRANSLATE(B6175)"),"軍隊")</f>
        <v>軍隊</v>
      </c>
    </row>
    <row r="6176" ht="15.75" customHeight="1">
      <c r="A6176" s="4">
        <v>7129.0</v>
      </c>
      <c r="B6176" s="4" t="s">
        <v>3266</v>
      </c>
      <c r="C6176" s="4" t="s">
        <v>9010</v>
      </c>
      <c r="D6176" s="4" t="s">
        <v>9011</v>
      </c>
      <c r="E6176" s="4">
        <v>0.0</v>
      </c>
      <c r="F6176" s="4" t="str">
        <f>IFERROR(__xludf.DUMMYFUNCTION("GOOGLETRANSLATE(D6176)"),"我們熱愛軍隊女性的 13 個理由 - lulgzimbestpicts http://t.co/N1tjCt8HMC http://t.co/pYTQM7rVP0")</f>
        <v>我們熱愛軍隊女性的 13 個理由 - lulgzimbestpicts http://t.co/N1tjCt8HMC http://t.co/pYTQM7rVP0</v>
      </c>
      <c r="G6176" s="4" t="str">
        <f>IFERROR(__xludf.DUMMYFUNCTION("GOOGLETRANSLATE(B6176)"),"軍隊")</f>
        <v>軍隊</v>
      </c>
    </row>
    <row r="6177" ht="15.75" customHeight="1">
      <c r="A6177" s="4">
        <v>7130.0</v>
      </c>
      <c r="B6177" s="4" t="s">
        <v>3266</v>
      </c>
      <c r="C6177" s="4" t="s">
        <v>237</v>
      </c>
      <c r="D6177" s="4" t="s">
        <v>9012</v>
      </c>
      <c r="E6177" s="4">
        <v>0.0</v>
      </c>
      <c r="F6177" s="4" t="str">
        <f>IFERROR(__xludf.DUMMYFUNCTION("GOOGLETRANSLATE(D6177)"),"現場收聽：http://t.co/1puLaekxcq #Author #Interview #Gravity on #Military #Mom #TalkRadio 的 Beth Underwood")</f>
        <v>現場收聽：http://t.co/1puLaekxcq #Author #Interview #Gravity on #Military #Mom #TalkRadio 的 Beth Underwood</v>
      </c>
      <c r="G6177" s="4" t="str">
        <f>IFERROR(__xludf.DUMMYFUNCTION("GOOGLETRANSLATE(B6177)"),"軍隊")</f>
        <v>軍隊</v>
      </c>
    </row>
    <row r="6178" ht="15.75" customHeight="1">
      <c r="A6178" s="4">
        <v>7131.0</v>
      </c>
      <c r="B6178" s="4" t="s">
        <v>3266</v>
      </c>
      <c r="C6178" s="4" t="s">
        <v>1607</v>
      </c>
      <c r="D6178" s="4" t="s">
        <v>9013</v>
      </c>
      <c r="E6178" s="4">
        <v>0.0</v>
      </c>
      <c r="F6178" s="4" t="str">
        <f>IFERROR(__xludf.DUMMYFUNCTION("GOOGLETRANSLATE(D6178)"),"@TeamHendrick @TeamHendrick @RIRInsider 祈禱將會有一名來自亨德里克斯的司機與@neanea2724一起參加軍事招待會！")</f>
        <v>@TeamHendrick @TeamHendrick @RIRInsider 祈禱將會有一名來自亨德里克斯的司機與@neanea2724一起參加軍事招待會！</v>
      </c>
      <c r="G6178" s="4" t="str">
        <f>IFERROR(__xludf.DUMMYFUNCTION("GOOGLETRANSLATE(B6178)"),"軍隊")</f>
        <v>軍隊</v>
      </c>
    </row>
    <row r="6179" ht="15.75" customHeight="1">
      <c r="A6179" s="4">
        <v>7132.0</v>
      </c>
      <c r="B6179" s="4" t="s">
        <v>3266</v>
      </c>
      <c r="C6179" s="4" t="s">
        <v>3919</v>
      </c>
      <c r="D6179" s="4" t="s">
        <v>9014</v>
      </c>
      <c r="E6179" s="4">
        <v>0.0</v>
      </c>
      <c r="F6179" s="4" t="str">
        <f>IFERROR(__xludf.DUMMYFUNCTION("GOOGLETRANSLATE(D6179)"),"我們熱愛軍隊中女性的 13 個理由 - lulgzimbestpicts http://t.co/IAPvTqxLht http://t.co/WAMKRe6CKD")</f>
        <v>我們熱愛軍隊中女性的 13 個理由 - lulgzimbestpicts http://t.co/IAPvTqxLht http://t.co/WAMKRe6CKD</v>
      </c>
      <c r="G6179" s="4" t="str">
        <f>IFERROR(__xludf.DUMMYFUNCTION("GOOGLETRANSLATE(B6179)"),"軍隊")</f>
        <v>軍隊</v>
      </c>
    </row>
    <row r="6180" ht="15.75" customHeight="1">
      <c r="A6180" s="4">
        <v>7134.0</v>
      </c>
      <c r="B6180" s="4" t="s">
        <v>3266</v>
      </c>
      <c r="C6180" s="4" t="s">
        <v>5464</v>
      </c>
      <c r="D6180" s="4" t="s">
        <v>9015</v>
      </c>
      <c r="E6180" s="4">
        <v>0.0</v>
      </c>
      <c r="F6180" s="4" t="str">
        <f>IFERROR(__xludf.DUMMYFUNCTION("GOOGLETRANSLATE(D6180)"),"我們熱愛軍隊中女性的 13 個理由 - lulgzimbestpicts http://t.co/uZ1yiZ7n6m http://t.co/IjwAr15H16")</f>
        <v>我們熱愛軍隊中女性的 13 個理由 - lulgzimbestpicts http://t.co/uZ1yiZ7n6m http://t.co/IjwAr15H16</v>
      </c>
      <c r="G6180" s="4" t="str">
        <f>IFERROR(__xludf.DUMMYFUNCTION("GOOGLETRANSLATE(B6180)"),"軍隊")</f>
        <v>軍隊</v>
      </c>
    </row>
    <row r="6181" ht="15.75" customHeight="1">
      <c r="A6181" s="4">
        <v>7136.0</v>
      </c>
      <c r="B6181" s="4" t="s">
        <v>3266</v>
      </c>
      <c r="D6181" s="4" t="s">
        <v>9016</v>
      </c>
      <c r="E6181" s="4">
        <v>0.0</v>
      </c>
      <c r="F6181" s="4" t="str">
        <f>IFERROR(__xludf.DUMMYFUNCTION("GOOGLETRANSLATE(D6181)"),"批量 20 本湯姆克蘭西軍事懸疑小說 - 平裝本 http://t.co/ObiX79NcxN #tomclancy")</f>
        <v>批量 20 本湯姆克蘭西軍事懸疑小說 - 平裝本 http://t.co/ObiX79NcxN #tomclancy</v>
      </c>
      <c r="G6181" s="4" t="str">
        <f>IFERROR(__xludf.DUMMYFUNCTION("GOOGLETRANSLATE(B6181)"),"軍隊")</f>
        <v>軍隊</v>
      </c>
    </row>
    <row r="6182" ht="15.75" customHeight="1">
      <c r="A6182" s="4">
        <v>7138.0</v>
      </c>
      <c r="B6182" s="4" t="s">
        <v>3266</v>
      </c>
      <c r="D6182" s="4" t="s">
        <v>9017</v>
      </c>
      <c r="E6182" s="4">
        <v>0.0</v>
      </c>
      <c r="F6182" s="4" t="str">
        <f>IFERROR(__xludf.DUMMYFUNCTION("GOOGLETRANSLATE(D6182)"),"我記得當我在麥當勞工作時，我常常遲到幾個小時，因為我們使用軍事時間，當我必須在那裡時我常常搞砸：/")</f>
        <v>我記得當我在麥當勞工作時，我常常遲到幾個小時，因為我們使用軍事時間，當我必須在那裡時我常常搞砸：/</v>
      </c>
      <c r="G6182" s="4" t="str">
        <f>IFERROR(__xludf.DUMMYFUNCTION("GOOGLETRANSLATE(B6182)"),"軍隊")</f>
        <v>軍隊</v>
      </c>
    </row>
    <row r="6183" ht="15.75" customHeight="1">
      <c r="A6183" s="4">
        <v>7140.0</v>
      </c>
      <c r="B6183" s="4" t="s">
        <v>3266</v>
      </c>
      <c r="C6183" s="4" t="s">
        <v>1458</v>
      </c>
      <c r="D6183" s="4" t="s">
        <v>9018</v>
      </c>
      <c r="E6183" s="4">
        <v>0.0</v>
      </c>
      <c r="F6183" s="4" t="str">
        <f>IFERROR(__xludf.DUMMYFUNCTION("GOOGLETRANSLATE(D6183)"),"巴基斯坦最高法院允許軍事法庭審判平民：最高法院的裁決將賦予民兵權力...http://t.co/v0nf1Uc1OW")</f>
        <v>巴基斯坦最高法院允許軍事法庭審判平民：最高法院的裁決將賦予民兵權力...http://t.co/v0nf1Uc1OW</v>
      </c>
      <c r="G6183" s="4" t="str">
        <f>IFERROR(__xludf.DUMMYFUNCTION("GOOGLETRANSLATE(B6183)"),"軍隊")</f>
        <v>軍隊</v>
      </c>
    </row>
    <row r="6184" ht="15.75" customHeight="1">
      <c r="A6184" s="4">
        <v>7141.0</v>
      </c>
      <c r="B6184" s="4" t="s">
        <v>3266</v>
      </c>
      <c r="C6184" s="4" t="s">
        <v>9019</v>
      </c>
      <c r="D6184" s="4" t="s">
        <v>9020</v>
      </c>
      <c r="E6184" s="4">
        <v>0.0</v>
      </c>
      <c r="F6184" s="4" t="str">
        <f>IFERROR(__xludf.DUMMYFUNCTION("GOOGLETRANSLATE(D6184)"),"美國的壞消息：中俄加強亞洲軍事合作 / Sputnik International http://t.co/9q9Rk3fOf7 來自 @SputnikInt")</f>
        <v>美國的壞消息：中俄加強亞洲軍事合作 / Sputnik International http://t.co/9q9Rk3fOf7 來自 @SputnikInt</v>
      </c>
      <c r="G6184" s="4" t="str">
        <f>IFERROR(__xludf.DUMMYFUNCTION("GOOGLETRANSLATE(B6184)"),"軍隊")</f>
        <v>軍隊</v>
      </c>
    </row>
    <row r="6185" ht="15.75" customHeight="1">
      <c r="A6185" s="4">
        <v>7142.0</v>
      </c>
      <c r="B6185" s="4" t="s">
        <v>3266</v>
      </c>
      <c r="D6185" s="4" t="s">
        <v>9021</v>
      </c>
      <c r="E6185" s="4">
        <v>0.0</v>
      </c>
      <c r="F6185" s="4" t="str">
        <f>IFERROR(__xludf.DUMMYFUNCTION("GOOGLETRANSLATE(D6185)"),"研究：更廣泛的治療方法可以幫助創傷後壓力症候群的退伍軍人http://t.co/g0q0bzBjli http://t.co/ExYr6c5QPu 來自 @Militarydotcom")</f>
        <v>研究：更廣泛的治療方法可以幫助創傷後壓力症候群的退伍軍人http://t.co/g0q0bzBjli http://t.co/ExYr6c5QPu 來自 @Militarydotcom</v>
      </c>
      <c r="G6185" s="4" t="str">
        <f>IFERROR(__xludf.DUMMYFUNCTION("GOOGLETRANSLATE(B6185)"),"軍隊")</f>
        <v>軍隊</v>
      </c>
    </row>
    <row r="6186" ht="15.75" customHeight="1">
      <c r="A6186" s="4">
        <v>7144.0</v>
      </c>
      <c r="B6186" s="4" t="s">
        <v>3266</v>
      </c>
      <c r="C6186" s="4" t="s">
        <v>9004</v>
      </c>
      <c r="D6186" s="4" t="s">
        <v>9022</v>
      </c>
      <c r="E6186" s="4">
        <v>0.0</v>
      </c>
      <c r="F6186" s="4" t="str">
        <f>IFERROR(__xludf.DUMMYFUNCTION("GOOGLETRANSLATE(D6186)"),"華盛頓特區的 MOFO 會讓我們的軍隊手無寸鐵，任由恐怖分子和恐怖分子槍殺。更糟的是不是他們可憐的屁股")</f>
        <v>華盛頓特區的 MOFO 會讓我們的軍隊手無寸鐵，任由恐怖分子和恐怖分子槍殺。更糟的是不是他們可憐的屁股</v>
      </c>
      <c r="G6186" s="4" t="str">
        <f>IFERROR(__xludf.DUMMYFUNCTION("GOOGLETRANSLATE(B6186)"),"軍隊")</f>
        <v>軍隊</v>
      </c>
    </row>
    <row r="6187" ht="15.75" customHeight="1">
      <c r="A6187" s="4">
        <v>7146.0</v>
      </c>
      <c r="B6187" s="4" t="s">
        <v>3275</v>
      </c>
      <c r="C6187" s="4" t="s">
        <v>9023</v>
      </c>
      <c r="D6187" s="4" t="s">
        <v>9024</v>
      </c>
      <c r="E6187" s="4">
        <v>0.0</v>
      </c>
      <c r="F6187" s="4" t="str">
        <f>IFERROR(__xludf.DUMMYFUNCTION("GOOGLETRANSLATE(D6187)"),"Stu Dorret 的泥石流橡膠輪胎蛋糕可能救了你#GBBO")</f>
        <v>Stu Dorret 的泥石流橡膠輪胎蛋糕可能救了你#GBBO</v>
      </c>
      <c r="G6187" s="4" t="str">
        <f>IFERROR(__xludf.DUMMYFUNCTION("GOOGLETRANSLATE(B6187)"),"土石流")</f>
        <v>土石流</v>
      </c>
    </row>
    <row r="6188" ht="15.75" customHeight="1">
      <c r="A6188" s="4">
        <v>7149.0</v>
      </c>
      <c r="B6188" s="4" t="s">
        <v>3275</v>
      </c>
      <c r="C6188" s="4" t="s">
        <v>9025</v>
      </c>
      <c r="D6188" s="4" t="s">
        <v>9026</v>
      </c>
      <c r="E6188" s="4">
        <v>0.0</v>
      </c>
      <c r="F6188" s="4" t="str">
        <f>IFERROR(__xludf.DUMMYFUNCTION("GOOGLETRANSLATE(D6188)"),"史圖把甜菜根放進蛋糕裡，甚至因為泥石流而失敗")</f>
        <v>史圖把甜菜根放進蛋糕裡，甚至因為泥石流而失敗</v>
      </c>
      <c r="G6188" s="4" t="str">
        <f>IFERROR(__xludf.DUMMYFUNCTION("GOOGLETRANSLATE(B6188)"),"土石流")</f>
        <v>土石流</v>
      </c>
    </row>
    <row r="6189" ht="15.75" customHeight="1">
      <c r="A6189" s="4">
        <v>7150.0</v>
      </c>
      <c r="B6189" s="4" t="s">
        <v>3275</v>
      </c>
      <c r="C6189" s="4" t="s">
        <v>9027</v>
      </c>
      <c r="D6189" s="4" t="s">
        <v>9028</v>
      </c>
      <c r="E6189" s="4">
        <v>0.0</v>
      </c>
      <c r="F6189" s="4" t="str">
        <f>IFERROR(__xludf.DUMMYFUNCTION("GOOGLETRANSLATE(D6189)"),"@Pete_r_Knox @Gemmasterful 我認為泥石流蛋糕女士會離開，而時髦的人不幸會留下來。")</f>
        <v>@Pete_r_Knox @Gemmasterful 我認為泥石流蛋糕女士會離開，而時髦的人不幸會留下來。</v>
      </c>
      <c r="G6189" s="4" t="str">
        <f>IFERROR(__xludf.DUMMYFUNCTION("GOOGLETRANSLATE(B6189)"),"土石流")</f>
        <v>土石流</v>
      </c>
    </row>
    <row r="6190" ht="15.75" customHeight="1">
      <c r="A6190" s="4">
        <v>7154.0</v>
      </c>
      <c r="B6190" s="4" t="s">
        <v>3275</v>
      </c>
      <c r="C6190" s="4" t="s">
        <v>6269</v>
      </c>
      <c r="D6190" s="4" t="s">
        <v>9029</v>
      </c>
      <c r="E6190" s="4">
        <v>0.0</v>
      </c>
      <c r="F6190" s="4" t="str">
        <f>IFERROR(__xludf.DUMMYFUNCTION("GOOGLETRANSLATE(D6190)"),"希望多雷特的“泥石流”蛋糕獲勝？ #GBBO")</f>
        <v>希望多雷特的“泥石流”蛋糕獲勝？ #GBBO</v>
      </c>
      <c r="G6190" s="4" t="str">
        <f>IFERROR(__xludf.DUMMYFUNCTION("GOOGLETRANSLATE(B6190)"),"土石流")</f>
        <v>土石流</v>
      </c>
    </row>
    <row r="6191" ht="15.75" customHeight="1">
      <c r="A6191" s="4">
        <v>7155.0</v>
      </c>
      <c r="B6191" s="4" t="s">
        <v>3275</v>
      </c>
      <c r="C6191" s="4" t="s">
        <v>9030</v>
      </c>
      <c r="D6191" s="4" t="s">
        <v>9031</v>
      </c>
      <c r="E6191" s="4">
        <v>0.0</v>
      </c>
      <c r="F6191" s="4" t="str">
        <f>IFERROR(__xludf.DUMMYFUNCTION("GOOGLETRANSLATE(D6191)"),"「看起來像泥石流」「就像嚼橡膠」#GBBO ??????")</f>
        <v>「看起來像泥石流」「就像嚼橡膠」#GBBO ??????</v>
      </c>
      <c r="G6191" s="4" t="str">
        <f>IFERROR(__xludf.DUMMYFUNCTION("GOOGLETRANSLATE(B6191)"),"土石流")</f>
        <v>土石流</v>
      </c>
    </row>
    <row r="6192" ht="15.75" customHeight="1">
      <c r="A6192" s="4">
        <v>7157.0</v>
      </c>
      <c r="B6192" s="4" t="s">
        <v>3275</v>
      </c>
      <c r="C6192" s="4" t="s">
        <v>183</v>
      </c>
      <c r="D6192" s="4" t="s">
        <v>9032</v>
      </c>
      <c r="E6192" s="4">
        <v>0.0</v>
      </c>
      <c r="F6192" s="4" t="str">
        <f>IFERROR(__xludf.DUMMYFUNCTION("GOOGLETRANSLATE(D6192)"),"當 Dorret 拿出她的泥石流黑森林蛋糕時，這位 19 歲女孩一臉得意的表情#priceless #GBBO")</f>
        <v>當 Dorret 拿出她的泥石流黑森林蛋糕時，這位 19 歲女孩一臉得意的表情#priceless #GBBO</v>
      </c>
      <c r="G6192" s="4" t="str">
        <f>IFERROR(__xludf.DUMMYFUNCTION("GOOGLETRANSLATE(B6192)"),"土石流")</f>
        <v>土石流</v>
      </c>
    </row>
    <row r="6193" ht="15.75" customHeight="1">
      <c r="A6193" s="4">
        <v>7159.0</v>
      </c>
      <c r="B6193" s="4" t="s">
        <v>3275</v>
      </c>
      <c r="C6193" s="4" t="s">
        <v>9033</v>
      </c>
      <c r="D6193" s="4" t="s">
        <v>9034</v>
      </c>
      <c r="E6193" s="4">
        <v>0.0</v>
      </c>
      <c r="F6193" s="4" t="str">
        <f>IFERROR(__xludf.DUMMYFUNCTION("GOOGLETRANSLATE(D6193)"),"看起來像泥石流，嘗起來像橡膠哦，我多麼喜歡烘烤！ #britishbakeoff #paulhollywood")</f>
        <v>看起來像泥石流，嘗起來像橡膠哦，我多麼喜歡烘烤！ #britishbakeoff #paulhollywood</v>
      </c>
      <c r="G6193" s="4" t="str">
        <f>IFERROR(__xludf.DUMMYFUNCTION("GOOGLETRANSLATE(B6193)"),"土石流")</f>
        <v>土石流</v>
      </c>
    </row>
    <row r="6194" ht="15.75" customHeight="1">
      <c r="A6194" s="4">
        <v>7161.0</v>
      </c>
      <c r="B6194" s="4" t="s">
        <v>3275</v>
      </c>
      <c r="D6194" s="4" t="s">
        <v>9035</v>
      </c>
      <c r="E6194" s="4">
        <v>0.0</v>
      </c>
      <c r="F6194" s="4" t="str">
        <f>IFERROR(__xludf.DUMMYFUNCTION("GOOGLETRANSLATE(D6194)"),"上帝保佑你和你的泥石流蛋糕多雷特？？？")</f>
        <v>上帝保佑你和你的泥石流蛋糕多雷特？？？</v>
      </c>
      <c r="G6194" s="4" t="str">
        <f>IFERROR(__xludf.DUMMYFUNCTION("GOOGLETRANSLATE(B6194)"),"土石流")</f>
        <v>土石流</v>
      </c>
    </row>
    <row r="6195" ht="15.75" customHeight="1">
      <c r="A6195" s="4">
        <v>7164.0</v>
      </c>
      <c r="B6195" s="4" t="s">
        <v>3275</v>
      </c>
      <c r="C6195" s="4" t="s">
        <v>9036</v>
      </c>
      <c r="D6195" s="4" t="s">
        <v>9037</v>
      </c>
      <c r="E6195" s="4">
        <v>0.0</v>
      </c>
      <c r="F6195" s="4" t="str">
        <f>IFERROR(__xludf.DUMMYFUNCTION("GOOGLETRANSLATE(D6195)"),"當我下班時，有人把我掀成了泥石流")</f>
        <v>當我下班時，有人把我掀成了泥石流</v>
      </c>
      <c r="G6195" s="4" t="str">
        <f>IFERROR(__xludf.DUMMYFUNCTION("GOOGLETRANSLATE(B6195)"),"土石流")</f>
        <v>土石流</v>
      </c>
    </row>
    <row r="6196" ht="15.75" customHeight="1">
      <c r="A6196" s="4">
        <v>7165.0</v>
      </c>
      <c r="B6196" s="4" t="s">
        <v>3275</v>
      </c>
      <c r="C6196" s="4" t="s">
        <v>9038</v>
      </c>
      <c r="D6196" s="4" t="s">
        <v>9039</v>
      </c>
      <c r="E6196" s="4">
        <v>0.0</v>
      </c>
      <c r="F6196" s="4" t="str">
        <f>IFERROR(__xludf.DUMMYFUNCTION("GOOGLETRANSLATE(D6196)"),"喜歡揭幕戰，但仍然為在泥石流中喘息和咯咯笑而感到內疚 - Dorret 我們活在你身上 #GBBO")</f>
        <v>喜歡揭幕戰，但仍然為在泥石流中喘息和咯咯笑而感到內疚 - Dorret 我們活在你身上 #GBBO</v>
      </c>
      <c r="G6196" s="4" t="str">
        <f>IFERROR(__xludf.DUMMYFUNCTION("GOOGLETRANSLATE(B6196)"),"土石流")</f>
        <v>土石流</v>
      </c>
    </row>
    <row r="6197" ht="15.75" customHeight="1">
      <c r="A6197" s="4">
        <v>7166.0</v>
      </c>
      <c r="B6197" s="4" t="s">
        <v>3275</v>
      </c>
      <c r="C6197" s="4" t="s">
        <v>9040</v>
      </c>
      <c r="D6197" s="4" t="s">
        <v>9041</v>
      </c>
      <c r="E6197" s="4">
        <v>0.0</v>
      </c>
      <c r="F6197" s="4" t="str">
        <f>IFERROR(__xludf.DUMMYFUNCTION("GOOGLETRANSLATE(D6197)"),"2 個很棒的新食譜；泥石流蛋糕和非常抱歉的燉菜！ #GBBO")</f>
        <v>2 個很棒的新食譜；泥石流蛋糕和非常抱歉的燉菜！ #GBBO</v>
      </c>
      <c r="G6197" s="4" t="str">
        <f>IFERROR(__xludf.DUMMYFUNCTION("GOOGLETRANSLATE(B6197)"),"土石流")</f>
        <v>土石流</v>
      </c>
    </row>
    <row r="6198" ht="15.75" customHeight="1">
      <c r="A6198" s="4">
        <v>7168.0</v>
      </c>
      <c r="B6198" s="4" t="s">
        <v>3275</v>
      </c>
      <c r="C6198" s="4" t="s">
        <v>183</v>
      </c>
      <c r="D6198" s="4" t="s">
        <v>9042</v>
      </c>
      <c r="E6198" s="4">
        <v>0.0</v>
      </c>
      <c r="F6198" s="4" t="str">
        <f>IFERROR(__xludf.DUMMYFUNCTION("GOOGLETRANSLATE(D6198)"),"#GBBO 親愛的保羅和瑪麗之間的區別
保羅：“看起來像泥石流”
瑪麗：“我有一種感覺，味道會很棒”")</f>
        <v>#GBBO 親愛的保羅和瑪麗之間的區別
保羅：“看起來像泥石流”
瑪麗：“我有一種感覺，味道會很棒”</v>
      </c>
      <c r="G6198" s="4" t="str">
        <f>IFERROR(__xludf.DUMMYFUNCTION("GOOGLETRANSLATE(B6198)"),"土石流")</f>
        <v>土石流</v>
      </c>
    </row>
    <row r="6199" ht="15.75" customHeight="1">
      <c r="A6199" s="4">
        <v>7169.0</v>
      </c>
      <c r="B6199" s="4" t="s">
        <v>3275</v>
      </c>
      <c r="C6199" s="4" t="s">
        <v>9043</v>
      </c>
      <c r="D6199" s="4" t="s">
        <v>9044</v>
      </c>
      <c r="E6199" s="4">
        <v>0.0</v>
      </c>
      <c r="F6199" s="4" t="str">
        <f>IFERROR(__xludf.DUMMYFUNCTION("GOOGLETRANSLATE(D6199)"),"DORETTE 這是泥漿蛋糕製造商的名字")</f>
        <v>DORETTE 這是泥漿蛋糕製造商的名字</v>
      </c>
      <c r="G6199" s="4" t="str">
        <f>IFERROR(__xludf.DUMMYFUNCTION("GOOGLETRANSLATE(B6199)"),"土石流")</f>
        <v>土石流</v>
      </c>
    </row>
    <row r="6200" ht="15.75" customHeight="1">
      <c r="A6200" s="4">
        <v>7171.0</v>
      </c>
      <c r="B6200" s="4" t="s">
        <v>3275</v>
      </c>
      <c r="D6200" s="4" t="s">
        <v>9045</v>
      </c>
      <c r="E6200" s="4">
        <v>0.0</v>
      </c>
      <c r="F6200" s="4" t="str">
        <f>IFERROR(__xludf.DUMMYFUNCTION("GOOGLETRANSLATE(D6200)"),"RT RabidMonkeys1：啊，獨特的泥石流蛋糕??#GBBO http://t.co/ZT5OFbiwtD")</f>
        <v>RT RabidMonkeys1：啊，獨特的泥石流蛋糕??#GBBO http://t.co/ZT5OFbiwtD</v>
      </c>
      <c r="G6200" s="4" t="str">
        <f>IFERROR(__xludf.DUMMYFUNCTION("GOOGLETRANSLATE(B6200)"),"土石流")</f>
        <v>土石流</v>
      </c>
    </row>
    <row r="6201" ht="15.75" customHeight="1">
      <c r="A6201" s="4">
        <v>7175.0</v>
      </c>
      <c r="B6201" s="4" t="s">
        <v>3275</v>
      </c>
      <c r="D6201" s="4" t="s">
        <v>9046</v>
      </c>
      <c r="E6201" s="4">
        <v>0.0</v>
      </c>
      <c r="F6201" s="4" t="str">
        <f>IFERROR(__xludf.DUMMYFUNCTION("GOOGLETRANSLATE(D6201)"),"當保羅說你的蛋糕看起來像「泥石流」、嘗起來像「橡膠」時，你就完蛋了")</f>
        <v>當保羅說你的蛋糕看起來像「泥石流」、嘗起來像「橡膠」時，你就完蛋了</v>
      </c>
      <c r="G6201" s="4" t="str">
        <f>IFERROR(__xludf.DUMMYFUNCTION("GOOGLETRANSLATE(B6201)"),"土石流")</f>
        <v>土石流</v>
      </c>
    </row>
    <row r="6202" ht="15.75" customHeight="1">
      <c r="A6202" s="4">
        <v>7176.0</v>
      </c>
      <c r="B6202" s="4" t="s">
        <v>3275</v>
      </c>
      <c r="C6202" s="4" t="s">
        <v>183</v>
      </c>
      <c r="D6202" s="4" t="s">
        <v>9047</v>
      </c>
      <c r="E6202" s="4">
        <v>0.0</v>
      </c>
      <c r="F6202" s="4" t="str">
        <f>IFERROR(__xludf.DUMMYFUNCTION("GOOGLETRANSLATE(D6202)"),"第一印象：很高興戴帽子的男人離開，而不是更有趣的女士。希望泥石流女士下週能取得勝利。")</f>
        <v>第一印象：很高興戴帽子的男人離開，而不是更有趣的女士。希望泥石流女士下週能取得勝利。</v>
      </c>
      <c r="G6202" s="4" t="str">
        <f>IFERROR(__xludf.DUMMYFUNCTION("GOOGLETRANSLATE(B6202)"),"土石流")</f>
        <v>土石流</v>
      </c>
    </row>
    <row r="6203" ht="15.75" customHeight="1">
      <c r="A6203" s="4">
        <v>7178.0</v>
      </c>
      <c r="B6203" s="4" t="s">
        <v>3275</v>
      </c>
      <c r="C6203" s="4" t="s">
        <v>6836</v>
      </c>
      <c r="D6203" s="4" t="s">
        <v>9048</v>
      </c>
      <c r="E6203" s="4">
        <v>0.0</v>
      </c>
      <c r="F6203" s="4" t="str">
        <f>IFERROR(__xludf.DUMMYFUNCTION("GOOGLETRANSLATE(D6203)"),"@hazelannmac 哦，現在我為希望帽子曼離開而感到內疚。我敢打賭泥石流一定很美味！")</f>
        <v>@hazelannmac 哦，現在我為希望帽子曼離開而感到內疚。我敢打賭泥石流一定很美味！</v>
      </c>
      <c r="G6203" s="4" t="str">
        <f>IFERROR(__xludf.DUMMYFUNCTION("GOOGLETRANSLATE(B6203)"),"土石流")</f>
        <v>土石流</v>
      </c>
    </row>
    <row r="6204" ht="15.75" customHeight="1">
      <c r="A6204" s="4">
        <v>7180.0</v>
      </c>
      <c r="B6204" s="4" t="s">
        <v>3275</v>
      </c>
      <c r="D6204" s="4" t="s">
        <v>9049</v>
      </c>
      <c r="E6204" s="4">
        <v>0.0</v>
      </c>
      <c r="F6204" s="4" t="str">
        <f>IFERROR(__xludf.DUMMYFUNCTION("GOOGLETRANSLATE(D6204)"),"英國烘焙真是太棒了，非常搞笑的時刻#mudslide")</f>
        <v>英國烘焙真是太棒了，非常搞笑的時刻#mudslide</v>
      </c>
      <c r="G6204" s="4" t="str">
        <f>IFERROR(__xludf.DUMMYFUNCTION("GOOGLETRANSLATE(B6204)"),"土石流")</f>
        <v>土石流</v>
      </c>
    </row>
    <row r="6205" ht="15.75" customHeight="1">
      <c r="A6205" s="4">
        <v>7185.0</v>
      </c>
      <c r="B6205" s="4" t="s">
        <v>3275</v>
      </c>
      <c r="D6205" s="4" t="s">
        <v>9050</v>
      </c>
      <c r="E6205" s="4">
        <v>0.0</v>
      </c>
      <c r="F6205" s="4" t="str">
        <f>IFERROR(__xludf.DUMMYFUNCTION("GOOGLETRANSLATE(D6205)"),"#BakeOffFriends 發生泥石流的人")</f>
        <v>#BakeOffFriends 發生泥石流的人</v>
      </c>
      <c r="G6205" s="4" t="str">
        <f>IFERROR(__xludf.DUMMYFUNCTION("GOOGLETRANSLATE(B6205)"),"土石流")</f>
        <v>土石流</v>
      </c>
    </row>
    <row r="6206" ht="15.75" customHeight="1">
      <c r="A6206" s="4">
        <v>7186.0</v>
      </c>
      <c r="B6206" s="4" t="s">
        <v>3275</v>
      </c>
      <c r="D6206" s="4" t="s">
        <v>9051</v>
      </c>
      <c r="E6206" s="4">
        <v>0.0</v>
      </c>
      <c r="F6206" s="4" t="str">
        <f>IFERROR(__xludf.DUMMYFUNCTION("GOOGLETRANSLATE(D6206)"),"他稱之為泥石流 AW")</f>
        <v>他稱之為泥石流 AW</v>
      </c>
      <c r="G6206" s="4" t="str">
        <f>IFERROR(__xludf.DUMMYFUNCTION("GOOGLETRANSLATE(B6206)"),"土石流")</f>
        <v>土石流</v>
      </c>
    </row>
    <row r="6207" ht="15.75" customHeight="1">
      <c r="A6207" s="4">
        <v>7187.0</v>
      </c>
      <c r="B6207" s="4" t="s">
        <v>3275</v>
      </c>
      <c r="C6207" s="4" t="s">
        <v>542</v>
      </c>
      <c r="D6207" s="4" t="s">
        <v>9052</v>
      </c>
      <c r="E6207" s="4">
        <v>0.0</v>
      </c>
      <c r="F6207" s="4" t="str">
        <f>IFERROR(__xludf.DUMMYFUNCTION("GOOGLETRANSLATE(D6207)"),"@MarianKeyes 橡膠泥石流！還在笑！")</f>
        <v>@MarianKeyes 橡膠泥石流！還在笑！</v>
      </c>
      <c r="G6207" s="4" t="str">
        <f>IFERROR(__xludf.DUMMYFUNCTION("GOOGLETRANSLATE(B6207)"),"土石流")</f>
        <v>土石流</v>
      </c>
    </row>
    <row r="6208" ht="15.75" customHeight="1">
      <c r="A6208" s="4">
        <v>7188.0</v>
      </c>
      <c r="B6208" s="4" t="s">
        <v>3275</v>
      </c>
      <c r="C6208" s="4" t="s">
        <v>9053</v>
      </c>
      <c r="D6208" s="4" t="s">
        <v>9054</v>
      </c>
      <c r="E6208" s="4">
        <v>0.0</v>
      </c>
      <c r="F6208" s="4" t="str">
        <f>IFERROR(__xludf.DUMMYFUNCTION("GOOGLETRANSLATE(D6208)"),"#BakeOffFriends #GBBO “那個遭遇泥石流的人和那個戴帽子的人”")</f>
        <v>#BakeOffFriends #GBBO “那個遭遇泥石流的人和那個戴帽子的人”</v>
      </c>
      <c r="G6208" s="4" t="str">
        <f>IFERROR(__xludf.DUMMYFUNCTION("GOOGLETRANSLATE(B6208)"),"土石流")</f>
        <v>土石流</v>
      </c>
    </row>
    <row r="6209" ht="15.75" customHeight="1">
      <c r="A6209" s="4">
        <v>7191.0</v>
      </c>
      <c r="B6209" s="4" t="s">
        <v>3275</v>
      </c>
      <c r="D6209" s="4" t="s">
        <v>9055</v>
      </c>
      <c r="E6209" s="4">
        <v>0.0</v>
      </c>
      <c r="F6209" s="4" t="str">
        <f>IFERROR(__xludf.DUMMYFUNCTION("GOOGLETRANSLATE(D6209)"),"當我在後面的房間把你泡在泥石流中的時候？？？ #thisiswhywecanthavenicethings http://t.co/kgxNwzIUxd")</f>
        <v>當我在後面的房間把你泡在泥石流中的時候？？？ #thisiswhywecanthavenicethings http://t.co/kgxNwzIUxd</v>
      </c>
      <c r="G6209" s="4" t="str">
        <f>IFERROR(__xludf.DUMMYFUNCTION("GOOGLETRANSLATE(B6209)"),"土石流")</f>
        <v>土石流</v>
      </c>
    </row>
    <row r="6210" ht="15.75" customHeight="1">
      <c r="A6210" s="4">
        <v>7192.0</v>
      </c>
      <c r="B6210" s="4" t="s">
        <v>3275</v>
      </c>
      <c r="D6210" s="4" t="s">
        <v>9056</v>
      </c>
      <c r="E6210" s="4">
        <v>0.0</v>
      </c>
      <c r="F6210" s="4" t="str">
        <f>IFERROR(__xludf.DUMMYFUNCTION("GOOGLETRANSLATE(D6210)"),"她的蛋糕看起來像泥石流哈哈")</f>
        <v>她的蛋糕看起來像泥石流哈哈</v>
      </c>
      <c r="G6210" s="4" t="str">
        <f>IFERROR(__xludf.DUMMYFUNCTION("GOOGLETRANSLATE(B6210)"),"土石流")</f>
        <v>土石流</v>
      </c>
    </row>
    <row r="6211" ht="15.75" customHeight="1">
      <c r="A6211" s="4">
        <v>7194.0</v>
      </c>
      <c r="B6211" s="4" t="s">
        <v>3275</v>
      </c>
      <c r="D6211" s="4" t="s">
        <v>9057</v>
      </c>
      <c r="E6211" s="4">
        <v>0.0</v>
      </c>
      <c r="F6211" s="4" t="str">
        <f>IFERROR(__xludf.DUMMYFUNCTION("GOOGLETRANSLATE(D6211)"),"@nikistitz 甚至是看起來像泥石流的那個？")</f>
        <v>@nikistitz 甚至是看起來像泥石流的那個？</v>
      </c>
      <c r="G6211" s="4" t="str">
        <f>IFERROR(__xludf.DUMMYFUNCTION("GOOGLETRANSLATE(B6211)"),"土石流")</f>
        <v>土石流</v>
      </c>
    </row>
    <row r="6212" ht="15.75" customHeight="1">
      <c r="A6212" s="4">
        <v>7195.0</v>
      </c>
      <c r="B6212" s="4" t="s">
        <v>3297</v>
      </c>
      <c r="C6212" s="4" t="s">
        <v>9058</v>
      </c>
      <c r="D6212" s="4" t="s">
        <v>9059</v>
      </c>
      <c r="E6212" s="4">
        <v>0.0</v>
      </c>
      <c r="F6212" s="4" t="str">
        <f>IFERROR(__xludf.DUMMYFUNCTION("GOOGLETRANSLATE(D6212)"),"她是一場自然災害，她是最後一個美國女孩？")</f>
        <v>她是一場自然災害，她是最後一個美國女孩？</v>
      </c>
      <c r="G6212" s="4" t="str">
        <f>IFERROR(__xludf.DUMMYFUNCTION("GOOGLETRANSLATE(B6212)"),"自然%20災害")</f>
        <v>自然%20災害</v>
      </c>
    </row>
    <row r="6213" ht="15.75" customHeight="1">
      <c r="A6213" s="4">
        <v>7196.0</v>
      </c>
      <c r="B6213" s="4" t="s">
        <v>3297</v>
      </c>
      <c r="C6213" s="4" t="s">
        <v>9060</v>
      </c>
      <c r="D6213" s="4" t="s">
        <v>9061</v>
      </c>
      <c r="E6213" s="4">
        <v>0.0</v>
      </c>
      <c r="F6213" s="4" t="str">
        <f>IFERROR(__xludf.DUMMYFUNCTION("GOOGLETRANSLATE(D6213)"),"“受自然或人為災難影響的企業中有多達 40% 從未重新開業”
http://t.co/35JyAp0ul9")</f>
        <v>“受自然或人為災難影響的企業中有多達 40% 從未重新開業”
http://t.co/35JyAp0ul9</v>
      </c>
      <c r="G6213" s="4" t="str">
        <f>IFERROR(__xludf.DUMMYFUNCTION("GOOGLETRANSLATE(B6213)"),"自然%20災害")</f>
        <v>自然%20災害</v>
      </c>
    </row>
    <row r="6214" ht="15.75" customHeight="1">
      <c r="A6214" s="4">
        <v>7202.0</v>
      </c>
      <c r="B6214" s="4" t="s">
        <v>3297</v>
      </c>
      <c r="C6214" s="4" t="s">
        <v>291</v>
      </c>
      <c r="D6214" s="4" t="s">
        <v>9062</v>
      </c>
      <c r="E6214" s="4">
        <v>0.0</v>
      </c>
      <c r="F6214" s="4" t="str">
        <f>IFERROR(__xludf.DUMMYFUNCTION("GOOGLETRANSLATE(D6214)"),"在自然災害或恐怖攻擊等緊急情況下，也可能需要配給食物和水。")</f>
        <v>在自然災害或恐怖攻擊等緊急情況下，也可能需要配給食物和水。</v>
      </c>
      <c r="G6214" s="4" t="str">
        <f>IFERROR(__xludf.DUMMYFUNCTION("GOOGLETRANSLATE(B6214)"),"自然%20災害")</f>
        <v>自然%20災害</v>
      </c>
    </row>
    <row r="6215" ht="15.75" customHeight="1">
      <c r="A6215" s="4">
        <v>7204.0</v>
      </c>
      <c r="B6215" s="4" t="s">
        <v>3297</v>
      </c>
      <c r="D6215" s="4" t="s">
        <v>9063</v>
      </c>
      <c r="E6215" s="4">
        <v>0.0</v>
      </c>
      <c r="F6215" s="4" t="str">
        <f>IFERROR(__xludf.DUMMYFUNCTION("GOOGLETRANSLATE(D6215)"),"當你生氣的時候你是什麼天災人禍？ http://t.co/q4gl3Dvhu1")</f>
        <v>當你生氣的時候你是什麼天災人禍？ http://t.co/q4gl3Dvhu1</v>
      </c>
      <c r="G6215" s="4" t="str">
        <f>IFERROR(__xludf.DUMMYFUNCTION("GOOGLETRANSLATE(B6215)"),"自然%20災害")</f>
        <v>自然%20災害</v>
      </c>
    </row>
    <row r="6216" ht="15.75" customHeight="1">
      <c r="A6216" s="4">
        <v>7208.0</v>
      </c>
      <c r="B6216" s="4" t="s">
        <v>3297</v>
      </c>
      <c r="C6216" s="4" t="s">
        <v>6742</v>
      </c>
      <c r="D6216" s="4" t="s">
        <v>9064</v>
      </c>
      <c r="E6216" s="4">
        <v>0.0</v>
      </c>
      <c r="F6216" s="4" t="str">
        <f>IFERROR(__xludf.DUMMYFUNCTION("GOOGLETRANSLATE(D6216)"),"@TwopTwips 透過在標題中添加“The”，例如“救援人員正在搜尋殘骸”，使自然災害報告變得更加有趣")</f>
        <v>@TwopTwips 透過在標題中添加“The”，例如“救援人員正在搜尋殘骸”，使自然災害報告變得更加有趣</v>
      </c>
      <c r="G6216" s="4" t="str">
        <f>IFERROR(__xludf.DUMMYFUNCTION("GOOGLETRANSLATE(B6216)"),"自然%20災害")</f>
        <v>自然%20災害</v>
      </c>
    </row>
    <row r="6217" ht="15.75" customHeight="1">
      <c r="A6217" s="4">
        <v>7211.0</v>
      </c>
      <c r="B6217" s="4" t="s">
        <v>3297</v>
      </c>
      <c r="C6217" s="4" t="s">
        <v>9065</v>
      </c>
      <c r="D6217" s="4" t="s">
        <v>9066</v>
      </c>
      <c r="E6217" s="4">
        <v>0.0</v>
      </c>
      <c r="F6217" s="4" t="str">
        <f>IFERROR(__xludf.DUMMYFUNCTION("GOOGLETRANSLATE(D6217)"),"像一場自然災害一樣崛起，我們拿走了蝙蝠，然後我們奪回了城鎮？？？")</f>
        <v>像一場自然災害一樣崛起，我們拿走了蝙蝠，然後我們奪回了城鎮？？？</v>
      </c>
      <c r="G6217" s="4" t="str">
        <f>IFERROR(__xludf.DUMMYFUNCTION("GOOGLETRANSLATE(B6217)"),"自然%20災害")</f>
        <v>自然%20災害</v>
      </c>
    </row>
    <row r="6218" ht="15.75" customHeight="1">
      <c r="A6218" s="4">
        <v>7214.0</v>
      </c>
      <c r="B6218" s="4" t="s">
        <v>3297</v>
      </c>
      <c r="C6218" s="4" t="s">
        <v>9067</v>
      </c>
      <c r="D6218" s="4" t="s">
        <v>9068</v>
      </c>
      <c r="E6218" s="4">
        <v>0.0</v>
      </c>
      <c r="F6218" s="4" t="str">
        <f>IFERROR(__xludf.DUMMYFUNCTION("GOOGLETRANSLATE(D6218)"),"無論如何2我？馬特奧根本不存在？他對我們這一代來說只是一個海市蜃樓，毫無意義的補充。人類的自然災害。抱歉，但這是真的")</f>
        <v>無論如何2我？馬特奧根本不存在？他對我們這一代來說只是一個海市蜃樓，毫無意義的補充。人類的自然災害。抱歉，但這是真的</v>
      </c>
      <c r="G6218" s="4" t="str">
        <f>IFERROR(__xludf.DUMMYFUNCTION("GOOGLETRANSLATE(B6218)"),"自然%20災害")</f>
        <v>自然%20災害</v>
      </c>
    </row>
    <row r="6219" ht="15.75" customHeight="1">
      <c r="A6219" s="4">
        <v>7218.0</v>
      </c>
      <c r="B6219" s="4" t="s">
        <v>3297</v>
      </c>
      <c r="C6219" s="4" t="s">
        <v>9069</v>
      </c>
      <c r="D6219" s="4" t="s">
        <v>9070</v>
      </c>
      <c r="E6219" s="4">
        <v>0.0</v>
      </c>
      <c r="F6219" s="4" t="str">
        <f>IFERROR(__xludf.DUMMYFUNCTION("GOOGLETRANSLATE(D6219)"),"你愛我就像水從我指縫中溜走就像一場自然災害的愛")</f>
        <v>你愛我就像水從我指縫中溜走就像一場自然災害的愛</v>
      </c>
      <c r="G6219" s="4" t="str">
        <f>IFERROR(__xludf.DUMMYFUNCTION("GOOGLETRANSLATE(B6219)"),"自然%20災害")</f>
        <v>自然%20災害</v>
      </c>
    </row>
    <row r="6220" ht="15.75" customHeight="1">
      <c r="A6220" s="4">
        <v>7221.0</v>
      </c>
      <c r="B6220" s="4" t="s">
        <v>3297</v>
      </c>
      <c r="C6220" s="4" t="s">
        <v>9071</v>
      </c>
      <c r="D6220" s="4" t="s">
        <v>9072</v>
      </c>
      <c r="E6220" s="4">
        <v>0.0</v>
      </c>
      <c r="F6220" s="4" t="str">
        <f>IFERROR(__xludf.DUMMYFUNCTION("GOOGLETRANSLATE(D6220)"),"我在 @YouTube 播放清單中添加了一個視頻 http://t.co/v2yXurne2p 自然災害生存 - 一位客人的擁抱！在羅布樂思上")</f>
        <v>我在 @YouTube 播放清單中添加了一個視頻 http://t.co/v2yXurne2p 自然災害生存 - 一位客人的擁抱！在羅布樂思上</v>
      </c>
      <c r="G6220" s="4" t="str">
        <f>IFERROR(__xludf.DUMMYFUNCTION("GOOGLETRANSLATE(B6220)"),"自然%20災害")</f>
        <v>自然%20災害</v>
      </c>
    </row>
    <row r="6221" ht="15.75" customHeight="1">
      <c r="A6221" s="4">
        <v>7228.0</v>
      </c>
      <c r="B6221" s="4" t="s">
        <v>3297</v>
      </c>
      <c r="D6221" s="4" t="s">
        <v>9073</v>
      </c>
      <c r="E6221" s="4">
        <v>0.0</v>
      </c>
      <c r="F6221" s="4" t="str">
        <f>IFERROR(__xludf.DUMMYFUNCTION("GOOGLETRANSLATE(D6221)"),"@ConnorFranta #AskConnor 如果你是一場自然災害，你會是什麼？")</f>
        <v>@ConnorFranta #AskConnor 如果你是一場自然災害，你會是什麼？</v>
      </c>
      <c r="G6221" s="4" t="str">
        <f>IFERROR(__xludf.DUMMYFUNCTION("GOOGLETRANSLATE(B6221)"),"自然%20災害")</f>
        <v>自然%20災害</v>
      </c>
    </row>
    <row r="6222" ht="15.75" customHeight="1">
      <c r="A6222" s="4">
        <v>7230.0</v>
      </c>
      <c r="B6222" s="4" t="s">
        <v>3297</v>
      </c>
      <c r="C6222" s="4" t="s">
        <v>3313</v>
      </c>
      <c r="D6222" s="4" t="s">
        <v>9074</v>
      </c>
      <c r="E6222" s="4">
        <v>0.0</v>
      </c>
      <c r="F6222" s="4" t="str">
        <f>IFERROR(__xludf.DUMMYFUNCTION("GOOGLETRANSLATE(D6222)"),"這是社會主義在任何地方嘗試過的自然而不可避免的結果。
http://t.co/BbDpnj8XSx E")</f>
        <v>這是社會主義在任何地方嘗試過的自然而不可避免的結果。
http://t.co/BbDpnj8XSx E</v>
      </c>
      <c r="G6222" s="4" t="str">
        <f>IFERROR(__xludf.DUMMYFUNCTION("GOOGLETRANSLATE(B6222)"),"自然%20災害")</f>
        <v>自然%20災害</v>
      </c>
    </row>
    <row r="6223" ht="15.75" customHeight="1">
      <c r="A6223" s="4">
        <v>7232.0</v>
      </c>
      <c r="B6223" s="4" t="s">
        <v>3297</v>
      </c>
      <c r="D6223" s="4" t="s">
        <v>9075</v>
      </c>
      <c r="E6223" s="4">
        <v>0.0</v>
      </c>
      <c r="F6223" s="4" t="str">
        <f>IFERROR(__xludf.DUMMYFUNCTION("GOOGLETRANSLATE(D6223)"),"你好，自然災害/災難復原和緊急管理人員您可以推薦好的主題標籤來追蹤或向我發送好的讀物連結嗎？")</f>
        <v>你好，自然災害/災難復原和緊急管理人員您可以推薦好的主題標籤來追蹤或向我發送好的讀物連結嗎？</v>
      </c>
      <c r="G6223" s="4" t="str">
        <f>IFERROR(__xludf.DUMMYFUNCTION("GOOGLETRANSLATE(B6223)"),"自然%20災害")</f>
        <v>自然%20災害</v>
      </c>
    </row>
    <row r="6224" ht="15.75" customHeight="1">
      <c r="A6224" s="4">
        <v>7234.0</v>
      </c>
      <c r="B6224" s="4" t="s">
        <v>3297</v>
      </c>
      <c r="C6224" s="4" t="s">
        <v>6433</v>
      </c>
      <c r="D6224" s="4" t="s">
        <v>9076</v>
      </c>
      <c r="E6224" s="4">
        <v>0.0</v>
      </c>
      <c r="F6224" s="4" t="str">
        <f>IFERROR(__xludf.DUMMYFUNCTION("GOOGLETRANSLATE(D6224)"),"@BookTubeAThon 一個人們很可能不會死於自然和超自然災難和戰爭的世界。")</f>
        <v>@BookTubeAThon 一個人們很可能不會死於自然和超自然災難和戰爭的世界。</v>
      </c>
      <c r="G6224" s="4" t="str">
        <f>IFERROR(__xludf.DUMMYFUNCTION("GOOGLETRANSLATE(B6224)"),"自然%20災害")</f>
        <v>自然%20災害</v>
      </c>
    </row>
    <row r="6225" ht="15.75" customHeight="1">
      <c r="A6225" s="4">
        <v>7241.0</v>
      </c>
      <c r="B6225" s="4" t="s">
        <v>3297</v>
      </c>
      <c r="C6225" s="4" t="s">
        <v>3313</v>
      </c>
      <c r="D6225" s="4" t="s">
        <v>9077</v>
      </c>
      <c r="E6225" s="4">
        <v>0.0</v>
      </c>
      <c r="F6225" s="4" t="str">
        <f>IFERROR(__xludf.DUMMYFUNCTION("GOOGLETRANSLATE(D6225)"),"這是社會主義在任何地方嘗試過的自然而不可避免的結果。
http://t.co/BbDpnj8XSxF")</f>
        <v>這是社會主義在任何地方嘗試過的自然而不可避免的結果。
http://t.co/BbDpnj8XSxF</v>
      </c>
      <c r="G6225" s="4" t="str">
        <f>IFERROR(__xludf.DUMMYFUNCTION("GOOGLETRANSLATE(B6225)"),"自然%20災害")</f>
        <v>自然%20災害</v>
      </c>
    </row>
    <row r="6226" ht="15.75" customHeight="1">
      <c r="A6226" s="4">
        <v>7242.0</v>
      </c>
      <c r="B6226" s="4" t="s">
        <v>3297</v>
      </c>
      <c r="C6226" s="4" t="s">
        <v>9078</v>
      </c>
      <c r="D6226" s="4" t="s">
        <v>9079</v>
      </c>
      <c r="E6226" s="4">
        <v>0.0</v>
      </c>
      <c r="F6226" s="4" t="str">
        <f>IFERROR(__xludf.DUMMYFUNCTION("GOOGLETRANSLATE(D6226)"),"當你生氣的時候你是什麼天災人禍？ http://t.co/O9DzgZqEMf")</f>
        <v>當你生氣的時候你是什麼天災人禍？ http://t.co/O9DzgZqEMf</v>
      </c>
      <c r="G6226" s="4" t="str">
        <f>IFERROR(__xludf.DUMMYFUNCTION("GOOGLETRANSLATE(B6226)"),"自然%20災害")</f>
        <v>自然%20災害</v>
      </c>
    </row>
    <row r="6227" ht="15.75" customHeight="1">
      <c r="A6227" s="4">
        <v>7244.0</v>
      </c>
      <c r="B6227" s="4" t="s">
        <v>3297</v>
      </c>
      <c r="C6227" s="4" t="s">
        <v>9080</v>
      </c>
      <c r="D6227" s="4" t="s">
        <v>9081</v>
      </c>
      <c r="E6227" s="4">
        <v>0.0</v>
      </c>
      <c r="F6227" s="4" t="str">
        <f>IFERROR(__xludf.DUMMYFUNCTION("GOOGLETRANSLATE(D6227)"),"您的團隊準備好應對自然災害、客戶暴力或停電了嗎？聯絡 Ready Vet 進行設計... http://t.co/u2NJPoR39K")</f>
        <v>您的團隊準備好應對自然災害、客戶暴力或停電了嗎？聯絡 Ready Vet 進行設計... http://t.co/u2NJPoR39K</v>
      </c>
      <c r="G6227" s="4" t="str">
        <f>IFERROR(__xludf.DUMMYFUNCTION("GOOGLETRANSLATE(B6227)"),"自然%20災害")</f>
        <v>自然%20災害</v>
      </c>
    </row>
    <row r="6228" ht="15.75" customHeight="1">
      <c r="A6228" s="4">
        <v>7250.0</v>
      </c>
      <c r="B6228" s="4" t="s">
        <v>3324</v>
      </c>
      <c r="D6228" s="4" t="s">
        <v>9082</v>
      </c>
      <c r="E6228" s="4">
        <v>0.0</v>
      </c>
      <c r="F6228" s="4" t="str">
        <f>IFERROR(__xludf.DUMMYFUNCTION("GOOGLETRANSLATE(D6228)"),"核協議災難。
#IranDeal #NoNuclearIran #BadIranDeal @JebBush @BarackObama http://t.co/z7phPjtqud")</f>
        <v>核協議災難。
#IranDeal #NoNuclearIran #BadIranDeal @JebBush @BarackObama http://t.co/z7phPjtqud</v>
      </c>
      <c r="G6228" s="4" t="str">
        <f>IFERROR(__xludf.DUMMYFUNCTION("GOOGLETRANSLATE(B6228)"),"核%20災難")</f>
        <v>核%20災難</v>
      </c>
    </row>
    <row r="6229" ht="15.75" customHeight="1">
      <c r="A6229" s="4">
        <v>7275.0</v>
      </c>
      <c r="B6229" s="4" t="s">
        <v>3324</v>
      </c>
      <c r="C6229" s="4" t="s">
        <v>9083</v>
      </c>
      <c r="D6229" s="4" t="s">
        <v>9084</v>
      </c>
      <c r="E6229" s="4">
        <v>0.0</v>
      </c>
      <c r="F6229" s="4" t="str">
        <f>IFERROR(__xludf.DUMMYFUNCTION("GOOGLETRANSLATE(D6229)"),"@drvox 川普可以對核電說好話，但“鑽寶貝鑽！” + 拒絕 AGW = 核電政策災難。")</f>
        <v>@drvox 川普可以對核電說好話，但“鑽寶貝鑽！” + 拒絕 AGW = 核電政策災難。</v>
      </c>
      <c r="G6229" s="4" t="str">
        <f>IFERROR(__xludf.DUMMYFUNCTION("GOOGLETRANSLATE(B6229)"),"核%20災難")</f>
        <v>核%20災難</v>
      </c>
    </row>
    <row r="6230" ht="15.75" customHeight="1">
      <c r="A6230" s="4">
        <v>7292.0</v>
      </c>
      <c r="B6230" s="4" t="s">
        <v>3324</v>
      </c>
      <c r="C6230" s="4" t="s">
        <v>9085</v>
      </c>
      <c r="D6230" s="4" t="s">
        <v>9086</v>
      </c>
      <c r="E6230" s="4">
        <v>0.0</v>
      </c>
      <c r="F6230" s="4" t="str">
        <f>IFERROR(__xludf.DUMMYFUNCTION("GOOGLETRANSLATE(D6230)"),"超過一半的民調受訪者擔心核災從公眾意識中消失 http://t.co/YtnnnD631z ##fukushima")</f>
        <v>超過一半的民調受訪者擔心核災從公眾意識中消失 http://t.co/YtnnnD631z ##fukushima</v>
      </c>
      <c r="G6230" s="4" t="str">
        <f>IFERROR(__xludf.DUMMYFUNCTION("GOOGLETRANSLATE(B6230)"),"核%20災難")</f>
        <v>核%20災難</v>
      </c>
    </row>
    <row r="6231" ht="15.75" customHeight="1">
      <c r="A6231" s="4">
        <v>7295.0</v>
      </c>
      <c r="B6231" s="4" t="s">
        <v>3364</v>
      </c>
      <c r="D6231" s="4" t="s">
        <v>9087</v>
      </c>
      <c r="E6231" s="4">
        <v>0.0</v>
      </c>
      <c r="F6231" s="4" t="str">
        <f>IFERROR(__xludf.DUMMYFUNCTION("GOOGLETRANSLATE(D6231)"),"錯誤：509")</f>
        <v>錯誤：509</v>
      </c>
      <c r="G6231" s="4" t="str">
        <f>IFERROR(__xludf.DUMMYFUNCTION("GOOGLETRANSLATE(B6231)"),"核%20反應器")</f>
        <v>核%20反應器</v>
      </c>
    </row>
    <row r="6232" ht="15.75" customHeight="1">
      <c r="A6232" s="4">
        <v>7296.0</v>
      </c>
      <c r="B6232" s="4" t="s">
        <v>3364</v>
      </c>
      <c r="D6232" s="4" t="s">
        <v>9088</v>
      </c>
      <c r="E6232" s="4">
        <v>0.0</v>
      </c>
      <c r="F6232" s="4" t="str">
        <f>IFERROR(__xludf.DUMMYFUNCTION("GOOGLETRANSLATE(D6232)"),"看看#GE 在#nuclear 反應器中使用的游泳#機器人的精彩簡介！ http://t.co/HRc3oxQUIK #innovation http://t.co/wNPTvbM5T7")</f>
        <v>看看#GE 在#nuclear 反應器中使用的游泳#機器人的精彩簡介！ http://t.co/HRc3oxQUIK #innovation http://t.co/wNPTvbM5T7</v>
      </c>
      <c r="G6232" s="4" t="str">
        <f>IFERROR(__xludf.DUMMYFUNCTION("GOOGLETRANSLATE(B6232)"),"核%20反應器")</f>
        <v>核%20反應器</v>
      </c>
    </row>
    <row r="6233" ht="15.75" customHeight="1">
      <c r="A6233" s="4">
        <v>7297.0</v>
      </c>
      <c r="B6233" s="4" t="s">
        <v>3364</v>
      </c>
      <c r="D6233" s="4" t="s">
        <v>9089</v>
      </c>
      <c r="E6233" s="4">
        <v>0.0</v>
      </c>
      <c r="F6233" s="4" t="str">
        <f>IFERROR(__xludf.DUMMYFUNCTION("GOOGLETRANSLATE(D6233)"),"芬蘭核電廠將在融資到位後繼續進行-&gt; http://t.co/uHkXMXaB9l")</f>
        <v>芬蘭核電廠將在融資到位後繼續進行-&gt; http://t.co/uHkXMXaB9l</v>
      </c>
      <c r="G6233" s="4" t="str">
        <f>IFERROR(__xludf.DUMMYFUNCTION("GOOGLETRANSLATE(B6233)"),"核%20反應器")</f>
        <v>核%20反應器</v>
      </c>
    </row>
    <row r="6234" ht="15.75" customHeight="1">
      <c r="A6234" s="4">
        <v>7300.0</v>
      </c>
      <c r="B6234" s="4" t="s">
        <v>3364</v>
      </c>
      <c r="C6234" s="4" t="s">
        <v>9090</v>
      </c>
      <c r="D6234" s="4" t="s">
        <v>9091</v>
      </c>
      <c r="E6234" s="4">
        <v>0.0</v>
      </c>
      <c r="F6234" s="4" t="str">
        <f>IFERROR(__xludf.DUMMYFUNCTION("GOOGLETRANSLATE(D6234)"),"非洲發現了古代核反應爐嗎？ ÛÒ 你的... http://t.co/qadUfO8zXg")</f>
        <v>非洲發現了古代核反應爐嗎？ ÛÒ 你的... http://t.co/qadUfO8zXg</v>
      </c>
      <c r="G6234" s="4" t="str">
        <f>IFERROR(__xludf.DUMMYFUNCTION("GOOGLETRANSLATE(B6234)"),"核%20反應器")</f>
        <v>核%20反應器</v>
      </c>
    </row>
    <row r="6235" ht="15.75" customHeight="1">
      <c r="A6235" s="4">
        <v>7302.0</v>
      </c>
      <c r="B6235" s="4" t="s">
        <v>3364</v>
      </c>
      <c r="D6235" s="4" t="s">
        <v>9092</v>
      </c>
      <c r="E6235" s="4">
        <v>0.0</v>
      </c>
      <c r="F6235" s="4" t="str">
        <f>IFERROR(__xludf.DUMMYFUNCTION("GOOGLETRANSLATE(D6235)"),"事實速覽：#US 已經超過 43 年沒有#nuclear 反應器投入運作了。 http://t.co/V1mtR517Ue")</f>
        <v>事實速覽：#US 已經超過 43 年沒有#nuclear 反應器投入運作了。 http://t.co/V1mtR517Ue</v>
      </c>
      <c r="G6235" s="4" t="str">
        <f>IFERROR(__xludf.DUMMYFUNCTION("GOOGLETRANSLATE(B6235)"),"核%20反應器")</f>
        <v>核%20反應器</v>
      </c>
    </row>
    <row r="6236" ht="15.75" customHeight="1">
      <c r="A6236" s="4">
        <v>7307.0</v>
      </c>
      <c r="B6236" s="4" t="s">
        <v>3364</v>
      </c>
      <c r="C6236" s="4" t="s">
        <v>9093</v>
      </c>
      <c r="D6236" s="4" t="s">
        <v>9094</v>
      </c>
      <c r="E6236" s="4">
        <v>0.0</v>
      </c>
      <c r="F6236" s="4" t="str">
        <f>IFERROR(__xludf.DUMMYFUNCTION("GOOGLETRANSLATE(D6236)"),"德國太陽能裝置容量為 39 吉瓦
_一吉瓦大約等於核反應器的容量。
http://t.co/leCZOlkmSV")</f>
        <v>德國太陽能裝置容量為 39 吉瓦
_一吉瓦大約等於核反應器的容量。
http://t.co/leCZOlkmSV</v>
      </c>
      <c r="G6236" s="4" t="str">
        <f>IFERROR(__xludf.DUMMYFUNCTION("GOOGLETRANSLATE(B6236)"),"核%20反應器")</f>
        <v>核%20反應器</v>
      </c>
    </row>
    <row r="6237" ht="15.75" customHeight="1">
      <c r="A6237" s="4">
        <v>7309.0</v>
      </c>
      <c r="B6237" s="4" t="s">
        <v>3364</v>
      </c>
      <c r="C6237" s="4" t="s">
        <v>9095</v>
      </c>
      <c r="D6237" s="4" t="s">
        <v>9096</v>
      </c>
      <c r="E6237" s="4">
        <v>0.0</v>
      </c>
      <c r="F6237" s="4" t="str">
        <f>IFERROR(__xludf.DUMMYFUNCTION("GOOGLETRANSLATE(D6237)"),"美國海軍場外 3 艘最新潛水艇 http://t.co/okamsCZbwg")</f>
        <v>美國海軍場外 3 艘最新潛水艇 http://t.co/okamsCZbwg</v>
      </c>
      <c r="G6237" s="4" t="str">
        <f>IFERROR(__xludf.DUMMYFUNCTION("GOOGLETRANSLATE(B6237)"),"核%20反應器")</f>
        <v>核%20反應器</v>
      </c>
    </row>
    <row r="6238" ht="15.75" customHeight="1">
      <c r="A6238" s="4">
        <v>7310.0</v>
      </c>
      <c r="B6238" s="4" t="s">
        <v>3364</v>
      </c>
      <c r="C6238" s="4" t="s">
        <v>9097</v>
      </c>
      <c r="D6238" s="4" t="s">
        <v>9098</v>
      </c>
      <c r="E6238" s="4">
        <v>0.0</v>
      </c>
      <c r="F6238" s="4" t="str">
        <f>IFERROR(__xludf.DUMMYFUNCTION("GOOGLETRANSLATE(D6238)"),"「核反應爐就像一個女人。您只需閱讀手冊並按下正確的按鈕即可。")</f>
        <v>「核反應爐就像一個女人。您只需閱讀手冊並按下正確的按鈕即可。</v>
      </c>
      <c r="G6238" s="4" t="str">
        <f>IFERROR(__xludf.DUMMYFUNCTION("GOOGLETRANSLATE(B6238)"),"核%20反應器")</f>
        <v>核%20反應器</v>
      </c>
    </row>
    <row r="6239" ht="15.75" customHeight="1">
      <c r="A6239" s="4">
        <v>7311.0</v>
      </c>
      <c r="B6239" s="4" t="s">
        <v>3364</v>
      </c>
      <c r="D6239" s="4" t="s">
        <v>9099</v>
      </c>
      <c r="E6239" s="4">
        <v>0.0</v>
      </c>
      <c r="F6239" s="4" t="str">
        <f>IFERROR(__xludf.DUMMYFUNCTION("GOOGLETRANSLATE(D6239)"),"核反應器軌道炮將是發射 t1000 的好方法。")</f>
        <v>核反應器軌道炮將是發射 t1000 的好方法。</v>
      </c>
      <c r="G6239" s="4" t="str">
        <f>IFERROR(__xludf.DUMMYFUNCTION("GOOGLETRANSLATE(B6239)"),"核%20反應器")</f>
        <v>核%20反應器</v>
      </c>
    </row>
    <row r="6240" ht="15.75" customHeight="1">
      <c r="A6240" s="4">
        <v>7315.0</v>
      </c>
      <c r="B6240" s="4" t="s">
        <v>3364</v>
      </c>
      <c r="C6240" s="4" t="s">
        <v>9100</v>
      </c>
      <c r="D6240" s="4" t="s">
        <v>9101</v>
      </c>
      <c r="E6240" s="4">
        <v>0.0</v>
      </c>
      <c r="F6240" s="4" t="str">
        <f>IFERROR(__xludf.DUMMYFUNCTION("GOOGLETRANSLATE(D6240)"),"政府迫於壓力放棄了 20 多年來建造英國第一座核反應爐的計劃 http://t.co/E9d9Lk5Fdw")</f>
        <v>政府迫於壓力放棄了 20 多年來建造英國第一座核反應爐的計劃 http://t.co/E9d9Lk5Fdw</v>
      </c>
      <c r="G6240" s="4" t="str">
        <f>IFERROR(__xludf.DUMMYFUNCTION("GOOGLETRANSLATE(B6240)"),"核%20反應器")</f>
        <v>核%20反應器</v>
      </c>
    </row>
    <row r="6241" ht="15.75" customHeight="1">
      <c r="A6241" s="4">
        <v>7320.0</v>
      </c>
      <c r="B6241" s="4" t="s">
        <v>3364</v>
      </c>
      <c r="D6241" s="4" t="s">
        <v>9102</v>
      </c>
      <c r="E6241" s="4">
        <v>0.0</v>
      </c>
      <c r="F6241" s="4" t="str">
        <f>IFERROR(__xludf.DUMMYFUNCTION("GOOGLETRANSLATE(D6241)"),"@Willie_Am_I @JusttheBottle 我會在我的核反應爐冷卻箱裡哭泣！ #酒聊")</f>
        <v>@Willie_Am_I @JusttheBottle 我會在我的核反應爐冷卻箱裡哭泣！ #酒聊</v>
      </c>
      <c r="G6241" s="4" t="str">
        <f>IFERROR(__xludf.DUMMYFUNCTION("GOOGLETRANSLATE(B6241)"),"核%20反應器")</f>
        <v>核%20反應器</v>
      </c>
    </row>
    <row r="6242" ht="15.75" customHeight="1">
      <c r="A6242" s="4">
        <v>7323.0</v>
      </c>
      <c r="B6242" s="4" t="s">
        <v>3364</v>
      </c>
      <c r="C6242" s="4" t="s">
        <v>9103</v>
      </c>
      <c r="D6242" s="4" t="s">
        <v>9104</v>
      </c>
      <c r="E6242" s="4">
        <v>0.0</v>
      </c>
      <c r="F6242" s="4" t="str">
        <f>IFERROR(__xludf.DUMMYFUNCTION("GOOGLETRANSLATE(D6242)"),"磁靜電核融合反應器 http://t.co/eM5oPyTBpg")</f>
        <v>磁靜電核融合反應器 http://t.co/eM5oPyTBpg</v>
      </c>
      <c r="G6242" s="4" t="str">
        <f>IFERROR(__xludf.DUMMYFUNCTION("GOOGLETRANSLATE(B6242)"),"核%20反應器")</f>
        <v>核%20反應器</v>
      </c>
    </row>
    <row r="6243" ht="15.75" customHeight="1">
      <c r="A6243" s="4">
        <v>7325.0</v>
      </c>
      <c r="B6243" s="4" t="s">
        <v>3364</v>
      </c>
      <c r="D6243" s="4" t="s">
        <v>9105</v>
      </c>
      <c r="E6243" s="4">
        <v>0.0</v>
      </c>
      <c r="F6243" s="4" t="str">
        <f>IFERROR(__xludf.DUMMYFUNCTION("GOOGLETRANSLATE(D6243)"),"芬蘭部長：Fennovoima 核反應器將繼續透過 /r/worldnews http://t.co/fRkOdEstuK")</f>
        <v>芬蘭部長：Fennovoima 核反應器將繼續透過 /r/worldnews http://t.co/fRkOdEstuK</v>
      </c>
      <c r="G6243" s="4" t="str">
        <f>IFERROR(__xludf.DUMMYFUNCTION("GOOGLETRANSLATE(B6243)"),"核%20反應器")</f>
        <v>核%20反應器</v>
      </c>
    </row>
    <row r="6244" ht="15.75" customHeight="1">
      <c r="A6244" s="4">
        <v>7326.0</v>
      </c>
      <c r="B6244" s="4" t="s">
        <v>3364</v>
      </c>
      <c r="D6244" s="4" t="s">
        <v>9106</v>
      </c>
      <c r="E6244" s="4">
        <v>0.0</v>
      </c>
      <c r="F6244" s="4" t="str">
        <f>IFERROR(__xludf.DUMMYFUNCTION("GOOGLETRANSLATE(D6244)"),"海軍場邊 3 艘最新潛水艇 http://t.co/gpVZV0249Y")</f>
        <v>海軍場邊 3 艘最新潛水艇 http://t.co/gpVZV0249Y</v>
      </c>
      <c r="G6244" s="4" t="str">
        <f>IFERROR(__xludf.DUMMYFUNCTION("GOOGLETRANSLATE(B6244)"),"核%20反應器")</f>
        <v>核%20反應器</v>
      </c>
    </row>
    <row r="6245" ht="15.75" customHeight="1">
      <c r="A6245" s="4">
        <v>7328.0</v>
      </c>
      <c r="B6245" s="4" t="s">
        <v>3364</v>
      </c>
      <c r="C6245" s="4" t="s">
        <v>9107</v>
      </c>
      <c r="D6245" s="4" t="s">
        <v>9108</v>
      </c>
      <c r="E6245" s="4">
        <v>0.0</v>
      </c>
      <c r="F6245" s="4" t="str">
        <f>IFERROR(__xludf.DUMMYFUNCTION("GOOGLETRANSLATE(D6245)"),"美國海軍場邊 3 最新 #Subs http://t.co/9WQixGMHfh")</f>
        <v>美國海軍場邊 3 最新 #Subs http://t.co/9WQixGMHfh</v>
      </c>
      <c r="G6245" s="4" t="str">
        <f>IFERROR(__xludf.DUMMYFUNCTION("GOOGLETRANSLATE(B6245)"),"核%20反應器")</f>
        <v>核%20反應器</v>
      </c>
    </row>
    <row r="6246" ht="15.75" customHeight="1">
      <c r="A6246" s="4">
        <v>7330.0</v>
      </c>
      <c r="B6246" s="4" t="s">
        <v>3364</v>
      </c>
      <c r="C6246" s="4" t="s">
        <v>9109</v>
      </c>
      <c r="D6246" s="4" t="s">
        <v>9110</v>
      </c>
      <c r="E6246" s="4">
        <v>0.0</v>
      </c>
      <c r="F6246" s="4" t="str">
        <f>IFERROR(__xludf.DUMMYFUNCTION("GOOGLETRANSLATE(D6246)"),"芬蘭核電廠取得融資後將繼續推進 http://t.co/D8aWX2okKe 來自 @business")</f>
        <v>芬蘭核電廠取得融資後將繼續推進 http://t.co/D8aWX2okKe 來自 @business</v>
      </c>
      <c r="G6246" s="4" t="str">
        <f>IFERROR(__xludf.DUMMYFUNCTION("GOOGLETRANSLATE(B6246)"),"核%20反應器")</f>
        <v>核%20反應器</v>
      </c>
    </row>
    <row r="6247" ht="15.75" customHeight="1">
      <c r="A6247" s="4">
        <v>7331.0</v>
      </c>
      <c r="B6247" s="4" t="s">
        <v>3364</v>
      </c>
      <c r="C6247" s="4" t="s">
        <v>9111</v>
      </c>
      <c r="D6247" s="4" t="s">
        <v>9112</v>
      </c>
      <c r="E6247" s="4">
        <v>0.0</v>
      </c>
      <c r="F6247" s="4" t="str">
        <f>IFERROR(__xludf.DUMMYFUNCTION("GOOGLETRANSLATE(D6247)"),"美國能源部提供 4000 萬美元用於新核反應器設計 / Sputnik International http://t.co/0DxVZ7fDh3")</f>
        <v>美國能源部提供 4000 萬美元用於新核反應器設計 / Sputnik International http://t.co/0DxVZ7fDh3</v>
      </c>
      <c r="G6247" s="4" t="str">
        <f>IFERROR(__xludf.DUMMYFUNCTION("GOOGLETRANSLATE(B6247)"),"核%20反應器")</f>
        <v>核%20反應器</v>
      </c>
    </row>
    <row r="6248" ht="15.75" customHeight="1">
      <c r="A6248" s="4">
        <v>7332.0</v>
      </c>
      <c r="B6248" s="4" t="s">
        <v>3364</v>
      </c>
      <c r="C6248" s="4" t="s">
        <v>374</v>
      </c>
      <c r="D6248" s="4" t="s">
        <v>9113</v>
      </c>
      <c r="E6248" s="4">
        <v>0.0</v>
      </c>
      <c r="F6248" s="4" t="str">
        <f>IFERROR(__xludf.DUMMYFUNCTION("GOOGLETRANSLATE(D6248)"),"#切爾諾貝利核反應器內的一些拍攝 @SonyProUSA @LumixUSA @DJIGlobal @ProfBrianCox @RT_America https://t.co/2GLjhvEAD9")</f>
        <v>#切爾諾貝利核反應器內的一些拍攝 @SonyProUSA @LumixUSA @DJIGlobal @ProfBrianCox @RT_America https://t.co/2GLjhvEAD9</v>
      </c>
      <c r="G6248" s="4" t="str">
        <f>IFERROR(__xludf.DUMMYFUNCTION("GOOGLETRANSLATE(B6248)"),"核%20反應器")</f>
        <v>核%20反應器</v>
      </c>
    </row>
    <row r="6249" ht="15.75" customHeight="1">
      <c r="A6249" s="4">
        <v>7338.0</v>
      </c>
      <c r="B6249" s="4" t="s">
        <v>3364</v>
      </c>
      <c r="D6249" s="4" t="s">
        <v>9114</v>
      </c>
      <c r="E6249" s="4">
        <v>0.0</v>
      </c>
      <c r="F6249" s="4" t="str">
        <f>IFERROR(__xludf.DUMMYFUNCTION("GOOGLETRANSLATE(D6249)"),"芬蘭部長：Fennovoima 核反應器將繼續建造 http://t.co/mqMCOLwBzc")</f>
        <v>芬蘭部長：Fennovoima 核反應器將繼續建造 http://t.co/mqMCOLwBzc</v>
      </c>
      <c r="G6249" s="4" t="str">
        <f>IFERROR(__xludf.DUMMYFUNCTION("GOOGLETRANSLATE(B6249)"),"核%20反應器")</f>
        <v>核%20反應器</v>
      </c>
    </row>
    <row r="6250" ht="15.75" customHeight="1">
      <c r="A6250" s="4">
        <v>7340.0</v>
      </c>
      <c r="B6250" s="4" t="s">
        <v>3364</v>
      </c>
      <c r="C6250" s="4" t="s">
        <v>9115</v>
      </c>
      <c r="D6250" s="4" t="s">
        <v>9116</v>
      </c>
      <c r="E6250" s="4">
        <v>0.0</v>
      </c>
      <c r="F6250" s="4" t="str">
        <f>IFERROR(__xludf.DUMMYFUNCTION("GOOGLETRANSLATE(D6250)"),"8 月 5 日：根據 NRC 的數據，卡爾霍恩堡核電廠今天已達到 100% 產能：http://t.co/pztbQImpuW")</f>
        <v>8 月 5 日：根據 NRC 的數據，卡爾霍恩堡核電廠今天已達到 100% 產能：http://t.co/pztbQImpuW</v>
      </c>
      <c r="G6250" s="4" t="str">
        <f>IFERROR(__xludf.DUMMYFUNCTION("GOOGLETRANSLATE(B6250)"),"核%20反應器")</f>
        <v>核%20反應器</v>
      </c>
    </row>
    <row r="6251" ht="15.75" customHeight="1">
      <c r="A6251" s="4">
        <v>7343.0</v>
      </c>
      <c r="B6251" s="4" t="s">
        <v>3364</v>
      </c>
      <c r="C6251" s="4" t="s">
        <v>907</v>
      </c>
      <c r="D6251" s="4" t="s">
        <v>9117</v>
      </c>
      <c r="E6251" s="4">
        <v>0.0</v>
      </c>
      <c r="F6251" s="4" t="str">
        <f>IFERROR(__xludf.DUMMYFUNCTION("GOOGLETRANSLATE(D6251)"),"HamptonRoadsFor.me 美國海軍邊線 3 最新潛水艇 - http://t.co/9QNQ45Zduw http://t.co/dhyLJllRHL")</f>
        <v>HamptonRoadsFor.me 美國海軍邊線 3 最新潛水艇 - http://t.co/9QNQ45Zduw http://t.co/dhyLJllRHL</v>
      </c>
      <c r="G6251" s="4" t="str">
        <f>IFERROR(__xludf.DUMMYFUNCTION("GOOGLETRANSLATE(B6251)"),"核%20反應器")</f>
        <v>核%20反應器</v>
      </c>
    </row>
    <row r="6252" ht="15.75" customHeight="1">
      <c r="A6252" s="4">
        <v>7344.0</v>
      </c>
      <c r="B6252" s="4" t="s">
        <v>3364</v>
      </c>
      <c r="C6252" s="4" t="s">
        <v>9118</v>
      </c>
      <c r="D6252" s="4" t="s">
        <v>9119</v>
      </c>
      <c r="E6252" s="4">
        <v>0.0</v>
      </c>
      <c r="F6252" s="4" t="str">
        <f>IFERROR(__xludf.DUMMYFUNCTION("GOOGLETRANSLATE(D6252)"),"一名 17 歲的童子軍在家中建造了一個迷你核反應堆")</f>
        <v>一名 17 歲的童子軍在家中建造了一個迷你核反應堆</v>
      </c>
      <c r="G6252" s="4" t="str">
        <f>IFERROR(__xludf.DUMMYFUNCTION("GOOGLETRANSLATE(B6252)"),"核%20反應器")</f>
        <v>核%20反應器</v>
      </c>
    </row>
    <row r="6253" ht="15.75" customHeight="1">
      <c r="A6253" s="4">
        <v>7345.0</v>
      </c>
      <c r="B6253" s="4" t="s">
        <v>3384</v>
      </c>
      <c r="C6253" s="4" t="s">
        <v>9120</v>
      </c>
      <c r="D6253" s="4" t="s">
        <v>9121</v>
      </c>
      <c r="E6253" s="4">
        <v>0.0</v>
      </c>
      <c r="F6253" s="4" t="str">
        <f>IFERROR(__xludf.DUMMYFUNCTION("GOOGLETRANSLATE(D6253)"),"@dicehateme @PuppyShogun 這是有道理的。紙打敗石頭 紙來自木頭，所以木頭應該可以支撐和消滅石頭。")</f>
        <v>@dicehateme @PuppyShogun 這是有道理的。紙打敗石頭 紙來自木頭，所以木頭應該可以支撐和消滅石頭。</v>
      </c>
      <c r="G6253" s="4" t="str">
        <f>IFERROR(__xludf.DUMMYFUNCTION("GOOGLETRANSLATE(B6253)"),"泯")</f>
        <v>泯</v>
      </c>
    </row>
    <row r="6254" ht="15.75" customHeight="1">
      <c r="A6254" s="4">
        <v>7348.0</v>
      </c>
      <c r="B6254" s="4" t="s">
        <v>3384</v>
      </c>
      <c r="C6254" s="4" t="s">
        <v>9122</v>
      </c>
      <c r="D6254" s="4" t="s">
        <v>9123</v>
      </c>
      <c r="E6254" s="4">
        <v>0.0</v>
      </c>
      <c r="F6254" s="4" t="str">
        <f>IFERROR(__xludf.DUMMYFUNCTION("GOOGLETRANSLATE(D6254)"),"中華人民共和國（PROC）：放棄西菲律賓海和所有... https://t.co/pD14GsrfSC 來自 @ChangePilipinas")</f>
        <v>中華人民共和國（PROC）：放棄西菲律賓海和所有... https://t.co/pD14GsrfSC 來自 @ChangePilipinas</v>
      </c>
      <c r="G6254" s="4" t="str">
        <f>IFERROR(__xludf.DUMMYFUNCTION("GOOGLETRANSLATE(B6254)"),"泯")</f>
        <v>泯</v>
      </c>
    </row>
    <row r="6255" ht="15.75" customHeight="1">
      <c r="A6255" s="4">
        <v>7350.0</v>
      </c>
      <c r="B6255" s="4" t="s">
        <v>3384</v>
      </c>
      <c r="C6255" s="4" t="s">
        <v>9124</v>
      </c>
      <c r="D6255" s="4" t="s">
        <v>9125</v>
      </c>
      <c r="E6255" s="4">
        <v>0.0</v>
      </c>
      <c r="F6255" s="4" t="str">
        <f>IFERROR(__xludf.DUMMYFUNCTION("GOOGLETRANSLATE(D6255)"),"@realDonaldTrump 消除概念&amp;amp;模式政治風格似乎引導選民信仰諷刺自戀#RichHomeyDon #Swag #USA #LIKES")</f>
        <v>@realDonaldTrump 消除概念&amp;amp;模式政治風格似乎引導選民信仰諷刺自戀#RichHomeyDon #Swag #USA #LIKES</v>
      </c>
      <c r="G6255" s="4" t="str">
        <f>IFERROR(__xludf.DUMMYFUNCTION("GOOGLETRANSLATE(B6255)"),"泯")</f>
        <v>泯</v>
      </c>
    </row>
    <row r="6256" ht="15.75" customHeight="1">
      <c r="A6256" s="4">
        <v>7352.0</v>
      </c>
      <c r="B6256" s="4" t="s">
        <v>3384</v>
      </c>
      <c r="C6256" s="4" t="s">
        <v>915</v>
      </c>
      <c r="D6256" s="4" t="s">
        <v>9126</v>
      </c>
      <c r="E6256" s="4">
        <v>0.0</v>
      </c>
      <c r="F6256" s="4" t="str">
        <f>IFERROR(__xludf.DUMMYFUNCTION("GOOGLETRANSLATE(D6256)"),"#fun #instagramers http://t.co/M3NJvvtYgN
傑布布希本週稍早表示，他不僅想消滅計劃生育組織，還想消滅計劃生育組織。")</f>
        <v>#fun #instagramers http://t.co/M3NJvvtYgN
傑布布希本週稍早表示，他不僅想消滅計劃生育組織，還想消滅計劃生育組織。</v>
      </c>
      <c r="G6256" s="4" t="str">
        <f>IFERROR(__xludf.DUMMYFUNCTION("GOOGLETRANSLATE(B6256)"),"泯")</f>
        <v>泯</v>
      </c>
    </row>
    <row r="6257" ht="15.75" customHeight="1">
      <c r="A6257" s="4">
        <v>7354.0</v>
      </c>
      <c r="B6257" s="4" t="s">
        <v>3384</v>
      </c>
      <c r="C6257" s="4" t="s">
        <v>9127</v>
      </c>
      <c r="D6257" s="4" t="s">
        <v>9128</v>
      </c>
      <c r="E6257" s="4">
        <v>0.0</v>
      </c>
      <c r="F6257" s="4" t="str">
        <f>IFERROR(__xludf.DUMMYFUNCTION("GOOGLETRANSLATE(D6257)"),"蘇達別打擾索妮亞女士，否則我就消滅你#KneelBot")</f>
        <v>蘇達別打擾索妮亞女士，否則我就消滅你#KneelBot</v>
      </c>
      <c r="G6257" s="4" t="str">
        <f>IFERROR(__xludf.DUMMYFUNCTION("GOOGLETRANSLATE(B6257)"),"泯")</f>
        <v>泯</v>
      </c>
    </row>
    <row r="6258" ht="15.75" customHeight="1">
      <c r="A6258" s="4">
        <v>7355.0</v>
      </c>
      <c r="B6258" s="4" t="s">
        <v>3384</v>
      </c>
      <c r="C6258" s="4" t="s">
        <v>1019</v>
      </c>
      <c r="D6258" s="4" t="s">
        <v>9129</v>
      </c>
      <c r="E6258" s="4">
        <v>0.0</v>
      </c>
      <c r="F6258" s="4" t="str">
        <f>IFERROR(__xludf.DUMMYFUNCTION("GOOGLETRANSLATE(D6258)"),"@klavierstuk 不這麼認為，所以 LVG 被迫進入市場。可能會用 Blind LCB 擊敗熱刺和較小的球隊。前 4/CL 球隊將會消滅我們。")</f>
        <v>@klavierstuk 不這麼認為，所以 LVG 被迫進入市場。可能會用 Blind LCB 擊敗熱刺和較小的球隊。前 4/CL 球隊將會消滅我們。</v>
      </c>
      <c r="G6258" s="4" t="str">
        <f>IFERROR(__xludf.DUMMYFUNCTION("GOOGLETRANSLATE(B6258)"),"泯")</f>
        <v>泯</v>
      </c>
    </row>
    <row r="6259" ht="15.75" customHeight="1">
      <c r="A6259" s="4">
        <v>7357.0</v>
      </c>
      <c r="B6259" s="4" t="s">
        <v>3384</v>
      </c>
      <c r="D6259" s="4" t="s">
        <v>9130</v>
      </c>
      <c r="E6259" s="4">
        <v>0.0</v>
      </c>
      <c r="F6259" s="4" t="str">
        <f>IFERROR(__xludf.DUMMYFUNCTION("GOOGLETRANSLATE(D6259)"),"#LOL 普利茅斯（讓Ûª消滅垃圾Ûª）http://t.co/GDrssjbH8q")</f>
        <v>#LOL 普利茅斯（讓Ûª消滅垃圾Ûª）http://t.co/GDrssjbH8q</v>
      </c>
      <c r="G6259" s="4" t="str">
        <f>IFERROR(__xludf.DUMMYFUNCTION("GOOGLETRANSLATE(B6259)"),"泯")</f>
        <v>泯</v>
      </c>
    </row>
    <row r="6260" ht="15.75" customHeight="1">
      <c r="A6260" s="4">
        <v>7358.0</v>
      </c>
      <c r="B6260" s="4" t="s">
        <v>3384</v>
      </c>
      <c r="C6260" s="4" t="s">
        <v>9131</v>
      </c>
      <c r="D6260" s="4" t="s">
        <v>9132</v>
      </c>
      <c r="E6260" s="4">
        <v>0.0</v>
      </c>
      <c r="F6260" s="4" t="str">
        <f>IFERROR(__xludf.DUMMYFUNCTION("GOOGLETRANSLATE(D6260)"),"根據預言和 CNN，Mac 平板電腦將完全消除對其他設備的需求。結合Û_ http://t.co/xfccvMXuWb")</f>
        <v>根據預言和 CNN，Mac 平板電腦將完全消除對其他設備的需求。結合Û_ http://t.co/xfccvMXuWb</v>
      </c>
      <c r="G6260" s="4" t="str">
        <f>IFERROR(__xludf.DUMMYFUNCTION("GOOGLETRANSLATE(B6260)"),"泯")</f>
        <v>泯</v>
      </c>
    </row>
    <row r="6261" ht="15.75" customHeight="1">
      <c r="A6261" s="4">
        <v>7359.0</v>
      </c>
      <c r="B6261" s="4" t="s">
        <v>3384</v>
      </c>
      <c r="C6261" s="4" t="s">
        <v>9133</v>
      </c>
      <c r="D6261" s="4" t="s">
        <v>9134</v>
      </c>
      <c r="E6261" s="4">
        <v>0.0</v>
      </c>
      <c r="F6261" s="4" t="str">
        <f>IFERROR(__xludf.DUMMYFUNCTION("GOOGLETRANSLATE(D6261)"),"@JoseBasedGod 我要把你消滅到陰影領域。")</f>
        <v>@JoseBasedGod 我要把你消滅到陰影領域。</v>
      </c>
      <c r="G6261" s="4" t="str">
        <f>IFERROR(__xludf.DUMMYFUNCTION("GOOGLETRANSLATE(B6261)"),"泯")</f>
        <v>泯</v>
      </c>
    </row>
    <row r="6262" ht="15.75" customHeight="1">
      <c r="A6262" s="4">
        <v>7360.0</v>
      </c>
      <c r="B6262" s="4" t="s">
        <v>3384</v>
      </c>
      <c r="C6262" s="4" t="s">
        <v>9135</v>
      </c>
      <c r="D6262" s="4" t="s">
        <v>9136</v>
      </c>
      <c r="E6262" s="4">
        <v>0.0</v>
      </c>
      <c r="F6262" s="4" t="str">
        <f>IFERROR(__xludf.DUMMYFUNCTION("GOOGLETRANSLATE(D6262)"),"今晚共和黨辯論，但下週沒有喬恩·斯圖爾特來消滅他們？ #JonVoyage")</f>
        <v>今晚共和黨辯論，但下週沒有喬恩·斯圖爾特來消滅他們？ #JonVoyage</v>
      </c>
      <c r="G6262" s="4" t="str">
        <f>IFERROR(__xludf.DUMMYFUNCTION("GOOGLETRANSLATE(B6262)"),"泯")</f>
        <v>泯</v>
      </c>
    </row>
    <row r="6263" ht="15.75" customHeight="1">
      <c r="A6263" s="4">
        <v>7365.0</v>
      </c>
      <c r="B6263" s="4" t="s">
        <v>3384</v>
      </c>
      <c r="C6263" s="4" t="s">
        <v>9137</v>
      </c>
      <c r="D6263" s="4" t="s">
        <v>9138</v>
      </c>
      <c r="E6263" s="4">
        <v>0.0</v>
      </c>
      <c r="F6263" s="4" t="str">
        <f>IFERROR(__xludf.DUMMYFUNCTION("GOOGLETRANSLATE(D6263)"),"@SkyNews 這個敗類怎麼還活著消滅這個癌症")</f>
        <v>@SkyNews 這個敗類怎麼還活著消滅這個癌症</v>
      </c>
      <c r="G6263" s="4" t="str">
        <f>IFERROR(__xludf.DUMMYFUNCTION("GOOGLETRANSLATE(B6263)"),"泯")</f>
        <v>泯</v>
      </c>
    </row>
    <row r="6264" ht="15.75" customHeight="1">
      <c r="A6264" s="4">
        <v>7366.0</v>
      </c>
      <c r="B6264" s="4" t="s">
        <v>3384</v>
      </c>
      <c r="C6264" s="4" t="s">
        <v>1019</v>
      </c>
      <c r="D6264" s="4" t="s">
        <v>9139</v>
      </c>
      <c r="E6264" s="4">
        <v>0.0</v>
      </c>
      <c r="F6264" s="4" t="str">
        <f>IFERROR(__xludf.DUMMYFUNCTION("GOOGLETRANSLATE(D6264)"),"WWE 2K15：宇宙模式 - 第 149 部分 - 抹殺！!：http://t.co/0oms8rI3l1 來自 @YouTube")</f>
        <v>WWE 2K15：宇宙模式 - 第 149 部分 - 抹殺！!：http://t.co/0oms8rI3l1 來自 @YouTube</v>
      </c>
      <c r="G6264" s="4" t="str">
        <f>IFERROR(__xludf.DUMMYFUNCTION("GOOGLETRANSLATE(B6264)"),"泯")</f>
        <v>泯</v>
      </c>
    </row>
    <row r="6265" ht="15.75" customHeight="1">
      <c r="A6265" s="4">
        <v>7367.0</v>
      </c>
      <c r="B6265" s="4" t="s">
        <v>3384</v>
      </c>
      <c r="D6265" s="4" t="s">
        <v>9140</v>
      </c>
      <c r="E6265" s="4">
        <v>0.0</v>
      </c>
      <c r="F6265" s="4" t="str">
        <f>IFERROR(__xludf.DUMMYFUNCTION("GOOGLETRANSLATE(D6265)"),"是時候剷除這個罪惡了！")</f>
        <v>是時候剷除這個罪惡了！</v>
      </c>
      <c r="G6265" s="4" t="str">
        <f>IFERROR(__xludf.DUMMYFUNCTION("GOOGLETRANSLATE(B6265)"),"泯")</f>
        <v>泯</v>
      </c>
    </row>
    <row r="6266" ht="15.75" customHeight="1">
      <c r="A6266" s="4">
        <v>7369.0</v>
      </c>
      <c r="B6266" s="4" t="s">
        <v>3384</v>
      </c>
      <c r="C6266" s="4" t="s">
        <v>89</v>
      </c>
      <c r="D6266" s="4" t="s">
        <v>9141</v>
      </c>
      <c r="E6266" s="4">
        <v>0.0</v>
      </c>
      <c r="F6266" s="4" t="str">
        <f>IFERROR(__xludf.DUMMYFUNCTION("GOOGLETRANSLATE(D6266)"),"知道他們認出他們…然後消滅他們！
#gym #gymflow #gymtime #team #assassinsÛ_ https://t.co/mUHj8CbdQb")</f>
        <v>知道他們認出他們…然後消滅他們！
#gym #gymflow #gymtime #team #assassinsÛ_ https://t.co/mUHj8CbdQb</v>
      </c>
      <c r="G6266" s="4" t="str">
        <f>IFERROR(__xludf.DUMMYFUNCTION("GOOGLETRANSLATE(B6266)"),"泯")</f>
        <v>泯</v>
      </c>
    </row>
    <row r="6267" ht="15.75" customHeight="1">
      <c r="A6267" s="4">
        <v>7371.0</v>
      </c>
      <c r="B6267" s="4" t="s">
        <v>3384</v>
      </c>
      <c r="C6267" s="4" t="s">
        <v>9142</v>
      </c>
      <c r="D6267" s="4" t="s">
        <v>9143</v>
      </c>
      <c r="E6267" s="4">
        <v>0.0</v>
      </c>
      <c r="F6267" s="4" t="str">
        <f>IFERROR(__xludf.DUMMYFUNCTION("GOOGLETRANSLATE(D6267)"),"DC我愛你，但請抹去權力女孩")</f>
        <v>DC我愛你，但請抹去權力女孩</v>
      </c>
      <c r="G6267" s="4" t="str">
        <f>IFERROR(__xludf.DUMMYFUNCTION("GOOGLETRANSLATE(B6267)"),"泯")</f>
        <v>泯</v>
      </c>
    </row>
    <row r="6268" ht="15.75" customHeight="1">
      <c r="A6268" s="4">
        <v>7372.0</v>
      </c>
      <c r="B6268" s="4" t="s">
        <v>3384</v>
      </c>
      <c r="C6268" s="4" t="s">
        <v>9144</v>
      </c>
      <c r="D6268" s="4" t="s">
        <v>9145</v>
      </c>
      <c r="E6268" s="4">
        <v>0.0</v>
      </c>
      <c r="F6268" s="4" t="str">
        <f>IFERROR(__xludf.DUMMYFUNCTION("GOOGLETRANSLATE(D6268)"),"@Gargron 好先生，我本來不想這樣做，但現在我被迫這樣做。我必須抹殺你")</f>
        <v>@Gargron 好先生，我本來不想這樣做，但現在我被迫這樣做。我必須抹殺你</v>
      </c>
      <c r="G6268" s="4" t="str">
        <f>IFERROR(__xludf.DUMMYFUNCTION("GOOGLETRANSLATE(B6268)"),"泯")</f>
        <v>泯</v>
      </c>
    </row>
    <row r="6269" ht="15.75" customHeight="1">
      <c r="A6269" s="4">
        <v>7373.0</v>
      </c>
      <c r="B6269" s="4" t="s">
        <v>3384</v>
      </c>
      <c r="D6269" s="4" t="s">
        <v>9146</v>
      </c>
      <c r="E6269" s="4">
        <v>0.0</v>
      </c>
      <c r="F6269" s="4" t="str">
        <f>IFERROR(__xludf.DUMMYFUNCTION("GOOGLETRANSLATE(D6269)"),"@holymileyray @moonIighthunty 關注我會抹掉職業茶")</f>
        <v>@holymileyray @moonIighthunty 關注我會抹掉職業茶</v>
      </c>
      <c r="G6269" s="4" t="str">
        <f>IFERROR(__xludf.DUMMYFUNCTION("GOOGLETRANSLATE(B6269)"),"泯")</f>
        <v>泯</v>
      </c>
    </row>
    <row r="6270" ht="15.75" customHeight="1">
      <c r="A6270" s="4">
        <v>7374.0</v>
      </c>
      <c r="B6270" s="4" t="s">
        <v>3384</v>
      </c>
      <c r="D6270" s="4" t="s">
        <v>9147</v>
      </c>
      <c r="E6270" s="4">
        <v>0.0</v>
      </c>
      <c r="F6270" s="4" t="str">
        <f>IFERROR(__xludf.DUMMYFUNCTION("GOOGLETRANSLATE(D6270)"),"你是否曾想過將整個物種從地球上抹去？我投蚊子一票")</f>
        <v>你是否曾想過將整個物種從地球上抹去？我投蚊子一票</v>
      </c>
      <c r="G6270" s="4" t="str">
        <f>IFERROR(__xludf.DUMMYFUNCTION("GOOGLETRANSLATE(B6270)"),"泯")</f>
        <v>泯</v>
      </c>
    </row>
    <row r="6271" ht="15.75" customHeight="1">
      <c r="A6271" s="4">
        <v>7378.0</v>
      </c>
      <c r="B6271" s="4" t="s">
        <v>3384</v>
      </c>
      <c r="D6271" s="4" t="s">
        <v>9148</v>
      </c>
      <c r="E6271" s="4">
        <v>0.0</v>
      </c>
      <c r="F6271" s="4" t="str">
        <f>IFERROR(__xludf.DUMMYFUNCTION("GOOGLETRANSLATE(D6271)"),"想知道明天的就業數據是否會導致金價跳空 50 美元，從而消除空頭。一個大個子的球員可以粉碎他們")</f>
        <v>想知道明天的就業數據是否會導致金價跳空 50 美元，從而消除空頭。一個大個子的球員可以粉碎他們</v>
      </c>
      <c r="G6271" s="4" t="str">
        <f>IFERROR(__xludf.DUMMYFUNCTION("GOOGLETRANSLATE(B6271)"),"泯")</f>
        <v>泯</v>
      </c>
    </row>
    <row r="6272" ht="15.75" customHeight="1">
      <c r="A6272" s="4">
        <v>7380.0</v>
      </c>
      <c r="B6272" s="4" t="s">
        <v>3384</v>
      </c>
      <c r="C6272" s="4" t="s">
        <v>9149</v>
      </c>
      <c r="D6272" s="4" t="s">
        <v>9150</v>
      </c>
      <c r="E6272" s="4">
        <v>0.0</v>
      </c>
      <c r="F6272" s="4" t="str">
        <f>IFERROR(__xludf.DUMMYFUNCTION("GOOGLETRANSLATE(D6272)"),"消除社會中的迷信應該是我們的責任：斯瓦米·阿格尼維什")</f>
        <v>消除社會中的迷信應該是我們的責任：斯瓦米·阿格尼維什</v>
      </c>
      <c r="G6272" s="4" t="str">
        <f>IFERROR(__xludf.DUMMYFUNCTION("GOOGLETRANSLATE(B6272)"),"泯")</f>
        <v>泯</v>
      </c>
    </row>
    <row r="6273" ht="15.75" customHeight="1">
      <c r="A6273" s="4">
        <v>7381.0</v>
      </c>
      <c r="B6273" s="4" t="s">
        <v>3384</v>
      </c>
      <c r="C6273" s="4" t="s">
        <v>142</v>
      </c>
      <c r="D6273" s="4" t="s">
        <v>9151</v>
      </c>
      <c r="E6273" s="4">
        <v>0.0</v>
      </c>
      <c r="F6273" s="4" t="str">
        <f>IFERROR(__xludf.DUMMYFUNCTION("GOOGLETRANSLATE(D6273)"),"米克·米爾懇求妮琪·米娜讓他消滅……#ovofest #nowplaying http://t.co/XOmI4ZQzgp http://t.co/0m1TW3DaTd")</f>
        <v>米克·米爾懇求妮琪·米娜讓他消滅……#ovofest #nowplaying http://t.co/XOmI4ZQzgp http://t.co/0m1TW3DaTd</v>
      </c>
      <c r="G6273" s="4" t="str">
        <f>IFERROR(__xludf.DUMMYFUNCTION("GOOGLETRANSLATE(B6273)"),"泯")</f>
        <v>泯</v>
      </c>
    </row>
    <row r="6274" ht="15.75" customHeight="1">
      <c r="A6274" s="4">
        <v>7383.0</v>
      </c>
      <c r="B6274" s="4" t="s">
        <v>3384</v>
      </c>
      <c r="C6274" s="4" t="s">
        <v>9152</v>
      </c>
      <c r="D6274" s="4" t="s">
        <v>9153</v>
      </c>
      <c r="E6274" s="4">
        <v>0.0</v>
      </c>
      <c r="F6274" s="4" t="str">
        <f>IFERROR(__xludf.DUMMYFUNCTION("GOOGLETRANSLATE(D6274)"),"《戰艦世界》有時會讓我生氣，但當你在戰艦上越過 T 並消滅它時，這真是太令人滿意了")</f>
        <v>《戰艦世界》有時會讓我生氣，但當你在戰艦上越過 T 並消滅它時，這真是太令人滿意了</v>
      </c>
      <c r="G6274" s="4" t="str">
        <f>IFERROR(__xludf.DUMMYFUNCTION("GOOGLETRANSLATE(B6274)"),"泯")</f>
        <v>泯</v>
      </c>
    </row>
    <row r="6275" ht="15.75" customHeight="1">
      <c r="A6275" s="4">
        <v>7386.0</v>
      </c>
      <c r="B6275" s="4" t="s">
        <v>3384</v>
      </c>
      <c r="C6275" s="4" t="s">
        <v>3389</v>
      </c>
      <c r="D6275" s="4" t="s">
        <v>9154</v>
      </c>
      <c r="E6275" s="4">
        <v>0.0</v>
      </c>
      <c r="F6275" s="4" t="str">
        <f>IFERROR(__xludf.DUMMYFUNCTION("GOOGLETRANSLATE(D6275)"),"觀看莎拉佩林因針對少數族裔婦女而抹殺計劃生育！ BB4SP http://t.co/fqMYprlG9g")</f>
        <v>觀看莎拉佩林因針對少數族裔婦女而抹殺計劃生育！ BB4SP http://t.co/fqMYprlG9g</v>
      </c>
      <c r="G6275" s="4" t="str">
        <f>IFERROR(__xludf.DUMMYFUNCTION("GOOGLETRANSLATE(B6275)"),"泯")</f>
        <v>泯</v>
      </c>
    </row>
    <row r="6276" ht="15.75" customHeight="1">
      <c r="A6276" s="4">
        <v>7390.0</v>
      </c>
      <c r="B6276" s="4" t="s">
        <v>3384</v>
      </c>
      <c r="D6276" s="4" t="s">
        <v>9155</v>
      </c>
      <c r="E6276" s="4">
        <v>0.0</v>
      </c>
      <c r="F6276" s="4" t="str">
        <f>IFERROR(__xludf.DUMMYFUNCTION("GOOGLETRANSLATE(D6276)"),"「但時間終於開始消除我鬧鐘的新鮮感；…」http://t.co/ciLO9pMlEb")</f>
        <v>「但時間終於開始消除我鬧鐘的新鮮感；…」http://t.co/ciLO9pMlEb</v>
      </c>
      <c r="G6276" s="4" t="str">
        <f>IFERROR(__xludf.DUMMYFUNCTION("GOOGLETRANSLATE(B6276)"),"泯")</f>
        <v>泯</v>
      </c>
    </row>
    <row r="6277" ht="15.75" customHeight="1">
      <c r="A6277" s="4">
        <v>7391.0</v>
      </c>
      <c r="B6277" s="4" t="s">
        <v>3384</v>
      </c>
      <c r="D6277" s="4" t="s">
        <v>9156</v>
      </c>
      <c r="E6277" s="4">
        <v>0.0</v>
      </c>
      <c r="F6277" s="4" t="str">
        <f>IFERROR(__xludf.DUMMYFUNCTION("GOOGLETRANSLATE(D6277)"),"@MacBreck 我知道這意味著什麼。這意味著我會在 Twitter 上消除任何再次贏得總統選舉的機會。數學不好。")</f>
        <v>@MacBreck 我知道這意味著什麼。這意味著我會在 Twitter 上消除任何再次贏得總統選舉的機會。數學不好。</v>
      </c>
      <c r="G6277" s="4" t="str">
        <f>IFERROR(__xludf.DUMMYFUNCTION("GOOGLETRANSLATE(B6277)"),"泯")</f>
        <v>泯</v>
      </c>
    </row>
    <row r="6278" ht="15.75" customHeight="1">
      <c r="A6278" s="4">
        <v>7392.0</v>
      </c>
      <c r="B6278" s="4" t="s">
        <v>3384</v>
      </c>
      <c r="C6278" s="4" t="s">
        <v>1248</v>
      </c>
      <c r="D6278" s="4" t="s">
        <v>9157</v>
      </c>
      <c r="E6278" s="4">
        <v>0.0</v>
      </c>
      <c r="F6278" s="4" t="str">
        <f>IFERROR(__xludf.DUMMYFUNCTION("GOOGLETRANSLATE(D6278)"),"觀看莎拉佩林因針對少數族裔婦女而抹殺計劃生育！ ÛÒ BB4SP http://t.co/sAYZt2oagm")</f>
        <v>觀看莎拉佩林因針對少數族裔婦女而抹殺計劃生育！ ÛÒ BB4SP http://t.co/sAYZt2oagm</v>
      </c>
      <c r="G6278" s="4" t="str">
        <f>IFERROR(__xludf.DUMMYFUNCTION("GOOGLETRANSLATE(B6278)"),"泯")</f>
        <v>泯</v>
      </c>
    </row>
    <row r="6279" ht="15.75" customHeight="1">
      <c r="A6279" s="4">
        <v>7393.0</v>
      </c>
      <c r="B6279" s="4" t="s">
        <v>3384</v>
      </c>
      <c r="C6279" s="4" t="s">
        <v>183</v>
      </c>
      <c r="D6279" s="4" t="s">
        <v>9158</v>
      </c>
      <c r="E6279" s="4">
        <v>0.0</v>
      </c>
      <c r="F6279" s="4" t="str">
        <f>IFERROR(__xludf.DUMMYFUNCTION("GOOGLETRANSLATE(D6279)"),"“我們現在準備更迅速、更徹底地消滅日本人在任何城市地上的每一個生產性企業。”")</f>
        <v>“我們現在準備更迅速、更徹底地消滅日本人在任何城市地上的每一個生產性企業。”</v>
      </c>
      <c r="G6279" s="4" t="str">
        <f>IFERROR(__xludf.DUMMYFUNCTION("GOOGLETRANSLATE(B6279)"),"泯")</f>
        <v>泯</v>
      </c>
    </row>
    <row r="6280" ht="15.75" customHeight="1">
      <c r="A6280" s="4">
        <v>7395.0</v>
      </c>
      <c r="B6280" s="4" t="s">
        <v>3393</v>
      </c>
      <c r="C6280" s="4" t="s">
        <v>9159</v>
      </c>
      <c r="D6280" s="4" t="s">
        <v>9160</v>
      </c>
      <c r="E6280" s="4">
        <v>0.0</v>
      </c>
      <c r="F6280" s="4" t="str">
        <f>IFERROR(__xludf.DUMMYFUNCTION("GOOGLETRANSLATE(D6280)"),"@horiikawa 我昨晚在網上玩，結果我的屁股被抹掉了")</f>
        <v>@horiikawa 我昨晚在網上玩，結果我的屁股被抹掉了</v>
      </c>
      <c r="G6280" s="4" t="str">
        <f>IFERROR(__xludf.DUMMYFUNCTION("GOOGLETRANSLATE(B6280)"),"被抹殺的")</f>
        <v>被抹殺的</v>
      </c>
    </row>
    <row r="6281" ht="15.75" customHeight="1">
      <c r="A6281" s="4">
        <v>7397.0</v>
      </c>
      <c r="B6281" s="4" t="s">
        <v>3393</v>
      </c>
      <c r="C6281" s="4" t="s">
        <v>9161</v>
      </c>
      <c r="D6281" s="4" t="s">
        <v>9162</v>
      </c>
      <c r="E6281" s="4">
        <v>0.0</v>
      </c>
      <c r="F6281" s="4" t="str">
        <f>IFERROR(__xludf.DUMMYFUNCTION("GOOGLETRANSLATE(D6281)"),"里佐上線了？？？？？？？那個球被抹掉了")</f>
        <v>里佐上線了？？？？？？？那個球被抹掉了</v>
      </c>
      <c r="G6281" s="4" t="str">
        <f>IFERROR(__xludf.DUMMYFUNCTION("GOOGLETRANSLATE(B6281)"),"被抹殺的")</f>
        <v>被抹殺的</v>
      </c>
    </row>
    <row r="6282" ht="15.75" customHeight="1">
      <c r="A6282" s="4">
        <v>7400.0</v>
      </c>
      <c r="B6282" s="4" t="s">
        <v>3393</v>
      </c>
      <c r="C6282" s="4" t="s">
        <v>291</v>
      </c>
      <c r="D6282" s="4" t="s">
        <v>9163</v>
      </c>
      <c r="E6282" s="4">
        <v>0.0</v>
      </c>
      <c r="F6282" s="4" t="str">
        <f>IFERROR(__xludf.DUMMYFUNCTION("GOOGLETRANSLATE(D6282)"),"被抹殺")</f>
        <v>被抹殺</v>
      </c>
      <c r="G6282" s="4" t="str">
        <f>IFERROR(__xludf.DUMMYFUNCTION("GOOGLETRANSLATE(B6282)"),"被抹殺的")</f>
        <v>被抹殺的</v>
      </c>
    </row>
    <row r="6283" ht="15.75" customHeight="1">
      <c r="A6283" s="4">
        <v>7402.0</v>
      </c>
      <c r="B6283" s="4" t="s">
        <v>3393</v>
      </c>
      <c r="D6283" s="4" t="s">
        <v>9164</v>
      </c>
      <c r="E6283" s="4">
        <v>0.0</v>
      </c>
      <c r="F6283" s="4" t="str">
        <f>IFERROR(__xludf.DUMMYFUNCTION("GOOGLETRANSLATE(D6283)"),"該死的 $GMCR 被抹掉了 -26% ；這應該會給相應的玩家帶來巨大的回報")</f>
        <v>該死的 $GMCR 被抹掉了 -26% ；這應該會給相應的玩家帶來巨大的回報</v>
      </c>
      <c r="G6283" s="4" t="str">
        <f>IFERROR(__xludf.DUMMYFUNCTION("GOOGLETRANSLATE(B6283)"),"被抹殺的")</f>
        <v>被抹殺的</v>
      </c>
    </row>
    <row r="6284" ht="15.75" customHeight="1">
      <c r="A6284" s="4">
        <v>7403.0</v>
      </c>
      <c r="B6284" s="4" t="s">
        <v>3393</v>
      </c>
      <c r="D6284" s="4" t="s">
        <v>9165</v>
      </c>
      <c r="E6284" s="4">
        <v>0.0</v>
      </c>
      <c r="F6284" s="4" t="str">
        <f>IFERROR(__xludf.DUMMYFUNCTION("GOOGLETRANSLATE(D6284)"),"空氣中的陽光像乾燥的蜘蛛網一樣抹在它毛茸茸的頭上")</f>
        <v>空氣中的陽光像乾燥的蜘蛛網一樣抹在它毛茸茸的頭上</v>
      </c>
      <c r="G6284" s="4" t="str">
        <f>IFERROR(__xludf.DUMMYFUNCTION("GOOGLETRANSLATE(B6284)"),"被抹殺的")</f>
        <v>被抹殺的</v>
      </c>
    </row>
    <row r="6285" ht="15.75" customHeight="1">
      <c r="A6285" s="4">
        <v>7405.0</v>
      </c>
      <c r="B6285" s="4" t="s">
        <v>3393</v>
      </c>
      <c r="C6285" s="4" t="s">
        <v>9166</v>
      </c>
      <c r="D6285" s="4" t="s">
        <v>9167</v>
      </c>
      <c r="E6285" s="4">
        <v>0.0</v>
      </c>
      <c r="F6285" s="4" t="str">
        <f>IFERROR(__xludf.DUMMYFUNCTION("GOOGLETRANSLATE(D6285)"),"我快要被抹殺了")</f>
        <v>我快要被抹殺了</v>
      </c>
      <c r="G6285" s="4" t="str">
        <f>IFERROR(__xludf.DUMMYFUNCTION("GOOGLETRANSLATE(B6285)"),"被抹殺的")</f>
        <v>被抹殺的</v>
      </c>
    </row>
    <row r="6286" ht="15.75" customHeight="1">
      <c r="A6286" s="4">
        <v>7408.0</v>
      </c>
      <c r="B6286" s="4" t="s">
        <v>3393</v>
      </c>
      <c r="C6286" s="4" t="s">
        <v>9168</v>
      </c>
      <c r="D6286" s="4" t="s">
        <v>9169</v>
      </c>
      <c r="E6286" s="4">
        <v>0.0</v>
      </c>
      <c r="F6286" s="4" t="str">
        <f>IFERROR(__xludf.DUMMYFUNCTION("GOOGLETRANSLATE(D6286)"),"我-不要打電話或發短信，因為我的手機被毀了
*有 7000 則未接來電和簡訊*")</f>
        <v>我-不要打電話或發短信，因為我的手機被毀了
*有 7000 則未接來電和簡訊*</v>
      </c>
      <c r="G6286" s="4" t="str">
        <f>IFERROR(__xludf.DUMMYFUNCTION("GOOGLETRANSLATE(B6286)"),"被抹殺的")</f>
        <v>被抹殺的</v>
      </c>
    </row>
    <row r="6287" ht="15.75" customHeight="1">
      <c r="A6287" s="4">
        <v>7410.0</v>
      </c>
      <c r="B6287" s="4" t="s">
        <v>3393</v>
      </c>
      <c r="C6287" s="4" t="s">
        <v>1276</v>
      </c>
      <c r="D6287" s="4" t="s">
        <v>9170</v>
      </c>
      <c r="E6287" s="4">
        <v>0.0</v>
      </c>
      <c r="F6287" s="4" t="str">
        <f>IFERROR(__xludf.DUMMYFUNCTION("GOOGLETRANSLATE(D6287)"),"像 #MicheleBachman 這樣的 WACKOES 預測世界很快就會被熊熊燃燒的地獄所毀滅，但他們無法接受#GlobalWarming！你好！！")</f>
        <v>像 #MicheleBachman 這樣的 WACKOES 預測世界很快就會被熊熊燃燒的地獄所毀滅，但他們無法接受#GlobalWarming！你好！！</v>
      </c>
      <c r="G6287" s="4" t="str">
        <f>IFERROR(__xludf.DUMMYFUNCTION("GOOGLETRANSLATE(B6287)"),"被抹殺的")</f>
        <v>被抹殺的</v>
      </c>
    </row>
    <row r="6288" ht="15.75" customHeight="1">
      <c r="A6288" s="4">
        <v>7412.0</v>
      </c>
      <c r="B6288" s="4" t="s">
        <v>3393</v>
      </c>
      <c r="C6288" s="4" t="s">
        <v>9171</v>
      </c>
      <c r="D6288" s="4" t="s">
        <v>9172</v>
      </c>
      <c r="E6288" s="4">
        <v>0.0</v>
      </c>
      <c r="F6288" s="4" t="str">
        <f>IFERROR(__xludf.DUMMYFUNCTION("GOOGLETRANSLATE(D6288)"),"這就是消滅溫順磨坊的那個傢伙。不要以封面來判斷一本書。 http://t.co/BabMf0W2YW")</f>
        <v>這就是消滅溫順磨坊的那個傢伙。不要以封面來判斷一本書。 http://t.co/BabMf0W2YW</v>
      </c>
      <c r="G6288" s="4" t="str">
        <f>IFERROR(__xludf.DUMMYFUNCTION("GOOGLETRANSLATE(B6288)"),"被抹殺的")</f>
        <v>被抹殺的</v>
      </c>
    </row>
    <row r="6289" ht="15.75" customHeight="1">
      <c r="A6289" s="4">
        <v>7413.0</v>
      </c>
      <c r="B6289" s="4" t="s">
        <v>3393</v>
      </c>
      <c r="D6289" s="4" t="s">
        <v>9173</v>
      </c>
      <c r="E6289" s="4">
        <v>0.0</v>
      </c>
      <c r="F6289" s="4" t="str">
        <f>IFERROR(__xludf.DUMMYFUNCTION("GOOGLETRANSLATE(D6289)"),"酒醉餐 101：當你徹底崩潰時該做什麼 http://t.co/QvS7O10bG3")</f>
        <v>酒醉餐 101：當你徹底崩潰時該做什麼 http://t.co/QvS7O10bG3</v>
      </c>
      <c r="G6289" s="4" t="str">
        <f>IFERROR(__xludf.DUMMYFUNCTION("GOOGLETRANSLATE(B6289)"),"被抹殺的")</f>
        <v>被抹殺的</v>
      </c>
    </row>
    <row r="6290" ht="15.75" customHeight="1">
      <c r="A6290" s="4">
        <v>7414.0</v>
      </c>
      <c r="B6290" s="4" t="s">
        <v>3393</v>
      </c>
      <c r="C6290" s="4" t="s">
        <v>9174</v>
      </c>
      <c r="D6290" s="4" t="s">
        <v>9175</v>
      </c>
      <c r="E6290" s="4">
        <v>0.0</v>
      </c>
      <c r="F6290" s="4" t="str">
        <f>IFERROR(__xludf.DUMMYFUNCTION("GOOGLETRANSLATE(D6290)"),"@Sweet2Young 我進來了！如果他他媽的動了，他的整個存在就會被抹殺。")</f>
        <v>@Sweet2Young 我進來了！如果他他媽的動了，他的整個存在就會被抹殺。</v>
      </c>
      <c r="G6290" s="4" t="str">
        <f>IFERROR(__xludf.DUMMYFUNCTION("GOOGLETRANSLATE(B6290)"),"被抹殺的")</f>
        <v>被抹殺的</v>
      </c>
    </row>
    <row r="6291" ht="15.75" customHeight="1">
      <c r="A6291" s="4">
        <v>7416.0</v>
      </c>
      <c r="B6291" s="4" t="s">
        <v>3393</v>
      </c>
      <c r="D6291" s="4" t="s">
        <v>9176</v>
      </c>
      <c r="E6291" s="4">
        <v>0.0</v>
      </c>
      <c r="F6291" s="4" t="str">
        <f>IFERROR(__xludf.DUMMYFUNCTION("GOOGLETRANSLATE(D6291)"),"我們在 Twitter @rzimmermanjr 上摧毀了 #Zimmerman 粉絲俱樂部，我們還抹殺了 Renewsit，將她降為襪子 acc。 http://t.co/ybshleIE3p")</f>
        <v>我們在 Twitter @rzimmermanjr 上摧毀了 #Zimmerman 粉絲俱樂部，我們還抹殺了 Renewsit，將她降為襪子 acc。 http://t.co/ybshleIE3p</v>
      </c>
      <c r="G6291" s="4" t="str">
        <f>IFERROR(__xludf.DUMMYFUNCTION("GOOGLETRANSLATE(B6291)"),"被抹殺的")</f>
        <v>被抹殺的</v>
      </c>
    </row>
    <row r="6292" ht="15.75" customHeight="1">
      <c r="A6292" s="4">
        <v>7418.0</v>
      </c>
      <c r="B6292" s="4" t="s">
        <v>3393</v>
      </c>
      <c r="C6292" s="4" t="s">
        <v>9177</v>
      </c>
      <c r="D6292" s="4" t="s">
        <v>9178</v>
      </c>
      <c r="E6292" s="4">
        <v>0.0</v>
      </c>
      <c r="F6292" s="4" t="str">
        <f>IFERROR(__xludf.DUMMYFUNCTION("GOOGLETRANSLATE(D6292)"),"@RockBottomRadFM 當我還是個孩子的時候，我記得聽過大約 30 到 90 天的防守規則，然後你就被剝奪了。布洛克抹去了那句話")</f>
        <v>@RockBottomRadFM 當我還是個孩子的時候，我記得聽過大約 30 到 90 天的防守規則，然後你就被剝奪了。布洛克抹去了那句話</v>
      </c>
      <c r="G6292" s="4" t="str">
        <f>IFERROR(__xludf.DUMMYFUNCTION("GOOGLETRANSLATE(B6292)"),"被抹殺的")</f>
        <v>被抹殺的</v>
      </c>
    </row>
    <row r="6293" ht="15.75" customHeight="1">
      <c r="A6293" s="4">
        <v>7419.0</v>
      </c>
      <c r="B6293" s="4" t="s">
        <v>3393</v>
      </c>
      <c r="C6293" s="4" t="s">
        <v>957</v>
      </c>
      <c r="D6293" s="4" t="s">
        <v>9179</v>
      </c>
      <c r="E6293" s="4">
        <v>0.0</v>
      </c>
      <c r="F6293" s="4" t="str">
        <f>IFERROR(__xludf.DUMMYFUNCTION("GOOGLETRANSLATE(D6293)"),"所以看起來我的@SoundCloud 個人資料將不再存在！沒有什麼可以提供的了！ DJ 混音消失了？？ #再見聲音雲")</f>
        <v>所以看起來我的@SoundCloud 個人資料將不再存在！沒有什麼可以提供的了！ DJ 混音消失了？？ #再見聲音雲</v>
      </c>
      <c r="G6293" s="4" t="str">
        <f>IFERROR(__xludf.DUMMYFUNCTION("GOOGLETRANSLATE(B6293)"),"被抹殺的")</f>
        <v>被抹殺的</v>
      </c>
    </row>
    <row r="6294" ht="15.75" customHeight="1">
      <c r="A6294" s="4">
        <v>7421.0</v>
      </c>
      <c r="B6294" s="4" t="s">
        <v>3393</v>
      </c>
      <c r="C6294" s="4" t="s">
        <v>9180</v>
      </c>
      <c r="D6294" s="4" t="s">
        <v>9181</v>
      </c>
      <c r="E6294" s="4">
        <v>0.0</v>
      </c>
      <c r="F6294" s="4" t="str">
        <f>IFERROR(__xludf.DUMMYFUNCTION("GOOGLETRANSLATE(D6294)"),"天哪，@mets 現在太自大了，我喜歡它。烏裡韋抹掉了那個球，然後他媽的大搖大擺地走出了擊球手區......")</f>
        <v>天哪，@mets 現在太自大了，我喜歡它。烏裡韋抹掉了那個球，然後他媽的大搖大擺地走出了擊球手區......</v>
      </c>
      <c r="G6294" s="4" t="str">
        <f>IFERROR(__xludf.DUMMYFUNCTION("GOOGLETRANSLATE(B6294)"),"被抹殺的")</f>
        <v>被抹殺的</v>
      </c>
    </row>
    <row r="6295" ht="15.75" customHeight="1">
      <c r="A6295" s="4">
        <v>7424.0</v>
      </c>
      <c r="B6295" s="4" t="s">
        <v>3393</v>
      </c>
      <c r="C6295" s="4" t="s">
        <v>9182</v>
      </c>
      <c r="D6295" s="4" t="s">
        <v>9183</v>
      </c>
      <c r="E6295" s="4">
        <v>0.0</v>
      </c>
      <c r="F6295" s="4" t="str">
        <f>IFERROR(__xludf.DUMMYFUNCTION("GOOGLETRANSLATE(D6295)"),"我昨晚就被刪掉了？？")</f>
        <v>我昨晚就被刪掉了？？</v>
      </c>
      <c r="G6295" s="4" t="str">
        <f>IFERROR(__xludf.DUMMYFUNCTION("GOOGLETRANSLATE(B6295)"),"被抹殺的")</f>
        <v>被抹殺的</v>
      </c>
    </row>
    <row r="6296" ht="15.75" customHeight="1">
      <c r="A6296" s="4">
        <v>7426.0</v>
      </c>
      <c r="B6296" s="4" t="s">
        <v>3393</v>
      </c>
      <c r="C6296" s="4" t="s">
        <v>9184</v>
      </c>
      <c r="D6296" s="4" t="s">
        <v>9185</v>
      </c>
      <c r="E6296" s="4">
        <v>0.0</v>
      </c>
      <c r="F6296" s="4" t="str">
        <f>IFERROR(__xludf.DUMMYFUNCTION("GOOGLETRANSLATE(D6296)"),"酒醉餐 101：當你徹底崩潰時該做什麼 http://t.co/Wj0U59mPpB")</f>
        <v>酒醉餐 101：當你徹底崩潰時該做什麼 http://t.co/Wj0U59mPpB</v>
      </c>
      <c r="G6296" s="4" t="str">
        <f>IFERROR(__xludf.DUMMYFUNCTION("GOOGLETRANSLATE(B6296)"),"被抹殺的")</f>
        <v>被抹殺的</v>
      </c>
    </row>
    <row r="6297" ht="15.75" customHeight="1">
      <c r="A6297" s="4">
        <v>7428.0</v>
      </c>
      <c r="B6297" s="4" t="s">
        <v>3393</v>
      </c>
      <c r="C6297" s="4" t="s">
        <v>9186</v>
      </c>
      <c r="D6297" s="4" t="s">
        <v>9187</v>
      </c>
      <c r="E6297" s="4">
        <v>0.0</v>
      </c>
      <c r="F6297" s="4" t="str">
        <f>IFERROR(__xludf.DUMMYFUNCTION("GOOGLETRANSLATE(D6297)"),"烏裡韋剛剛毀了一個棒球。")</f>
        <v>烏裡韋剛剛毀了一個棒球。</v>
      </c>
      <c r="G6297" s="4" t="str">
        <f>IFERROR(__xludf.DUMMYFUNCTION("GOOGLETRANSLATE(B6297)"),"被抹殺的")</f>
        <v>被抹殺的</v>
      </c>
    </row>
    <row r="6298" ht="15.75" customHeight="1">
      <c r="A6298" s="4">
        <v>7430.0</v>
      </c>
      <c r="B6298" s="4" t="s">
        <v>3393</v>
      </c>
      <c r="C6298" s="4" t="s">
        <v>126</v>
      </c>
      <c r="D6298" s="4" t="s">
        <v>9188</v>
      </c>
      <c r="E6298" s="4">
        <v>0.0</v>
      </c>
      <c r="F6298" s="4" t="str">
        <f>IFERROR(__xludf.DUMMYFUNCTION("GOOGLETRANSLATE(D6298)"),"@Silverhusky Shtap！在你的城鎮被毀滅、地球被鹽醃之前 T_T")</f>
        <v>@Silverhusky Shtap！在你的城鎮被毀滅、地球被鹽醃之前 T_T</v>
      </c>
      <c r="G6298" s="4" t="str">
        <f>IFERROR(__xludf.DUMMYFUNCTION("GOOGLETRANSLATE(B6298)"),"被抹殺的")</f>
        <v>被抹殺的</v>
      </c>
    </row>
    <row r="6299" ht="15.75" customHeight="1">
      <c r="A6299" s="4">
        <v>7431.0</v>
      </c>
      <c r="B6299" s="4" t="s">
        <v>3393</v>
      </c>
      <c r="C6299" s="4" t="s">
        <v>6564</v>
      </c>
      <c r="D6299" s="4" t="s">
        <v>9189</v>
      </c>
      <c r="E6299" s="4">
        <v>0.0</v>
      </c>
      <c r="F6299" s="4" t="str">
        <f>IFERROR(__xludf.DUMMYFUNCTION("GOOGLETRANSLATE(D6299)"),"我迫不及待地想在這個週末被抹去")</f>
        <v>我迫不及待地想在這個週末被抹去</v>
      </c>
      <c r="G6299" s="4" t="str">
        <f>IFERROR(__xludf.DUMMYFUNCTION("GOOGLETRANSLATE(B6299)"),"被抹殺的")</f>
        <v>被抹殺的</v>
      </c>
    </row>
    <row r="6300" ht="15.75" customHeight="1">
      <c r="A6300" s="4">
        <v>7433.0</v>
      </c>
      <c r="B6300" s="4" t="s">
        <v>3393</v>
      </c>
      <c r="C6300" s="4" t="s">
        <v>9190</v>
      </c>
      <c r="D6300" s="4" t="s">
        <v>9191</v>
      </c>
      <c r="E6300" s="4">
        <v>0.0</v>
      </c>
      <c r="F6300" s="4" t="str">
        <f>IFERROR(__xludf.DUMMYFUNCTION("GOOGLETRANSLATE(D6300)"),"今天用鼓棒把我的手機螢幕擦掉了。 #有福了")</f>
        <v>今天用鼓棒把我的手機螢幕擦掉了。 #有福了</v>
      </c>
      <c r="G6300" s="4" t="str">
        <f>IFERROR(__xludf.DUMMYFUNCTION("GOOGLETRANSLATE(B6300)"),"被抹殺的")</f>
        <v>被抹殺的</v>
      </c>
    </row>
    <row r="6301" ht="15.75" customHeight="1">
      <c r="A6301" s="4">
        <v>7434.0</v>
      </c>
      <c r="B6301" s="4" t="s">
        <v>3393</v>
      </c>
      <c r="D6301" s="4" t="s">
        <v>9192</v>
      </c>
      <c r="E6301" s="4">
        <v>0.0</v>
      </c>
      <c r="F6301" s="4" t="str">
        <f>IFERROR(__xludf.DUMMYFUNCTION("GOOGLETRANSLATE(D6301)"),"Poway hcg 飲食 - 確保痣永遠消失：sizYgwWF")</f>
        <v>Poway hcg 飲食 - 確保痣永遠消失：sizYgwWF</v>
      </c>
      <c r="G6301" s="4" t="str">
        <f>IFERROR(__xludf.DUMMYFUNCTION("GOOGLETRANSLATE(B6301)"),"被抹殺的")</f>
        <v>被抹殺的</v>
      </c>
    </row>
    <row r="6302" ht="15.75" customHeight="1">
      <c r="A6302" s="4">
        <v>7438.0</v>
      </c>
      <c r="B6302" s="4" t="s">
        <v>3393</v>
      </c>
      <c r="C6302" s="4" t="s">
        <v>9193</v>
      </c>
      <c r="D6302" s="4" t="s">
        <v>9194</v>
      </c>
      <c r="E6302" s="4">
        <v>0.0</v>
      </c>
      <c r="F6302" s="4" t="str">
        <f>IFERROR(__xludf.DUMMYFUNCTION("GOOGLETRANSLATE(D6302)"),"酒醉餐 101：當你徹底崩潰時該做什麼 http://t.co/JlPut7Va3s")</f>
        <v>酒醉餐 101：當你徹底崩潰時該做什麼 http://t.co/JlPut7Va3s</v>
      </c>
      <c r="G6302" s="4" t="str">
        <f>IFERROR(__xludf.DUMMYFUNCTION("GOOGLETRANSLATE(B6302)"),"被抹殺的")</f>
        <v>被抹殺的</v>
      </c>
    </row>
    <row r="6303" ht="15.75" customHeight="1">
      <c r="A6303" s="4">
        <v>7439.0</v>
      </c>
      <c r="B6303" s="4" t="s">
        <v>3393</v>
      </c>
      <c r="C6303" s="4" t="s">
        <v>9195</v>
      </c>
      <c r="D6303" s="4" t="s">
        <v>9196</v>
      </c>
      <c r="E6303" s="4">
        <v>0.0</v>
      </c>
      <c r="F6303" s="4" t="str">
        <f>IFERROR(__xludf.DUMMYFUNCTION("GOOGLETRANSLATE(D6303)"),"很高興你在《X戰警：第一戰》中被消滅。畢竟你完全應得的@kevinbacon soz")</f>
        <v>很高興你在《X戰警：第一戰》中被消滅。畢竟你完全應得的@kevinbacon soz</v>
      </c>
      <c r="G6303" s="4" t="str">
        <f>IFERROR(__xludf.DUMMYFUNCTION("GOOGLETRANSLATE(B6303)"),"被抹殺的")</f>
        <v>被抹殺的</v>
      </c>
    </row>
    <row r="6304" ht="15.75" customHeight="1">
      <c r="A6304" s="4">
        <v>7442.0</v>
      </c>
      <c r="B6304" s="4" t="s">
        <v>3393</v>
      </c>
      <c r="C6304" s="4" t="s">
        <v>3185</v>
      </c>
      <c r="D6304" s="4" t="s">
        <v>9197</v>
      </c>
      <c r="E6304" s="4">
        <v>0.0</v>
      </c>
      <c r="F6304" s="4" t="str">
        <f>IFERROR(__xludf.DUMMYFUNCTION("GOOGLETRANSLATE(D6304)"),"&amp;amp;在極少數情況下，我確實出去了，第二天我就完全消失了。嘔吐並昏倒。我的身體已經習慣了酒精")</f>
        <v>&amp;amp;在極少數情況下，我確實出去了，第二天我就完全消失了。嘔吐並昏倒。我的身體已經習慣了酒精</v>
      </c>
      <c r="G6304" s="4" t="str">
        <f>IFERROR(__xludf.DUMMYFUNCTION("GOOGLETRANSLATE(B6304)"),"被抹殺的")</f>
        <v>被抹殺的</v>
      </c>
    </row>
    <row r="6305" ht="15.75" customHeight="1">
      <c r="A6305" s="4">
        <v>7443.0</v>
      </c>
      <c r="B6305" s="4" t="s">
        <v>3393</v>
      </c>
      <c r="C6305" s="4" t="s">
        <v>9198</v>
      </c>
      <c r="D6305" s="4" t="s">
        <v>9199</v>
      </c>
      <c r="E6305" s="4">
        <v>0.0</v>
      </c>
      <c r="F6305" s="4" t="str">
        <f>IFERROR(__xludf.DUMMYFUNCTION("GOOGLETRANSLATE(D6305)"),"剛剛徹底消滅了一隻飛蛾，我的新買的是老闆")</f>
        <v>剛剛徹底消滅了一隻飛蛾，我的新買的是老闆</v>
      </c>
      <c r="G6305" s="4" t="str">
        <f>IFERROR(__xludf.DUMMYFUNCTION("GOOGLETRANSLATE(B6305)"),"被抹殺的")</f>
        <v>被抹殺的</v>
      </c>
    </row>
    <row r="6306" ht="15.75" customHeight="1">
      <c r="A6306" s="4">
        <v>7444.0</v>
      </c>
      <c r="B6306" s="4" t="s">
        <v>3393</v>
      </c>
      <c r="D6306" s="4" t="s">
        <v>9200</v>
      </c>
      <c r="E6306" s="4">
        <v>0.0</v>
      </c>
      <c r="F6306" s="4" t="str">
        <f>IFERROR(__xludf.DUMMYFUNCTION("GOOGLETRANSLATE(D6306)"),"我想今晚我會被抹去")</f>
        <v>我想今晚我會被抹去</v>
      </c>
      <c r="G6306" s="4" t="str">
        <f>IFERROR(__xludf.DUMMYFUNCTION("GOOGLETRANSLATE(B6306)"),"被抹殺的")</f>
        <v>被抹殺的</v>
      </c>
    </row>
    <row r="6307" ht="15.75" customHeight="1">
      <c r="A6307" s="4">
        <v>7447.0</v>
      </c>
      <c r="B6307" s="4" t="s">
        <v>3400</v>
      </c>
      <c r="C6307" s="4" t="s">
        <v>9201</v>
      </c>
      <c r="D6307" s="4" t="s">
        <v>9202</v>
      </c>
      <c r="E6307" s="4">
        <v>0.0</v>
      </c>
      <c r="F6307" s="4" t="str">
        <f>IFERROR(__xludf.DUMMYFUNCTION("GOOGLETRANSLATE(D6307)"),"這很有趣！－－上帝為什麼要下令消滅古迦南人？ http://t.co/XqMJHIOZxG 來自 @worldnetdaily")</f>
        <v>這很有趣！－－上帝為什麼要下令消滅古迦南人？ http://t.co/XqMJHIOZxG 來自 @worldnetdaily</v>
      </c>
      <c r="G6307" s="4" t="str">
        <f>IFERROR(__xludf.DUMMYFUNCTION("GOOGLETRANSLATE(B6307)"),"抹殺")</f>
        <v>抹殺</v>
      </c>
    </row>
    <row r="6308" ht="15.75" customHeight="1">
      <c r="A6308" s="4">
        <v>7451.0</v>
      </c>
      <c r="B6308" s="4" t="s">
        <v>3400</v>
      </c>
      <c r="D6308" s="4" t="s">
        <v>9203</v>
      </c>
      <c r="E6308" s="4">
        <v>0.0</v>
      </c>
      <c r="F6308" s="4" t="str">
        <f>IFERROR(__xludf.DUMMYFUNCTION("GOOGLETRANSLATE(D6308)"),"@LaurenJauregui 我會說我死了，但我不那麼正確，有抹殺")</f>
        <v>@LaurenJauregui 我會說我死了，但我不那麼正確，有抹殺</v>
      </c>
      <c r="G6308" s="4" t="str">
        <f>IFERROR(__xludf.DUMMYFUNCTION("GOOGLETRANSLATE(B6308)"),"抹殺")</f>
        <v>抹殺</v>
      </c>
    </row>
    <row r="6309" ht="15.75" customHeight="1">
      <c r="A6309" s="4">
        <v>7452.0</v>
      </c>
      <c r="B6309" s="4" t="s">
        <v>3400</v>
      </c>
      <c r="C6309" s="4" t="s">
        <v>9204</v>
      </c>
      <c r="D6309" s="4" t="s">
        <v>9205</v>
      </c>
      <c r="E6309" s="4">
        <v>0.0</v>
      </c>
      <c r="F6309" s="4" t="str">
        <f>IFERROR(__xludf.DUMMYFUNCTION("GOOGLETRANSLATE(D6309)"),"上帝為何下令消滅古代迦南人？ http://t.co/NckOgWjq61 來自 @worldnetdaily")</f>
        <v>上帝為何下令消滅古代迦南人？ http://t.co/NckOgWjq61 來自 @worldnetdaily</v>
      </c>
      <c r="G6309" s="4" t="str">
        <f>IFERROR(__xludf.DUMMYFUNCTION("GOOGLETRANSLATE(B6309)"),"抹殺")</f>
        <v>抹殺</v>
      </c>
    </row>
    <row r="6310" ht="15.75" customHeight="1">
      <c r="A6310" s="4">
        <v>7453.0</v>
      </c>
      <c r="B6310" s="4" t="s">
        <v>3400</v>
      </c>
      <c r="C6310" s="4" t="s">
        <v>9206</v>
      </c>
      <c r="D6310" s="4" t="s">
        <v>9207</v>
      </c>
      <c r="E6310" s="4">
        <v>0.0</v>
      </c>
      <c r="F6310" s="4" t="str">
        <f>IFERROR(__xludf.DUMMYFUNCTION("GOOGLETRANSLATE(D6310)"),"哦。 #TeamHennessy #NJ Obliteration @tprimo24 ROUND 1 生日快樂@djeddygnj 哥倫比亞節日Û_ https://t.co/mRv54fiDfn")</f>
        <v>哦。 #TeamHennessy #NJ Obliteration @tprimo24 ROUND 1 生日快樂@djeddygnj 哥倫比亞節日Û_ https://t.co/mRv54fiDfn</v>
      </c>
      <c r="G6310" s="4" t="str">
        <f>IFERROR(__xludf.DUMMYFUNCTION("GOOGLETRANSLATE(B6310)"),"抹殺")</f>
        <v>抹殺</v>
      </c>
    </row>
    <row r="6311" ht="15.75" customHeight="1">
      <c r="A6311" s="4">
        <v>7456.0</v>
      </c>
      <c r="B6311" s="4" t="s">
        <v>3400</v>
      </c>
      <c r="C6311" s="4" t="s">
        <v>9208</v>
      </c>
      <c r="D6311" s="4" t="s">
        <v>9209</v>
      </c>
      <c r="E6311" s="4">
        <v>0.0</v>
      </c>
      <c r="F6311" s="4" t="str">
        <f>IFERROR(__xludf.DUMMYFUNCTION("GOOGLETRANSLATE(D6311)"),"我需要修復街機射擊遊戲，但 CTE 是空的且無法修復。只能運行抹殺。如果 Steam 上的價格不是太高的話，我甚至會買 CoD 遊戲")</f>
        <v>我需要修復街機射擊遊戲，但 CTE 是空的且無法修復。只能運行抹殺。如果 Steam 上的價格不是太高的話，我甚至會買 CoD 遊戲</v>
      </c>
      <c r="G6311" s="4" t="str">
        <f>IFERROR(__xludf.DUMMYFUNCTION("GOOGLETRANSLATE(B6311)"),"抹殺")</f>
        <v>抹殺</v>
      </c>
    </row>
    <row r="6312" ht="15.75" customHeight="1">
      <c r="A6312" s="4">
        <v>7458.0</v>
      </c>
      <c r="B6312" s="4" t="s">
        <v>3400</v>
      </c>
      <c r="C6312" s="4" t="s">
        <v>6976</v>
      </c>
      <c r="D6312" s="4" t="s">
        <v>9210</v>
      </c>
      <c r="E6312" s="4">
        <v>0.0</v>
      </c>
      <c r="F6312" s="4" t="str">
        <f>IFERROR(__xludf.DUMMYFUNCTION("GOOGLETRANSLATE(D6312)"),"難道人們不擔心#SLAB 在蘇格蘭被抹殺後，#Labour UK 因#Labourleadership 競賽而分裂嗎？")</f>
        <v>難道人們不擔心#SLAB 在蘇格蘭被抹殺後，#Labour UK 因#Labourleadership 競賽而分裂嗎？</v>
      </c>
      <c r="G6312" s="4" t="str">
        <f>IFERROR(__xludf.DUMMYFUNCTION("GOOGLETRANSLATE(B6312)"),"抹殺")</f>
        <v>抹殺</v>
      </c>
    </row>
    <row r="6313" ht="15.75" customHeight="1">
      <c r="A6313" s="4">
        <v>7459.0</v>
      </c>
      <c r="B6313" s="4" t="s">
        <v>3400</v>
      </c>
      <c r="C6313" s="4" t="s">
        <v>1108</v>
      </c>
      <c r="D6313" s="4" t="s">
        <v>9211</v>
      </c>
      <c r="E6313" s="4">
        <v>0.0</v>
      </c>
      <c r="F6313" s="4" t="str">
        <f>IFERROR(__xludf.DUMMYFUNCTION("GOOGLETRANSLATE(D6313)"),"@AuntieDote @RioSlade @Locke_Wiggins @akarb74 如果一側致力於消滅政府，另一側則致力於修復政府，則不會。那太遠了")</f>
        <v>@AuntieDote @RioSlade @Locke_Wiggins @akarb74 如果一側致力於消滅政府，另一側則致力於修復政府，則不會。那太遠了</v>
      </c>
      <c r="G6313" s="4" t="str">
        <f>IFERROR(__xludf.DUMMYFUNCTION("GOOGLETRANSLATE(B6313)"),"抹殺")</f>
        <v>抹殺</v>
      </c>
    </row>
    <row r="6314" ht="15.75" customHeight="1">
      <c r="A6314" s="4">
        <v>7461.0</v>
      </c>
      <c r="B6314" s="4" t="s">
        <v>3400</v>
      </c>
      <c r="C6314" s="4" t="s">
        <v>9212</v>
      </c>
      <c r="D6314" s="4" t="s">
        <v>9213</v>
      </c>
      <c r="E6314" s="4">
        <v>0.0</v>
      </c>
      <c r="F6314" s="4" t="str">
        <f>IFERROR(__xludf.DUMMYFUNCTION("GOOGLETRANSLATE(D6314)"),"上帝為何下令消滅古代迦南人？ http://t.co/IkugGvByeI")</f>
        <v>上帝為何下令消滅古代迦南人？ http://t.co/IkugGvByeI</v>
      </c>
      <c r="G6314" s="4" t="str">
        <f>IFERROR(__xludf.DUMMYFUNCTION("GOOGLETRANSLATE(B6314)"),"抹殺")</f>
        <v>抹殺</v>
      </c>
    </row>
    <row r="6315" ht="15.75" customHeight="1">
      <c r="A6315" s="4">
        <v>7465.0</v>
      </c>
      <c r="B6315" s="4" t="s">
        <v>3400</v>
      </c>
      <c r="C6315" s="4" t="s">
        <v>702</v>
      </c>
      <c r="D6315" s="4" t="s">
        <v>9214</v>
      </c>
      <c r="E6315" s="4">
        <v>0.0</v>
      </c>
      <c r="F6315" s="4" t="str">
        <f>IFERROR(__xludf.DUMMYFUNCTION("GOOGLETRANSLATE(D6315)"),"上帝為何下令消滅古代迦南人？ http://t.co/NLk1DYD2tP")</f>
        <v>上帝為何下令消滅古代迦南人？ http://t.co/NLk1DYD2tP</v>
      </c>
      <c r="G6315" s="4" t="str">
        <f>IFERROR(__xludf.DUMMYFUNCTION("GOOGLETRANSLATE(B6315)"),"抹殺")</f>
        <v>抹殺</v>
      </c>
    </row>
    <row r="6316" ht="15.75" customHeight="1">
      <c r="A6316" s="4">
        <v>7467.0</v>
      </c>
      <c r="B6316" s="4" t="s">
        <v>3400</v>
      </c>
      <c r="C6316" s="4" t="s">
        <v>9215</v>
      </c>
      <c r="D6316" s="4" t="s">
        <v>9216</v>
      </c>
      <c r="E6316" s="4">
        <v>0.0</v>
      </c>
      <c r="F6316" s="4" t="str">
        <f>IFERROR(__xludf.DUMMYFUNCTION("GOOGLETRANSLATE(D6316)"),"早在 02 到 03 就絕對不會說 50 會像抹殺一樣結束 ja")</f>
        <v>早在 02 到 03 就絕對不會說 50 會像抹殺一樣結束 ja</v>
      </c>
      <c r="G6316" s="4" t="str">
        <f>IFERROR(__xludf.DUMMYFUNCTION("GOOGLETRANSLATE(B6316)"),"抹殺")</f>
        <v>抹殺</v>
      </c>
    </row>
    <row r="6317" ht="15.75" customHeight="1">
      <c r="A6317" s="4">
        <v>7470.0</v>
      </c>
      <c r="B6317" s="4" t="s">
        <v>3400</v>
      </c>
      <c r="C6317" s="4" t="s">
        <v>9217</v>
      </c>
      <c r="D6317" s="4" t="s">
        <v>9218</v>
      </c>
      <c r="E6317" s="4">
        <v>0.0</v>
      </c>
      <c r="F6317" s="4" t="str">
        <f>IFERROR(__xludf.DUMMYFUNCTION("GOOGLETRANSLATE(D6317)"),"@Eganator2000 湮滅伺服器並不多，但我總是喜歡在有的時候玩：D")</f>
        <v>@Eganator2000 湮滅伺服器並不多，但我總是喜歡在有的時候玩：D</v>
      </c>
      <c r="G6317" s="4" t="str">
        <f>IFERROR(__xludf.DUMMYFUNCTION("GOOGLETRANSLATE(B6317)"),"抹殺")</f>
        <v>抹殺</v>
      </c>
    </row>
    <row r="6318" ht="15.75" customHeight="1">
      <c r="A6318" s="4">
        <v>7473.0</v>
      </c>
      <c r="B6318" s="4" t="s">
        <v>3400</v>
      </c>
      <c r="D6318" s="4" t="s">
        <v>9219</v>
      </c>
      <c r="E6318" s="4">
        <v>0.0</v>
      </c>
      <c r="F6318" s="4" t="str">
        <f>IFERROR(__xludf.DUMMYFUNCTION("GOOGLETRANSLATE(D6318)"),"克里真是一場勝利。 7-16.....#obliteration")</f>
        <v>克里真是一場勝利。 7-16.....#obliteration</v>
      </c>
      <c r="G6318" s="4" t="str">
        <f>IFERROR(__xludf.DUMMYFUNCTION("GOOGLETRANSLATE(B6318)"),"抹殺")</f>
        <v>抹殺</v>
      </c>
    </row>
    <row r="6319" ht="15.75" customHeight="1">
      <c r="A6319" s="4">
        <v>7474.0</v>
      </c>
      <c r="B6319" s="4" t="s">
        <v>3400</v>
      </c>
      <c r="D6319" s="4" t="s">
        <v>9220</v>
      </c>
      <c r="E6319" s="4">
        <v>0.0</v>
      </c>
      <c r="F6319" s="4" t="str">
        <f>IFERROR(__xludf.DUMMYFUNCTION("GOOGLETRANSLATE(D6319)"),"@ashberxo @mind_mischief 刪除某物的所有痕跡；抹殺。")</f>
        <v>@ashberxo @mind_mischief 刪除某物的所有痕跡；抹殺。</v>
      </c>
      <c r="G6319" s="4" t="str">
        <f>IFERROR(__xludf.DUMMYFUNCTION("GOOGLETRANSLATE(B6319)"),"抹殺")</f>
        <v>抹殺</v>
      </c>
    </row>
    <row r="6320" ht="15.75" customHeight="1">
      <c r="A6320" s="4">
        <v>7475.0</v>
      </c>
      <c r="B6320" s="4" t="s">
        <v>3400</v>
      </c>
      <c r="C6320" s="4" t="s">
        <v>9221</v>
      </c>
      <c r="D6320" s="4" t="s">
        <v>9222</v>
      </c>
      <c r="E6320" s="4">
        <v>0.0</v>
      </c>
      <c r="F6320" s="4" t="str">
        <f>IFERROR(__xludf.DUMMYFUNCTION("GOOGLETRANSLATE(D6320)"),"上帝為何下令消滅古代迦南人？ http://t.co/Sf2vwQvJYa")</f>
        <v>上帝為何下令消滅古代迦南人？ http://t.co/Sf2vwQvJYa</v>
      </c>
      <c r="G6320" s="4" t="str">
        <f>IFERROR(__xludf.DUMMYFUNCTION("GOOGLETRANSLATE(B6320)"),"抹殺")</f>
        <v>抹殺</v>
      </c>
    </row>
    <row r="6321" ht="15.75" customHeight="1">
      <c r="A6321" s="4">
        <v>7476.0</v>
      </c>
      <c r="B6321" s="4" t="s">
        <v>3400</v>
      </c>
      <c r="C6321" s="4" t="s">
        <v>7665</v>
      </c>
      <c r="D6321" s="4" t="s">
        <v>9223</v>
      </c>
      <c r="E6321" s="4">
        <v>0.0</v>
      </c>
      <c r="F6321" s="4" t="str">
        <f>IFERROR(__xludf.DUMMYFUNCTION("GOOGLETRANSLATE(D6321)"),"上帝為何下令消滅古代迦南人？ http://t.co/Hz4lKFfC59 來自 @worldnetdaily#同性戀是社會的衰落。")</f>
        <v>上帝為何下令消滅古代迦南人？ http://t.co/Hz4lKFfC59 來自 @worldnetdaily#同性戀是社會的衰落。</v>
      </c>
      <c r="G6321" s="4" t="str">
        <f>IFERROR(__xludf.DUMMYFUNCTION("GOOGLETRANSLATE(B6321)"),"抹殺")</f>
        <v>抹殺</v>
      </c>
    </row>
    <row r="6322" ht="15.75" customHeight="1">
      <c r="A6322" s="4">
        <v>7477.0</v>
      </c>
      <c r="B6322" s="4" t="s">
        <v>3400</v>
      </c>
      <c r="D6322" s="4" t="s">
        <v>9224</v>
      </c>
      <c r="E6322" s="4">
        <v>0.0</v>
      </c>
      <c r="F6322" s="4" t="str">
        <f>IFERROR(__xludf.DUMMYFUNCTION("GOOGLETRANSLATE(D6322)"),"我在 @YouTube 播放清單中新增了一個影片 http://t.co/1vjAlJA1SX GTA 5 有趣時刻 - 'OBLITERATION!' （GTA 5 線上搞笑時刻）")</f>
        <v>我在 @YouTube 播放清單中新增了一個影片 http://t.co/1vjAlJA1SX GTA 5 有趣時刻 - 'OBLITERATION!' （GTA 5 線上搞笑時刻）</v>
      </c>
      <c r="G6322" s="4" t="str">
        <f>IFERROR(__xludf.DUMMYFUNCTION("GOOGLETRANSLATE(B6322)"),"抹殺")</f>
        <v>抹殺</v>
      </c>
    </row>
    <row r="6323" ht="15.75" customHeight="1">
      <c r="A6323" s="4">
        <v>7478.0</v>
      </c>
      <c r="B6323" s="4" t="s">
        <v>3400</v>
      </c>
      <c r="C6323" s="4" t="s">
        <v>34</v>
      </c>
      <c r="D6323" s="4" t="s">
        <v>9225</v>
      </c>
      <c r="E6323" s="4">
        <v>0.0</v>
      </c>
      <c r="F6323" s="4" t="str">
        <f>IFERROR(__xludf.DUMMYFUNCTION("GOOGLETRANSLATE(D6323)"),"沒有四種真理──欲苦、欲滅之苦、欲滅之苦的根源。")</f>
        <v>沒有四種真理──欲苦、欲滅之苦、欲滅之苦的根源。</v>
      </c>
      <c r="G6323" s="4" t="str">
        <f>IFERROR(__xludf.DUMMYFUNCTION("GOOGLETRANSLATE(B6323)"),"抹殺")</f>
        <v>抹殺</v>
      </c>
    </row>
    <row r="6324" ht="15.75" customHeight="1">
      <c r="A6324" s="4">
        <v>7479.0</v>
      </c>
      <c r="B6324" s="4" t="s">
        <v>3400</v>
      </c>
      <c r="C6324" s="4" t="s">
        <v>3614</v>
      </c>
      <c r="D6324" s="4" t="s">
        <v>9226</v>
      </c>
      <c r="E6324" s="4">
        <v>0.0</v>
      </c>
      <c r="F6324" s="4" t="str">
        <f>IFERROR(__xludf.DUMMYFUNCTION("GOOGLETRANSLATE(D6324)"),"哈吉·普丁遠遠不是一個好人。至少我坐在前排看到他完全消滅了伊貝托，鞏固了競爭對手的地位。")</f>
        <v>哈吉·普丁遠遠不是一個好人。至少我坐在前排看到他完全消滅了伊貝托，鞏固了競爭對手的地位。</v>
      </c>
      <c r="G6324" s="4" t="str">
        <f>IFERROR(__xludf.DUMMYFUNCTION("GOOGLETRANSLATE(B6324)"),"抹殺")</f>
        <v>抹殺</v>
      </c>
    </row>
    <row r="6325" ht="15.75" customHeight="1">
      <c r="A6325" s="4">
        <v>7480.0</v>
      </c>
      <c r="B6325" s="4" t="s">
        <v>3400</v>
      </c>
      <c r="D6325" s="4" t="s">
        <v>9227</v>
      </c>
      <c r="E6325" s="4">
        <v>0.0</v>
      </c>
      <c r="F6325" s="4" t="str">
        <f>IFERROR(__xludf.DUMMYFUNCTION("GOOGLETRANSLATE(D6325)"),"死亡空間 - 毀滅迫在眉睫 [2/2]：http://t.co/XJB0dCAaHf 來自 @YouTube")</f>
        <v>死亡空間 - 毀滅迫在眉睫 [2/2]：http://t.co/XJB0dCAaHf 來自 @YouTube</v>
      </c>
      <c r="G6325" s="4" t="str">
        <f>IFERROR(__xludf.DUMMYFUNCTION("GOOGLETRANSLATE(B6325)"),"抹殺")</f>
        <v>抹殺</v>
      </c>
    </row>
    <row r="6326" ht="15.75" customHeight="1">
      <c r="A6326" s="4">
        <v>7481.0</v>
      </c>
      <c r="B6326" s="4" t="s">
        <v>3400</v>
      </c>
      <c r="C6326" s="4" t="s">
        <v>9228</v>
      </c>
      <c r="D6326" s="4" t="s">
        <v>9229</v>
      </c>
      <c r="E6326" s="4">
        <v>0.0</v>
      </c>
      <c r="F6326" s="4" t="str">
        <f>IFERROR(__xludf.DUMMYFUNCTION("GOOGLETRANSLATE(D6326)"),"這在某種程度上是正確的。消除白人特權將減少不公平的偏袒。")</f>
        <v>這在某種程度上是正確的。消除白人特權將減少不公平的偏袒。</v>
      </c>
      <c r="G6326" s="4" t="str">
        <f>IFERROR(__xludf.DUMMYFUNCTION("GOOGLETRANSLATE(B6326)"),"抹殺")</f>
        <v>抹殺</v>
      </c>
    </row>
    <row r="6327" ht="15.75" customHeight="1">
      <c r="A6327" s="4">
        <v>7482.0</v>
      </c>
      <c r="B6327" s="4" t="s">
        <v>3400</v>
      </c>
      <c r="D6327" s="4" t="s">
        <v>9230</v>
      </c>
      <c r="E6327" s="4">
        <v>0.0</v>
      </c>
      <c r="F6327" s="4" t="str">
        <f>IFERROR(__xludf.DUMMYFUNCTION("GOOGLETRANSLATE(D6327)"),"改造是否意味著抹殺？ http://t.co/pQ3ipUgkuY #entrepreneur #management #leadership #smallbiz #startup #business")</f>
        <v>改造是否意味著抹殺？ http://t.co/pQ3ipUgkuY #entrepreneur #management #leadership #smallbiz #startup #business</v>
      </c>
      <c r="G6327" s="4" t="str">
        <f>IFERROR(__xludf.DUMMYFUNCTION("GOOGLETRANSLATE(B6327)"),"抹殺")</f>
        <v>抹殺</v>
      </c>
    </row>
    <row r="6328" ht="15.75" customHeight="1">
      <c r="A6328" s="4">
        <v>7488.0</v>
      </c>
      <c r="B6328" s="4" t="s">
        <v>3400</v>
      </c>
      <c r="C6328" s="4" t="s">
        <v>9231</v>
      </c>
      <c r="D6328" s="4" t="s">
        <v>9232</v>
      </c>
      <c r="E6328" s="4">
        <v>0.0</v>
      </c>
      <c r="F6328" s="4" t="str">
        <f>IFERROR(__xludf.DUMMYFUNCTION("GOOGLETRANSLATE(D6328)"),"以獲得最大傷害！啟動[大樂隊模式]進行舊時代的消除！")</f>
        <v>以獲得最大傷害！啟動[大樂隊模式]進行舊時代的消除！</v>
      </c>
      <c r="G6328" s="4" t="str">
        <f>IFERROR(__xludf.DUMMYFUNCTION("GOOGLETRANSLATE(B6328)"),"抹殺")</f>
        <v>抹殺</v>
      </c>
    </row>
    <row r="6329" ht="15.75" customHeight="1">
      <c r="A6329" s="4">
        <v>7490.0</v>
      </c>
      <c r="B6329" s="4" t="s">
        <v>3400</v>
      </c>
      <c r="D6329" s="4" t="s">
        <v>9233</v>
      </c>
      <c r="E6329" s="4">
        <v>0.0</v>
      </c>
      <c r="F6329" s="4" t="str">
        <f>IFERROR(__xludf.DUMMYFUNCTION("GOOGLETRANSLATE(D6329)"),"上帝為何下令消滅古代迦南人？ http://t.co/pKKcdWjyg0 來自 @worldnetdaily")</f>
        <v>上帝為何下令消滅古代迦南人？ http://t.co/pKKcdWjyg0 來自 @worldnetdaily</v>
      </c>
      <c r="G6329" s="4" t="str">
        <f>IFERROR(__xludf.DUMMYFUNCTION("GOOGLETRANSLATE(B6329)"),"抹殺")</f>
        <v>抹殺</v>
      </c>
    </row>
    <row r="6330" ht="15.75" customHeight="1">
      <c r="A6330" s="4">
        <v>7491.0</v>
      </c>
      <c r="B6330" s="4" t="s">
        <v>3400</v>
      </c>
      <c r="C6330" s="4" t="s">
        <v>34</v>
      </c>
      <c r="D6330" s="4" t="s">
        <v>9234</v>
      </c>
      <c r="E6330" s="4">
        <v>0.0</v>
      </c>
      <c r="F6330" s="4" t="str">
        <f>IFERROR(__xludf.DUMMYFUNCTION("GOOGLETRANSLATE(D6330)"),"他正在證明為什麼這場爭吵有一天會以巴基斯坦國家的毀滅而告終。 https://t.co/z8Ij8KTkyk")</f>
        <v>他正在證明為什麼這場爭吵有一天會以巴基斯坦國家的毀滅而告終。 https://t.co/z8Ij8KTkyk</v>
      </c>
      <c r="G6330" s="4" t="str">
        <f>IFERROR(__xludf.DUMMYFUNCTION("GOOGLETRANSLATE(B6330)"),"抹殺")</f>
        <v>抹殺</v>
      </c>
    </row>
    <row r="6331" ht="15.75" customHeight="1">
      <c r="A6331" s="4">
        <v>7493.0</v>
      </c>
      <c r="B6331" s="4" t="s">
        <v>3400</v>
      </c>
      <c r="C6331" s="4" t="s">
        <v>9235</v>
      </c>
      <c r="D6331" s="4" t="s">
        <v>9236</v>
      </c>
      <c r="E6331" s="4">
        <v>0.0</v>
      </c>
      <c r="F6331" s="4" t="str">
        <f>IFERROR(__xludf.DUMMYFUNCTION("GOOGLETRANSLATE(D6331)"),"恐懼是心靈殺手。恐懼是帶來徹底毀滅的小死亡。貝尼傑瑟里特 (Bene Gesserit) 反對恐懼沙丘@atgrannyshouse")</f>
        <v>恐懼是心靈殺手。恐懼是帶來徹底毀滅的小死亡。貝尼傑瑟里特 (Bene Gesserit) 反對恐懼沙丘@atgrannyshouse</v>
      </c>
      <c r="G6331" s="4" t="str">
        <f>IFERROR(__xludf.DUMMYFUNCTION("GOOGLETRANSLATE(B6331)"),"抹殺")</f>
        <v>抹殺</v>
      </c>
    </row>
    <row r="6332" ht="15.75" customHeight="1">
      <c r="A6332" s="4">
        <v>7529.0</v>
      </c>
      <c r="B6332" s="4" t="s">
        <v>3407</v>
      </c>
      <c r="D6332" s="4" t="s">
        <v>9237</v>
      </c>
      <c r="E6332" s="4">
        <v>0.0</v>
      </c>
      <c r="F6332" s="4" t="str">
        <f>IFERROR(__xludf.DUMMYFUNCTION("GOOGLETRANSLATE(D6332)"),"@TroySlaby22 比漏油還順利")</f>
        <v>@TroySlaby22 比漏油還順利</v>
      </c>
      <c r="G6332" s="4" t="str">
        <f>IFERROR(__xludf.DUMMYFUNCTION("GOOGLETRANSLATE(B6332)"),"油%20洩漏")</f>
        <v>油%20洩漏</v>
      </c>
    </row>
    <row r="6333" ht="15.75" customHeight="1">
      <c r="A6333" s="4">
        <v>7576.0</v>
      </c>
      <c r="B6333" s="4" t="s">
        <v>3459</v>
      </c>
      <c r="C6333" s="4" t="s">
        <v>9238</v>
      </c>
      <c r="D6333" s="4" t="s">
        <v>9239</v>
      </c>
      <c r="E6333" s="4">
        <v>0.0</v>
      </c>
      <c r="F6333" s="4" t="str">
        <f>IFERROR(__xludf.DUMMYFUNCTION("GOOGLETRANSLATE(D6333)"),"@DrAtomic420 你從哪裡得到那張顯示爆發有 2 個獎盃的照片？或者他們用 Photoshop 處理過它嗎？")</f>
        <v>@DrAtomic420 你從哪裡得到那張顯示爆發有 2 個獎盃的照片？或者他們用 Photoshop 處理過它嗎？</v>
      </c>
      <c r="G6333" s="4" t="str">
        <f>IFERROR(__xludf.DUMMYFUNCTION("GOOGLETRANSLATE(B6333)"),"爆發")</f>
        <v>爆發</v>
      </c>
    </row>
    <row r="6334" ht="15.75" customHeight="1">
      <c r="A6334" s="4">
        <v>7595.0</v>
      </c>
      <c r="B6334" s="4" t="s">
        <v>3518</v>
      </c>
      <c r="D6334" s="4" t="s">
        <v>9240</v>
      </c>
      <c r="E6334" s="4">
        <v>0.0</v>
      </c>
      <c r="F6334" s="4" t="str">
        <f>IFERROR(__xludf.DUMMYFUNCTION("GOOGLETRANSLATE(D6334)"),"管子罷工=絕對的混亂")</f>
        <v>管子罷工=絕對的混亂</v>
      </c>
      <c r="G6334" s="4" t="str">
        <f>IFERROR(__xludf.DUMMYFUNCTION("GOOGLETRANSLATE(B6334)"),"混亂")</f>
        <v>混亂</v>
      </c>
    </row>
    <row r="6335" ht="15.75" customHeight="1">
      <c r="A6335" s="4">
        <v>7600.0</v>
      </c>
      <c r="B6335" s="4" t="s">
        <v>3518</v>
      </c>
      <c r="C6335" s="4" t="s">
        <v>9241</v>
      </c>
      <c r="D6335" s="4" t="s">
        <v>9242</v>
      </c>
      <c r="E6335" s="4">
        <v>0.0</v>
      </c>
      <c r="F6335" s="4" t="str">
        <f>IFERROR(__xludf.DUMMYFUNCTION("GOOGLETRANSLATE(D6335)"),"自由元素：夏季最大的派對@ Mirage Saturday！購票：http://t.co/7hAnPcr5rK")</f>
        <v>自由元素：夏季最大的派對@ Mirage Saturday！購票：http://t.co/7hAnPcr5rK</v>
      </c>
      <c r="G6335" s="4" t="str">
        <f>IFERROR(__xludf.DUMMYFUNCTION("GOOGLETRANSLATE(B6335)"),"混亂")</f>
        <v>混亂</v>
      </c>
    </row>
    <row r="6336" ht="15.75" customHeight="1">
      <c r="A6336" s="4">
        <v>7601.0</v>
      </c>
      <c r="B6336" s="4" t="s">
        <v>3518</v>
      </c>
      <c r="C6336" s="4" t="s">
        <v>9243</v>
      </c>
      <c r="D6336" s="4" t="s">
        <v>9244</v>
      </c>
      <c r="E6336" s="4">
        <v>0.0</v>
      </c>
      <c r="F6336" s="4" t="str">
        <f>IFERROR(__xludf.DUMMYFUNCTION("GOOGLETRANSLATE(D6336)"),"@hashtagteaclub 出去。這是前帕爾斯後衛安迪·托德，穿著全套制服。頓時一片混亂。徹底的混亂隨之而來！")</f>
        <v>@hashtagteaclub 出去。這是前帕爾斯後衛安迪·托德，穿著全套制服。頓時一片混亂。徹底的混亂隨之而來！</v>
      </c>
      <c r="G6336" s="4" t="str">
        <f>IFERROR(__xludf.DUMMYFUNCTION("GOOGLETRANSLATE(B6336)"),"混亂")</f>
        <v>混亂</v>
      </c>
    </row>
    <row r="6337" ht="15.75" customHeight="1">
      <c r="A6337" s="4">
        <v>7603.0</v>
      </c>
      <c r="B6337" s="4" t="s">
        <v>3518</v>
      </c>
      <c r="C6337" s="4" t="s">
        <v>1002</v>
      </c>
      <c r="D6337" s="4" t="s">
        <v>9245</v>
      </c>
      <c r="E6337" s="4">
        <v>0.0</v>
      </c>
      <c r="F6337" s="4" t="str">
        <f>IFERROR(__xludf.DUMMYFUNCTION("GOOGLETRANSLATE(D6337)"),"@J3Lyon 我打算在周末推出《FFVII》，所以我認為《Pandemonium》！ （不要忘記感嘆號）將是周中。")</f>
        <v>@J3Lyon 我打算在周末推出《FFVII》，所以我認為《Pandemonium》！ （不要忘記感嘆號）將是周中。</v>
      </c>
      <c r="G6337" s="4" t="str">
        <f>IFERROR(__xludf.DUMMYFUNCTION("GOOGLETRANSLATE(B6337)"),"混亂")</f>
        <v>混亂</v>
      </c>
    </row>
    <row r="6338" ht="15.75" customHeight="1">
      <c r="A6338" s="4">
        <v>7604.0</v>
      </c>
      <c r="B6338" s="4" t="s">
        <v>3518</v>
      </c>
      <c r="C6338" s="4" t="s">
        <v>9246</v>
      </c>
      <c r="D6338" s="4" t="s">
        <v>9247</v>
      </c>
      <c r="E6338" s="4">
        <v>0.0</v>
      </c>
      <c r="F6338" s="4" t="str">
        <f>IFERROR(__xludf.DUMMYFUNCTION("GOOGLETRANSLATE(D6338)"),"@BlizzHeroes 希望看到以 Westmarch、Mt. Arreat 或 Pandemium 等地為主題的暗黑破壞神地圖。")</f>
        <v>@BlizzHeroes 希望看到以 Westmarch、Mt. Arreat 或 Pandemium 等地為主題的暗黑破壞神地圖。</v>
      </c>
      <c r="G6338" s="4" t="str">
        <f>IFERROR(__xludf.DUMMYFUNCTION("GOOGLETRANSLATE(B6338)"),"混亂")</f>
        <v>混亂</v>
      </c>
    </row>
    <row r="6339" ht="15.75" customHeight="1">
      <c r="A6339" s="4">
        <v>7605.0</v>
      </c>
      <c r="B6339" s="4" t="s">
        <v>3518</v>
      </c>
      <c r="C6339" s="4" t="s">
        <v>9248</v>
      </c>
      <c r="D6339" s="4" t="s">
        <v>9249</v>
      </c>
      <c r="E6339" s="4">
        <v>0.0</v>
      </c>
      <c r="F6339" s="4" t="str">
        <f>IFERROR(__xludf.DUMMYFUNCTION("GOOGLETRANSLATE(D6339)"),"@minhazmerchant 政府應該在混亂中通過法案。 UPA 曾經這樣做過，為什麼不能 NDA？")</f>
        <v>@minhazmerchant 政府應該在混亂中通過法案。 UPA 曾經這樣做過，為什麼不能 NDA？</v>
      </c>
      <c r="G6339" s="4" t="str">
        <f>IFERROR(__xludf.DUMMYFUNCTION("GOOGLETRANSLATE(B6339)"),"混亂")</f>
        <v>混亂</v>
      </c>
    </row>
    <row r="6340" ht="15.75" customHeight="1">
      <c r="A6340" s="4">
        <v>7608.0</v>
      </c>
      <c r="B6340" s="4" t="s">
        <v>3518</v>
      </c>
      <c r="D6340" s="4" t="s">
        <v>9250</v>
      </c>
      <c r="E6340" s="4">
        <v>0.0</v>
      </c>
      <c r="F6340" s="4" t="str">
        <f>IFERROR(__xludf.DUMMYFUNCTION("GOOGLETRANSLATE(D6340)"),"為你 @JoeGoodmanJr 觀看 #CopaLibertadores 和阿根廷的混亂而感到驕傲...... https://t.co/8tyGO0KiZz")</f>
        <v>為你 @JoeGoodmanJr 觀看 #CopaLibertadores 和阿根廷的混亂而感到驕傲...... https://t.co/8tyGO0KiZz</v>
      </c>
      <c r="G6340" s="4" t="str">
        <f>IFERROR(__xludf.DUMMYFUNCTION("GOOGLETRANSLATE(B6340)"),"混亂")</f>
        <v>混亂</v>
      </c>
    </row>
    <row r="6341" ht="15.75" customHeight="1">
      <c r="A6341" s="4">
        <v>7609.0</v>
      </c>
      <c r="B6341" s="4" t="s">
        <v>3518</v>
      </c>
      <c r="D6341" s="4" t="s">
        <v>9251</v>
      </c>
      <c r="E6341" s="4">
        <v>0.0</v>
      </c>
      <c r="F6341" s="4" t="str">
        <f>IFERROR(__xludf.DUMMYFUNCTION("GOOGLETRANSLATE(D6341)"),"阿壩婦女無臉生子，一片混亂（圖）http://t.co/wRqF6U55hh")</f>
        <v>阿壩婦女無臉生子，一片混亂（圖）http://t.co/wRqF6U55hh</v>
      </c>
      <c r="G6341" s="4" t="str">
        <f>IFERROR(__xludf.DUMMYFUNCTION("GOOGLETRANSLATE(B6341)"),"混亂")</f>
        <v>混亂</v>
      </c>
    </row>
    <row r="6342" ht="15.75" customHeight="1">
      <c r="A6342" s="4">
        <v>7610.0</v>
      </c>
      <c r="B6342" s="4" t="s">
        <v>3518</v>
      </c>
      <c r="C6342" s="4" t="s">
        <v>3474</v>
      </c>
      <c r="D6342" s="4" t="s">
        <v>9252</v>
      </c>
      <c r="E6342" s="4">
        <v>0.0</v>
      </c>
      <c r="F6342" s="4" t="str">
        <f>IFERROR(__xludf.DUMMYFUNCTION("GOOGLETRANSLATE(D6342)"),"#Pandemonium.iso psp http://t.co/HbpNFOAwII")</f>
        <v>#Pandemonium.iso psp http://t.co/HbpNFOAwII</v>
      </c>
      <c r="G6342" s="4" t="str">
        <f>IFERROR(__xludf.DUMMYFUNCTION("GOOGLETRANSLATE(B6342)"),"混亂")</f>
        <v>混亂</v>
      </c>
    </row>
    <row r="6343" ht="15.75" customHeight="1">
      <c r="A6343" s="4">
        <v>7612.0</v>
      </c>
      <c r="B6343" s="4" t="s">
        <v>3518</v>
      </c>
      <c r="C6343" s="4" t="s">
        <v>9253</v>
      </c>
      <c r="D6343" s="4" t="s">
        <v>9254</v>
      </c>
      <c r="E6343" s="4">
        <v>0.0</v>
      </c>
      <c r="F6343" s="4" t="str">
        <f>IFERROR(__xludf.DUMMYFUNCTION("GOOGLETRANSLATE(D6343)"),"阿壩婦女無臉生子，一片混亂（圖）http://t.co/AcFI2rHz4N")</f>
        <v>阿壩婦女無臉生子，一片混亂（圖）http://t.co/AcFI2rHz4N</v>
      </c>
      <c r="G6343" s="4" t="str">
        <f>IFERROR(__xludf.DUMMYFUNCTION("GOOGLETRANSLATE(B6343)"),"混亂")</f>
        <v>混亂</v>
      </c>
    </row>
    <row r="6344" ht="15.75" customHeight="1">
      <c r="A6344" s="4">
        <v>7614.0</v>
      </c>
      <c r="B6344" s="4" t="s">
        <v>3518</v>
      </c>
      <c r="D6344" s="4" t="s">
        <v>9255</v>
      </c>
      <c r="E6344" s="4">
        <v>0.0</v>
      </c>
      <c r="F6344" s="4" t="str">
        <f>IFERROR(__xludf.DUMMYFUNCTION("GOOGLETRANSLATE(D6344)"),"世界級 Tgirl 屁股 02 - 場景 4 - 混亂 http://t.co/iwCu3DgI1a")</f>
        <v>世界級 Tgirl 屁股 02 - 場景 4 - 混亂 http://t.co/iwCu3DgI1a</v>
      </c>
      <c r="G6344" s="4" t="str">
        <f>IFERROR(__xludf.DUMMYFUNCTION("GOOGLETRANSLATE(B6344)"),"混亂")</f>
        <v>混亂</v>
      </c>
    </row>
    <row r="6345" ht="15.75" customHeight="1">
      <c r="A6345" s="4">
        <v>7616.0</v>
      </c>
      <c r="B6345" s="4" t="s">
        <v>3518</v>
      </c>
      <c r="D6345" s="4" t="s">
        <v>9256</v>
      </c>
      <c r="E6345" s="4">
        <v>0.0</v>
      </c>
      <c r="F6345" s="4" t="str">
        <f>IFERROR(__xludf.DUMMYFUNCTION("GOOGLETRANSLATE(D6345)"),"嘿大家看看我對《Pandemonium》和《Pandemonium》的評論。勞倫‧奧利佛的《安魂曲》。享受！ http://t.co/cPLYReWFZ3")</f>
        <v>嘿大家看看我對《Pandemonium》和《Pandemonium》的評論。勞倫‧奧利佛的《安魂曲》。享受！ http://t.co/cPLYReWFZ3</v>
      </c>
      <c r="G6345" s="4" t="str">
        <f>IFERROR(__xludf.DUMMYFUNCTION("GOOGLETRANSLATE(B6345)"),"混亂")</f>
        <v>混亂</v>
      </c>
    </row>
    <row r="6346" ht="15.75" customHeight="1">
      <c r="A6346" s="4">
        <v>7617.0</v>
      </c>
      <c r="B6346" s="4" t="s">
        <v>3518</v>
      </c>
      <c r="C6346" s="4" t="s">
        <v>9241</v>
      </c>
      <c r="D6346" s="4" t="s">
        <v>9257</v>
      </c>
      <c r="E6346" s="4">
        <v>0.0</v>
      </c>
      <c r="F6346" s="4" t="str">
        <f>IFERROR(__xludf.DUMMYFUNCTION("GOOGLETRANSLATE(D6346)"),"Mirage 星期六的自由元素！午夜前 21 名以上女士免費！ http://t.co/7hAnPcr5rK")</f>
        <v>Mirage 星期六的自由元素！午夜前 21 名以上女士免費！ http://t.co/7hAnPcr5rK</v>
      </c>
      <c r="G6346" s="4" t="str">
        <f>IFERROR(__xludf.DUMMYFUNCTION("GOOGLETRANSLATE(B6346)"),"混亂")</f>
        <v>混亂</v>
      </c>
    </row>
    <row r="6347" ht="15.75" customHeight="1">
      <c r="A6347" s="4">
        <v>7619.0</v>
      </c>
      <c r="B6347" s="4" t="s">
        <v>3518</v>
      </c>
      <c r="D6347" s="4" t="s">
        <v>9258</v>
      </c>
      <c r="E6347" s="4">
        <v>0.0</v>
      </c>
      <c r="F6347" s="4" t="str">
        <f>IFERROR(__xludf.DUMMYFUNCTION("GOOGLETRANSLATE(D6347)"),"世界級 Tgirl 屁股 02 - 場景 4 - 混亂 http://t.co/HzHoa6VZAS")</f>
        <v>世界級 Tgirl 屁股 02 - 場景 4 - 混亂 http://t.co/HzHoa6VZAS</v>
      </c>
      <c r="G6347" s="4" t="str">
        <f>IFERROR(__xludf.DUMMYFUNCTION("GOOGLETRANSLATE(B6347)"),"混亂")</f>
        <v>混亂</v>
      </c>
    </row>
    <row r="6348" ht="15.75" customHeight="1">
      <c r="A6348" s="4">
        <v>7622.0</v>
      </c>
      <c r="B6348" s="4" t="s">
        <v>3518</v>
      </c>
      <c r="C6348" s="4" t="s">
        <v>9259</v>
      </c>
      <c r="D6348" s="4" t="s">
        <v>9260</v>
      </c>
      <c r="E6348" s="4">
        <v>0.0</v>
      </c>
      <c r="F6348" s="4" t="str">
        <f>IFERROR(__xludf.DUMMYFUNCTION("GOOGLETRANSLATE(D6348)"),"阿壩婦女無臉分娩，一片混亂（照片） - http://t.co/dI5aRr6HQ6")</f>
        <v>阿壩婦女無臉分娩，一片混亂（照片） - http://t.co/dI5aRr6HQ6</v>
      </c>
      <c r="G6348" s="4" t="str">
        <f>IFERROR(__xludf.DUMMYFUNCTION("GOOGLETRANSLATE(B6348)"),"混亂")</f>
        <v>混亂</v>
      </c>
    </row>
    <row r="6349" ht="15.75" customHeight="1">
      <c r="A6349" s="4">
        <v>7623.0</v>
      </c>
      <c r="B6349" s="4" t="s">
        <v>3518</v>
      </c>
      <c r="C6349" s="4" t="s">
        <v>1337</v>
      </c>
      <c r="D6349" s="4" t="s">
        <v>9261</v>
      </c>
      <c r="E6349" s="4">
        <v>0.0</v>
      </c>
      <c r="F6349" s="4" t="str">
        <f>IFERROR(__xludf.DUMMYFUNCTION("GOOGLETRANSLATE(D6349)"),"&gt;&gt;&gt; @GidiExclusixe 阿壩婦女生下無臉嬰兒時感到震驚 [照片]：一片混亂...... http://t.co/RGTYZbNKeo #BennyCapricon")</f>
        <v>&gt;&gt;&gt; @GidiExclusixe 阿壩婦女生下無臉嬰兒時感到震驚 [照片]：一片混亂...... http://t.co/RGTYZbNKeo #BennyCapricon</v>
      </c>
      <c r="G6349" s="4" t="str">
        <f>IFERROR(__xludf.DUMMYFUNCTION("GOOGLETRANSLATE(B6349)"),"混亂")</f>
        <v>混亂</v>
      </c>
    </row>
    <row r="6350" ht="15.75" customHeight="1">
      <c r="A6350" s="4">
        <v>7626.0</v>
      </c>
      <c r="B6350" s="4" t="s">
        <v>3518</v>
      </c>
      <c r="C6350" s="4" t="s">
        <v>3520</v>
      </c>
      <c r="D6350" s="4" t="s">
        <v>9262</v>
      </c>
      <c r="E6350" s="4">
        <v>0.0</v>
      </c>
      <c r="F6350" s="4" t="str">
        <f>IFERROR(__xludf.DUMMYFUNCTION("GOOGLETRANSLATE(D6350)"),"阿壩婦女無臉分娩，一片混亂（照片） - http://t.co/c5u9qsySeJ")</f>
        <v>阿壩婦女無臉分娩，一片混亂（照片） - http://t.co/c5u9qsySeJ</v>
      </c>
      <c r="G6350" s="4" t="str">
        <f>IFERROR(__xludf.DUMMYFUNCTION("GOOGLETRANSLATE(B6350)"),"混亂")</f>
        <v>混亂</v>
      </c>
    </row>
    <row r="6351" ht="15.75" customHeight="1">
      <c r="A6351" s="4">
        <v>7627.0</v>
      </c>
      <c r="B6351" s="4" t="s">
        <v>3518</v>
      </c>
      <c r="C6351" s="4" t="s">
        <v>9263</v>
      </c>
      <c r="D6351" s="4" t="s">
        <v>9264</v>
      </c>
      <c r="E6351" s="4">
        <v>0.0</v>
      </c>
      <c r="F6351" s="4" t="str">
        <f>IFERROR(__xludf.DUMMYFUNCTION("GOOGLETRANSLATE(D6351)"),"@Dr_Baseball41 @GrantTamane8 @DrewWTaylor @Dtop77 在克里斯蒂山坡上：第四場比賽：維修站的混亂。 http://t.co/Lq4lXGS2xU")</f>
        <v>@Dr_Baseball41 @GrantTamane8 @DrewWTaylor @Dtop77 在克里斯蒂山坡上：第四場比賽：維修站的混亂。 http://t.co/Lq4lXGS2xU</v>
      </c>
      <c r="G6351" s="4" t="str">
        <f>IFERROR(__xludf.DUMMYFUNCTION("GOOGLETRANSLATE(B6351)"),"混亂")</f>
        <v>混亂</v>
      </c>
    </row>
    <row r="6352" ht="15.75" customHeight="1">
      <c r="A6352" s="4">
        <v>7628.0</v>
      </c>
      <c r="B6352" s="4" t="s">
        <v>3518</v>
      </c>
      <c r="C6352" s="4" t="s">
        <v>9265</v>
      </c>
      <c r="D6352" s="4" t="s">
        <v>9266</v>
      </c>
      <c r="E6352" s="4">
        <v>0.0</v>
      </c>
      <c r="F6352" s="4" t="str">
        <f>IFERROR(__xludf.DUMMYFUNCTION("GOOGLETRANSLATE(D6352)"),"如果她不知道《Pandemonium》專輯#Shestooyoung")</f>
        <v>如果她不知道《Pandemonium》專輯#Shestooyoung</v>
      </c>
      <c r="G6352" s="4" t="str">
        <f>IFERROR(__xludf.DUMMYFUNCTION("GOOGLETRANSLATE(B6352)"),"混亂")</f>
        <v>混亂</v>
      </c>
    </row>
    <row r="6353" ht="15.75" customHeight="1">
      <c r="A6353" s="4">
        <v>7630.0</v>
      </c>
      <c r="B6353" s="4" t="s">
        <v>3518</v>
      </c>
      <c r="C6353" s="4" t="s">
        <v>9267</v>
      </c>
      <c r="D6353" s="4" t="s">
        <v>9268</v>
      </c>
      <c r="E6353" s="4">
        <v>0.0</v>
      </c>
      <c r="F6353" s="4" t="str">
        <f>IFERROR(__xludf.DUMMYFUNCTION("GOOGLETRANSLATE(D6353)"),"阿壩婦女無臉分娩，一片混亂（照片）@... http://t.co/JbxBi93CLu")</f>
        <v>阿壩婦女無臉分娩，一片混亂（照片）@... http://t.co/JbxBi93CLu</v>
      </c>
      <c r="G6353" s="4" t="str">
        <f>IFERROR(__xludf.DUMMYFUNCTION("GOOGLETRANSLATE(B6353)"),"混亂")</f>
        <v>混亂</v>
      </c>
    </row>
    <row r="6354" ht="15.75" customHeight="1">
      <c r="A6354" s="4">
        <v>7631.0</v>
      </c>
      <c r="B6354" s="4" t="s">
        <v>3518</v>
      </c>
      <c r="D6354" s="4" t="s">
        <v>9269</v>
      </c>
      <c r="E6354" s="4">
        <v>0.0</v>
      </c>
      <c r="F6354" s="4" t="str">
        <f>IFERROR(__xludf.DUMMYFUNCTION("GOOGLETRANSLATE(D6354)"),"精緻的亞洲在斯托... http://t.co/Y9w0V6Te9O #cumshot #sex #porn #video #porno #free")</f>
        <v>精緻的亞洲在斯托... http://t.co/Y9w0V6Te9O #cumshot #sex #porn #video #porno #free</v>
      </c>
      <c r="G6354" s="4" t="str">
        <f>IFERROR(__xludf.DUMMYFUNCTION("GOOGLETRANSLATE(B6354)"),"混亂")</f>
        <v>混亂</v>
      </c>
    </row>
    <row r="6355" ht="15.75" customHeight="1">
      <c r="A6355" s="4">
        <v>7633.0</v>
      </c>
      <c r="B6355" s="4" t="s">
        <v>3518</v>
      </c>
      <c r="C6355" s="4" t="s">
        <v>512</v>
      </c>
      <c r="D6355" s="4" t="s">
        <v>9270</v>
      </c>
      <c r="E6355" s="4">
        <v>0.0</v>
      </c>
      <c r="F6355" s="4" t="str">
        <f>IFERROR(__xludf.DUMMYFUNCTION("GOOGLETRANSLATE(D6355)"),"阿壩婦女無臉分娩，一片混亂（照片） - http://t.co/Ykdsp0nRDQ")</f>
        <v>阿壩婦女無臉分娩，一片混亂（照片） - http://t.co/Ykdsp0nRDQ</v>
      </c>
      <c r="G6355" s="4" t="str">
        <f>IFERROR(__xludf.DUMMYFUNCTION("GOOGLETRANSLATE(B6355)"),"混亂")</f>
        <v>混亂</v>
      </c>
    </row>
    <row r="6356" ht="15.75" customHeight="1">
      <c r="A6356" s="4">
        <v>7634.0</v>
      </c>
      <c r="B6356" s="4" t="s">
        <v>3518</v>
      </c>
      <c r="D6356" s="4" t="s">
        <v>9271</v>
      </c>
      <c r="E6356" s="4">
        <v>0.0</v>
      </c>
      <c r="F6356" s="4" t="str">
        <f>IFERROR(__xludf.DUMMYFUNCTION("GOOGLETRANSLATE(D6356)"),"季節開始時我的工作場所將會一片混亂？")</f>
        <v>季節開始時我的工作場所將會一片混亂？</v>
      </c>
      <c r="G6356" s="4" t="str">
        <f>IFERROR(__xludf.DUMMYFUNCTION("GOOGLETRANSLATE(B6356)"),"混亂")</f>
        <v>混亂</v>
      </c>
    </row>
    <row r="6357" ht="15.75" customHeight="1">
      <c r="A6357" s="4">
        <v>7635.0</v>
      </c>
      <c r="B6357" s="4" t="s">
        <v>3518</v>
      </c>
      <c r="D6357" s="4" t="s">
        <v>9272</v>
      </c>
      <c r="E6357" s="4">
        <v>0.0</v>
      </c>
      <c r="F6357" s="4" t="str">
        <f>IFERROR(__xludf.DUMMYFUNCTION("GOOGLETRANSLATE(D6357)"),"阿壩婦女無臉生子，一片混亂（圖） http://t.co/8j4rdwyjWu http://t.co/9MkZPZfKL2")</f>
        <v>阿壩婦女無臉生子，一片混亂（圖） http://t.co/8j4rdwyjWu http://t.co/9MkZPZfKL2</v>
      </c>
      <c r="G6357" s="4" t="str">
        <f>IFERROR(__xludf.DUMMYFUNCTION("GOOGLETRANSLATE(B6357)"),"混亂")</f>
        <v>混亂</v>
      </c>
    </row>
    <row r="6358" ht="15.75" customHeight="1">
      <c r="A6358" s="4">
        <v>7638.0</v>
      </c>
      <c r="B6358" s="4" t="s">
        <v>3518</v>
      </c>
      <c r="D6358" s="4" t="s">
        <v>9273</v>
      </c>
      <c r="E6358" s="4">
        <v>0.0</v>
      </c>
      <c r="F6358" s="4" t="str">
        <f>IFERROR(__xludf.DUMMYFUNCTION("GOOGLETRANSLATE(D6358)"),"- 阿壩婦女無臉分娩，一片混亂 http://t.co/36GccAPaak http://t.co/nqjZS6wkuN")</f>
        <v>- 阿壩婦女無臉分娩，一片混亂 http://t.co/36GccAPaak http://t.co/nqjZS6wkuN</v>
      </c>
      <c r="G6358" s="4" t="str">
        <f>IFERROR(__xludf.DUMMYFUNCTION("GOOGLETRANSLATE(B6358)"),"混亂")</f>
        <v>混亂</v>
      </c>
    </row>
    <row r="6359" ht="15.75" customHeight="1">
      <c r="A6359" s="4">
        <v>7639.0</v>
      </c>
      <c r="B6359" s="4" t="s">
        <v>3518</v>
      </c>
      <c r="C6359" s="4" t="s">
        <v>3292</v>
      </c>
      <c r="D6359" s="4" t="s">
        <v>9274</v>
      </c>
      <c r="E6359" s="4">
        <v>0.0</v>
      </c>
      <c r="F6359" s="4" t="str">
        <f>IFERROR(__xludf.DUMMYFUNCTION("GOOGLETRANSLATE(D6359)"),"騎自行車的人今天的道路一片混亂。小心駕駛！")</f>
        <v>騎自行車的人今天的道路一片混亂。小心駕駛！</v>
      </c>
      <c r="G6359" s="4" t="str">
        <f>IFERROR(__xludf.DUMMYFUNCTION("GOOGLETRANSLATE(B6359)"),"混亂")</f>
        <v>混亂</v>
      </c>
    </row>
    <row r="6360" ht="15.75" customHeight="1">
      <c r="A6360" s="4">
        <v>7640.0</v>
      </c>
      <c r="B6360" s="4" t="s">
        <v>3518</v>
      </c>
      <c r="C6360" s="4" t="s">
        <v>9275</v>
      </c>
      <c r="D6360" s="4" t="s">
        <v>9276</v>
      </c>
      <c r="E6360" s="4">
        <v>0.0</v>
      </c>
      <c r="F6360" s="4" t="str">
        <f>IFERROR(__xludf.DUMMYFUNCTION("GOOGLETRANSLATE(D6360)"),"@PBohanna 在上次測試的混亂之後的第一個半小時​​可能非常無聊...#justaguess")</f>
        <v>@PBohanna 在上次測試的混亂之後的第一個半小時​​可能非常無聊...#justaguess</v>
      </c>
      <c r="G6360" s="4" t="str">
        <f>IFERROR(__xludf.DUMMYFUNCTION("GOOGLETRANSLATE(B6360)"),"混亂")</f>
        <v>混亂</v>
      </c>
    </row>
    <row r="6361" ht="15.75" customHeight="1">
      <c r="A6361" s="4">
        <v>7641.0</v>
      </c>
      <c r="B6361" s="4" t="s">
        <v>3518</v>
      </c>
      <c r="C6361" s="4" t="s">
        <v>9277</v>
      </c>
      <c r="D6361" s="4" t="s">
        <v>9278</v>
      </c>
      <c r="E6361" s="4">
        <v>0.0</v>
      </c>
      <c r="F6361" s="4" t="str">
        <f>IFERROR(__xludf.DUMMYFUNCTION("GOOGLETRANSLATE(D6361)"),"照片：deadgirltalking：unfortunemelody：jaynejoybeligan：tarynel：dredougie：santanico-pandemonia：... http://t.co/PvKgo79JnI")</f>
        <v>照片：deadgirltalking：unfortunemelody：jaynejoybeligan：tarynel：dredougie：santanico-pandemonia：... http://t.co/PvKgo79JnI</v>
      </c>
      <c r="G6361" s="4" t="str">
        <f>IFERROR(__xludf.DUMMYFUNCTION("GOOGLETRANSLATE(B6361)"),"混亂")</f>
        <v>混亂</v>
      </c>
    </row>
    <row r="6362" ht="15.75" customHeight="1">
      <c r="A6362" s="4">
        <v>7644.0</v>
      </c>
      <c r="B6362" s="4" t="s">
        <v>3518</v>
      </c>
      <c r="D6362" s="4" t="s">
        <v>9279</v>
      </c>
      <c r="E6362" s="4">
        <v>0.0</v>
      </c>
      <c r="F6362" s="4" t="str">
        <f>IFERROR(__xludf.DUMMYFUNCTION("GOOGLETRANSLATE(D6362)"),"http://t.co/PmHMmkSPaQ - 烏雲密布！ Playstation One PS1 復古經典原創平台白金稀有#Deals_UK http://t.co/0gKNpy4lUA")</f>
        <v>http://t.co/PmHMmkSPaQ - 烏雲密布！ Playstation One PS1 復古經典原創平台白金稀有#Deals_UK http://t.co/0gKNpy4lUA</v>
      </c>
      <c r="G6362" s="4" t="str">
        <f>IFERROR(__xludf.DUMMYFUNCTION("GOOGLETRANSLATE(B6362)"),"混亂")</f>
        <v>混亂</v>
      </c>
    </row>
    <row r="6363" ht="15.75" customHeight="1">
      <c r="A6363" s="4">
        <v>7645.0</v>
      </c>
      <c r="B6363" s="4" t="s">
        <v>3530</v>
      </c>
      <c r="C6363" s="4" t="s">
        <v>1727</v>
      </c>
      <c r="D6363" s="4" t="s">
        <v>9280</v>
      </c>
      <c r="E6363" s="4">
        <v>0.0</v>
      </c>
      <c r="F6363" s="4" t="str">
        <f>IFERROR(__xludf.DUMMYFUNCTION("GOOGLETRANSLATE(D6363)"),"別驚慌")</f>
        <v>別驚慌</v>
      </c>
      <c r="G6363" s="4" t="str">
        <f>IFERROR(__xludf.DUMMYFUNCTION("GOOGLETRANSLATE(B6363)"),"恐慌")</f>
        <v>恐慌</v>
      </c>
    </row>
    <row r="6364" ht="15.75" customHeight="1">
      <c r="A6364" s="4">
        <v>7647.0</v>
      </c>
      <c r="B6364" s="4" t="s">
        <v>3530</v>
      </c>
      <c r="C6364" s="4" t="s">
        <v>9281</v>
      </c>
      <c r="D6364" s="4" t="s">
        <v>9282</v>
      </c>
      <c r="E6364" s="4">
        <v>0.0</v>
      </c>
      <c r="F6364" s="4" t="str">
        <f>IFERROR(__xludf.DUMMYFUNCTION("GOOGLETRANSLATE(D6364)"),"強制的半夜恐慌發作")</f>
        <v>強制的半夜恐慌發作</v>
      </c>
      <c r="G6364" s="4" t="str">
        <f>IFERROR(__xludf.DUMMYFUNCTION("GOOGLETRANSLATE(B6364)"),"恐慌")</f>
        <v>恐慌</v>
      </c>
    </row>
    <row r="6365" ht="15.75" customHeight="1">
      <c r="A6365" s="4">
        <v>7648.0</v>
      </c>
      <c r="B6365" s="4" t="s">
        <v>3530</v>
      </c>
      <c r="D6365" s="4" t="s">
        <v>9283</v>
      </c>
      <c r="E6365" s="4">
        <v>0.0</v>
      </c>
      <c r="F6365" s="4" t="str">
        <f>IFERROR(__xludf.DUMMYFUNCTION("GOOGLETRANSLATE(D6365)"),"@brokenscnecal 我只是擔心恐慌！當我在迪斯可舞廳說這句話的時候")</f>
        <v>@brokenscnecal 我只是擔心恐慌！當我在迪斯可舞廳說這句話的時候</v>
      </c>
      <c r="G6365" s="4" t="str">
        <f>IFERROR(__xludf.DUMMYFUNCTION("GOOGLETRANSLATE(B6365)"),"恐慌")</f>
        <v>恐慌</v>
      </c>
    </row>
    <row r="6366" ht="15.75" customHeight="1">
      <c r="A6366" s="4">
        <v>7649.0</v>
      </c>
      <c r="B6366" s="4" t="s">
        <v>3530</v>
      </c>
      <c r="D6366" s="4" t="s">
        <v>9284</v>
      </c>
      <c r="E6366" s="4">
        <v>0.0</v>
      </c>
      <c r="F6366" s="4" t="str">
        <f>IFERROR(__xludf.DUMMYFUNCTION("GOOGLETRANSLATE(D6366)"),"德雷克代表猛龍隊發言。前幾天晚上，當音樂響起槍聲時，求求不同意見。驚慌失措的奔跑沒有樂趣")</f>
        <v>德雷克代表猛龍隊發言。前幾天晚上，當音樂響起槍聲時，求求不同意見。驚慌失措的奔跑沒有樂趣</v>
      </c>
      <c r="G6366" s="4" t="str">
        <f>IFERROR(__xludf.DUMMYFUNCTION("GOOGLETRANSLATE(B6366)"),"恐慌")</f>
        <v>恐慌</v>
      </c>
    </row>
    <row r="6367" ht="15.75" customHeight="1">
      <c r="A6367" s="4">
        <v>7650.0</v>
      </c>
      <c r="B6367" s="4" t="s">
        <v>3530</v>
      </c>
      <c r="D6367" s="4" t="s">
        <v>9285</v>
      </c>
      <c r="E6367" s="4">
        <v>0.0</v>
      </c>
      <c r="F6367" s="4" t="str">
        <f>IFERROR(__xludf.DUMMYFUNCTION("GOOGLETRANSLATE(D6367)"),"很酷的孩子問我放學後是否想出去玩，所以我驚恐發作，不得不去醫院#autismawareness")</f>
        <v>很酷的孩子問我放學後是否想出去玩，所以我驚恐發作，不得不去醫院#autismawareness</v>
      </c>
      <c r="G6367" s="4" t="str">
        <f>IFERROR(__xludf.DUMMYFUNCTION("GOOGLETRANSLATE(B6367)"),"恐慌")</f>
        <v>恐慌</v>
      </c>
    </row>
    <row r="6368" ht="15.75" customHeight="1">
      <c r="A6368" s="4">
        <v>7651.0</v>
      </c>
      <c r="B6368" s="4" t="s">
        <v>3530</v>
      </c>
      <c r="D6368" s="4" t="s">
        <v>9286</v>
      </c>
      <c r="E6368" s="4">
        <v>0.0</v>
      </c>
      <c r="F6368" s="4" t="str">
        <f>IFERROR(__xludf.DUMMYFUNCTION("GOOGLETRANSLATE(D6368)"),"喜歡傑西遭受恐慌發作時的感覺。 https://t.co/r4utnewlnA")</f>
        <v>喜歡傑西遭受恐慌發作時的感覺。 https://t.co/r4utnewlnA</v>
      </c>
      <c r="G6368" s="4" t="str">
        <f>IFERROR(__xludf.DUMMYFUNCTION("GOOGLETRANSLATE(B6368)"),"恐慌")</f>
        <v>恐慌</v>
      </c>
    </row>
    <row r="6369" ht="15.75" customHeight="1">
      <c r="A6369" s="4">
        <v>7652.0</v>
      </c>
      <c r="B6369" s="4" t="s">
        <v>3530</v>
      </c>
      <c r="C6369" s="4" t="s">
        <v>9263</v>
      </c>
      <c r="D6369" s="4" t="s">
        <v>9287</v>
      </c>
      <c r="E6369" s="4">
        <v>0.0</v>
      </c>
      <c r="F6369" s="4" t="str">
        <f>IFERROR(__xludf.DUMMYFUNCTION("GOOGLETRANSLATE(D6369)"),"@tim_micallef 你認為洋基隊什麼時候會按下恐慌按鈕？ #TroubleOnMyMind")</f>
        <v>@tim_micallef 你認為洋基隊什麼時候會按下恐慌按鈕？ #TroubleOnMyMind</v>
      </c>
      <c r="G6369" s="4" t="str">
        <f>IFERROR(__xludf.DUMMYFUNCTION("GOOGLETRANSLATE(B6369)"),"恐慌")</f>
        <v>恐慌</v>
      </c>
    </row>
    <row r="6370" ht="15.75" customHeight="1">
      <c r="A6370" s="4">
        <v>7653.0</v>
      </c>
      <c r="B6370" s="4" t="s">
        <v>3530</v>
      </c>
      <c r="C6370" s="4" t="s">
        <v>1193</v>
      </c>
      <c r="D6370" s="4" t="s">
        <v>9288</v>
      </c>
      <c r="E6370" s="4">
        <v>0.0</v>
      </c>
      <c r="F6370" s="4" t="str">
        <f>IFERROR(__xludf.DUMMYFUNCTION("GOOGLETRANSLATE(D6370)"),"@JetixRestored 這是 Teamo Supremo Pogo Panic 的第二部分！我希望你做得更好！好的！ :) https://t.co/wBLiMlMT2x 來自 @YouTube")</f>
        <v>@JetixRestored 這是 Teamo Supremo Pogo Panic 的第二部分！我希望你做得更好！好的！ :) https://t.co/wBLiMlMT2x 來自 @YouTube</v>
      </c>
      <c r="G6370" s="4" t="str">
        <f>IFERROR(__xludf.DUMMYFUNCTION("GOOGLETRANSLATE(B6370)"),"恐慌")</f>
        <v>恐慌</v>
      </c>
    </row>
    <row r="6371" ht="15.75" customHeight="1">
      <c r="A6371" s="4">
        <v>7654.0</v>
      </c>
      <c r="B6371" s="4" t="s">
        <v>3530</v>
      </c>
      <c r="C6371" s="4" t="s">
        <v>9289</v>
      </c>
      <c r="D6371" s="4" t="s">
        <v>9290</v>
      </c>
      <c r="E6371" s="4">
        <v>0.0</v>
      </c>
      <c r="F6371" s="4" t="str">
        <f>IFERROR(__xludf.DUMMYFUNCTION("GOOGLETRANSLATE(D6371)"),"現在是恐慌的時候嗎？ https://t.co/OrxDQfz0J0")</f>
        <v>現在是恐慌的時候嗎？ https://t.co/OrxDQfz0J0</v>
      </c>
      <c r="G6371" s="4" t="str">
        <f>IFERROR(__xludf.DUMMYFUNCTION("GOOGLETRANSLATE(B6371)"),"恐慌")</f>
        <v>恐慌</v>
      </c>
    </row>
    <row r="6372" ht="15.75" customHeight="1">
      <c r="A6372" s="4">
        <v>7656.0</v>
      </c>
      <c r="B6372" s="4" t="s">
        <v>3530</v>
      </c>
      <c r="C6372" s="4" t="s">
        <v>9291</v>
      </c>
      <c r="D6372" s="4" t="s">
        <v>9292</v>
      </c>
      <c r="E6372" s="4">
        <v>0.0</v>
      </c>
      <c r="F6372" s="4" t="str">
        <f>IFERROR(__xludf.DUMMYFUNCTION("GOOGLETRANSLATE(D6372)"),"飛機恐慌什麼混蛋。泡泡糖")</f>
        <v>飛機恐慌什麼混蛋。泡泡糖</v>
      </c>
      <c r="G6372" s="4" t="str">
        <f>IFERROR(__xludf.DUMMYFUNCTION("GOOGLETRANSLATE(B6372)"),"恐慌")</f>
        <v>恐慌</v>
      </c>
    </row>
    <row r="6373" ht="15.75" customHeight="1">
      <c r="A6373" s="4">
        <v>7657.0</v>
      </c>
      <c r="B6373" s="4" t="s">
        <v>3530</v>
      </c>
      <c r="C6373" s="4" t="s">
        <v>9293</v>
      </c>
      <c r="D6373" s="4" t="s">
        <v>9294</v>
      </c>
      <c r="E6373" s="4">
        <v>0.0</v>
      </c>
      <c r="F6373" s="4" t="str">
        <f>IFERROR(__xludf.DUMMYFUNCTION("GOOGLETRANSLATE(D6373)"),"“如果 A 計劃不起作用，請不要驚慌，因為還有 25 封信。”我喜歡這個，但感覺我的信可能用完了——有什麼想法嗎？")</f>
        <v>“如果 A 計劃不起作用，請不要驚慌，因為還有 25 封信。”我喜歡這個，但感覺我的信可能用完了——有什麼想法嗎？</v>
      </c>
      <c r="G6373" s="4" t="str">
        <f>IFERROR(__xludf.DUMMYFUNCTION("GOOGLETRANSLATE(B6373)"),"恐慌")</f>
        <v>恐慌</v>
      </c>
    </row>
    <row r="6374" ht="15.75" customHeight="1">
      <c r="A6374" s="4">
        <v>7659.0</v>
      </c>
      <c r="B6374" s="4" t="s">
        <v>3530</v>
      </c>
      <c r="C6374" s="4" t="s">
        <v>9295</v>
      </c>
      <c r="D6374" s="4" t="s">
        <v>9296</v>
      </c>
      <c r="E6374" s="4">
        <v>0.0</v>
      </c>
      <c r="F6374" s="4" t="str">
        <f>IFERROR(__xludf.DUMMYFUNCTION("GOOGLETRANSLATE(D6374)"),"我將影片新增至 @YouTube 播放清單 http://t.co/QsEkoeuBMd 恐慌！在迪斯科舞廳：女孩/女孩/男孩 [官方視頻]")</f>
        <v>我將影片新增至 @YouTube 播放清單 http://t.co/QsEkoeuBMd 恐慌！在迪斯科舞廳：女孩/女孩/男孩 [官方視頻]</v>
      </c>
      <c r="G6374" s="4" t="str">
        <f>IFERROR(__xludf.DUMMYFUNCTION("GOOGLETRANSLATE(B6374)"),"恐慌")</f>
        <v>恐慌</v>
      </c>
    </row>
    <row r="6375" ht="15.75" customHeight="1">
      <c r="A6375" s="4">
        <v>7661.0</v>
      </c>
      <c r="B6375" s="4" t="s">
        <v>3530</v>
      </c>
      <c r="D6375" s="4" t="s">
        <v>9297</v>
      </c>
      <c r="E6375" s="4">
        <v>0.0</v>
      </c>
      <c r="F6375" s="4" t="str">
        <f>IFERROR(__xludf.DUMMYFUNCTION("GOOGLETRANSLATE(D6375)"),"我剛剛和我的父母一起開車，這是一場即將發生的恐慌")</f>
        <v>我剛剛和我的父母一起開車，這是一場即將發生的恐慌</v>
      </c>
      <c r="G6375" s="4" t="str">
        <f>IFERROR(__xludf.DUMMYFUNCTION("GOOGLETRANSLATE(B6375)"),"恐慌")</f>
        <v>恐慌</v>
      </c>
    </row>
    <row r="6376" ht="15.75" customHeight="1">
      <c r="A6376" s="4">
        <v>7663.0</v>
      </c>
      <c r="B6376" s="4" t="s">
        <v>3530</v>
      </c>
      <c r="D6376" s="4" t="s">
        <v>9298</v>
      </c>
      <c r="E6376" s="4">
        <v>0.0</v>
      </c>
      <c r="F6376" s="4" t="str">
        <f>IFERROR(__xludf.DUMMYFUNCTION("GOOGLETRANSLATE(D6376)"),"我們只是笑著說垃圾，現在每個人都處於恐慌狀態")</f>
        <v>我們只是笑著說垃圾，現在每個人都處於恐慌狀態</v>
      </c>
      <c r="G6376" s="4" t="str">
        <f>IFERROR(__xludf.DUMMYFUNCTION("GOOGLETRANSLATE(B6376)"),"恐慌")</f>
        <v>恐慌</v>
      </c>
    </row>
    <row r="6377" ht="15.75" customHeight="1">
      <c r="A6377" s="4">
        <v>7668.0</v>
      </c>
      <c r="B6377" s="4" t="s">
        <v>3530</v>
      </c>
      <c r="C6377" s="4" t="s">
        <v>9299</v>
      </c>
      <c r="D6377" s="4" t="s">
        <v>9300</v>
      </c>
      <c r="E6377" s="4">
        <v>0.0</v>
      </c>
      <c r="F6377" s="4" t="str">
        <f>IFERROR(__xludf.DUMMYFUNCTION("GOOGLETRANSLATE(D6377)"),"好消息是#Royals 在季後賽中不會遇到新人。沒有真正的理由恐慌。")</f>
        <v>好消息是#Royals 在季後賽中不會遇到新人。沒有真正的理由恐慌。</v>
      </c>
      <c r="G6377" s="4" t="str">
        <f>IFERROR(__xludf.DUMMYFUNCTION("GOOGLETRANSLATE(B6377)"),"恐慌")</f>
        <v>恐慌</v>
      </c>
    </row>
    <row r="6378" ht="15.75" customHeight="1">
      <c r="A6378" s="4">
        <v>7669.0</v>
      </c>
      <c r="B6378" s="4" t="s">
        <v>3530</v>
      </c>
      <c r="C6378" s="4" t="s">
        <v>438</v>
      </c>
      <c r="D6378" s="4" t="s">
        <v>9301</v>
      </c>
      <c r="E6378" s="4">
        <v>0.0</v>
      </c>
      <c r="F6378" s="4" t="str">
        <f>IFERROR(__xludf.DUMMYFUNCTION("GOOGLETRANSLATE(D6378)"),"儘管存在嚴重的焦慮和壓倒性的恐慌，但我想說我的適應能力相當好。")</f>
        <v>儘管存在嚴重的焦慮和壓倒性的恐慌，但我想說我的適應能力相當好。</v>
      </c>
      <c r="G6378" s="4" t="str">
        <f>IFERROR(__xludf.DUMMYFUNCTION("GOOGLETRANSLATE(B6378)"),"恐慌")</f>
        <v>恐慌</v>
      </c>
    </row>
    <row r="6379" ht="15.75" customHeight="1">
      <c r="A6379" s="4">
        <v>7671.0</v>
      </c>
      <c r="B6379" s="4" t="s">
        <v>3530</v>
      </c>
      <c r="C6379" s="4" t="s">
        <v>9295</v>
      </c>
      <c r="D6379" s="4" t="s">
        <v>9302</v>
      </c>
      <c r="E6379" s="4">
        <v>0.0</v>
      </c>
      <c r="F6379" s="4" t="str">
        <f>IFERROR(__xludf.DUMMYFUNCTION("GOOGLETRANSLATE(D6379)"),"我將影片新增至 @YouTube 播放清單 http://t.co/4914nJpIO3 恐慌！在迪斯科舞廳：傑克遜小姐 ft. LOLO [官方視頻]")</f>
        <v>我將影片新增至 @YouTube 播放清單 http://t.co/4914nJpIO3 恐慌！在迪斯科舞廳：傑克遜小姐 ft. LOLO [官方視頻]</v>
      </c>
      <c r="G6379" s="4" t="str">
        <f>IFERROR(__xludf.DUMMYFUNCTION("GOOGLETRANSLATE(B6379)"),"恐慌")</f>
        <v>恐慌</v>
      </c>
    </row>
    <row r="6380" ht="15.75" customHeight="1">
      <c r="A6380" s="4">
        <v>7672.0</v>
      </c>
      <c r="B6380" s="4" t="s">
        <v>3530</v>
      </c>
      <c r="C6380" s="4" t="s">
        <v>9303</v>
      </c>
      <c r="D6380" s="4" t="s">
        <v>9304</v>
      </c>
      <c r="E6380" s="4">
        <v>0.0</v>
      </c>
      <c r="F6380" s="4" t="str">
        <f>IFERROR(__xludf.DUMMYFUNCTION("GOOGLETRANSLATE(D6380)"),"每當我感到身體出現新的疼痛或緊張時，我都會感到恐慌，因為我的職業生涯需要它？")</f>
        <v>每當我感到身體出現新的疼痛或緊張時，我都會感到恐慌，因為我的職業生涯需要它？</v>
      </c>
      <c r="G6380" s="4" t="str">
        <f>IFERROR(__xludf.DUMMYFUNCTION("GOOGLETRANSLATE(B6380)"),"恐慌")</f>
        <v>恐慌</v>
      </c>
    </row>
    <row r="6381" ht="15.75" customHeight="1">
      <c r="A6381" s="4">
        <v>7674.0</v>
      </c>
      <c r="B6381" s="4" t="s">
        <v>3530</v>
      </c>
      <c r="C6381" s="4" t="s">
        <v>9305</v>
      </c>
      <c r="D6381" s="4" t="s">
        <v>9306</v>
      </c>
      <c r="E6381" s="4">
        <v>0.0</v>
      </c>
      <c r="F6381" s="4" t="str">
        <f>IFERROR(__xludf.DUMMYFUNCTION("GOOGLETRANSLATE(D6381)"),"恐慌!在迪斯可是最好的歌曲，這是福音（原聲）http://t.co/VCq2icptKI")</f>
        <v>恐慌!在迪斯可是最好的歌曲，這是福音（原聲）http://t.co/VCq2icptKI</v>
      </c>
      <c r="G6381" s="4" t="str">
        <f>IFERROR(__xludf.DUMMYFUNCTION("GOOGLETRANSLATE(B6381)"),"恐慌")</f>
        <v>恐慌</v>
      </c>
    </row>
    <row r="6382" ht="15.75" customHeight="1">
      <c r="A6382" s="4">
        <v>7675.0</v>
      </c>
      <c r="B6382" s="4" t="s">
        <v>3530</v>
      </c>
      <c r="C6382" s="4" t="s">
        <v>9307</v>
      </c>
      <c r="D6382" s="4" t="s">
        <v>9308</v>
      </c>
      <c r="E6382" s="4">
        <v>0.0</v>
      </c>
      <c r="F6382" s="4" t="str">
        <f>IFERROR(__xludf.DUMMYFUNCTION("GOOGLETRANSLATE(D6382)"),"丟失公車卡。
恐慌.
善良的公車司機。
更換公車卡。
找到公車卡。
總台。")</f>
        <v>丟失公車卡。
恐慌.
善良的公車司機。
更換公車卡。
找到公車卡。
總台。</v>
      </c>
      <c r="G6382" s="4" t="str">
        <f>IFERROR(__xludf.DUMMYFUNCTION("GOOGLETRANSLATE(B6382)"),"恐慌")</f>
        <v>恐慌</v>
      </c>
    </row>
    <row r="6383" ht="15.75" customHeight="1">
      <c r="A6383" s="4">
        <v>7677.0</v>
      </c>
      <c r="B6383" s="4" t="s">
        <v>3530</v>
      </c>
      <c r="C6383" s="4" t="s">
        <v>9309</v>
      </c>
      <c r="D6383" s="4" t="s">
        <v>9310</v>
      </c>
      <c r="E6383" s="4">
        <v>0.0</v>
      </c>
      <c r="F6383" s="4" t="str">
        <f>IFERROR(__xludf.DUMMYFUNCTION("GOOGLETRANSLATE(D6383)"),"Savs 的聯繫中斷了，但她確信並沒有中斷。然後把她的眼球挖出來&amp;amp;現在她對造成的傷害感到恐慌")</f>
        <v>Savs 的聯繫中斷了，但她確信並沒有中斷。然後把她的眼球挖出來&amp;amp;現在她對造成的傷害感到恐慌</v>
      </c>
      <c r="G6383" s="4" t="str">
        <f>IFERROR(__xludf.DUMMYFUNCTION("GOOGLETRANSLATE(B6383)"),"恐慌")</f>
        <v>恐慌</v>
      </c>
    </row>
    <row r="6384" ht="15.75" customHeight="1">
      <c r="A6384" s="4">
        <v>7678.0</v>
      </c>
      <c r="B6384" s="4" t="s">
        <v>3530</v>
      </c>
      <c r="C6384" s="4" t="s">
        <v>9311</v>
      </c>
      <c r="D6384" s="4" t="s">
        <v>9312</v>
      </c>
      <c r="E6384" s="4">
        <v>0.0</v>
      </c>
      <c r="F6384" s="4" t="str">
        <f>IFERROR(__xludf.DUMMYFUNCTION("GOOGLETRANSLATE(D6384)"),"@james_justus *歸還她*
放鬆。你知道我總是把她還給你，所以不用驚慌。我剛剛給了她一些玉米片。 ：P")</f>
        <v>@james_justus *歸還她*
放鬆。你知道我總是把她還給你，所以不用驚慌。我剛剛給了她一些玉米片。 ：P</v>
      </c>
      <c r="G6384" s="4" t="str">
        <f>IFERROR(__xludf.DUMMYFUNCTION("GOOGLETRANSLATE(B6384)"),"恐慌")</f>
        <v>恐慌</v>
      </c>
    </row>
    <row r="6385" ht="15.75" customHeight="1">
      <c r="A6385" s="4">
        <v>7679.0</v>
      </c>
      <c r="B6385" s="4" t="s">
        <v>3530</v>
      </c>
      <c r="C6385" s="4" t="s">
        <v>9313</v>
      </c>
      <c r="D6385" s="4" t="s">
        <v>9314</v>
      </c>
      <c r="E6385" s="4">
        <v>0.0</v>
      </c>
      <c r="F6385" s="4" t="str">
        <f>IFERROR(__xludf.DUMMYFUNCTION("GOOGLETRANSLATE(D6385)"),"@montetjwitter11 @nolesfan05 @NutsAndBoltsSP 我說的是擔憂，但不是恐慌。剩下的遊戲太多了。還有一些比賽是互相對抗的。")</f>
        <v>@montetjwitter11 @nolesfan05 @NutsAndBoltsSP 我說的是擔憂，但不是恐慌。剩下的遊戲太多了。還有一些比賽是互相對抗的。</v>
      </c>
      <c r="G6385" s="4" t="str">
        <f>IFERROR(__xludf.DUMMYFUNCTION("GOOGLETRANSLATE(B6385)"),"恐慌")</f>
        <v>恐慌</v>
      </c>
    </row>
    <row r="6386" ht="15.75" customHeight="1">
      <c r="A6386" s="4">
        <v>7680.0</v>
      </c>
      <c r="B6386" s="4" t="s">
        <v>3530</v>
      </c>
      <c r="D6386" s="4" t="s">
        <v>9315</v>
      </c>
      <c r="E6386" s="4">
        <v>0.0</v>
      </c>
      <c r="F6386" s="4" t="str">
        <f>IFERROR(__xludf.DUMMYFUNCTION("GOOGLETRANSLATE(D6386)"),"@panic 太棒了，謝謝。")</f>
        <v>@panic 太棒了，謝謝。</v>
      </c>
      <c r="G6386" s="4" t="str">
        <f>IFERROR(__xludf.DUMMYFUNCTION("GOOGLETRANSLATE(B6386)"),"恐慌")</f>
        <v>恐慌</v>
      </c>
    </row>
    <row r="6387" ht="15.75" customHeight="1">
      <c r="A6387" s="4">
        <v>7681.0</v>
      </c>
      <c r="B6387" s="4" t="s">
        <v>3530</v>
      </c>
      <c r="C6387" s="4" t="s">
        <v>2881</v>
      </c>
      <c r="D6387" s="4" t="s">
        <v>9316</v>
      </c>
      <c r="E6387" s="4">
        <v>0.0</v>
      </c>
      <c r="F6387" s="4" t="str">
        <f>IFERROR(__xludf.DUMMYFUNCTION("GOOGLETRANSLATE(D6387)"),"@montetjwitter11 @Mets @audreyp77 @teena_797 @darryl_brooks @EliteSportsNY @LopezandtheLion #NatsNation 沒有恐慌，但肯定會擔心")</f>
        <v>@montetjwitter11 @Mets @audreyp77 @teena_797 @darryl_brooks @EliteSportsNY @LopezandtheLion #NatsNation 沒有恐慌，但肯定會擔心</v>
      </c>
      <c r="G6387" s="4" t="str">
        <f>IFERROR(__xludf.DUMMYFUNCTION("GOOGLETRANSLATE(B6387)"),"恐慌")</f>
        <v>恐慌</v>
      </c>
    </row>
    <row r="6388" ht="15.75" customHeight="1">
      <c r="A6388" s="4">
        <v>7683.0</v>
      </c>
      <c r="B6388" s="4" t="s">
        <v>3530</v>
      </c>
      <c r="C6388" s="4" t="s">
        <v>9317</v>
      </c>
      <c r="D6388" s="4" t="s">
        <v>9318</v>
      </c>
      <c r="E6388" s="4">
        <v>0.0</v>
      </c>
      <c r="F6388" s="4" t="str">
        <f>IFERROR(__xludf.DUMMYFUNCTION("GOOGLETRANSLATE(D6388)"),"@biggangVH1 看起來喬治驚恐發作了。哈哈。")</f>
        <v>@biggangVH1 看起來喬治驚恐發作了。哈哈。</v>
      </c>
      <c r="G6388" s="4" t="str">
        <f>IFERROR(__xludf.DUMMYFUNCTION("GOOGLETRANSLATE(B6388)"),"恐慌")</f>
        <v>恐慌</v>
      </c>
    </row>
    <row r="6389" ht="15.75" customHeight="1">
      <c r="A6389" s="4">
        <v>7685.0</v>
      </c>
      <c r="B6389" s="4" t="s">
        <v>3530</v>
      </c>
      <c r="D6389" s="4" t="s">
        <v>9319</v>
      </c>
      <c r="E6389" s="4">
        <v>0.0</v>
      </c>
      <c r="F6389" s="4" t="str">
        <f>IFERROR(__xludf.DUMMYFUNCTION("GOOGLETRANSLATE(D6389)"),"#dream #magic #linden 方法精簡版 - #1 焦慮恐慌治療計畫：http://t.co/073izwX0lB THE LIND http://t.co/OkmLAGvkjv")</f>
        <v>#dream #magic #linden 方法精簡版 - #1 焦慮恐慌治療計畫：http://t.co/073izwX0lB THE LIND http://t.co/OkmLAGvkjv</v>
      </c>
      <c r="G6389" s="4" t="str">
        <f>IFERROR(__xludf.DUMMYFUNCTION("GOOGLETRANSLATE(B6389)"),"恐慌")</f>
        <v>恐慌</v>
      </c>
    </row>
    <row r="6390" ht="15.75" customHeight="1">
      <c r="A6390" s="4">
        <v>7686.0</v>
      </c>
      <c r="B6390" s="4" t="s">
        <v>3530</v>
      </c>
      <c r="C6390" s="4" t="s">
        <v>9320</v>
      </c>
      <c r="D6390" s="4" t="s">
        <v>9321</v>
      </c>
      <c r="E6390" s="4">
        <v>0.0</v>
      </c>
      <c r="F6390" s="4" t="str">
        <f>IFERROR(__xludf.DUMMYFUNCTION("GOOGLETRANSLATE(D6390)"),"有人問我關於一個大約 2 英尺長的猴子拳頭，它會發出恐慌的聲音，就像照片中用作... http://t.co/Yi9BBbx3FE")</f>
        <v>有人問我關於一個大約 2 英尺長的猴子拳頭，它會發出恐慌的聲音，就像照片中用作... http://t.co/Yi9BBbx3FE</v>
      </c>
      <c r="G6390" s="4" t="str">
        <f>IFERROR(__xludf.DUMMYFUNCTION("GOOGLETRANSLATE(B6390)"),"恐慌")</f>
        <v>恐慌</v>
      </c>
    </row>
    <row r="6391" ht="15.75" customHeight="1">
      <c r="A6391" s="4">
        <v>7688.0</v>
      </c>
      <c r="B6391" s="4" t="s">
        <v>3530</v>
      </c>
      <c r="C6391" s="4" t="s">
        <v>4343</v>
      </c>
      <c r="D6391" s="4" t="s">
        <v>9322</v>
      </c>
      <c r="E6391" s="4">
        <v>0.0</v>
      </c>
      <c r="F6391" s="4" t="str">
        <f>IFERROR(__xludf.DUMMYFUNCTION("GOOGLETRANSLATE(D6391)"),"浪漫戲劇但從不恐慌原創老師在閣樓寫韻")</f>
        <v>浪漫戲劇但從不恐慌原創老師在閣樓寫韻</v>
      </c>
      <c r="G6391" s="4" t="str">
        <f>IFERROR(__xludf.DUMMYFUNCTION("GOOGLETRANSLATE(B6391)"),"恐慌")</f>
        <v>恐慌</v>
      </c>
    </row>
    <row r="6392" ht="15.75" customHeight="1">
      <c r="A6392" s="4">
        <v>7689.0</v>
      </c>
      <c r="B6392" s="4" t="s">
        <v>3530</v>
      </c>
      <c r="C6392" s="4" t="s">
        <v>9295</v>
      </c>
      <c r="D6392" s="4" t="s">
        <v>9323</v>
      </c>
      <c r="E6392" s="4">
        <v>0.0</v>
      </c>
      <c r="F6392" s="4" t="str">
        <f>IFERROR(__xludf.DUMMYFUNCTION("GOOGLETRANSLATE(D6392)"),"我將影片新增至 @YouTube 播放清單 http://t.co/vxeGCmMVBV 恐慌！在迪斯可：衣領飽滿（音訊）")</f>
        <v>我將影片新增至 @YouTube 播放清單 http://t.co/vxeGCmMVBV 恐慌！在迪斯可：衣領飽滿（音訊）</v>
      </c>
      <c r="G6392" s="4" t="str">
        <f>IFERROR(__xludf.DUMMYFUNCTION("GOOGLETRANSLATE(B6392)"),"恐慌")</f>
        <v>恐慌</v>
      </c>
    </row>
    <row r="6393" ht="15.75" customHeight="1">
      <c r="A6393" s="4">
        <v>7691.0</v>
      </c>
      <c r="B6393" s="4" t="s">
        <v>3530</v>
      </c>
      <c r="D6393" s="4" t="s">
        <v>9324</v>
      </c>
      <c r="E6393" s="4">
        <v>0.0</v>
      </c>
      <c r="F6393" s="4" t="str">
        <f>IFERROR(__xludf.DUMMYFUNCTION("GOOGLETRANSLATE(D6393)"),"剛剛驚恐發作，因為我沒有足夠的錢購買今年我想買的所有毒品和酒精，更不用說我的秋季賬單了")</f>
        <v>剛剛驚恐發作，因為我沒有足夠的錢購買今年我想買的所有毒品和酒精，更不用說我的秋季賬單了</v>
      </c>
      <c r="G6393" s="4" t="str">
        <f>IFERROR(__xludf.DUMMYFUNCTION("GOOGLETRANSLATE(B6393)"),"恐慌")</f>
        <v>恐慌</v>
      </c>
    </row>
    <row r="6394" ht="15.75" customHeight="1">
      <c r="A6394" s="4">
        <v>7692.0</v>
      </c>
      <c r="B6394" s="4" t="s">
        <v>3530</v>
      </c>
      <c r="D6394" s="4" t="s">
        <v>9325</v>
      </c>
      <c r="E6394" s="4">
        <v>0.0</v>
      </c>
      <c r="F6394" s="4" t="str">
        <f>IFERROR(__xludf.DUMMYFUNCTION("GOOGLETRANSLATE(D6394)"),"我今天上學了，我已經驚恐發作了。謝謝你高中的吸吮！")</f>
        <v>我今天上學了，我已經驚恐發作了。謝謝你高中的吸吮！</v>
      </c>
      <c r="G6394" s="4" t="str">
        <f>IFERROR(__xludf.DUMMYFUNCTION("GOOGLETRANSLATE(B6394)"),"恐慌")</f>
        <v>恐慌</v>
      </c>
    </row>
    <row r="6395" ht="15.75" customHeight="1">
      <c r="A6395" s="4">
        <v>7693.0</v>
      </c>
      <c r="B6395" s="4" t="s">
        <v>3530</v>
      </c>
      <c r="D6395" s="4" t="s">
        <v>9326</v>
      </c>
      <c r="E6395" s="4">
        <v>0.0</v>
      </c>
      <c r="F6395" s="4" t="str">
        <f>IFERROR(__xludf.DUMMYFUNCTION("GOOGLETRANSLATE(D6395)"),"驚恐發作是最嚴重的？？？")</f>
        <v>驚恐發作是最嚴重的？？？</v>
      </c>
      <c r="G6395" s="4" t="str">
        <f>IFERROR(__xludf.DUMMYFUNCTION("GOOGLETRANSLATE(B6395)"),"恐慌")</f>
        <v>恐慌</v>
      </c>
    </row>
    <row r="6396" ht="15.75" customHeight="1">
      <c r="A6396" s="4">
        <v>7694.0</v>
      </c>
      <c r="B6396" s="4" t="s">
        <v>3530</v>
      </c>
      <c r="C6396" s="4" t="s">
        <v>9327</v>
      </c>
      <c r="D6396" s="4" t="s">
        <v>9328</v>
      </c>
      <c r="E6396" s="4">
        <v>0.0</v>
      </c>
      <c r="F6396" s="4" t="str">
        <f>IFERROR(__xludf.DUMMYFUNCTION("GOOGLETRANSLATE(D6396)"),"迪斯可的恐慌")</f>
        <v>迪斯可的恐慌</v>
      </c>
      <c r="G6396" s="4" t="str">
        <f>IFERROR(__xludf.DUMMYFUNCTION("GOOGLETRANSLATE(B6396)"),"恐慌")</f>
        <v>恐慌</v>
      </c>
    </row>
    <row r="6397" ht="15.75" customHeight="1">
      <c r="A6397" s="4">
        <v>7695.0</v>
      </c>
      <c r="B6397" s="4" t="s">
        <v>3536</v>
      </c>
      <c r="C6397" s="4" t="s">
        <v>9329</v>
      </c>
      <c r="D6397" s="4" t="s">
        <v>9330</v>
      </c>
      <c r="E6397" s="4">
        <v>0.0</v>
      </c>
      <c r="F6397" s="4" t="str">
        <f>IFERROR(__xludf.DUMMYFUNCTION("GOOGLETRANSLATE(D6397)"),"市場下跌 1%，令交易者驚慌失措。有些人認為這是積極的投降。這是個笑話。未來可能會變得醜陋")</f>
        <v>市場下跌 1%，令交易者驚慌失措。有些人認為這是積極的投降。這是個笑話。未來可能會變得醜陋</v>
      </c>
      <c r="G6397" s="4" t="str">
        <f>IFERROR(__xludf.DUMMYFUNCTION("GOOGLETRANSLATE(B6397)"),"驚慌失措")</f>
        <v>驚慌失措</v>
      </c>
    </row>
    <row r="6398" ht="15.75" customHeight="1">
      <c r="A6398" s="4">
        <v>7696.0</v>
      </c>
      <c r="B6398" s="4" t="s">
        <v>3536</v>
      </c>
      <c r="C6398" s="4" t="s">
        <v>9331</v>
      </c>
      <c r="D6398" s="4" t="s">
        <v>9332</v>
      </c>
      <c r="E6398" s="4">
        <v>0.0</v>
      </c>
      <c r="F6398" s="4" t="str">
        <f>IFERROR(__xludf.DUMMYFUNCTION("GOOGLETRANSLATE(D6398)"),"@QuotesTTG 當你到達赫利俄斯時不要驚慌。 ;)")</f>
        <v>@QuotesTTG 當你到達赫利俄斯時不要驚慌。 ;)</v>
      </c>
      <c r="G6398" s="4" t="str">
        <f>IFERROR(__xludf.DUMMYFUNCTION("GOOGLETRANSLATE(B6398)"),"驚慌失措")</f>
        <v>驚慌失措</v>
      </c>
    </row>
    <row r="6399" ht="15.75" customHeight="1">
      <c r="A6399" s="4">
        <v>7699.0</v>
      </c>
      <c r="B6399" s="4" t="s">
        <v>3536</v>
      </c>
      <c r="C6399" s="4" t="s">
        <v>9333</v>
      </c>
      <c r="D6399" s="4" t="s">
        <v>9334</v>
      </c>
      <c r="E6399" s="4">
        <v>0.0</v>
      </c>
      <c r="F6399" s="4" t="str">
        <f>IFERROR(__xludf.DUMMYFUNCTION("GOOGLETRANSLATE(D6399)"),"好吧，我找不到它，所以我有點恐慌")</f>
        <v>好吧，我找不到它，所以我有點恐慌</v>
      </c>
      <c r="G6399" s="4" t="str">
        <f>IFERROR(__xludf.DUMMYFUNCTION("GOOGLETRANSLATE(B6399)"),"驚慌失措")</f>
        <v>驚慌失措</v>
      </c>
    </row>
    <row r="6400" ht="15.75" customHeight="1">
      <c r="A6400" s="4">
        <v>7701.0</v>
      </c>
      <c r="B6400" s="4" t="s">
        <v>3536</v>
      </c>
      <c r="D6400" s="4" t="s">
        <v>9335</v>
      </c>
      <c r="E6400" s="4">
        <v>0.0</v>
      </c>
      <c r="F6400" s="4" t="str">
        <f>IFERROR(__xludf.DUMMYFUNCTION("GOOGLETRANSLATE(D6400)"),"新貼文：「人們終於對有線電視感到恐慌」http://t.co/pkfV8lkSlD")</f>
        <v>新貼文：「人們終於對有線電視感到恐慌」http://t.co/pkfV8lkSlD</v>
      </c>
      <c r="G6400" s="4" t="str">
        <f>IFERROR(__xludf.DUMMYFUNCTION("GOOGLETRANSLATE(B6400)"),"驚慌失措")</f>
        <v>驚慌失措</v>
      </c>
    </row>
    <row r="6401" ht="15.75" customHeight="1">
      <c r="A6401" s="4">
        <v>7702.0</v>
      </c>
      <c r="B6401" s="4" t="s">
        <v>3536</v>
      </c>
      <c r="C6401" s="4" t="s">
        <v>4215</v>
      </c>
      <c r="D6401" s="4" t="s">
        <v>9336</v>
      </c>
      <c r="E6401" s="4">
        <v>0.0</v>
      </c>
      <c r="F6401" s="4" t="str">
        <f>IFERROR(__xludf.DUMMYFUNCTION("GOOGLETRANSLATE(D6401)"),"我聽到咕噥聲 我聽到咯咯笑聲 我嚇得他們驚慌失措")</f>
        <v>我聽到咕噥聲 我聽到咯咯笑聲 我嚇得他們驚慌失措</v>
      </c>
      <c r="G6401" s="4" t="str">
        <f>IFERROR(__xludf.DUMMYFUNCTION("GOOGLETRANSLATE(B6401)"),"驚慌失措")</f>
        <v>驚慌失措</v>
      </c>
    </row>
    <row r="6402" ht="15.75" customHeight="1">
      <c r="A6402" s="4">
        <v>7703.0</v>
      </c>
      <c r="B6402" s="4" t="s">
        <v>3536</v>
      </c>
      <c r="C6402" s="4" t="s">
        <v>625</v>
      </c>
      <c r="D6402" s="4" t="s">
        <v>9337</v>
      </c>
      <c r="E6402" s="4">
        <v>0.0</v>
      </c>
      <c r="F6402" s="4" t="str">
        <f>IFERROR(__xludf.DUMMYFUNCTION("GOOGLETRANSLATE(D6402)"),"你讓我的心情從糟糕的 af 變成了驚慌的 af istg")</f>
        <v>你讓我的心情從糟糕的 af 變成了驚慌的 af istg</v>
      </c>
      <c r="G6402" s="4" t="str">
        <f>IFERROR(__xludf.DUMMYFUNCTION("GOOGLETRANSLATE(B6402)"),"驚慌失措")</f>
        <v>驚慌失措</v>
      </c>
    </row>
    <row r="6403" ht="15.75" customHeight="1">
      <c r="A6403" s="4">
        <v>7707.0</v>
      </c>
      <c r="B6403" s="4" t="s">
        <v>3536</v>
      </c>
      <c r="C6403" s="4" t="s">
        <v>9338</v>
      </c>
      <c r="D6403" s="4" t="s">
        <v>9339</v>
      </c>
      <c r="E6403" s="4">
        <v>0.0</v>
      </c>
      <c r="F6403" s="4" t="str">
        <f>IFERROR(__xludf.DUMMYFUNCTION("GOOGLETRANSLATE(D6403)"),"好吧，我現在很恐慌")</f>
        <v>好吧，我現在很恐慌</v>
      </c>
      <c r="G6403" s="4" t="str">
        <f>IFERROR(__xludf.DUMMYFUNCTION("GOOGLETRANSLATE(B6403)"),"驚慌失措")</f>
        <v>驚慌失措</v>
      </c>
    </row>
    <row r="6404" ht="15.75" customHeight="1">
      <c r="A6404" s="4">
        <v>7711.0</v>
      </c>
      <c r="B6404" s="4" t="s">
        <v>3536</v>
      </c>
      <c r="C6404" s="4" t="s">
        <v>9340</v>
      </c>
      <c r="D6404" s="4" t="s">
        <v>9341</v>
      </c>
      <c r="E6404" s="4">
        <v>0.0</v>
      </c>
      <c r="F6404" s="4" t="str">
        <f>IFERROR(__xludf.DUMMYFUNCTION("GOOGLETRANSLATE(D6404)"),"idm 如果你燒掉整個哥譚市，我會在大家驚慌失措時嘲笑他們。")</f>
        <v>idm 如果你燒掉整個哥譚市，我會在大家驚慌失措時嘲笑他們。</v>
      </c>
      <c r="G6404" s="4" t="str">
        <f>IFERROR(__xludf.DUMMYFUNCTION("GOOGLETRANSLATE(B6404)"),"驚慌失措")</f>
        <v>驚慌失措</v>
      </c>
    </row>
    <row r="6405" ht="15.75" customHeight="1">
      <c r="A6405" s="4">
        <v>7712.0</v>
      </c>
      <c r="B6405" s="4" t="s">
        <v>3536</v>
      </c>
      <c r="C6405" s="4" t="s">
        <v>9342</v>
      </c>
      <c r="D6405" s="4" t="s">
        <v>9343</v>
      </c>
      <c r="E6405" s="4">
        <v>0.0</v>
      </c>
      <c r="F6405" s="4" t="str">
        <f>IFERROR(__xludf.DUMMYFUNCTION("GOOGLETRANSLATE(D6405)"),"你當然是@Ian_Bartlett！很高興看到你們所有#HS2 astroturfers 因跨黨派支持崩潰的想法而驚慌失措。")</f>
        <v>你當然是@Ian_Bartlett！很高興看到你們所有#HS2 astroturfers 因跨黨派支持崩潰的想法而驚慌失措。</v>
      </c>
      <c r="G6405" s="4" t="str">
        <f>IFERROR(__xludf.DUMMYFUNCTION("GOOGLETRANSLATE(B6405)"),"驚慌失措")</f>
        <v>驚慌失措</v>
      </c>
    </row>
    <row r="6406" ht="15.75" customHeight="1">
      <c r="A6406" s="4">
        <v>7714.0</v>
      </c>
      <c r="B6406" s="4" t="s">
        <v>3536</v>
      </c>
      <c r="D6406" s="4" t="s">
        <v>9344</v>
      </c>
      <c r="E6406" s="4">
        <v>0.0</v>
      </c>
      <c r="F6406" s="4" t="str">
        <f>IFERROR(__xludf.DUMMYFUNCTION("GOOGLETRANSLATE(D6406)"),"新貼文：「人們終於對有線電視感到恐慌」http://t.co/df9FjonVeP")</f>
        <v>新貼文：「人們終於對有線電視感到恐慌」http://t.co/df9FjonVeP</v>
      </c>
      <c r="G6406" s="4" t="str">
        <f>IFERROR(__xludf.DUMMYFUNCTION("GOOGLETRANSLATE(B6406)"),"驚慌失措")</f>
        <v>驚慌失措</v>
      </c>
    </row>
    <row r="6407" ht="15.75" customHeight="1">
      <c r="A6407" s="4">
        <v>7715.0</v>
      </c>
      <c r="B6407" s="4" t="s">
        <v>3536</v>
      </c>
      <c r="C6407" s="4" t="s">
        <v>9345</v>
      </c>
      <c r="D6407" s="4" t="s">
        <v>9346</v>
      </c>
      <c r="E6407" s="4">
        <v>0.0</v>
      </c>
      <c r="F6407" s="4" t="str">
        <f>IFERROR(__xludf.DUMMYFUNCTION("GOOGLETRANSLATE(D6407)"),"現在是 11:30，我已經驚慌失措並哭泣，因為我壓力太大了 NICE")</f>
        <v>現在是 11:30，我已經驚慌失措並哭泣，因為我壓力太大了 NICE</v>
      </c>
      <c r="G6407" s="4" t="str">
        <f>IFERROR(__xludf.DUMMYFUNCTION("GOOGLETRANSLATE(B6407)"),"驚慌失措")</f>
        <v>驚慌失措</v>
      </c>
    </row>
    <row r="6408" ht="15.75" customHeight="1">
      <c r="A6408" s="4">
        <v>7717.0</v>
      </c>
      <c r="B6408" s="4" t="s">
        <v>3536</v>
      </c>
      <c r="D6408" s="4" t="s">
        <v>9347</v>
      </c>
      <c r="E6408" s="4">
        <v>0.0</v>
      </c>
      <c r="F6408" s="4" t="str">
        <f>IFERROR(__xludf.DUMMYFUNCTION("GOOGLETRANSLATE(D6408)"),"人們終於對有線電視感到恐慌 http://t.co/BBjLs1fsaD")</f>
        <v>人們終於對有線電視感到恐慌 http://t.co/BBjLs1fsaD</v>
      </c>
      <c r="G6408" s="4" t="str">
        <f>IFERROR(__xludf.DUMMYFUNCTION("GOOGLETRANSLATE(B6408)"),"驚慌失措")</f>
        <v>驚慌失措</v>
      </c>
    </row>
    <row r="6409" ht="15.75" customHeight="1">
      <c r="A6409" s="4">
        <v>7718.0</v>
      </c>
      <c r="B6409" s="4" t="s">
        <v>3536</v>
      </c>
      <c r="C6409" s="4" t="s">
        <v>9348</v>
      </c>
      <c r="D6409" s="4" t="s">
        <v>9349</v>
      </c>
      <c r="E6409" s="4">
        <v>0.0</v>
      </c>
      <c r="F6409" s="4" t="str">
        <f>IFERROR(__xludf.DUMMYFUNCTION("GOOGLETRANSLATE(D6409)"),"@Adumbbb 哦，那還不錯哈哈。我本來會很恐慌的。")</f>
        <v>@Adumbbb 哦，那還不錯哈哈。我本來會很恐慌的。</v>
      </c>
      <c r="G6409" s="4" t="str">
        <f>IFERROR(__xludf.DUMMYFUNCTION("GOOGLETRANSLATE(B6409)"),"驚慌失措")</f>
        <v>驚慌失措</v>
      </c>
    </row>
    <row r="6410" ht="15.75" customHeight="1">
      <c r="A6410" s="4">
        <v>7719.0</v>
      </c>
      <c r="B6410" s="4" t="s">
        <v>3536</v>
      </c>
      <c r="D6410" s="4" t="s">
        <v>9350</v>
      </c>
      <c r="E6410" s="4">
        <v>0.0</v>
      </c>
      <c r="F6410" s="4" t="str">
        <f>IFERROR(__xludf.DUMMYFUNCTION("GOOGLETRANSLATE(D6410)"),"@beauscoven 不，他很恐慌。他剛發現他的兄弟和他現在的妻子黛比住院了，他壓力很大")</f>
        <v>@beauscoven 不，他很恐慌。他剛發現他的兄弟和他現在的妻子黛比住院了，他壓力很大</v>
      </c>
      <c r="G6410" s="4" t="str">
        <f>IFERROR(__xludf.DUMMYFUNCTION("GOOGLETRANSLATE(B6410)"),"驚慌失措")</f>
        <v>驚慌失措</v>
      </c>
    </row>
    <row r="6411" ht="15.75" customHeight="1">
      <c r="A6411" s="4">
        <v>7720.0</v>
      </c>
      <c r="B6411" s="4" t="s">
        <v>3536</v>
      </c>
      <c r="C6411" s="4" t="s">
        <v>2519</v>
      </c>
      <c r="D6411" s="4" t="s">
        <v>9351</v>
      </c>
      <c r="E6411" s="4">
        <v>0.0</v>
      </c>
      <c r="F6411" s="4" t="str">
        <f>IFERROR(__xludf.DUMMYFUNCTION("GOOGLETRANSLATE(D6411)"),"驚慌失措，因為也許我的朋友把我留在了中國酒吧，或者可能在廁所裡待了 20 分鐘")</f>
        <v>驚慌失措，因為也許我的朋友把我留在了中國酒吧，或者可能在廁所裡待了 20 分鐘</v>
      </c>
      <c r="G6411" s="4" t="str">
        <f>IFERROR(__xludf.DUMMYFUNCTION("GOOGLETRANSLATE(B6411)"),"驚慌失措")</f>
        <v>驚慌失措</v>
      </c>
    </row>
    <row r="6412" ht="15.75" customHeight="1">
      <c r="A6412" s="4">
        <v>7721.0</v>
      </c>
      <c r="B6412" s="4" t="s">
        <v>3536</v>
      </c>
      <c r="C6412" s="4" t="s">
        <v>89</v>
      </c>
      <c r="D6412" s="4" t="s">
        <v>9352</v>
      </c>
      <c r="E6412" s="4">
        <v>0.0</v>
      </c>
      <c r="F6412" s="4" t="str">
        <f>IFERROR(__xludf.DUMMYFUNCTION("GOOGLETRANSLATE(D6412)"),"@ushioomics 我可能有點驚慌，因為我提交表格的速度不像平常那​​麼快")</f>
        <v>@ushioomics 我可能有點驚慌，因為我提交表格的速度不像平常那​​麼快</v>
      </c>
      <c r="G6412" s="4" t="str">
        <f>IFERROR(__xludf.DUMMYFUNCTION("GOOGLETRANSLATE(B6412)"),"驚慌失措")</f>
        <v>驚慌失措</v>
      </c>
    </row>
    <row r="6413" ht="15.75" customHeight="1">
      <c r="A6413" s="4">
        <v>7723.0</v>
      </c>
      <c r="B6413" s="4" t="s">
        <v>3536</v>
      </c>
      <c r="C6413" s="4" t="s">
        <v>1676</v>
      </c>
      <c r="D6413" s="4" t="s">
        <v>9353</v>
      </c>
      <c r="E6413" s="4">
        <v>0.0</v>
      </c>
      <c r="F6413" s="4" t="str">
        <f>IFERROR(__xludf.DUMMYFUNCTION("GOOGLETRANSLATE(D6413)"),"然而英國人對英國感到恐慌 http://t.co/HsDBGCIYrs")</f>
        <v>然而英國人對英國感到恐慌 http://t.co/HsDBGCIYrs</v>
      </c>
      <c r="G6413" s="4" t="str">
        <f>IFERROR(__xludf.DUMMYFUNCTION("GOOGLETRANSLATE(B6413)"),"驚慌失措")</f>
        <v>驚慌失措</v>
      </c>
    </row>
    <row r="6414" ht="15.75" customHeight="1">
      <c r="A6414" s="4">
        <v>7724.0</v>
      </c>
      <c r="B6414" s="4" t="s">
        <v>3536</v>
      </c>
      <c r="C6414" s="4" t="s">
        <v>3111</v>
      </c>
      <c r="D6414" s="4" t="s">
        <v>9354</v>
      </c>
      <c r="E6414" s="4">
        <v>0.0</v>
      </c>
      <c r="F6414" s="4" t="str">
        <f>IFERROR(__xludf.DUMMYFUNCTION("GOOGLETRANSLATE(D6414)"),"？你應該感到害怕。你應該尖叫和驚慌。這位救贖者 http://t.co/4h8qYvvd0E #romanticssuspense")</f>
        <v>？你應該感到害怕。你應該尖叫和驚慌。這位救贖者 http://t.co/4h8qYvvd0E #romanticssuspense</v>
      </c>
      <c r="G6414" s="4" t="str">
        <f>IFERROR(__xludf.DUMMYFUNCTION("GOOGLETRANSLATE(B6414)"),"驚慌失措")</f>
        <v>驚慌失措</v>
      </c>
    </row>
    <row r="6415" ht="15.75" customHeight="1">
      <c r="A6415" s="4">
        <v>7725.0</v>
      </c>
      <c r="B6415" s="4" t="s">
        <v>3536</v>
      </c>
      <c r="C6415" s="4" t="s">
        <v>89</v>
      </c>
      <c r="D6415" s="4" t="s">
        <v>9355</v>
      </c>
      <c r="E6415" s="4">
        <v>0.0</v>
      </c>
      <c r="F6415" s="4" t="str">
        <f>IFERROR(__xludf.DUMMYFUNCTION("GOOGLETRANSLATE(D6415)"),"我爸爸很恐慌，因為我的體重減輕意味著當我達到目標時他需要趕緊為我的新衣服買基金。 ??")</f>
        <v>我爸爸很恐慌，因為我的體重減輕意味著當我達到目標時他需要趕緊為我的新衣服買基金。 ??</v>
      </c>
      <c r="G6415" s="4" t="str">
        <f>IFERROR(__xludf.DUMMYFUNCTION("GOOGLETRANSLATE(B6415)"),"驚慌失措")</f>
        <v>驚慌失措</v>
      </c>
    </row>
    <row r="6416" ht="15.75" customHeight="1">
      <c r="A6416" s="4">
        <v>7727.0</v>
      </c>
      <c r="B6416" s="4" t="s">
        <v>3536</v>
      </c>
      <c r="D6416" s="4" t="s">
        <v>9356</v>
      </c>
      <c r="E6416" s="4">
        <v>0.0</v>
      </c>
      <c r="F6416" s="4" t="str">
        <f>IFERROR(__xludf.DUMMYFUNCTION("GOOGLETRANSLATE(D6416)"),"已經對學校重新開學感到恐慌:-)")</f>
        <v>已經對學校重新開學感到恐慌:-)</v>
      </c>
      <c r="G6416" s="4" t="str">
        <f>IFERROR(__xludf.DUMMYFUNCTION("GOOGLETRANSLATE(B6416)"),"驚慌失措")</f>
        <v>驚慌失措</v>
      </c>
    </row>
    <row r="6417" ht="15.75" customHeight="1">
      <c r="A6417" s="4">
        <v>7728.0</v>
      </c>
      <c r="B6417" s="4" t="s">
        <v>3536</v>
      </c>
      <c r="C6417" s="4" t="s">
        <v>9357</v>
      </c>
      <c r="D6417" s="4" t="s">
        <v>9358</v>
      </c>
      <c r="E6417" s="4">
        <v>0.0</v>
      </c>
      <c r="F6417" s="4" t="str">
        <f>IFERROR(__xludf.DUMMYFUNCTION("GOOGLETRANSLATE(D6417)"),"人們終於對有線電視感到恐慌 http://t.co/ranEFiHbUK http://t.co/MflRVBh4qA")</f>
        <v>人們終於對有線電視感到恐慌 http://t.co/ranEFiHbUK http://t.co/MflRVBh4qA</v>
      </c>
      <c r="G6417" s="4" t="str">
        <f>IFERROR(__xludf.DUMMYFUNCTION("GOOGLETRANSLATE(B6417)"),"驚慌失措")</f>
        <v>驚慌失措</v>
      </c>
    </row>
    <row r="6418" ht="15.75" customHeight="1">
      <c r="A6418" s="4">
        <v>7731.0</v>
      </c>
      <c r="B6418" s="4" t="s">
        <v>3536</v>
      </c>
      <c r="D6418" s="4" t="s">
        <v>9359</v>
      </c>
      <c r="E6418" s="4">
        <v>0.0</v>
      </c>
      <c r="F6418" s="4" t="str">
        <f>IFERROR(__xludf.DUMMYFUNCTION("GOOGLETRANSLATE(D6418)"),"我覺得我應該更加恐慌，因為我知道我會在一周內得到結果......我非常平靜")</f>
        <v>我覺得我應該更加恐慌，因為我知道我會在一周內得到結果......我非常平靜</v>
      </c>
      <c r="G6418" s="4" t="str">
        <f>IFERROR(__xludf.DUMMYFUNCTION("GOOGLETRANSLATE(B6418)"),"驚慌失措")</f>
        <v>驚慌失措</v>
      </c>
    </row>
    <row r="6419" ht="15.75" customHeight="1">
      <c r="A6419" s="4">
        <v>7733.0</v>
      </c>
      <c r="B6419" s="4" t="s">
        <v>3536</v>
      </c>
      <c r="C6419" s="4" t="s">
        <v>9360</v>
      </c>
      <c r="D6419" s="4" t="s">
        <v>9361</v>
      </c>
      <c r="E6419" s="4">
        <v>0.0</v>
      </c>
      <c r="F6419" s="4" t="str">
        <f>IFERROR(__xludf.DUMMYFUNCTION("GOOGLETRANSLATE(D6419)"),"剛剛意識到，與 Uber 司機坐在前面也許不正常？恐慌")</f>
        <v>剛剛意識到，與 Uber 司機坐在前面也許不正常？恐慌</v>
      </c>
      <c r="G6419" s="4" t="str">
        <f>IFERROR(__xludf.DUMMYFUNCTION("GOOGLETRANSLATE(B6419)"),"驚慌失措")</f>
        <v>驚慌失措</v>
      </c>
    </row>
    <row r="6420" ht="15.75" customHeight="1">
      <c r="A6420" s="4">
        <v>7735.0</v>
      </c>
      <c r="B6420" s="4" t="s">
        <v>3536</v>
      </c>
      <c r="C6420" s="4" t="s">
        <v>9362</v>
      </c>
      <c r="D6420" s="4" t="s">
        <v>9363</v>
      </c>
      <c r="E6420" s="4">
        <v>0.0</v>
      </c>
      <c r="F6420" s="4" t="str">
        <f>IFERROR(__xludf.DUMMYFUNCTION("GOOGLETRANSLATE(D6420)"),"@c_pinto001 我看到人們再次對 Orpik 感到恐慌。")</f>
        <v>@c_pinto001 我看到人們再次對 Orpik 感到恐慌。</v>
      </c>
      <c r="G6420" s="4" t="str">
        <f>IFERROR(__xludf.DUMMYFUNCTION("GOOGLETRANSLATE(B6420)"),"驚慌失措")</f>
        <v>驚慌失措</v>
      </c>
    </row>
    <row r="6421" ht="15.75" customHeight="1">
      <c r="A6421" s="4">
        <v>7736.0</v>
      </c>
      <c r="B6421" s="4" t="s">
        <v>3536</v>
      </c>
      <c r="D6421" s="4" t="s">
        <v>9364</v>
      </c>
      <c r="E6421" s="4">
        <v>0.0</v>
      </c>
      <c r="F6421" s="4" t="str">
        <f>IFERROR(__xludf.DUMMYFUNCTION("GOOGLETRANSLATE(D6421)"),"我完全驚慌了哈哈")</f>
        <v>我完全驚慌了哈哈</v>
      </c>
      <c r="G6421" s="4" t="str">
        <f>IFERROR(__xludf.DUMMYFUNCTION("GOOGLETRANSLATE(B6421)"),"驚慌失措")</f>
        <v>驚慌失措</v>
      </c>
    </row>
    <row r="6422" ht="15.75" customHeight="1">
      <c r="A6422" s="4">
        <v>7737.0</v>
      </c>
      <c r="B6422" s="4" t="s">
        <v>3536</v>
      </c>
      <c r="D6422" s="4" t="s">
        <v>9365</v>
      </c>
      <c r="E6422" s="4">
        <v>0.0</v>
      </c>
      <c r="F6422" s="4" t="str">
        <f>IFERROR(__xludf.DUMMYFUNCTION("GOOGLETRANSLATE(D6422)"),"當他讓你開他的卡車時，你開始驚慌，因為你必須「翻轉那個婊子」。 ???? http://t.co/W6O0uiZF8p")</f>
        <v>當他讓你開他的卡車時，你開始驚慌，因為你必須「翻轉那個婊子」。 ???? http://t.co/W6O0uiZF8p</v>
      </c>
      <c r="G6422" s="4" t="str">
        <f>IFERROR(__xludf.DUMMYFUNCTION("GOOGLETRANSLATE(B6422)"),"驚慌失措")</f>
        <v>驚慌失措</v>
      </c>
    </row>
    <row r="6423" ht="15.75" customHeight="1">
      <c r="A6423" s="4">
        <v>7738.0</v>
      </c>
      <c r="B6423" s="4" t="s">
        <v>3536</v>
      </c>
      <c r="D6423" s="4" t="s">
        <v>9366</v>
      </c>
      <c r="E6423" s="4">
        <v>0.0</v>
      </c>
      <c r="F6423" s="4" t="str">
        <f>IFERROR(__xludf.DUMMYFUNCTION("GOOGLETRANSLATE(D6423)"),"@jeannathomas 不會撒謊..我有點驚慌。維克/哈迪不在那裡。弗里曼沒有練習。")</f>
        <v>@jeannathomas 不會撒謊..我有點驚慌。維克/哈迪不在那裡。弗里曼沒有練習。</v>
      </c>
      <c r="G6423" s="4" t="str">
        <f>IFERROR(__xludf.DUMMYFUNCTION("GOOGLETRANSLATE(B6423)"),"驚慌失措")</f>
        <v>驚慌失措</v>
      </c>
    </row>
    <row r="6424" ht="15.75" customHeight="1">
      <c r="A6424" s="4">
        <v>7739.0</v>
      </c>
      <c r="B6424" s="4" t="s">
        <v>3536</v>
      </c>
      <c r="C6424" s="4" t="s">
        <v>9367</v>
      </c>
      <c r="D6424" s="4" t="s">
        <v>9368</v>
      </c>
      <c r="E6424" s="4">
        <v>0.0</v>
      </c>
      <c r="F6424" s="4" t="str">
        <f>IFERROR(__xludf.DUMMYFUNCTION("GOOGLETRANSLATE(D6424)"),"人們終於對有線電視感到恐慌 http://t.co/lCnW4EAD8v")</f>
        <v>人們終於對有線電視感到恐慌 http://t.co/lCnW4EAD8v</v>
      </c>
      <c r="G6424" s="4" t="str">
        <f>IFERROR(__xludf.DUMMYFUNCTION("GOOGLETRANSLATE(B6424)"),"驚慌失措")</f>
        <v>驚慌失措</v>
      </c>
    </row>
    <row r="6425" ht="15.75" customHeight="1">
      <c r="A6425" s="4">
        <v>7742.0</v>
      </c>
      <c r="B6425" s="4" t="s">
        <v>3536</v>
      </c>
      <c r="D6425" s="4" t="s">
        <v>9369</v>
      </c>
      <c r="E6425" s="4">
        <v>0.0</v>
      </c>
      <c r="F6425" s="4" t="str">
        <f>IFERROR(__xludf.DUMMYFUNCTION("GOOGLETRANSLATE(D6425)"),"你可以停止驚慌嗎？ @ogtomd https://t.co/ZvRE6fFNyD")</f>
        <v>你可以停止驚慌嗎？ @ogtomd https://t.co/ZvRE6fFNyD</v>
      </c>
      <c r="G6425" s="4" t="str">
        <f>IFERROR(__xludf.DUMMYFUNCTION("GOOGLETRANSLATE(B6425)"),"驚慌失措")</f>
        <v>驚慌失措</v>
      </c>
    </row>
    <row r="6426" ht="15.75" customHeight="1">
      <c r="A6426" s="4">
        <v>7743.0</v>
      </c>
      <c r="B6426" s="4" t="s">
        <v>3536</v>
      </c>
      <c r="C6426" s="4" t="s">
        <v>9370</v>
      </c>
      <c r="D6426" s="4" t="s">
        <v>9371</v>
      </c>
      <c r="E6426" s="4">
        <v>0.0</v>
      </c>
      <c r="F6426" s="4" t="str">
        <f>IFERROR(__xludf.DUMMYFUNCTION("GOOGLETRANSLATE(D6426)"),"我姐姐現在可以坐在相機上而不會驚慌 https://t.co/GiYaaD7dcc")</f>
        <v>我姐姐現在可以坐在相機上而不會驚慌 https://t.co/GiYaaD7dcc</v>
      </c>
      <c r="G6426" s="4" t="str">
        <f>IFERROR(__xludf.DUMMYFUNCTION("GOOGLETRANSLATE(B6426)"),"驚慌失措")</f>
        <v>驚慌失措</v>
      </c>
    </row>
    <row r="6427" ht="15.75" customHeight="1">
      <c r="A6427" s="4">
        <v>7744.0</v>
      </c>
      <c r="B6427" s="4" t="s">
        <v>3536</v>
      </c>
      <c r="C6427" s="4" t="s">
        <v>1640</v>
      </c>
      <c r="D6427" s="4" t="s">
        <v>9372</v>
      </c>
      <c r="E6427" s="4">
        <v>0.0</v>
      </c>
      <c r="F6427" s="4" t="str">
        <f>IFERROR(__xludf.DUMMYFUNCTION("GOOGLETRANSLATE(D6427)"),"為什麼人們會對結果日感到恐慌哈哈哈，就像擔心會改變你的結果一樣")</f>
        <v>為什麼人們會對結果日感到恐慌哈哈哈，就像擔心會改變你的結果一樣</v>
      </c>
      <c r="G6427" s="4" t="str">
        <f>IFERROR(__xludf.DUMMYFUNCTION("GOOGLETRANSLATE(B6427)"),"驚慌失措")</f>
        <v>驚慌失措</v>
      </c>
    </row>
    <row r="6428" ht="15.75" customHeight="1">
      <c r="A6428" s="4">
        <v>7749.0</v>
      </c>
      <c r="B6428" s="4" t="s">
        <v>3539</v>
      </c>
      <c r="D6428" s="4" t="s">
        <v>9373</v>
      </c>
      <c r="E6428" s="4">
        <v>0.0</v>
      </c>
      <c r="F6428" s="4" t="str">
        <f>IFERROR(__xludf.DUMMYFUNCTION("GOOGLETRANSLATE(D6428)"),"這些該死的警察碰不到我，這些該死的黑鬼才不是他媽的我")</f>
        <v>這些該死的警察碰不到我，這些該死的黑鬼才不是他媽的我</v>
      </c>
      <c r="G6428" s="4" t="str">
        <f>IFERROR(__xludf.DUMMYFUNCTION("GOOGLETRANSLATE(B6428)"),"警察")</f>
        <v>警察</v>
      </c>
    </row>
    <row r="6429" ht="15.75" customHeight="1">
      <c r="A6429" s="4">
        <v>7753.0</v>
      </c>
      <c r="B6429" s="4" t="s">
        <v>3539</v>
      </c>
      <c r="D6429" s="4" t="s">
        <v>9374</v>
      </c>
      <c r="E6429" s="4">
        <v>0.0</v>
      </c>
      <c r="F6429" s="4" t="str">
        <f>IFERROR(__xludf.DUMMYFUNCTION("GOOGLETRANSLATE(D6429)"),"警察工會阻礙司法公正耗盡政府資金，但警察投票 4 盧比，所以盧比轉而追隨教師工會！ @DCCC @VJ44 @Lawrence @JBouie @mmfa")</f>
        <v>警察工會阻礙司法公正耗盡政府資金，但警察投票 4 盧比，所以盧比轉而追隨教師工會！ @DCCC @VJ44 @Lawrence @JBouie @mmfa</v>
      </c>
      <c r="G6429" s="4" t="str">
        <f>IFERROR(__xludf.DUMMYFUNCTION("GOOGLETRANSLATE(B6429)"),"警察")</f>
        <v>警察</v>
      </c>
    </row>
    <row r="6430" ht="15.75" customHeight="1">
      <c r="A6430" s="4">
        <v>7754.0</v>
      </c>
      <c r="B6430" s="4" t="s">
        <v>3539</v>
      </c>
      <c r="D6430" s="4" t="s">
        <v>9375</v>
      </c>
      <c r="E6430" s="4">
        <v>0.0</v>
      </c>
      <c r="F6430" s="4" t="str">
        <f>IFERROR(__xludf.DUMMYFUNCTION("GOOGLETRANSLATE(D6430)"),"女傭被控從警官贊助商偷竊 30000 迪拉姆 http://t.co/y35qtVDSOH | https://t.co/qhUJAjCTR5")</f>
        <v>女傭被控從警官贊助商偷竊 30000 迪拉姆 http://t.co/y35qtVDSOH | https://t.co/qhUJAjCTR5</v>
      </c>
      <c r="G6430" s="4" t="str">
        <f>IFERROR(__xludf.DUMMYFUNCTION("GOOGLETRANSLATE(B6430)"),"警察")</f>
        <v>警察</v>
      </c>
    </row>
    <row r="6431" ht="15.75" customHeight="1">
      <c r="A6431" s="4">
        <v>7758.0</v>
      </c>
      <c r="B6431" s="4" t="s">
        <v>3539</v>
      </c>
      <c r="D6431" s="4" t="s">
        <v>9376</v>
      </c>
      <c r="E6431" s="4">
        <v>0.0</v>
      </c>
      <c r="F6431" s="4" t="str">
        <f>IFERROR(__xludf.DUMMYFUNCTION("GOOGLETRANSLATE(D6431)"),"維尼瓊斯 (Vinnie Jones) 與諾森比亞警方一起巡邏 http://t.co/UP30AQgnLf")</f>
        <v>維尼瓊斯 (Vinnie Jones) 與諾森比亞警方一起巡邏 http://t.co/UP30AQgnLf</v>
      </c>
      <c r="G6431" s="4" t="str">
        <f>IFERROR(__xludf.DUMMYFUNCTION("GOOGLETRANSLATE(B6431)"),"警察")</f>
        <v>警察</v>
      </c>
    </row>
    <row r="6432" ht="15.75" customHeight="1">
      <c r="A6432" s="4">
        <v>7761.0</v>
      </c>
      <c r="B6432" s="4" t="s">
        <v>3539</v>
      </c>
      <c r="D6432" s="4" t="s">
        <v>9377</v>
      </c>
      <c r="E6432" s="4">
        <v>0.0</v>
      </c>
      <c r="F6432" s="4" t="str">
        <f>IFERROR(__xludf.DUMMYFUNCTION("GOOGLETRANSLATE(D6432)"),"警方擴大在 Beloeil 失蹤孕婦的搜尋範圍：Richelieu-Saint-Laurent 警方正在擴大搜尋範圍... http://t.co/hMuyzmv8qH")</f>
        <v>警方擴大在 Beloeil 失蹤孕婦的搜尋範圍：Richelieu-Saint-Laurent 警方正在擴大搜尋範圍... http://t.co/hMuyzmv8qH</v>
      </c>
      <c r="G6432" s="4" t="str">
        <f>IFERROR(__xludf.DUMMYFUNCTION("GOOGLETRANSLATE(B6432)"),"警察")</f>
        <v>警察</v>
      </c>
    </row>
    <row r="6433" ht="15.75" customHeight="1">
      <c r="A6433" s="4">
        <v>7763.0</v>
      </c>
      <c r="B6433" s="4" t="s">
        <v>3539</v>
      </c>
      <c r="C6433" s="4" t="s">
        <v>9378</v>
      </c>
      <c r="D6433" s="4" t="s">
        <v>9379</v>
      </c>
      <c r="E6433" s="4">
        <v>0.0</v>
      </c>
      <c r="F6433" s="4" t="str">
        <f>IFERROR(__xludf.DUMMYFUNCTION("GOOGLETRANSLATE(D6433)"),"很好，警察正在處理這件事，也有額外的安全措施#HarryBeCareful")</f>
        <v>很好，警察正在處理這件事，也有額外的安全措施#HarryBeCareful</v>
      </c>
      <c r="G6433" s="4" t="str">
        <f>IFERROR(__xludf.DUMMYFUNCTION("GOOGLETRANSLATE(B6433)"),"警察")</f>
        <v>警察</v>
      </c>
    </row>
    <row r="6434" ht="15.75" customHeight="1">
      <c r="A6434" s="4">
        <v>7764.0</v>
      </c>
      <c r="B6434" s="4" t="s">
        <v>3539</v>
      </c>
      <c r="C6434" s="4" t="s">
        <v>255</v>
      </c>
      <c r="D6434" s="4" t="s">
        <v>9380</v>
      </c>
      <c r="E6434" s="4">
        <v>0.0</v>
      </c>
      <c r="F6434" s="4" t="str">
        <f>IFERROR(__xludf.DUMMYFUNCTION("GOOGLETRANSLATE(D6434)"),"為什麼#BAYONETS 被分發給當地警察部門？
@RandPaul 想知道
https://t.co/XB8nfxaBUM
＃邪惡帝國
#JadeHelm15")</f>
        <v>為什麼#BAYONETS 被分發給當地警察部門？
@RandPaul 想知道
https://t.co/XB8nfxaBUM
＃邪惡帝國
#JadeHelm15</v>
      </c>
      <c r="G6434" s="4" t="str">
        <f>IFERROR(__xludf.DUMMYFUNCTION("GOOGLETRANSLATE(B6434)"),"警察")</f>
        <v>警察</v>
      </c>
    </row>
    <row r="6435" ht="15.75" customHeight="1">
      <c r="A6435" s="4">
        <v>7765.0</v>
      </c>
      <c r="B6435" s="4" t="s">
        <v>3539</v>
      </c>
      <c r="C6435" s="4" t="s">
        <v>955</v>
      </c>
      <c r="D6435" s="4" t="s">
        <v>9381</v>
      </c>
      <c r="E6435" s="4">
        <v>0.0</v>
      </c>
      <c r="F6435" s="4" t="str">
        <f>IFERROR(__xludf.DUMMYFUNCTION("GOOGLETRANSLATE(D6435)"),"波特蘭 SE 12TH AVE 200 街區的不需要的人或 [波特蘭警察 #PP15000266818] 17:10 #pdx911")</f>
        <v>波特蘭 SE 12TH AVE 200 街區的不需要的人或 [波特蘭警察 #PP15000266818] 17:10 #pdx911</v>
      </c>
      <c r="G6435" s="4" t="str">
        <f>IFERROR(__xludf.DUMMYFUNCTION("GOOGLETRANSLATE(B6435)"),"警察")</f>
        <v>警察</v>
      </c>
    </row>
    <row r="6436" ht="15.75" customHeight="1">
      <c r="A6436" s="4">
        <v>7766.0</v>
      </c>
      <c r="B6436" s="4" t="s">
        <v>3539</v>
      </c>
      <c r="C6436" s="4" t="s">
        <v>2145</v>
      </c>
      <c r="D6436" s="4" t="s">
        <v>9382</v>
      </c>
      <c r="E6436" s="4">
        <v>0.0</v>
      </c>
      <c r="F6436" s="4" t="str">
        <f>IFERROR(__xludf.DUMMYFUNCTION("GOOGLETRANSLATE(D6436)"),"與跨種族家庭一起公路旅行的聖公會牧師分享了警察騷擾的悲慘故事 http://t.co/RG4JIsHyBs 通過 @dailykos")</f>
        <v>與跨種族家庭一起公路旅行的聖公會牧師分享了警察騷擾的悲慘故事 http://t.co/RG4JIsHyBs 通過 @dailykos</v>
      </c>
      <c r="G6436" s="4" t="str">
        <f>IFERROR(__xludf.DUMMYFUNCTION("GOOGLETRANSLATE(B6436)"),"警察")</f>
        <v>警察</v>
      </c>
    </row>
    <row r="6437" ht="15.75" customHeight="1">
      <c r="A6437" s="4">
        <v>7771.0</v>
      </c>
      <c r="B6437" s="4" t="s">
        <v>3539</v>
      </c>
      <c r="C6437" s="4" t="s">
        <v>9383</v>
      </c>
      <c r="D6437" s="4" t="s">
        <v>9384</v>
      </c>
      <c r="E6437" s="4">
        <v>0.0</v>
      </c>
      <c r="F6437" s="4" t="str">
        <f>IFERROR(__xludf.DUMMYFUNCTION("GOOGLETRANSLATE(D6437)"),"@BrandonMulcahy @fpine 這是一個故事 http://t.co/TgXutUoyHl")</f>
        <v>@BrandonMulcahy @fpine 這是一個故事 http://t.co/TgXutUoyHl</v>
      </c>
      <c r="G6437" s="4" t="str">
        <f>IFERROR(__xludf.DUMMYFUNCTION("GOOGLETRANSLATE(B6437)"),"警察")</f>
        <v>警察</v>
      </c>
    </row>
    <row r="6438" ht="15.75" customHeight="1">
      <c r="A6438" s="4">
        <v>7773.0</v>
      </c>
      <c r="B6438" s="4" t="s">
        <v>3539</v>
      </c>
      <c r="C6438" s="4" t="s">
        <v>112</v>
      </c>
      <c r="D6438" s="4" t="s">
        <v>9385</v>
      </c>
      <c r="E6438" s="4">
        <v>0.0</v>
      </c>
      <c r="F6438" s="4" t="str">
        <f>IFERROR(__xludf.DUMMYFUNCTION("GOOGLETRANSLATE(D6438)"),"哎呀：賞金獵人試圖突襲鳳凰城警察局長的家 http://t.co/u30n3fFX8Y")</f>
        <v>哎呀：賞金獵人試圖突襲鳳凰城警察局長的家 http://t.co/u30n3fFX8Y</v>
      </c>
      <c r="G6438" s="4" t="str">
        <f>IFERROR(__xludf.DUMMYFUNCTION("GOOGLETRANSLATE(B6438)"),"警察")</f>
        <v>警察</v>
      </c>
    </row>
    <row r="6439" ht="15.75" customHeight="1">
      <c r="A6439" s="4">
        <v>7775.0</v>
      </c>
      <c r="B6439" s="4" t="s">
        <v>3539</v>
      </c>
      <c r="C6439" s="4" t="s">
        <v>4556</v>
      </c>
      <c r="D6439" s="4" t="s">
        <v>9386</v>
      </c>
      <c r="E6439" s="4">
        <v>0.0</v>
      </c>
      <c r="F6439" s="4" t="str">
        <f>IFERROR(__xludf.DUMMYFUNCTION("GOOGLETRANSLATE(D6439)"),"旨在幫助防止危險的警察追捕的新技術：努力減少傷害密爾瓦基警察Û_ http://t.co/cedjdlPDAN")</f>
        <v>旨在幫助防止危險的警察追捕的新技術：努力減少傷害密爾瓦基警察Û_ http://t.co/cedjdlPDAN</v>
      </c>
      <c r="G6439" s="4" t="str">
        <f>IFERROR(__xludf.DUMMYFUNCTION("GOOGLETRANSLATE(B6439)"),"警察")</f>
        <v>警察</v>
      </c>
    </row>
    <row r="6440" ht="15.75" customHeight="1">
      <c r="A6440" s="4">
        <v>7783.0</v>
      </c>
      <c r="B6440" s="4" t="s">
        <v>3539</v>
      </c>
      <c r="D6440" s="4" t="s">
        <v>9387</v>
      </c>
      <c r="E6440" s="4">
        <v>0.0</v>
      </c>
      <c r="F6440" s="4" t="str">
        <f>IFERROR(__xludf.DUMMYFUNCTION("GOOGLETRANSLATE(D6440)"),"警察向我走來，我對著他們的臉吐煙，他們想把我關起來，因為我有毒品，他媽的是同性戀")</f>
        <v>警察向我走來，我對著他們的臉吐煙，他們想把我關起來，因為我有毒品，他媽的是同性戀</v>
      </c>
      <c r="G6440" s="4" t="str">
        <f>IFERROR(__xludf.DUMMYFUNCTION("GOOGLETRANSLATE(B6440)"),"警察")</f>
        <v>警察</v>
      </c>
    </row>
    <row r="6441" ht="15.75" customHeight="1">
      <c r="A6441" s="4">
        <v>7787.0</v>
      </c>
      <c r="B6441" s="4" t="s">
        <v>3539</v>
      </c>
      <c r="C6441" s="4" t="s">
        <v>9388</v>
      </c>
      <c r="D6441" s="4" t="s">
        <v>9389</v>
      </c>
      <c r="E6441" s="4">
        <v>0.0</v>
      </c>
      <c r="F6441" s="4" t="str">
        <f>IFERROR(__xludf.DUMMYFUNCTION("GOOGLETRANSLATE(D6441)"),"#helpme我該怎麼辦？我的朋友被密西根州韋恩縣警方開出罰單，陷入了從不發送貧困的循環中。我該如何幫助他？")</f>
        <v>#helpme我該怎麼辦？我的朋友被密西根州韋恩縣警方開出罰單，陷入了從不發送貧困的循環中。我該如何幫助他？</v>
      </c>
      <c r="G6441" s="4" t="str">
        <f>IFERROR(__xludf.DUMMYFUNCTION("GOOGLETRANSLATE(B6441)"),"警察")</f>
        <v>警察</v>
      </c>
    </row>
    <row r="6442" ht="15.75" customHeight="1">
      <c r="A6442" s="4">
        <v>7788.0</v>
      </c>
      <c r="B6442" s="4" t="s">
        <v>3539</v>
      </c>
      <c r="C6442" s="4" t="s">
        <v>142</v>
      </c>
      <c r="D6442" s="4" t="s">
        <v>9390</v>
      </c>
      <c r="E6442" s="4">
        <v>0.0</v>
      </c>
      <c r="F6442" s="4" t="str">
        <f>IFERROR(__xludf.DUMMYFUNCTION("GOOGLETRANSLATE(D6442)"),"解決 Facebook 封面違規問題的 3 個選項 http://t.co/pF8dXwIbDp 並讓#Facebook 警察遠離。 #socialmedia #strategy")</f>
        <v>解決 Facebook 封面違規問題的 3 個選項 http://t.co/pF8dXwIbDp 並讓#Facebook 警察遠離。 #socialmedia #strategy</v>
      </c>
      <c r="G6442" s="4" t="str">
        <f>IFERROR(__xludf.DUMMYFUNCTION("GOOGLETRANSLATE(B6442)"),"警察")</f>
        <v>警察</v>
      </c>
    </row>
    <row r="6443" ht="15.75" customHeight="1">
      <c r="A6443" s="4">
        <v>7793.0</v>
      </c>
      <c r="B6443" s="4" t="s">
        <v>3539</v>
      </c>
      <c r="C6443" s="4" t="s">
        <v>9391</v>
      </c>
      <c r="D6443" s="4" t="s">
        <v>9392</v>
      </c>
      <c r="E6443" s="4">
        <v>0.0</v>
      </c>
      <c r="F6443" s="4" t="str">
        <f>IFERROR(__xludf.DUMMYFUNCTION("GOOGLETRANSLATE(D6443)"),".@slosheriff：2 名南門警察和 2 名亨廷頓公園警察在新兵訓練營調查虐待兒童事件後被捕")</f>
        <v>.@slosheriff：2 名南門警察和 2 名亨廷頓公園警察在新兵訓練營調查虐待兒童事件後被捕</v>
      </c>
      <c r="G6443" s="4" t="str">
        <f>IFERROR(__xludf.DUMMYFUNCTION("GOOGLETRANSLATE(B6443)"),"警察")</f>
        <v>警察</v>
      </c>
    </row>
    <row r="6444" ht="15.75" customHeight="1">
      <c r="A6444" s="4">
        <v>7799.0</v>
      </c>
      <c r="B6444" s="4" t="s">
        <v>3568</v>
      </c>
      <c r="C6444" s="4" t="s">
        <v>5112</v>
      </c>
      <c r="D6444" s="4" t="s">
        <v>9393</v>
      </c>
      <c r="E6444" s="4">
        <v>0.0</v>
      </c>
      <c r="F6444" s="4" t="str">
        <f>IFERROR(__xludf.DUMMYFUNCTION("GOOGLETRANSLATE(D6444)"),"Reddit 現在將隔離攻擊性內容 http://t.co/u9BkQt6XHR")</f>
        <v>Reddit 現在將隔離攻擊性內容 http://t.co/u9BkQt6XHR</v>
      </c>
      <c r="G6444" s="4" t="str">
        <f>IFERROR(__xludf.DUMMYFUNCTION("GOOGLETRANSLATE(B6444)"),"檢疫")</f>
        <v>檢疫</v>
      </c>
    </row>
    <row r="6445" ht="15.75" customHeight="1">
      <c r="A6445" s="4">
        <v>7800.0</v>
      </c>
      <c r="B6445" s="4" t="s">
        <v>3568</v>
      </c>
      <c r="C6445" s="4" t="s">
        <v>9394</v>
      </c>
      <c r="D6445" s="4" t="s">
        <v>9395</v>
      </c>
      <c r="E6445" s="4">
        <v>0.0</v>
      </c>
      <c r="F6445" s="4" t="str">
        <f>IFERROR(__xludf.DUMMYFUNCTION("GOOGLETRANSLATE(D6445)"),"Reddit 現在將隔離攻擊性內容 http://t.co/8S0mTwRumQ #Technology #technews #puledo_tech_update")</f>
        <v>Reddit 現在將隔離攻擊性內容 http://t.co/8S0mTwRumQ #Technology #technews #puledo_tech_update</v>
      </c>
      <c r="G6445" s="4" t="str">
        <f>IFERROR(__xludf.DUMMYFUNCTION("GOOGLETRANSLATE(B6445)"),"檢疫")</f>
        <v>檢疫</v>
      </c>
    </row>
    <row r="6446" ht="15.75" customHeight="1">
      <c r="A6446" s="4">
        <v>7802.0</v>
      </c>
      <c r="B6446" s="4" t="s">
        <v>3568</v>
      </c>
      <c r="D6446" s="4" t="s">
        <v>9396</v>
      </c>
      <c r="E6446" s="4">
        <v>0.0</v>
      </c>
      <c r="F6446" s="4" t="str">
        <f>IFERROR(__xludf.DUMMYFUNCTION("GOOGLETRANSLATE(D6446)"),"Reddit 更新內容政策，承諾隔離極具攻擊性的社群 http://t.co/tHnExicGQe")</f>
        <v>Reddit 更新內容政策，承諾隔離極具攻擊性的社群 http://t.co/tHnExicGQe</v>
      </c>
      <c r="G6446" s="4" t="str">
        <f>IFERROR(__xludf.DUMMYFUNCTION("GOOGLETRANSLATE(B6446)"),"檢疫")</f>
        <v>檢疫</v>
      </c>
    </row>
    <row r="6447" ht="15.75" customHeight="1">
      <c r="A6447" s="4">
        <v>7803.0</v>
      </c>
      <c r="B6447" s="4" t="s">
        <v>3568</v>
      </c>
      <c r="C6447" s="4" t="s">
        <v>1990</v>
      </c>
      <c r="D6447" s="4" t="s">
        <v>9397</v>
      </c>
      <c r="E6447" s="4">
        <v>0.0</v>
      </c>
      <c r="F6447" s="4" t="str">
        <f>IFERROR(__xludf.DUMMYFUNCTION("GOOGLETRANSLATE(D6447)"),"RT skanndTyagi 連線：Reddit 現在將隔離攻擊性內容 http://t.co/H0xUNJ3C7C (http://t.co/UuEw4MJLesÛ_ Û_")</f>
        <v>RT skanndTyagi 連線：Reddit 現在將隔離攻擊性內容 http://t.co/H0xUNJ3C7C (http://t.co/UuEw4MJLesÛ_ Û_</v>
      </c>
      <c r="G6447" s="4" t="str">
        <f>IFERROR(__xludf.DUMMYFUNCTION("GOOGLETRANSLATE(B6447)"),"檢疫")</f>
        <v>檢疫</v>
      </c>
    </row>
    <row r="6448" ht="15.75" customHeight="1">
      <c r="A6448" s="4">
        <v>7807.0</v>
      </c>
      <c r="B6448" s="4" t="s">
        <v>3568</v>
      </c>
      <c r="C6448" s="4" t="s">
        <v>9398</v>
      </c>
      <c r="D6448" s="4" t="s">
        <v>9399</v>
      </c>
      <c r="E6448" s="4">
        <v>0.0</v>
      </c>
      <c r="F6448" s="4" t="str">
        <f>IFERROR(__xludf.DUMMYFUNCTION("GOOGLETRANSLATE(D6448)"),"更新：從早上6點30分到現在還沒吃東西，隔離期間還要打掃乾地並加水。可能會昏倒")</f>
        <v>更新：從早上6點30分到現在還沒吃東西，隔離期間還要打掃乾地並加水。可能會昏倒</v>
      </c>
      <c r="G6448" s="4" t="str">
        <f>IFERROR(__xludf.DUMMYFUNCTION("GOOGLETRANSLATE(B6448)"),"檢疫")</f>
        <v>檢疫</v>
      </c>
    </row>
    <row r="6449" ht="15.75" customHeight="1">
      <c r="A6449" s="4">
        <v>7809.0</v>
      </c>
      <c r="B6449" s="4" t="s">
        <v>3568</v>
      </c>
      <c r="D6449" s="4" t="s">
        <v>9400</v>
      </c>
      <c r="E6449" s="4">
        <v>0.0</v>
      </c>
      <c r="F6449" s="4" t="str">
        <f>IFERROR(__xludf.DUMMYFUNCTION("GOOGLETRANSLATE(D6449)"),"查看：「Reddit 現在將隔離攻擊性內容」http://t.co/Ew5wZC07Fo")</f>
        <v>查看：「Reddit 現在將隔離攻擊性內容」http://t.co/Ew5wZC07Fo</v>
      </c>
      <c r="G6449" s="4" t="str">
        <f>IFERROR(__xludf.DUMMYFUNCTION("GOOGLETRANSLATE(B6449)"),"檢疫")</f>
        <v>檢疫</v>
      </c>
    </row>
    <row r="6450" ht="15.75" customHeight="1">
      <c r="A6450" s="4">
        <v>7810.0</v>
      </c>
      <c r="B6450" s="4" t="s">
        <v>3568</v>
      </c>
      <c r="C6450" s="4" t="s">
        <v>9401</v>
      </c>
      <c r="D6450" s="4" t="s">
        <v>9402</v>
      </c>
      <c r="E6450" s="4">
        <v>0.0</v>
      </c>
      <c r="F6450" s="4" t="str">
        <f>IFERROR(__xludf.DUMMYFUNCTION("GOOGLETRANSLATE(D6450)"),"#Bangalore Reddit 更新內容政策，承諾隔離「極具攻擊性」的社群 http://t.co/Of3Q75fGeU #Startups #in")</f>
        <v>#Bangalore Reddit 更新內容政策，承諾隔離「極具攻擊性」的社群 http://t.co/Of3Q75fGeU #Startups #in</v>
      </c>
      <c r="G6450" s="4" t="str">
        <f>IFERROR(__xludf.DUMMYFUNCTION("GOOGLETRANSLATE(B6450)"),"檢疫")</f>
        <v>檢疫</v>
      </c>
    </row>
    <row r="6451" ht="15.75" customHeight="1">
      <c r="A6451" s="4">
        <v>7812.0</v>
      </c>
      <c r="B6451" s="4" t="s">
        <v>3568</v>
      </c>
      <c r="D6451" s="4" t="s">
        <v>9403</v>
      </c>
      <c r="E6451" s="4">
        <v>0.0</v>
      </c>
      <c r="F6451" s="4" t="str">
        <f>IFERROR(__xludf.DUMMYFUNCTION("GOOGLETRANSLATE(D6451)"),"Reddit 更新內容政策承諾隔離極具攻擊性的社群 http://t.co/KmTwA3n1Gf")</f>
        <v>Reddit 更新內容政策承諾隔離極具攻擊性的社群 http://t.co/KmTwA3n1Gf</v>
      </c>
      <c r="G6451" s="4" t="str">
        <f>IFERROR(__xludf.DUMMYFUNCTION("GOOGLETRANSLATE(B6451)"),"檢疫")</f>
        <v>檢疫</v>
      </c>
    </row>
    <row r="6452" ht="15.75" customHeight="1">
      <c r="A6452" s="4">
        <v>7813.0</v>
      </c>
      <c r="B6452" s="4" t="s">
        <v>3568</v>
      </c>
      <c r="C6452" s="4" t="s">
        <v>9404</v>
      </c>
      <c r="D6452" s="4" t="s">
        <v>9405</v>
      </c>
      <c r="E6452" s="4">
        <v>0.0</v>
      </c>
      <c r="F6452" s="4" t="str">
        <f>IFERROR(__xludf.DUMMYFUNCTION("GOOGLETRANSLATE(D6452)"),"Aannnnd - “Reddit 現在將隔離攻擊性內容” https://t.co/P1JluRGWBu")</f>
        <v>Aannnnd - “Reddit 現在將隔離攻擊性內容” https://t.co/P1JluRGWBu</v>
      </c>
      <c r="G6452" s="4" t="str">
        <f>IFERROR(__xludf.DUMMYFUNCTION("GOOGLETRANSLATE(B6452)"),"檢疫")</f>
        <v>檢疫</v>
      </c>
    </row>
    <row r="6453" ht="15.75" customHeight="1">
      <c r="A6453" s="4">
        <v>7815.0</v>
      </c>
      <c r="B6453" s="4" t="s">
        <v>3568</v>
      </c>
      <c r="D6453" s="4" t="s">
        <v>9406</v>
      </c>
      <c r="E6453" s="4">
        <v>0.0</v>
      </c>
      <c r="F6453" s="4" t="str">
        <f>IFERROR(__xludf.DUMMYFUNCTION("GOOGLETRANSLATE(D6453)"),"Reddit 現在將隔離攻擊性內容 http://t.co/cNsHlNjUqX")</f>
        <v>Reddit 現在將隔離攻擊性內容 http://t.co/cNsHlNjUqX</v>
      </c>
      <c r="G6453" s="4" t="str">
        <f>IFERROR(__xludf.DUMMYFUNCTION("GOOGLETRANSLATE(B6453)"),"檢疫")</f>
        <v>檢疫</v>
      </c>
    </row>
    <row r="6454" ht="15.75" customHeight="1">
      <c r="A6454" s="4">
        <v>7817.0</v>
      </c>
      <c r="B6454" s="4" t="s">
        <v>3568</v>
      </c>
      <c r="C6454" s="4" t="s">
        <v>6112</v>
      </c>
      <c r="D6454" s="4" t="s">
        <v>9407</v>
      </c>
      <c r="E6454" s="4">
        <v>0.0</v>
      </c>
      <c r="F6454" s="4" t="str">
        <f>IFERROR(__xludf.DUMMYFUNCTION("GOOGLETRANSLATE(D6454)"),"Hermancranston：《連線》：Reddit 現在將隔離攻擊性內容 http://t.co/wvn6GrIyPq (http://t.co/Rei3PuWP84Û_ Û_")</f>
        <v>Hermancranston：《連線》：Reddit 現在將隔離攻擊性內容 http://t.co/wvn6GrIyPq (http://t.co/Rei3PuWP84Û_ Û_</v>
      </c>
      <c r="G6454" s="4" t="str">
        <f>IFERROR(__xludf.DUMMYFUNCTION("GOOGLETRANSLATE(B6454)"),"檢疫")</f>
        <v>檢疫</v>
      </c>
    </row>
    <row r="6455" ht="15.75" customHeight="1">
      <c r="A6455" s="4">
        <v>7818.0</v>
      </c>
      <c r="B6455" s="4" t="s">
        <v>3568</v>
      </c>
      <c r="C6455" s="4" t="s">
        <v>9408</v>
      </c>
      <c r="D6455" s="4" t="s">
        <v>9409</v>
      </c>
      <c r="E6455" s="4">
        <v>0.0</v>
      </c>
      <c r="F6455" s="4" t="str">
        <f>IFERROR(__xludf.DUMMYFUNCTION("GOOGLETRANSLATE(D6455)"),"Reddit 現在將隔離攻擊性內容：Reddit 聯合創始人兼執行長 Steve Huffman 公佈了更多具體資訊... http://t.co/LJMGdpDLvs")</f>
        <v>Reddit 現在將隔離攻擊性內容：Reddit 聯合創始人兼執行長 Steve Huffman 公佈了更多具體資訊... http://t.co/LJMGdpDLvs</v>
      </c>
      <c r="G6455" s="4" t="str">
        <f>IFERROR(__xludf.DUMMYFUNCTION("GOOGLETRANSLATE(B6455)"),"檢疫")</f>
        <v>檢疫</v>
      </c>
    </row>
    <row r="6456" ht="15.75" customHeight="1">
      <c r="A6456" s="4">
        <v>7821.0</v>
      </c>
      <c r="B6456" s="4" t="s">
        <v>3568</v>
      </c>
      <c r="C6456" s="4" t="s">
        <v>9410</v>
      </c>
      <c r="D6456" s="4" t="s">
        <v>9411</v>
      </c>
      <c r="E6456" s="4">
        <v>0.0</v>
      </c>
      <c r="F6456" s="4" t="str">
        <f>IFERROR(__xludf.DUMMYFUNCTION("GOOGLETRANSLATE(D6456)"),"Reddit 現在將隔離攻擊性內容：Reddit 聯合創始人兼首席執行官 Steve Huffman 公佈了更多具體信息... http://t.co/PMCp8cZPNd")</f>
        <v>Reddit 現在將隔離攻擊性內容：Reddit 聯合創始人兼首席執行官 Steve Huffman 公佈了更多具體信息... http://t.co/PMCp8cZPNd</v>
      </c>
      <c r="G6456" s="4" t="str">
        <f>IFERROR(__xludf.DUMMYFUNCTION("GOOGLETRANSLATE(B6456)"),"檢疫")</f>
        <v>檢疫</v>
      </c>
    </row>
    <row r="6457" ht="15.75" customHeight="1">
      <c r="A6457" s="4">
        <v>7822.0</v>
      </c>
      <c r="B6457" s="4" t="s">
        <v>3568</v>
      </c>
      <c r="C6457" s="4" t="s">
        <v>9412</v>
      </c>
      <c r="D6457" s="4" t="s">
        <v>9413</v>
      </c>
      <c r="E6457" s="4">
        <v>0.0</v>
      </c>
      <c r="F6457" s="4" t="str">
        <f>IFERROR(__xludf.DUMMYFUNCTION("GOOGLETRANSLATE(D6457)"),"#wired #business Reddit 現在將隔離攻擊性內容 http://t.co/ZhzVprZbgq")</f>
        <v>#wired #business Reddit 現在將隔離攻擊性內容 http://t.co/ZhzVprZbgq</v>
      </c>
      <c r="G6457" s="4" t="str">
        <f>IFERROR(__xludf.DUMMYFUNCTION("GOOGLETRANSLATE(B6457)"),"檢疫")</f>
        <v>檢疫</v>
      </c>
    </row>
    <row r="6458" ht="15.75" customHeight="1">
      <c r="A6458" s="4">
        <v>7823.0</v>
      </c>
      <c r="B6458" s="4" t="s">
        <v>3568</v>
      </c>
      <c r="C6458" s="4" t="s">
        <v>9414</v>
      </c>
      <c r="D6458" s="4" t="s">
        <v>9415</v>
      </c>
      <c r="E6458" s="4">
        <v>0.0</v>
      </c>
      <c r="F6458" s="4" t="str">
        <f>IFERROR(__xludf.DUMMYFUNCTION("GOOGLETRANSLATE(D6458)"),"RT @WIRED：Reddit 現在將隔離攻擊性內容 http://t.co/zlAGv1U5ZA")</f>
        <v>RT @WIRED：Reddit 現在將隔離攻擊性內容 http://t.co/zlAGv1U5ZA</v>
      </c>
      <c r="G6458" s="4" t="str">
        <f>IFERROR(__xludf.DUMMYFUNCTION("GOOGLETRANSLATE(B6458)"),"檢疫")</f>
        <v>檢疫</v>
      </c>
    </row>
    <row r="6459" ht="15.75" customHeight="1">
      <c r="A6459" s="4">
        <v>7824.0</v>
      </c>
      <c r="B6459" s="4" t="s">
        <v>3568</v>
      </c>
      <c r="D6459" s="4" t="s">
        <v>9416</v>
      </c>
      <c r="E6459" s="4">
        <v>0.0</v>
      </c>
      <c r="F6459" s="4" t="str">
        <f>IFERROR(__xludf.DUMMYFUNCTION("GOOGLETRANSLATE(D6459)"),"Reddit 現在將隔離攻擊性內容 http://t.co/FEIkC9FxED #onlinecommunities #reddit /via @wired")</f>
        <v>Reddit 現在將隔離攻擊性內容 http://t.co/FEIkC9FxED #onlinecommunities #reddit /via @wired</v>
      </c>
      <c r="G6459" s="4" t="str">
        <f>IFERROR(__xludf.DUMMYFUNCTION("GOOGLETRANSLATE(B6459)"),"檢疫")</f>
        <v>檢疫</v>
      </c>
    </row>
    <row r="6460" ht="15.75" customHeight="1">
      <c r="A6460" s="4">
        <v>7826.0</v>
      </c>
      <c r="B6460" s="4" t="s">
        <v>3568</v>
      </c>
      <c r="C6460" s="4" t="s">
        <v>9417</v>
      </c>
      <c r="D6460" s="4" t="s">
        <v>9418</v>
      </c>
      <c r="E6460" s="4">
        <v>0.0</v>
      </c>
      <c r="F6460" s="4" t="str">
        <f>IFERROR(__xludf.DUMMYFUNCTION("GOOGLETRANSLATE(D6460)"),"《連線》：Reddit 現在將隔離攻擊性內容 - Reddit 聯合創始人兼首席執行官 Steve Huffman 公佈了更多內容... http://t.co/aByHRgsS1s")</f>
        <v>《連線》：Reddit 現在將隔離攻擊性內容 - Reddit 聯合創始人兼首席執行官 Steve Huffman 公佈了更多內容... http://t.co/aByHRgsS1s</v>
      </c>
      <c r="G6460" s="4" t="str">
        <f>IFERROR(__xludf.DUMMYFUNCTION("GOOGLETRANSLATE(B6460)"),"檢疫")</f>
        <v>檢疫</v>
      </c>
    </row>
    <row r="6461" ht="15.75" customHeight="1">
      <c r="A6461" s="4">
        <v>7827.0</v>
      </c>
      <c r="B6461" s="4" t="s">
        <v>3568</v>
      </c>
      <c r="D6461" s="4" t="s">
        <v>9419</v>
      </c>
      <c r="E6461" s="4">
        <v>0.0</v>
      </c>
      <c r="F6461" s="4" t="str">
        <f>IFERROR(__xludf.DUMMYFUNCTION("GOOGLETRANSLATE(D6461)"),"@missambear 你的推文被 @WIRED 引用 http://t.co/E90J3vJOLc")</f>
        <v>@missambear 你的推文被 @WIRED 引用 http://t.co/E90J3vJOLc</v>
      </c>
      <c r="G6461" s="4" t="str">
        <f>IFERROR(__xludf.DUMMYFUNCTION("GOOGLETRANSLATE(B6461)"),"檢疫")</f>
        <v>檢疫</v>
      </c>
    </row>
    <row r="6462" ht="15.75" customHeight="1">
      <c r="A6462" s="4">
        <v>7828.0</v>
      </c>
      <c r="B6462" s="4" t="s">
        <v>3568</v>
      </c>
      <c r="D6462" s="4" t="s">
        <v>9420</v>
      </c>
      <c r="E6462" s="4">
        <v>0.0</v>
      </c>
      <c r="F6462" s="4" t="str">
        <f>IFERROR(__xludf.DUMMYFUNCTION("GOOGLETRANSLATE(D6462)"),"又一家公司試圖審查網路。 Reddit 已開始隔離其內容：http://t.co/pG4y3I5ciu #cc")</f>
        <v>又一家公司試圖審查網路。 Reddit 已開始隔離其內容：http://t.co/pG4y3I5ciu #cc</v>
      </c>
      <c r="G6462" s="4" t="str">
        <f>IFERROR(__xludf.DUMMYFUNCTION("GOOGLETRANSLATE(B6462)"),"檢疫")</f>
        <v>檢疫</v>
      </c>
    </row>
    <row r="6463" ht="15.75" customHeight="1">
      <c r="A6463" s="4">
        <v>7830.0</v>
      </c>
      <c r="B6463" s="4" t="s">
        <v>3568</v>
      </c>
      <c r="C6463" s="4" t="s">
        <v>9421</v>
      </c>
      <c r="D6463" s="4" t="s">
        <v>9422</v>
      </c>
      <c r="E6463" s="4">
        <v>0.0</v>
      </c>
      <c r="F6463" s="4" t="str">
        <f>IFERROR(__xludf.DUMMYFUNCTION("GOOGLETRANSLATE(D6463)"),"Reddit 現在將隔離攻擊性內容：Reddit 聯合創始人兼執行長 Steve Huffman 公佈了更多具體資訊... http://t.co/TDEUKJzzII")</f>
        <v>Reddit 現在將隔離攻擊性內容：Reddit 聯合創始人兼執行長 Steve Huffman 公佈了更多具體資訊... http://t.co/TDEUKJzzII</v>
      </c>
      <c r="G6463" s="4" t="str">
        <f>IFERROR(__xludf.DUMMYFUNCTION("GOOGLETRANSLATE(B6463)"),"檢疫")</f>
        <v>檢疫</v>
      </c>
    </row>
    <row r="6464" ht="15.75" customHeight="1">
      <c r="A6464" s="4">
        <v>7831.0</v>
      </c>
      <c r="B6464" s="4" t="s">
        <v>3568</v>
      </c>
      <c r="C6464" s="4" t="s">
        <v>38</v>
      </c>
      <c r="D6464" s="4" t="s">
        <v>9423</v>
      </c>
      <c r="E6464" s="4">
        <v>0.0</v>
      </c>
      <c r="F6464" s="4" t="str">
        <f>IFERROR(__xludf.DUMMYFUNCTION("GOOGLETRANSLATE(D6464)"),"Reddit 現在將隔離攻勢Û_ http://t.co/wjWYJBncat #onlinecommunities #reddit #amgeddon #freespeech http://t.co/0Erisq25KT")</f>
        <v>Reddit 現在將隔離攻勢Û_ http://t.co/wjWYJBncat #onlinecommunities #reddit #amgeddon #freespeech http://t.co/0Erisq25KT</v>
      </c>
      <c r="G6464" s="4" t="str">
        <f>IFERROR(__xludf.DUMMYFUNCTION("GOOGLETRANSLATE(B6464)"),"檢疫")</f>
        <v>檢疫</v>
      </c>
    </row>
    <row r="6465" ht="15.75" customHeight="1">
      <c r="A6465" s="4">
        <v>7832.0</v>
      </c>
      <c r="B6465" s="4" t="s">
        <v>3568</v>
      </c>
      <c r="C6465" s="4" t="s">
        <v>9424</v>
      </c>
      <c r="D6465" s="4" t="s">
        <v>9425</v>
      </c>
      <c r="E6465" s="4">
        <v>0.0</v>
      </c>
      <c r="F6465" s="4" t="str">
        <f>IFERROR(__xludf.DUMMYFUNCTION("GOOGLETRANSLATE(D6465)"),"Reddit 現在將隔離攻擊性內容：Reddit 聯合創始人兼執行長 Steve Huffman 公佈了更多具體內容... http://t.co/T7gE0j3CAy")</f>
        <v>Reddit 現在將隔離攻擊性內容：Reddit 聯合創始人兼執行長 Steve Huffman 公佈了更多具體內容... http://t.co/T7gE0j3CAy</v>
      </c>
      <c r="G6465" s="4" t="str">
        <f>IFERROR(__xludf.DUMMYFUNCTION("GOOGLETRANSLATE(B6465)"),"檢疫")</f>
        <v>檢疫</v>
      </c>
    </row>
    <row r="6466" ht="15.75" customHeight="1">
      <c r="A6466" s="4">
        <v>7833.0</v>
      </c>
      <c r="B6466" s="4" t="s">
        <v>3568</v>
      </c>
      <c r="C6466" s="4" t="s">
        <v>9426</v>
      </c>
      <c r="D6466" s="4" t="s">
        <v>9427</v>
      </c>
      <c r="E6466" s="4">
        <v>0.0</v>
      </c>
      <c r="F6466" s="4" t="str">
        <f>IFERROR(__xludf.DUMMYFUNCTION("GOOGLETRANSLATE(D6466)"),"Reddit 現在將隔離攻擊性內容 http://t.co/NAS3IPm5vh")</f>
        <v>Reddit 現在將隔離攻擊性內容 http://t.co/NAS3IPm5vh</v>
      </c>
      <c r="G6466" s="4" t="str">
        <f>IFERROR(__xludf.DUMMYFUNCTION("GOOGLETRANSLATE(B6466)"),"檢疫")</f>
        <v>檢疫</v>
      </c>
    </row>
    <row r="6467" ht="15.75" customHeight="1">
      <c r="A6467" s="4">
        <v>7835.0</v>
      </c>
      <c r="B6467" s="4" t="s">
        <v>3568</v>
      </c>
      <c r="D6467" s="4" t="s">
        <v>9428</v>
      </c>
      <c r="E6467" s="4">
        <v>0.0</v>
      </c>
      <c r="F6467" s="4" t="str">
        <f>IFERROR(__xludf.DUMMYFUNCTION("GOOGLETRANSLATE(D6467)"),"Reddit 現在將隔離攻擊性內容 http://t.co/unNx71v8qc")</f>
        <v>Reddit 現在將隔離攻擊性內容 http://t.co/unNx71v8qc</v>
      </c>
      <c r="G6467" s="4" t="str">
        <f>IFERROR(__xludf.DUMMYFUNCTION("GOOGLETRANSLATE(B6467)"),"檢疫")</f>
        <v>檢疫</v>
      </c>
    </row>
    <row r="6468" ht="15.75" customHeight="1">
      <c r="A6468" s="4">
        <v>7837.0</v>
      </c>
      <c r="B6468" s="4" t="s">
        <v>3568</v>
      </c>
      <c r="D6468" s="4" t="s">
        <v>9429</v>
      </c>
      <c r="E6468" s="4">
        <v>0.0</v>
      </c>
      <c r="F6468" s="4" t="str">
        <f>IFERROR(__xludf.DUMMYFUNCTION("GOOGLETRANSLATE(D6468)"),"Reddit 現在將隔離進攻性內容 http://t.co/Gllawb2FSk http://t.co/3kaAfuoztc")</f>
        <v>Reddit 現在將隔離進攻性內容 http://t.co/Gllawb2FSk http://t.co/3kaAfuoztc</v>
      </c>
      <c r="G6468" s="4" t="str">
        <f>IFERROR(__xludf.DUMMYFUNCTION("GOOGLETRANSLATE(B6468)"),"檢疫")</f>
        <v>檢疫</v>
      </c>
    </row>
    <row r="6469" ht="15.75" customHeight="1">
      <c r="A6469" s="4">
        <v>7839.0</v>
      </c>
      <c r="B6469" s="4" t="s">
        <v>3568</v>
      </c>
      <c r="C6469" s="4" t="s">
        <v>183</v>
      </c>
      <c r="D6469" s="4" t="s">
        <v>9430</v>
      </c>
      <c r="E6469" s="4">
        <v>0.0</v>
      </c>
      <c r="F6469" s="4" t="str">
        <f>IFERROR(__xludf.DUMMYFUNCTION("GOOGLETRANSLATE(D6469)"),"Reddit 更新內容政策承諾隔離極具攻擊性的社群 http://t.co/PLmIWOfpom")</f>
        <v>Reddit 更新內容政策承諾隔離極具攻擊性的社群 http://t.co/PLmIWOfpom</v>
      </c>
      <c r="G6469" s="4" t="str">
        <f>IFERROR(__xludf.DUMMYFUNCTION("GOOGLETRANSLATE(B6469)"),"檢疫")</f>
        <v>檢疫</v>
      </c>
    </row>
    <row r="6470" ht="15.75" customHeight="1">
      <c r="A6470" s="4">
        <v>7840.0</v>
      </c>
      <c r="B6470" s="4" t="s">
        <v>3568</v>
      </c>
      <c r="C6470" s="4" t="s">
        <v>3871</v>
      </c>
      <c r="D6470" s="4" t="s">
        <v>9431</v>
      </c>
      <c r="E6470" s="4">
        <v>0.0</v>
      </c>
      <c r="F6470" s="4" t="str">
        <f>IFERROR(__xludf.DUMMYFUNCTION("GOOGLETRANSLATE(D6470)"),"非常喜歡芝加哥，以至於它讓我陷入了紅眼症。現在我坐在隔離區和黑暗中進行設計。")</f>
        <v>非常喜歡芝加哥，以至於它讓我陷入了紅眼症。現在我坐在隔離區和黑暗中進行設計。</v>
      </c>
      <c r="G6470" s="4" t="str">
        <f>IFERROR(__xludf.DUMMYFUNCTION("GOOGLETRANSLATE(B6470)"),"檢疫")</f>
        <v>檢疫</v>
      </c>
    </row>
    <row r="6471" ht="15.75" customHeight="1">
      <c r="A6471" s="4">
        <v>7842.0</v>
      </c>
      <c r="B6471" s="4" t="s">
        <v>3568</v>
      </c>
      <c r="C6471" s="4" t="s">
        <v>9432</v>
      </c>
      <c r="D6471" s="4" t="s">
        <v>9433</v>
      </c>
      <c r="E6471" s="4">
        <v>0.0</v>
      </c>
      <c r="F6471" s="4" t="str">
        <f>IFERROR(__xludf.DUMMYFUNCTION("GOOGLETRANSLATE(D6471)"),"Reddit 現在將隔離攻擊性內容 http://t.co/LOdOrmTfSq")</f>
        <v>Reddit 現在將隔離攻擊性內容 http://t.co/LOdOrmTfSq</v>
      </c>
      <c r="G6471" s="4" t="str">
        <f>IFERROR(__xludf.DUMMYFUNCTION("GOOGLETRANSLATE(B6471)"),"檢疫")</f>
        <v>檢疫</v>
      </c>
    </row>
    <row r="6472" ht="15.75" customHeight="1">
      <c r="A6472" s="4">
        <v>7843.0</v>
      </c>
      <c r="B6472" s="4" t="s">
        <v>3568</v>
      </c>
      <c r="D6472" s="4" t="s">
        <v>9434</v>
      </c>
      <c r="E6472" s="4">
        <v>0.0</v>
      </c>
      <c r="F6472" s="4" t="str">
        <f>IFERROR(__xludf.DUMMYFUNCTION("GOOGLETRANSLATE(D6472)"),"Reddit 現在將隔離進攻性內容 https://t.co/MjbIUvbMo6 http://t.co/I5cdTD8ftj")</f>
        <v>Reddit 現在將隔離進攻性內容 https://t.co/MjbIUvbMo6 http://t.co/I5cdTD8ftj</v>
      </c>
      <c r="G6472" s="4" t="str">
        <f>IFERROR(__xludf.DUMMYFUNCTION("GOOGLETRANSLATE(B6472)"),"檢疫")</f>
        <v>檢疫</v>
      </c>
    </row>
    <row r="6473" ht="15.75" customHeight="1">
      <c r="A6473" s="4">
        <v>7847.0</v>
      </c>
      <c r="B6473" s="4" t="s">
        <v>3577</v>
      </c>
      <c r="D6473" s="4" t="s">
        <v>9435</v>
      </c>
      <c r="E6473" s="4">
        <v>0.0</v>
      </c>
      <c r="F6473" s="4" t="str">
        <f>IFERROR(__xludf.DUMMYFUNCTION("GOOGLETRANSLATE(D6473)"),"頂部連結：Reddit 的新內容政策生效，許多可怕的 subreddit 被禁止或隔離 http://t.co/u9ao3A4oGC")</f>
        <v>頂部連結：Reddit 的新內容政策生效，許多可怕的 subreddit 被禁止或隔離 http://t.co/u9ao3A4oGC</v>
      </c>
      <c r="G6473" s="4" t="str">
        <f>IFERROR(__xludf.DUMMYFUNCTION("GOOGLETRANSLATE(B6473)"),"被隔離")</f>
        <v>被隔離</v>
      </c>
    </row>
    <row r="6474" ht="15.75" customHeight="1">
      <c r="A6474" s="4">
        <v>7848.0</v>
      </c>
      <c r="B6474" s="4" t="s">
        <v>3577</v>
      </c>
      <c r="D6474" s="4" t="s">
        <v>9436</v>
      </c>
      <c r="E6474" s="4">
        <v>0.0</v>
      </c>
      <c r="F6474" s="4" t="str">
        <f>IFERROR(__xludf.DUMMYFUNCTION("GOOGLETRANSLATE(D6474)"),"當你被隔離在不列顛哥倫比亞省的一個小角落時，你病得太重，無法去辦公室，但工作堆積如山，他們有一天需要你")</f>
        <v>當你被隔離在不列顛哥倫比亞省的一個小角落時，你病得太重，無法去辦公室，但工作堆積如山，他們有一天需要你</v>
      </c>
      <c r="G6474" s="4" t="str">
        <f>IFERROR(__xludf.DUMMYFUNCTION("GOOGLETRANSLATE(B6474)"),"被隔離")</f>
        <v>被隔離</v>
      </c>
    </row>
    <row r="6475" ht="15.75" customHeight="1">
      <c r="A6475" s="4">
        <v>7849.0</v>
      </c>
      <c r="B6475" s="4" t="s">
        <v>3577</v>
      </c>
      <c r="C6475" s="4" t="s">
        <v>2937</v>
      </c>
      <c r="D6475" s="4" t="s">
        <v>9437</v>
      </c>
      <c r="E6475" s="4">
        <v>0.0</v>
      </c>
      <c r="F6475" s="4" t="str">
        <f>IFERROR(__xludf.DUMMYFUNCTION("GOOGLETRANSLATE(D6475)"),"Reddit 的新內容政策生效，許多可怕的 subreddits 被禁止或隔離 http://t.co/ohbV7YvtL5 http://t.co/YmuTi3ND9r")</f>
        <v>Reddit 的新內容政策生效，許多可怕的 subreddits 被禁止或隔離 http://t.co/ohbV7YvtL5 http://t.co/YmuTi3ND9r</v>
      </c>
      <c r="G6475" s="4" t="str">
        <f>IFERROR(__xludf.DUMMYFUNCTION("GOOGLETRANSLATE(B6475)"),"被隔離")</f>
        <v>被隔離</v>
      </c>
    </row>
    <row r="6476" ht="15.75" customHeight="1">
      <c r="A6476" s="4">
        <v>7850.0</v>
      </c>
      <c r="B6476" s="4" t="s">
        <v>3577</v>
      </c>
      <c r="C6476" s="4" t="s">
        <v>9124</v>
      </c>
      <c r="D6476" s="4" t="s">
        <v>9438</v>
      </c>
      <c r="E6476" s="4">
        <v>0.0</v>
      </c>
      <c r="F6476" s="4" t="str">
        <f>IFERROR(__xludf.DUMMYFUNCTION("GOOGLETRANSLATE(D6476)"),"頂部連結：Reddit 的新內容政策生效，許多可怕的 subreddit 被禁止或隔離 http://t.co/o8XvTLP4mF")</f>
        <v>頂部連結：Reddit 的新內容政策生效，許多可怕的 subreddit 被禁止或隔離 http://t.co/o8XvTLP4mF</v>
      </c>
      <c r="G6476" s="4" t="str">
        <f>IFERROR(__xludf.DUMMYFUNCTION("GOOGLETRANSLATE(B6476)"),"被隔離")</f>
        <v>被隔離</v>
      </c>
    </row>
    <row r="6477" ht="15.75" customHeight="1">
      <c r="A6477" s="4">
        <v>7851.0</v>
      </c>
      <c r="B6477" s="4" t="s">
        <v>3577</v>
      </c>
      <c r="C6477" s="4" t="s">
        <v>40</v>
      </c>
      <c r="D6477" s="4" t="s">
        <v>9439</v>
      </c>
      <c r="E6477" s="4">
        <v>0.0</v>
      </c>
      <c r="F6477" s="4" t="str">
        <f>IFERROR(__xludf.DUMMYFUNCTION("GOOGLETRANSLATE(D6477)"),"#hot Reddit 的新內容政策生效，許多可怕的 subreddit 被禁止或隔離 http://t.co/uiSNqIu3iF #prebreak #best")</f>
        <v>#hot Reddit 的新內容政策生效，許多可怕的 subreddit 被禁止或隔離 http://t.co/uiSNqIu3iF #prebreak #best</v>
      </c>
      <c r="G6477" s="4" t="str">
        <f>IFERROR(__xludf.DUMMYFUNCTION("GOOGLETRANSLATE(B6477)"),"被隔離")</f>
        <v>被隔離</v>
      </c>
    </row>
    <row r="6478" ht="15.75" customHeight="1">
      <c r="A6478" s="4">
        <v>7854.0</v>
      </c>
      <c r="B6478" s="4" t="s">
        <v>3577</v>
      </c>
      <c r="C6478" s="4" t="s">
        <v>9440</v>
      </c>
      <c r="D6478" s="4" t="s">
        <v>9441</v>
      </c>
      <c r="E6478" s="4">
        <v>0.0</v>
      </c>
      <c r="F6478" s="4" t="str">
        <f>IFERROR(__xludf.DUMMYFUNCTION("GOOGLETRANSLATE(D6478)"),"#hot Reddit 的新內容政策生效，許多可怕的 subreddit 被禁止或隔離 http://t.co/algtcN8baf #prebreak #best")</f>
        <v>#hot Reddit 的新內容政策生效，許多可怕的 subreddit 被禁止或隔離 http://t.co/algtcN8baf #prebreak #best</v>
      </c>
      <c r="G6478" s="4" t="str">
        <f>IFERROR(__xludf.DUMMYFUNCTION("GOOGLETRANSLATE(B6478)"),"被隔離")</f>
        <v>被隔離</v>
      </c>
    </row>
    <row r="6479" ht="15.75" customHeight="1">
      <c r="A6479" s="4">
        <v>7855.0</v>
      </c>
      <c r="B6479" s="4" t="s">
        <v>3577</v>
      </c>
      <c r="C6479" s="4" t="s">
        <v>289</v>
      </c>
      <c r="D6479" s="4" t="s">
        <v>9442</v>
      </c>
      <c r="E6479" s="4">
        <v>0.0</v>
      </c>
      <c r="F6479" s="4" t="str">
        <f>IFERROR(__xludf.DUMMYFUNCTION("GOOGLETRANSLATE(D6479)"),"Reddit 的新內容政策生效，許多可怕的 Reddit 子版塊被禁止或隔離 http://t.co/M4TcZaawpT")</f>
        <v>Reddit 的新內容政策生效，許多可怕的 Reddit 子版塊被禁止或隔離 http://t.co/M4TcZaawpT</v>
      </c>
      <c r="G6479" s="4" t="str">
        <f>IFERROR(__xludf.DUMMYFUNCTION("GOOGLETRANSLATE(B6479)"),"被隔離")</f>
        <v>被隔離</v>
      </c>
    </row>
    <row r="6480" ht="15.75" customHeight="1">
      <c r="A6480" s="4">
        <v>7861.0</v>
      </c>
      <c r="B6480" s="4" t="s">
        <v>3577</v>
      </c>
      <c r="D6480" s="4" t="s">
        <v>9443</v>
      </c>
      <c r="E6480" s="4">
        <v>0.0</v>
      </c>
      <c r="F6480" s="4" t="str">
        <f>IFERROR(__xludf.DUMMYFUNCTION("GOOGLETRANSLATE(D6480)"),"他媽的是/r/antiPOZi 被隔離了。觸發了我們的麻煩。")</f>
        <v>他媽的是/r/antiPOZi 被隔離了。觸發了我們的麻煩。</v>
      </c>
      <c r="G6480" s="4" t="str">
        <f>IFERROR(__xludf.DUMMYFUNCTION("GOOGLETRANSLATE(B6480)"),"被隔離")</f>
        <v>被隔離</v>
      </c>
    </row>
    <row r="6481" ht="15.75" customHeight="1">
      <c r="A6481" s="4">
        <v>7863.0</v>
      </c>
      <c r="B6481" s="4" t="s">
        <v>3577</v>
      </c>
      <c r="C6481" s="4" t="s">
        <v>9444</v>
      </c>
      <c r="D6481" s="4" t="s">
        <v>9445</v>
      </c>
      <c r="E6481" s="4">
        <v>0.0</v>
      </c>
      <c r="F6481" s="4" t="str">
        <f>IFERROR(__xludf.DUMMYFUNCTION("GOOGLETRANSLATE(D6481)"),"Reddit 的新內容政策生效，許多可怕的 subreddits 被禁止或隔離 http://t.co/lFW4KUukeM http://t.co/k3mnk9HnZ5")</f>
        <v>Reddit 的新內容政策生效，許多可怕的 subreddits 被禁止或隔離 http://t.co/lFW4KUukeM http://t.co/k3mnk9HnZ5</v>
      </c>
      <c r="G6481" s="4" t="str">
        <f>IFERROR(__xludf.DUMMYFUNCTION("GOOGLETRANSLATE(B6481)"),"被隔離")</f>
        <v>被隔離</v>
      </c>
    </row>
    <row r="6482" ht="15.75" customHeight="1">
      <c r="A6482" s="4">
        <v>7864.0</v>
      </c>
      <c r="B6482" s="4" t="s">
        <v>3577</v>
      </c>
      <c r="D6482" s="4" t="s">
        <v>9446</v>
      </c>
      <c r="E6482" s="4">
        <v>0.0</v>
      </c>
      <c r="F6482" s="4" t="str">
        <f>IFERROR(__xludf.DUMMYFUNCTION("GOOGLETRANSLATE(D6482)"),"該子系統的使用者是否會被隔離？ http://t.co/9nLY2TovUD")</f>
        <v>該子系統的使用者是否會被隔離？ http://t.co/9nLY2TovUD</v>
      </c>
      <c r="G6482" s="4" t="str">
        <f>IFERROR(__xludf.DUMMYFUNCTION("GOOGLETRANSLATE(B6482)"),"被隔離")</f>
        <v>被隔離</v>
      </c>
    </row>
    <row r="6483" ht="15.75" customHeight="1">
      <c r="A6483" s="4">
        <v>7867.0</v>
      </c>
      <c r="B6483" s="4" t="s">
        <v>3577</v>
      </c>
      <c r="C6483" s="4" t="s">
        <v>38</v>
      </c>
      <c r="D6483" s="4" t="s">
        <v>9447</v>
      </c>
      <c r="E6483" s="4">
        <v>0.0</v>
      </c>
      <c r="F6483" s="4" t="str">
        <f>IFERROR(__xludf.DUMMYFUNCTION("GOOGLETRANSLATE(D6483)"),"@__ScrambledEggs 現在打電話：起亞在月底前被禁止或隔離")</f>
        <v>@__ScrambledEggs 現在打電話：起亞在月底前被禁止或隔離</v>
      </c>
      <c r="G6483" s="4" t="str">
        <f>IFERROR(__xludf.DUMMYFUNCTION("GOOGLETRANSLATE(B6483)"),"被隔離")</f>
        <v>被隔離</v>
      </c>
    </row>
    <row r="6484" ht="15.75" customHeight="1">
      <c r="A6484" s="4">
        <v>7870.0</v>
      </c>
      <c r="B6484" s="4" t="s">
        <v>3577</v>
      </c>
      <c r="D6484" s="4" t="s">
        <v>9448</v>
      </c>
      <c r="E6484" s="4">
        <v>0.0</v>
      </c>
      <c r="F6484" s="4" t="str">
        <f>IFERROR(__xludf.DUMMYFUNCTION("GOOGLETRANSLATE(D6484)"),"頂部連結：Reddit 的新內容政策生效，許多可怕的 subreddits 被禁止或隔離 http://t.co/BjVfk1ETe9")</f>
        <v>頂部連結：Reddit 的新內容政策生效，許多可怕的 subreddits 被禁止或隔離 http://t.co/BjVfk1ETe9</v>
      </c>
      <c r="G6484" s="4" t="str">
        <f>IFERROR(__xludf.DUMMYFUNCTION("GOOGLETRANSLATE(B6484)"),"被隔離")</f>
        <v>被隔離</v>
      </c>
    </row>
    <row r="6485" ht="15.75" customHeight="1">
      <c r="A6485" s="4">
        <v>7871.0</v>
      </c>
      <c r="B6485" s="4" t="s">
        <v>3577</v>
      </c>
      <c r="D6485" s="4" t="s">
        <v>9449</v>
      </c>
      <c r="E6485" s="4">
        <v>0.0</v>
      </c>
      <c r="F6485" s="4" t="str">
        <f>IFERROR(__xludf.DUMMYFUNCTION("GOOGLETRANSLATE(D6485)"),"Reddit 的新內容政策生效，許多可怕的 subreddits 被禁止或隔離 http://t.co/4oNvxncz8w http://t.co/tnggXNm6k8")</f>
        <v>Reddit 的新內容政策生效，許多可怕的 subreddits 被禁止或隔離 http://t.co/4oNvxncz8w http://t.co/tnggXNm6k8</v>
      </c>
      <c r="G6485" s="4" t="str">
        <f>IFERROR(__xludf.DUMMYFUNCTION("GOOGLETRANSLATE(B6485)"),"被隔離")</f>
        <v>被隔離</v>
      </c>
    </row>
    <row r="6486" ht="15.75" customHeight="1">
      <c r="A6486" s="4">
        <v>7872.0</v>
      </c>
      <c r="B6486" s="4" t="s">
        <v>3577</v>
      </c>
      <c r="C6486" s="4" t="s">
        <v>8516</v>
      </c>
      <c r="D6486" s="4" t="s">
        <v>9450</v>
      </c>
      <c r="E6486" s="4">
        <v>0.0</v>
      </c>
      <c r="F6486" s="4" t="str">
        <f>IFERROR(__xludf.DUMMYFUNCTION("GOOGLETRANSLATE(D6486)"),"頂部連結：Reddit 的新內容政策生效，許多可怕的 subreddit 被禁止或隔離 http://t.co/zCp5cszSLl")</f>
        <v>頂部連結：Reddit 的新內容政策生效，許多可怕的 subreddit 被禁止或隔離 http://t.co/zCp5cszSLl</v>
      </c>
      <c r="G6486" s="4" t="str">
        <f>IFERROR(__xludf.DUMMYFUNCTION("GOOGLETRANSLATE(B6486)"),"被隔離")</f>
        <v>被隔離</v>
      </c>
    </row>
    <row r="6487" ht="15.75" customHeight="1">
      <c r="A6487" s="4">
        <v>7876.0</v>
      </c>
      <c r="B6487" s="4" t="s">
        <v>3577</v>
      </c>
      <c r="D6487" s="4" t="s">
        <v>9451</v>
      </c>
      <c r="E6487" s="4">
        <v>0.0</v>
      </c>
      <c r="F6487" s="4" t="str">
        <f>IFERROR(__xludf.DUMMYFUNCTION("GOOGLETRANSLATE(D6487)"),"我只是說說而已。根據新的 Reddit 政策變化，我認為 /r/陰謀將被隔離，這對真相有多大危害 mÛ_")</f>
        <v>我只是說說而已。根據新的 Reddit 政策變化，我認為 /r/陰謀將被隔離，這對真相有多大危害 mÛ_</v>
      </c>
      <c r="G6487" s="4" t="str">
        <f>IFERROR(__xludf.DUMMYFUNCTION("GOOGLETRANSLATE(B6487)"),"被隔離")</f>
        <v>被隔離</v>
      </c>
    </row>
    <row r="6488" ht="15.75" customHeight="1">
      <c r="A6488" s="4">
        <v>7877.0</v>
      </c>
      <c r="B6488" s="4" t="s">
        <v>3577</v>
      </c>
      <c r="C6488" s="4" t="s">
        <v>9452</v>
      </c>
      <c r="D6488" s="4" t="s">
        <v>9453</v>
      </c>
      <c r="E6488" s="4">
        <v>0.0</v>
      </c>
      <c r="F6488" s="4" t="str">
        <f>IFERROR(__xludf.DUMMYFUNCTION("GOOGLETRANSLATE(D6488)"),"好吧，那隻貓被隔離在我的浴室裡...它喵喵叫的聲音很大，但我把電視聲音調大了...事情可能會好起來的")</f>
        <v>好吧，那隻貓被隔離在我的浴室裡...它喵喵叫的聲音很大，但我把電視聲音調大了...事情可能會好起來的</v>
      </c>
      <c r="G6488" s="4" t="str">
        <f>IFERROR(__xludf.DUMMYFUNCTION("GOOGLETRANSLATE(B6488)"),"被隔離")</f>
        <v>被隔離</v>
      </c>
    </row>
    <row r="6489" ht="15.75" customHeight="1">
      <c r="A6489" s="4">
        <v>7882.0</v>
      </c>
      <c r="B6489" s="4" t="s">
        <v>3577</v>
      </c>
      <c r="C6489" s="4" t="s">
        <v>2887</v>
      </c>
      <c r="D6489" s="4" t="s">
        <v>9454</v>
      </c>
      <c r="E6489" s="4">
        <v>0.0</v>
      </c>
      <c r="F6489" s="4" t="str">
        <f>IFERROR(__xludf.DUMMYFUNCTION("GOOGLETRANSLATE(D6489)"),"#hot Reddit 的新內容政策生效，許多可怕的 subreddit 被禁止或隔離 http://t.co/HqdCZzdmbN #prebreak #best")</f>
        <v>#hot Reddit 的新內容政策生效，許多可怕的 subreddit 被禁止或隔離 http://t.co/HqdCZzdmbN #prebreak #best</v>
      </c>
      <c r="G6489" s="4" t="str">
        <f>IFERROR(__xludf.DUMMYFUNCTION("GOOGLETRANSLATE(B6489)"),"被隔離")</f>
        <v>被隔離</v>
      </c>
    </row>
    <row r="6490" ht="15.75" customHeight="1">
      <c r="A6490" s="4">
        <v>7883.0</v>
      </c>
      <c r="B6490" s="4" t="s">
        <v>3577</v>
      </c>
      <c r="D6490" s="4" t="s">
        <v>9455</v>
      </c>
      <c r="E6490" s="4">
        <v>0.0</v>
      </c>
      <c r="F6490" s="4" t="str">
        <f>IFERROR(__xludf.DUMMYFUNCTION("GOOGLETRANSLATE(D6490)"),"Reddit 的新內容政策生效，許多可怕的 subreddit 被禁止或隔離 http://t.co/gix1gaYnXZ http://t.co/P93S2rFhx6")</f>
        <v>Reddit 的新內容政策生效，許多可怕的 subreddit 被禁止或隔離 http://t.co/gix1gaYnXZ http://t.co/P93S2rFhx6</v>
      </c>
      <c r="G6490" s="4" t="str">
        <f>IFERROR(__xludf.DUMMYFUNCTION("GOOGLETRANSLATE(B6490)"),"被隔離")</f>
        <v>被隔離</v>
      </c>
    </row>
    <row r="6491" ht="15.75" customHeight="1">
      <c r="A6491" s="4">
        <v>7885.0</v>
      </c>
      <c r="B6491" s="4" t="s">
        <v>3577</v>
      </c>
      <c r="C6491" s="4" t="s">
        <v>9456</v>
      </c>
      <c r="D6491" s="4" t="s">
        <v>9457</v>
      </c>
      <c r="E6491" s="4">
        <v>0.0</v>
      </c>
      <c r="F6491" s="4" t="str">
        <f>IFERROR(__xludf.DUMMYFUNCTION("GOOGLETRANSLATE(D6491)"),"嘿@reddit - 如果你隔離的人可以出去走走，那麼「隔離」的概念就沒有意義了。大約在他們想要的時候")</f>
        <v>嘿@reddit - 如果你隔離的人可以出去走走，那麼「隔離」的概念就沒有意義了。大約在他們想要的時候</v>
      </c>
      <c r="G6491" s="4" t="str">
        <f>IFERROR(__xludf.DUMMYFUNCTION("GOOGLETRANSLATE(B6491)"),"被隔離")</f>
        <v>被隔離</v>
      </c>
    </row>
    <row r="6492" ht="15.75" customHeight="1">
      <c r="A6492" s="4">
        <v>7889.0</v>
      </c>
      <c r="B6492" s="4" t="s">
        <v>3577</v>
      </c>
      <c r="C6492" s="4" t="s">
        <v>2968</v>
      </c>
      <c r="D6492" s="4" t="s">
        <v>9458</v>
      </c>
      <c r="E6492" s="4">
        <v>0.0</v>
      </c>
      <c r="F6492" s="4" t="str">
        <f>IFERROR(__xludf.DUMMYFUNCTION("GOOGLETRANSLATE(D6492)"),"頂部連結：Reddit 的新內容政策生效，許多可怕的 subreddit 被禁止或隔離 http://t.co/0lpu0gR2j0")</f>
        <v>頂部連結：Reddit 的新內容政策生效，許多可怕的 subreddit 被禁止或隔離 http://t.co/0lpu0gR2j0</v>
      </c>
      <c r="G6492" s="4" t="str">
        <f>IFERROR(__xludf.DUMMYFUNCTION("GOOGLETRANSLATE(B6492)"),"被隔離")</f>
        <v>被隔離</v>
      </c>
    </row>
    <row r="6493" ht="15.75" customHeight="1">
      <c r="A6493" s="4">
        <v>7891.0</v>
      </c>
      <c r="B6493" s="4" t="s">
        <v>3577</v>
      </c>
      <c r="C6493" s="4" t="s">
        <v>9459</v>
      </c>
      <c r="D6493" s="4" t="s">
        <v>9460</v>
      </c>
      <c r="E6493" s="4">
        <v>0.0</v>
      </c>
      <c r="F6493" s="4" t="str">
        <f>IFERROR(__xludf.DUMMYFUNCTION("GOOGLETRANSLATE(D6493)"),"無法下載補丁來修復 symantec 中的錯誤，因為它已隔離計算機，因此停止了所有無線交換。哈哈科技？？")</f>
        <v>無法下載補丁來修復 symantec 中的錯誤，因為它已隔離計算機，因此停止了所有無線交換。哈哈科技？？</v>
      </c>
      <c r="G6493" s="4" t="str">
        <f>IFERROR(__xludf.DUMMYFUNCTION("GOOGLETRANSLATE(B6493)"),"被隔離")</f>
        <v>被隔離</v>
      </c>
    </row>
    <row r="6494" ht="15.75" customHeight="1">
      <c r="A6494" s="4">
        <v>7893.0</v>
      </c>
      <c r="B6494" s="4" t="s">
        <v>3577</v>
      </c>
      <c r="C6494" s="4" t="s">
        <v>8520</v>
      </c>
      <c r="D6494" s="4" t="s">
        <v>9461</v>
      </c>
      <c r="E6494" s="4">
        <v>0.0</v>
      </c>
      <c r="F6494" s="4" t="str">
        <f>IFERROR(__xludf.DUMMYFUNCTION("GOOGLETRANSLATE(D6494)"),"頂部連結：Reddit 的新內容政策生效，許多可怕的 subreddit 被禁止或隔離 http://t.co/Cd2NG2Awql")</f>
        <v>頂部連結：Reddit 的新內容政策生效，許多可怕的 subreddit 被禁止或隔離 http://t.co/Cd2NG2Awql</v>
      </c>
      <c r="G6494" s="4" t="str">
        <f>IFERROR(__xludf.DUMMYFUNCTION("GOOGLETRANSLATE(B6494)"),"被隔離")</f>
        <v>被隔離</v>
      </c>
    </row>
    <row r="6495" ht="15.75" customHeight="1">
      <c r="A6495" s="4">
        <v>7894.0</v>
      </c>
      <c r="B6495" s="4" t="s">
        <v>3577</v>
      </c>
      <c r="C6495" s="4" t="s">
        <v>8516</v>
      </c>
      <c r="D6495" s="4" t="s">
        <v>9462</v>
      </c>
      <c r="E6495" s="4">
        <v>0.0</v>
      </c>
      <c r="F6495" s="4" t="str">
        <f>IFERROR(__xludf.DUMMYFUNCTION("GOOGLETRANSLATE(D6495)"),"#hot Reddit 的新內容政策生效，許多可怕的 subreddit 被禁止或隔離 http://t.co/VhrLsWvZql #prebreak #best")</f>
        <v>#hot Reddit 的新內容政策生效，許多可怕的 subreddit 被禁止或隔離 http://t.co/VhrLsWvZql #prebreak #best</v>
      </c>
      <c r="G6495" s="4" t="str">
        <f>IFERROR(__xludf.DUMMYFUNCTION("GOOGLETRANSLATE(B6495)"),"被隔離")</f>
        <v>被隔離</v>
      </c>
    </row>
    <row r="6496" ht="15.75" customHeight="1">
      <c r="A6496" s="4">
        <v>7895.0</v>
      </c>
      <c r="B6496" s="4" t="s">
        <v>3596</v>
      </c>
      <c r="C6496" s="4" t="s">
        <v>9463</v>
      </c>
      <c r="D6496" s="4" t="s">
        <v>9464</v>
      </c>
      <c r="E6496" s="4">
        <v>0.0</v>
      </c>
      <c r="F6496" s="4" t="str">
        <f>IFERROR(__xludf.DUMMYFUNCTION("GOOGLETRANSLATE(D6496)"),"http://t.co/X5XUMtoEkE 核子緊急情況 美國目前輻射水平監測站點")</f>
        <v>http://t.co/X5XUMtoEkE 核子緊急情況 美國目前輻射水平監測站點</v>
      </c>
      <c r="G6496" s="4" t="str">
        <f>IFERROR(__xludf.DUMMYFUNCTION("GOOGLETRANSLATE(B6496)"),"輻射%20緊急")</f>
        <v>輻射%20緊急</v>
      </c>
    </row>
    <row r="6497" ht="15.75" customHeight="1">
      <c r="A6497" s="4">
        <v>7903.0</v>
      </c>
      <c r="B6497" s="4" t="s">
        <v>3596</v>
      </c>
      <c r="C6497" s="4" t="s">
        <v>9465</v>
      </c>
      <c r="D6497" s="4" t="s">
        <v>9466</v>
      </c>
      <c r="E6497" s="4">
        <v>0.0</v>
      </c>
      <c r="F6497" s="4" t="str">
        <f>IFERROR(__xludf.DUMMYFUNCTION("GOOGLETRANSLATE(D6497)"),"美國能源部位於新墨西哥州的 WIPP 設施正在調查現場過濾器輻射讀數；已啟動緊急行動中心；說沒有異地發布。")</f>
        <v>美國能源部位於新墨西哥州的 WIPP 設施正在調查現場過濾器輻射讀數；已啟動緊急行動中心；說沒有異地發布。</v>
      </c>
      <c r="G6497" s="4" t="str">
        <f>IFERROR(__xludf.DUMMYFUNCTION("GOOGLETRANSLATE(B6497)"),"輻射%20緊急")</f>
        <v>輻射%20緊急</v>
      </c>
    </row>
    <row r="6498" ht="15.75" customHeight="1">
      <c r="A6498" s="4">
        <v>7907.0</v>
      </c>
      <c r="B6498" s="4" t="s">
        <v>3596</v>
      </c>
      <c r="D6498" s="4" t="s">
        <v>9467</v>
      </c>
      <c r="E6498" s="4">
        <v>0.0</v>
      </c>
      <c r="F6498" s="4" t="str">
        <f>IFERROR(__xludf.DUMMYFUNCTION("GOOGLETRANSLATE(D6498)"),"還有誰想要文件輻射應急程序 06 24 09 #radiation #emergency #procedures #06 #24 #09 http://t.co/HxwFBpP1b3")</f>
        <v>還有誰想要文件輻射應急程序 06 24 09 #radiation #emergency #procedures #06 #24 #09 http://t.co/HxwFBpP1b3</v>
      </c>
      <c r="G6498" s="4" t="str">
        <f>IFERROR(__xludf.DUMMYFUNCTION("GOOGLETRANSLATE(B6498)"),"輻射%20緊急")</f>
        <v>輻射%20緊急</v>
      </c>
    </row>
    <row r="6499" ht="15.75" customHeight="1">
      <c r="A6499" s="4">
        <v>7908.0</v>
      </c>
      <c r="B6499" s="4" t="s">
        <v>3596</v>
      </c>
      <c r="C6499" s="4" t="s">
        <v>9468</v>
      </c>
      <c r="D6499" s="4" t="s">
        <v>9469</v>
      </c>
      <c r="E6499" s="4">
        <v>0.0</v>
      </c>
      <c r="F6499" s="4" t="str">
        <f>IFERROR(__xludf.DUMMYFUNCTION("GOOGLETRANSLATE(D6499)"),"#CCOT #TCOT #輻射核緊急追蹤中心
http://t.co/KF74o2mcsC
https://t.co/N2ZHrChCGV")</f>
        <v>#CCOT #TCOT #輻射核緊急追蹤中心
http://t.co/KF74o2mcsC
https://t.co/N2ZHrChCGV</v>
      </c>
      <c r="G6499" s="4" t="str">
        <f>IFERROR(__xludf.DUMMYFUNCTION("GOOGLETRANSLATE(B6499)"),"輻射%20緊急")</f>
        <v>輻射%20緊急</v>
      </c>
    </row>
    <row r="6500" ht="15.75" customHeight="1">
      <c r="A6500" s="4">
        <v>7909.0</v>
      </c>
      <c r="B6500" s="4" t="s">
        <v>3604</v>
      </c>
      <c r="C6500" s="4" t="s">
        <v>9470</v>
      </c>
      <c r="D6500" s="4" t="s">
        <v>9471</v>
      </c>
      <c r="E6500" s="4">
        <v>0.0</v>
      </c>
      <c r="F6500" s="4" t="str">
        <f>IFERROR(__xludf.DUMMYFUNCTION("GOOGLETRANSLATE(D6500)"),"由於昨晚的暴雨，娛樂廳正在進行紙杯蛋糕裝飾！ 2 美元 - 繼續#IWK！ http://t.co/EaRONLwIFh")</f>
        <v>由於昨晚的暴雨，娛樂廳正在進行紙杯蛋糕裝飾！ 2 美元 - 繼續#IWK！ http://t.co/EaRONLwIFh</v>
      </c>
      <c r="G6500" s="4" t="str">
        <f>IFERROR(__xludf.DUMMYFUNCTION("GOOGLETRANSLATE(B6500)"),"暴雨")</f>
        <v>暴雨</v>
      </c>
    </row>
    <row r="6501" ht="15.75" customHeight="1">
      <c r="A6501" s="4">
        <v>7912.0</v>
      </c>
      <c r="B6501" s="4" t="s">
        <v>3604</v>
      </c>
      <c r="C6501" s="4" t="s">
        <v>9472</v>
      </c>
      <c r="D6501" s="4" t="s">
        <v>9473</v>
      </c>
      <c r="E6501" s="4">
        <v>0.0</v>
      </c>
      <c r="F6501" s="4" t="str">
        <f>IFERROR(__xludf.DUMMYFUNCTION("GOOGLETRANSLATE(D6501)"),"@myrtlegroggins &lt;喘氣！&gt;我忘記週日了！我的天啊")</f>
        <v>@myrtlegroggins &lt;喘氣！&gt;我忘記週日了！我的天啊</v>
      </c>
      <c r="G6501" s="4" t="str">
        <f>IFERROR(__xludf.DUMMYFUNCTION("GOOGLETRANSLATE(B6501)"),"暴雨")</f>
        <v>暴雨</v>
      </c>
    </row>
    <row r="6502" ht="15.75" customHeight="1">
      <c r="A6502" s="4">
        <v>7915.0</v>
      </c>
      <c r="B6502" s="4" t="s">
        <v>3604</v>
      </c>
      <c r="C6502" s="4" t="s">
        <v>9474</v>
      </c>
      <c r="D6502" s="4" t="s">
        <v>9475</v>
      </c>
      <c r="E6502" s="4">
        <v>0.0</v>
      </c>
      <c r="F6502" s="4" t="str">
        <f>IFERROR(__xludf.DUMMYFUNCTION("GOOGLETRANSLATE(D6502)"),"和吉姆·阿爾維斯一起去海灘意味著一場暴雨肯定會發生。 #幸運http://t.co/fejs0Bu0sq")</f>
        <v>和吉姆·阿爾維斯一起去海灘意味著一場暴雨肯定會發生。 #幸運http://t.co/fejs0Bu0sq</v>
      </c>
      <c r="G6502" s="4" t="str">
        <f>IFERROR(__xludf.DUMMYFUNCTION("GOOGLETRANSLATE(B6502)"),"暴雨")</f>
        <v>暴雨</v>
      </c>
    </row>
    <row r="6503" ht="15.75" customHeight="1">
      <c r="A6503" s="4">
        <v>7916.0</v>
      </c>
      <c r="B6503" s="4" t="s">
        <v>3604</v>
      </c>
      <c r="D6503" s="4" t="s">
        <v>9476</v>
      </c>
      <c r="E6503" s="4">
        <v>0.0</v>
      </c>
      <c r="F6503" s="4" t="str">
        <f>IFERROR(__xludf.DUMMYFUNCTION("GOOGLETRANSLATE(D6503)"),"#DnB #NewRelease EDGE Jimmy - 夏日暴雨（拉帕卡聲音）http://t.co/4L8h2FKlNO 取自 http://t.co/ZITQKDFXJY")</f>
        <v>#DnB #NewRelease EDGE Jimmy - 夏日暴雨（拉帕卡聲音）http://t.co/4L8h2FKlNO 取自 http://t.co/ZITQKDFXJY</v>
      </c>
      <c r="G6503" s="4" t="str">
        <f>IFERROR(__xludf.DUMMYFUNCTION("GOOGLETRANSLATE(B6503)"),"暴雨")</f>
        <v>暴雨</v>
      </c>
    </row>
    <row r="6504" ht="15.75" customHeight="1">
      <c r="A6504" s="4">
        <v>7926.0</v>
      </c>
      <c r="B6504" s="4" t="s">
        <v>3604</v>
      </c>
      <c r="C6504" s="4" t="s">
        <v>9477</v>
      </c>
      <c r="D6504" s="4" t="s">
        <v>9478</v>
      </c>
      <c r="E6504" s="4">
        <v>0.0</v>
      </c>
      <c r="F6504" s="4" t="str">
        <f>IFERROR(__xludf.DUMMYFUNCTION("GOOGLETRANSLATE(D6504)"),"被困在暴雨中？保持向路中間行駛。大多數街道都是加冕的，因此水往往會積聚在兩側。")</f>
        <v>被困在暴雨中？保持向路中間行駛。大多數街道都是加冕的，因此水往往會積聚在兩側。</v>
      </c>
      <c r="G6504" s="4" t="str">
        <f>IFERROR(__xludf.DUMMYFUNCTION("GOOGLETRANSLATE(B6504)"),"暴雨")</f>
        <v>暴雨</v>
      </c>
    </row>
    <row r="6505" ht="15.75" customHeight="1">
      <c r="A6505" s="4">
        <v>7932.0</v>
      </c>
      <c r="B6505" s="4" t="s">
        <v>3604</v>
      </c>
      <c r="C6505" s="4" t="s">
        <v>237</v>
      </c>
      <c r="D6505" s="4" t="s">
        <v>9479</v>
      </c>
      <c r="E6505" s="4">
        <v>0.0</v>
      </c>
      <c r="F6505" s="4" t="str">
        <f>IFERROR(__xludf.DUMMYFUNCTION("GOOGLETRANSLATE(D6505)"),"如果你不能享受暴風雨和海浪的轟鳴，一些滾動Û_ https://t.co/DlVYFvnQee")</f>
        <v>如果你不能享受暴風雨和海浪的轟鳴，一些滾動Û_ https://t.co/DlVYFvnQee</v>
      </c>
      <c r="G6505" s="4" t="str">
        <f>IFERROR(__xludf.DUMMYFUNCTION("GOOGLETRANSLATE(B6505)"),"暴雨")</f>
        <v>暴雨</v>
      </c>
    </row>
    <row r="6506" ht="15.75" customHeight="1">
      <c r="A6506" s="4">
        <v>7933.0</v>
      </c>
      <c r="B6506" s="4" t="s">
        <v>3604</v>
      </c>
      <c r="D6506" s="4" t="s">
        <v>9480</v>
      </c>
      <c r="E6506" s="4">
        <v>0.0</v>
      </c>
      <c r="F6506" s="4" t="str">
        <f>IFERROR(__xludf.DUMMYFUNCTION("GOOGLETRANSLATE(D6506)"),"Robot_Rainstorm：#Castle Fantasy Football 隊有兩個空缺！加入我們。這很有趣。 ??")</f>
        <v>Robot_Rainstorm：#Castle Fantasy Football 隊有兩個空缺！加入我們。這很有趣。 ??</v>
      </c>
      <c r="G6506" s="4" t="str">
        <f>IFERROR(__xludf.DUMMYFUNCTION("GOOGLETRANSLATE(B6506)"),"暴雨")</f>
        <v>暴雨</v>
      </c>
    </row>
    <row r="6507" ht="15.75" customHeight="1">
      <c r="A6507" s="4">
        <v>7934.0</v>
      </c>
      <c r="B6507" s="4" t="s">
        <v>3604</v>
      </c>
      <c r="D6507" s="4" t="s">
        <v>9481</v>
      </c>
      <c r="E6507" s="4">
        <v>0.0</v>
      </c>
      <c r="F6507" s="4" t="str">
        <f>IFERROR(__xludf.DUMMYFUNCTION("GOOGLETRANSLATE(D6507)"),"@Calum5SOS，你看起來像是陷入了暴風雨，這既令人驚奇又令人噁心")</f>
        <v>@Calum5SOS，你看起來像是陷入了暴風雨，這既令人驚奇又令人噁心</v>
      </c>
      <c r="G6507" s="4" t="str">
        <f>IFERROR(__xludf.DUMMYFUNCTION("GOOGLETRANSLATE(B6507)"),"暴雨")</f>
        <v>暴雨</v>
      </c>
    </row>
    <row r="6508" ht="15.75" customHeight="1">
      <c r="A6508" s="4">
        <v>7938.0</v>
      </c>
      <c r="B6508" s="4" t="s">
        <v>3604</v>
      </c>
      <c r="C6508" s="4" t="s">
        <v>6433</v>
      </c>
      <c r="D6508" s="4" t="s">
        <v>9482</v>
      </c>
      <c r="E6508" s="4">
        <v>0.0</v>
      </c>
      <c r="F6508" s="4" t="str">
        <f>IFERROR(__xludf.DUMMYFUNCTION("GOOGLETRANSLATE(D6508)"),"雨雨走開…雨季即將來臨
------&gt; http://t.co/jQFcY9GuqV &lt;----- http://t.co/tN65puhfhw")</f>
        <v>雨雨走開…雨季即將來臨
------&gt; http://t.co/jQFcY9GuqV &lt;----- http://t.co/tN65puhfhw</v>
      </c>
      <c r="G6508" s="4" t="str">
        <f>IFERROR(__xludf.DUMMYFUNCTION("GOOGLETRANSLATE(B6508)"),"暴雨")</f>
        <v>暴雨</v>
      </c>
    </row>
    <row r="6509" ht="15.75" customHeight="1">
      <c r="A6509" s="4">
        <v>7939.0</v>
      </c>
      <c r="B6509" s="4" t="s">
        <v>3604</v>
      </c>
      <c r="C6509" s="4" t="s">
        <v>9472</v>
      </c>
      <c r="D6509" s="4" t="s">
        <v>9483</v>
      </c>
      <c r="E6509" s="4">
        <v>0.0</v>
      </c>
      <c r="F6509" s="4" t="str">
        <f>IFERROR(__xludf.DUMMYFUNCTION("GOOGLETRANSLATE(D6509)"),"@NathanFillion 幾乎沒有！ ??")</f>
        <v>@NathanFillion 幾乎沒有！ ??</v>
      </c>
      <c r="G6509" s="4" t="str">
        <f>IFERROR(__xludf.DUMMYFUNCTION("GOOGLETRANSLATE(B6509)"),"暴雨")</f>
        <v>暴雨</v>
      </c>
    </row>
    <row r="6510" ht="15.75" customHeight="1">
      <c r="A6510" s="4">
        <v>7943.0</v>
      </c>
      <c r="B6510" s="4" t="s">
        <v>3604</v>
      </c>
      <c r="C6510" s="4" t="s">
        <v>915</v>
      </c>
      <c r="D6510" s="4" t="s">
        <v>9484</v>
      </c>
      <c r="E6510" s="4">
        <v>0.0</v>
      </c>
      <c r="F6510" s="4" t="str">
        <f>IFERROR(__xludf.DUMMYFUNCTION("GOOGLETRANSLATE(D6510)"),"@Robot_Rainstorm 我對他們使用的字體有點感興趣。")</f>
        <v>@Robot_Rainstorm 我對他們使用的字體有點感興趣。</v>
      </c>
      <c r="G6510" s="4" t="str">
        <f>IFERROR(__xludf.DUMMYFUNCTION("GOOGLETRANSLATE(B6510)"),"暴雨")</f>
        <v>暴雨</v>
      </c>
    </row>
    <row r="6511" ht="15.75" customHeight="1">
      <c r="A6511" s="4">
        <v>7945.0</v>
      </c>
      <c r="B6511" s="4" t="s">
        <v>3604</v>
      </c>
      <c r="C6511" s="4" t="s">
        <v>9485</v>
      </c>
      <c r="D6511" s="4" t="s">
        <v>9486</v>
      </c>
      <c r="E6511" s="4">
        <v>0.0</v>
      </c>
      <c r="F6511" s="4" t="str">
        <f>IFERROR(__xludf.DUMMYFUNCTION("GOOGLETRANSLATE(D6511)"),"最好相信在這場暴雨期間，所有錯誤的決定都是在孟菲斯的街道上做出的，哈哈，我的鄉親母鹿")</f>
        <v>最好相信在這場暴雨期間，所有錯誤的決定都是在孟菲斯的街道上做出的，哈哈，我的鄉親母鹿</v>
      </c>
      <c r="G6511" s="4" t="str">
        <f>IFERROR(__xludf.DUMMYFUNCTION("GOOGLETRANSLATE(B6511)"),"暴雨")</f>
        <v>暴雨</v>
      </c>
    </row>
    <row r="6512" ht="15.75" customHeight="1">
      <c r="A6512" s="4">
        <v>7949.0</v>
      </c>
      <c r="B6512" s="4" t="s">
        <v>3604</v>
      </c>
      <c r="C6512" s="4" t="s">
        <v>9487</v>
      </c>
      <c r="D6512" s="4" t="s">
        <v>9488</v>
      </c>
      <c r="E6512" s="4">
        <v>0.0</v>
      </c>
      <c r="F6512" s="4" t="str">
        <f>IFERROR(__xludf.DUMMYFUNCTION("GOOGLETRANSLATE(D6512)"),"我希望下暴雨")</f>
        <v>我希望下暴雨</v>
      </c>
      <c r="G6512" s="4" t="str">
        <f>IFERROR(__xludf.DUMMYFUNCTION("GOOGLETRANSLATE(B6512)"),"暴雨")</f>
        <v>暴雨</v>
      </c>
    </row>
    <row r="6513" ht="15.75" customHeight="1">
      <c r="A6513" s="4">
        <v>7950.0</v>
      </c>
      <c r="B6513" s="4" t="s">
        <v>3604</v>
      </c>
      <c r="C6513" s="4" t="s">
        <v>9489</v>
      </c>
      <c r="D6513" s="4" t="s">
        <v>9490</v>
      </c>
      <c r="E6513" s="4">
        <v>0.0</v>
      </c>
      <c r="F6513" s="4" t="str">
        <f>IFERROR(__xludf.DUMMYFUNCTION("GOOGLETRANSLATE(D6513)"),"在外面暴風雨中醒來通常會讓我感到難過。不過今天不行。將一些 The Kooks 放在立體聲音響上，讓我們開始吧。")</f>
        <v>在外面暴風雨中醒來通常會讓我感到難過。不過今天不行。將一些 The Kooks 放在立體聲音響上，讓我們開始吧。</v>
      </c>
      <c r="G6513" s="4" t="str">
        <f>IFERROR(__xludf.DUMMYFUNCTION("GOOGLETRANSLATE(B6513)"),"暴雨")</f>
        <v>暴雨</v>
      </c>
    </row>
    <row r="6514" ht="15.75" customHeight="1">
      <c r="A6514" s="4">
        <v>7953.0</v>
      </c>
      <c r="B6514" s="4" t="s">
        <v>3604</v>
      </c>
      <c r="C6514" s="4" t="s">
        <v>915</v>
      </c>
      <c r="D6514" s="4" t="s">
        <v>9491</v>
      </c>
      <c r="E6514" s="4">
        <v>0.0</v>
      </c>
      <c r="F6514" s="4" t="str">
        <f>IFERROR(__xludf.DUMMYFUNCTION("GOOGLETRANSLATE(D6514)"),"@Robot_Rainstorm 如你所知，我是超級足球迷，但我從未參加過夢幻聯賽。新手有耐心嗎？")</f>
        <v>@Robot_Rainstorm 如你所知，我是超級足球迷，但我從未參加過夢幻聯賽。新手有耐心嗎？</v>
      </c>
      <c r="G6514" s="4" t="str">
        <f>IFERROR(__xludf.DUMMYFUNCTION("GOOGLETRANSLATE(B6514)"),"暴雨")</f>
        <v>暴雨</v>
      </c>
    </row>
    <row r="6515" ht="15.75" customHeight="1">
      <c r="A6515" s="4">
        <v>7957.0</v>
      </c>
      <c r="B6515" s="4" t="s">
        <v>3604</v>
      </c>
      <c r="C6515" s="4" t="s">
        <v>9492</v>
      </c>
      <c r="D6515" s="4" t="s">
        <v>9493</v>
      </c>
      <c r="E6515" s="4">
        <v>0.0</v>
      </c>
      <c r="F6515" s="4" t="str">
        <f>IFERROR(__xludf.DUMMYFUNCTION("GOOGLETRANSLATE(D6515)"),"你的移動方式就像一場暴雨，而我是一座紙牌屋。")</f>
        <v>你的移動方式就像一場暴雨，而我是一座紙牌屋。</v>
      </c>
      <c r="G6515" s="4" t="str">
        <f>IFERROR(__xludf.DUMMYFUNCTION("GOOGLETRANSLATE(B6515)"),"暴雨")</f>
        <v>暴雨</v>
      </c>
    </row>
    <row r="6516" ht="15.75" customHeight="1">
      <c r="A6516" s="4">
        <v>7959.0</v>
      </c>
      <c r="B6516" s="4" t="s">
        <v>3635</v>
      </c>
      <c r="D6516" s="4" t="s">
        <v>9494</v>
      </c>
      <c r="E6516" s="4">
        <v>0.0</v>
      </c>
      <c r="F6516" s="4" t="str">
        <f>IFERROR(__xludf.DUMMYFUNCTION("GOOGLETRANSLATE(D6516)"),"前自由衝浪/水療中心被夷為平地，為新房子讓路 http://t.co/EX6JzQJ3NI")</f>
        <v>前自由衝浪/水療中心被夷為平地，為新房子讓路 http://t.co/EX6JzQJ3NI</v>
      </c>
      <c r="G6516" s="4" t="str">
        <f>IFERROR(__xludf.DUMMYFUNCTION("GOOGLETRANSLATE(B6516)"),"夷為平地")</f>
        <v>夷為平地</v>
      </c>
    </row>
    <row r="6517" ht="15.75" customHeight="1">
      <c r="A6517" s="4">
        <v>7980.0</v>
      </c>
      <c r="B6517" s="4" t="s">
        <v>3635</v>
      </c>
      <c r="C6517" s="4" t="s">
        <v>9495</v>
      </c>
      <c r="D6517" s="4" t="s">
        <v>9496</v>
      </c>
      <c r="E6517" s="4">
        <v>0.0</v>
      </c>
      <c r="F6517" s="4" t="str">
        <f>IFERROR(__xludf.DUMMYFUNCTION("GOOGLETRANSLATE(D6517)"),"@petereallen @HuffPostUK @bbc5live 你認為教堂（也許）廢墟和被夷為平地的不太實質性努力的標誌性照片有多重要？")</f>
        <v>@petereallen @HuffPostUK @bbc5live 你認為教堂（也許）廢墟和被夷為平地的不太實質性努力的標誌性照片有多重要？</v>
      </c>
      <c r="G6517" s="4" t="str">
        <f>IFERROR(__xludf.DUMMYFUNCTION("GOOGLETRANSLATE(B6517)"),"夷為平地")</f>
        <v>夷為平地</v>
      </c>
    </row>
    <row r="6518" ht="15.75" customHeight="1">
      <c r="A6518" s="4">
        <v>7992.0</v>
      </c>
      <c r="B6518" s="4" t="s">
        <v>3635</v>
      </c>
      <c r="C6518" s="4" t="s">
        <v>6077</v>
      </c>
      <c r="D6518" s="4" t="s">
        <v>9497</v>
      </c>
      <c r="E6518" s="4">
        <v>0.0</v>
      </c>
      <c r="F6518" s="4" t="str">
        <f>IFERROR(__xludf.DUMMYFUNCTION("GOOGLETRANSLATE(D6518)"),"今天將是另一個與@Im_Razed 的雙重交流！！！如果您昨天過得愉快，請在今天復活節下午 5 點查看！")</f>
        <v>今天將是另一個與@Im_Razed 的雙重交流！！！如果您昨天過得愉快，請在今天復活節下午 5 點查看！</v>
      </c>
      <c r="G6518" s="4" t="str">
        <f>IFERROR(__xludf.DUMMYFUNCTION("GOOGLETRANSLATE(B6518)"),"夷為平地")</f>
        <v>夷為平地</v>
      </c>
    </row>
    <row r="6519" ht="15.75" customHeight="1">
      <c r="A6519" s="4">
        <v>8008.0</v>
      </c>
      <c r="B6519" s="4" t="s">
        <v>3635</v>
      </c>
      <c r="C6519" s="4" t="s">
        <v>9498</v>
      </c>
      <c r="D6519" s="4" t="s">
        <v>9499</v>
      </c>
      <c r="E6519" s="4">
        <v>0.0</v>
      </c>
      <c r="F6519" s="4" t="str">
        <f>IFERROR(__xludf.DUMMYFUNCTION("GOOGLETRANSLATE(D6519)"),"瓦薩爾伯勒的房屋將被夷為平地，為公共涼亭讓路@PeteL_McGuire 報道。 http://t.co/uUEwccdTow")</f>
        <v>瓦薩爾伯勒的房屋將被夷為平地，為公共涼亭讓路@PeteL_McGuire 報道。 http://t.co/uUEwccdTow</v>
      </c>
      <c r="G6519" s="4" t="str">
        <f>IFERROR(__xludf.DUMMYFUNCTION("GOOGLETRANSLATE(B6519)"),"夷為平地")</f>
        <v>夷為平地</v>
      </c>
    </row>
    <row r="6520" ht="15.75" customHeight="1">
      <c r="A6520" s="4">
        <v>8012.0</v>
      </c>
      <c r="B6520" s="4" t="s">
        <v>3670</v>
      </c>
      <c r="C6520" s="4" t="s">
        <v>9500</v>
      </c>
      <c r="D6520" s="4" t="s">
        <v>9501</v>
      </c>
      <c r="E6520" s="4">
        <v>0.0</v>
      </c>
      <c r="F6520" s="4" t="str">
        <f>IFERROR(__xludf.DUMMYFUNCTION("GOOGLETRANSLATE(D6520)"),"土耳其新婚夫婦捐贈結婚金——多麼美麗的舉動！還是對人性抱持信心。 http://t.co/o1eNHjrkJd")</f>
        <v>土耳其新婚夫婦捐贈結婚金——多麼美麗的舉動！還是對人性抱持信心。 http://t.co/o1eNHjrkJd</v>
      </c>
      <c r="G6520" s="4" t="str">
        <f>IFERROR(__xludf.DUMMYFUNCTION("GOOGLETRANSLATE(B6520)"),"難民")</f>
        <v>難民</v>
      </c>
    </row>
    <row r="6521" ht="15.75" customHeight="1">
      <c r="A6521" s="4">
        <v>8015.0</v>
      </c>
      <c r="B6521" s="4" t="s">
        <v>3670</v>
      </c>
      <c r="C6521" s="4" t="s">
        <v>9502</v>
      </c>
      <c r="D6521" s="4" t="s">
        <v>9503</v>
      </c>
      <c r="E6521" s="4">
        <v>0.0</v>
      </c>
      <c r="F6521" s="4" t="str">
        <f>IFERROR(__xludf.DUMMYFUNCTION("GOOGLETRANSLATE(D6521)"),"醜惡！難民-受害者-#Dutton Evangelical-Liar-#Abbott c/o #LNP 受到媒體過度報導； #CHOPPERGATE！#BRONWYNBISHOP！#AUSPOL")</f>
        <v>醜惡！難民-受害者-#Dutton Evangelical-Liar-#Abbott c/o #LNP 受到媒體過度報導； #CHOPPERGATE！#BRONWYNBISHOP！#AUSPOL</v>
      </c>
      <c r="G6521" s="4" t="str">
        <f>IFERROR(__xludf.DUMMYFUNCTION("GOOGLETRANSLATE(B6521)"),"難民")</f>
        <v>難民</v>
      </c>
    </row>
    <row r="6522" ht="15.75" customHeight="1">
      <c r="A6522" s="4">
        <v>8017.0</v>
      </c>
      <c r="B6522" s="4" t="s">
        <v>3670</v>
      </c>
      <c r="C6522" s="4" t="s">
        <v>9504</v>
      </c>
      <c r="D6522" s="4" t="s">
        <v>9505</v>
      </c>
      <c r="E6522" s="4">
        <v>0.0</v>
      </c>
      <c r="F6522" s="4" t="str">
        <f>IFERROR(__xludf.DUMMYFUNCTION("GOOGLETRANSLATE(D6522)"),"新婚夫婦在婚禮上為敘利亞難民餵食 - CBC 新聞 - 最新的加拿大世界娛樂和商業新聞 http://t.co/QU8S89pVVt")</f>
        <v>新婚夫婦在婚禮上為敘利亞難民餵食 - CBC 新聞 - 最新的加拿大世界娛樂和商業新聞 http://t.co/QU8S89pVVt</v>
      </c>
      <c r="G6522" s="4" t="str">
        <f>IFERROR(__xludf.DUMMYFUNCTION("GOOGLETRANSLATE(B6522)"),"難民")</f>
        <v>難民</v>
      </c>
    </row>
    <row r="6523" ht="15.75" customHeight="1">
      <c r="A6523" s="4">
        <v>8021.0</v>
      </c>
      <c r="B6523" s="4" t="s">
        <v>3670</v>
      </c>
      <c r="C6523" s="4" t="s">
        <v>9506</v>
      </c>
      <c r="D6523" s="4" t="s">
        <v>9507</v>
      </c>
      <c r="E6523" s="4">
        <v>0.0</v>
      </c>
      <c r="F6523" s="4" t="str">
        <f>IFERROR(__xludf.DUMMYFUNCTION("GOOGLETRANSLATE(D6523)"),"“想像一下，整個過道都致力於讓人們看起來像塞爾維亞難民。” - 全食食品服飾部總監")</f>
        <v>“想像一下，整個過道都致力於讓人們看起來像塞爾維亞難民。” - 全食食品服飾部總監</v>
      </c>
      <c r="G6523" s="4" t="str">
        <f>IFERROR(__xludf.DUMMYFUNCTION("GOOGLETRANSLATE(B6523)"),"難民")</f>
        <v>難民</v>
      </c>
    </row>
    <row r="6524" ht="15.75" customHeight="1">
      <c r="A6524" s="4">
        <v>8023.0</v>
      </c>
      <c r="B6524" s="4" t="s">
        <v>3670</v>
      </c>
      <c r="C6524" s="4" t="s">
        <v>9508</v>
      </c>
      <c r="D6524" s="4" t="s">
        <v>9509</v>
      </c>
      <c r="E6524" s="4">
        <v>0.0</v>
      </c>
      <c r="F6524" s="4" t="str">
        <f>IFERROR(__xludf.DUMMYFUNCTION("GOOGLETRANSLATE(D6524)"),"@ViralSpell：「新婚夫婦在婚禮當天為 4000 名敘利亞難民提供食物。 http://t.Û_ http://t.co/I1VPkQ9yAg 看更多 http://t.co/tY5GAvn7uk")</f>
        <v>@ViralSpell：「新婚夫婦在婚禮當天為 4000 名敘利亞難民提供食物。 http://t.Û_ http://t.co/I1VPkQ9yAg 看更多 http://t.co/tY5GAvn7uk</v>
      </c>
      <c r="G6524" s="4" t="str">
        <f>IFERROR(__xludf.DUMMYFUNCTION("GOOGLETRANSLATE(B6524)"),"難民")</f>
        <v>難民</v>
      </c>
    </row>
    <row r="6525" ht="15.75" customHeight="1">
      <c r="A6525" s="4">
        <v>8025.0</v>
      </c>
      <c r="B6525" s="4" t="s">
        <v>3670</v>
      </c>
      <c r="C6525" s="4" t="s">
        <v>9510</v>
      </c>
      <c r="D6525" s="4" t="s">
        <v>9511</v>
      </c>
      <c r="E6525" s="4">
        <v>0.0</v>
      </c>
      <c r="F6525" s="4" t="str">
        <f>IFERROR(__xludf.DUMMYFUNCTION("GOOGLETRANSLATE(D6525)"),"頭條新聞：@ViralSpell：「夫妻在婚禮當天為 4000 名敘利亞難民提供食物Û_ http://t.co/a2TIIVNjDY 查看更多 http://t.co/fW2XIfJ6Ec")</f>
        <v>頭條新聞：@ViralSpell：「夫妻在婚禮當天為 4000 名敘利亞難民提供食物Û_ http://t.co/a2TIIVNjDY 查看更多 http://t.co/fW2XIfJ6Ec</v>
      </c>
      <c r="G6525" s="4" t="str">
        <f>IFERROR(__xludf.DUMMYFUNCTION("GOOGLETRANSLATE(B6525)"),"難民")</f>
        <v>難民</v>
      </c>
    </row>
    <row r="6526" ht="15.75" customHeight="1">
      <c r="A6526" s="4">
        <v>8031.0</v>
      </c>
      <c r="B6526" s="4" t="s">
        <v>3670</v>
      </c>
      <c r="C6526" s="4" t="s">
        <v>831</v>
      </c>
      <c r="D6526" s="4" t="s">
        <v>9512</v>
      </c>
      <c r="E6526" s="4">
        <v>0.0</v>
      </c>
      <c r="F6526" s="4" t="str">
        <f>IFERROR(__xludf.DUMMYFUNCTION("GOOGLETRANSLATE(D6526)"),"阿博特船長必須與 LNP 船一起沉沒 #refugees #christianvalues https://t.co/Kp5dpOaF58")</f>
        <v>阿博特船長必須與 LNP 船一起沉沒 #refugees #christianvalues https://t.co/Kp5dpOaF58</v>
      </c>
      <c r="G6526" s="4" t="str">
        <f>IFERROR(__xludf.DUMMYFUNCTION("GOOGLETRANSLATE(B6526)"),"難民")</f>
        <v>難民</v>
      </c>
    </row>
    <row r="6527" ht="15.75" customHeight="1">
      <c r="A6527" s="4">
        <v>8032.0</v>
      </c>
      <c r="B6527" s="4" t="s">
        <v>3670</v>
      </c>
      <c r="D6527" s="4" t="s">
        <v>9513</v>
      </c>
      <c r="E6527" s="4">
        <v>0.0</v>
      </c>
      <c r="F6527" s="4" t="str">
        <f>IFERROR(__xludf.DUMMYFUNCTION("GOOGLETRANSLATE(D6527)"),"一對土耳其夫婦在婚禮當天為 4000 名敘利亞難民提供食物？一對土耳其夫婦娶了 Û_ http://t.co/iGll3ph6O1")</f>
        <v>一對土耳其夫婦在婚禮當天為 4000 名敘利亞難民提供食物？一對土耳其夫婦娶了 Û_ http://t.co/iGll3ph6O1</v>
      </c>
      <c r="G6527" s="4" t="str">
        <f>IFERROR(__xludf.DUMMYFUNCTION("GOOGLETRANSLATE(B6527)"),"難民")</f>
        <v>難民</v>
      </c>
    </row>
    <row r="6528" ht="15.75" customHeight="1">
      <c r="A6528" s="4">
        <v>8037.0</v>
      </c>
      <c r="B6528" s="4" t="s">
        <v>3670</v>
      </c>
      <c r="C6528" s="4" t="s">
        <v>3556</v>
      </c>
      <c r="D6528" s="4" t="s">
        <v>9514</v>
      </c>
      <c r="E6528" s="4">
        <v>0.0</v>
      </c>
      <c r="F6528" s="4" t="str">
        <f>IFERROR(__xludf.DUMMYFUNCTION("GOOGLETRANSLATE(D6528)"),"#土耳其夫婦決定為 4000 名 #Syrian #refugees 提供食物，作為他們 #wedding 慶祝活動的一部分 http://t.co/EHLq3ZSPTd http://t.co/DjX5eLbrv1")</f>
        <v>#土耳其夫婦決定為 4000 名 #Syrian #refugees 提供食物，作為他們 #wedding 慶祝活動的一部分 http://t.co/EHLq3ZSPTd http://t.co/DjX5eLbrv1</v>
      </c>
      <c r="G6528" s="4" t="str">
        <f>IFERROR(__xludf.DUMMYFUNCTION("GOOGLETRANSLATE(B6528)"),"難民")</f>
        <v>難民</v>
      </c>
    </row>
    <row r="6529" ht="15.75" customHeight="1">
      <c r="A6529" s="4">
        <v>8039.0</v>
      </c>
      <c r="B6529" s="4" t="s">
        <v>3670</v>
      </c>
      <c r="C6529" s="4" t="s">
        <v>54</v>
      </c>
      <c r="D6529" s="4" t="s">
        <v>9515</v>
      </c>
      <c r="E6529" s="4">
        <v>0.0</v>
      </c>
      <c r="F6529" s="4" t="str">
        <f>IFERROR(__xludf.DUMMYFUNCTION("GOOGLETRANSLATE(D6529)"),"新婚夫婦為數千名敘利亞難民提供食物，而不是舉辦宴會http://t.co/EGcv7ybjae #Age #news")</f>
        <v>新婚夫婦為數千名敘利亞難民提供食物，而不是舉辦宴會http://t.co/EGcv7ybjae #Age #news</v>
      </c>
      <c r="G6529" s="4" t="str">
        <f>IFERROR(__xludf.DUMMYFUNCTION("GOOGLETRANSLATE(B6529)"),"難民")</f>
        <v>難民</v>
      </c>
    </row>
    <row r="6530" ht="15.75" customHeight="1">
      <c r="A6530" s="4">
        <v>8043.0</v>
      </c>
      <c r="B6530" s="4" t="s">
        <v>3670</v>
      </c>
      <c r="C6530" s="4" t="s">
        <v>9516</v>
      </c>
      <c r="D6530" s="4" t="s">
        <v>9517</v>
      </c>
      <c r="E6530" s="4">
        <v>0.0</v>
      </c>
      <c r="F6530" s="4" t="str">
        <f>IFERROR(__xludf.DUMMYFUNCTION("GOOGLETRANSLATE(D6530)"),"@KristinDavis @UN @Refugees 感謝@UN 和@Refugees 幫助了世界各地那麼多有需要的人...... https://t.co/yPvJgzqqqB Û_")</f>
        <v>@KristinDavis @UN @Refugees 感謝@UN 和@Refugees 幫助了世界各地那麼多有需要的人...... https://t.co/yPvJgzqqqB Û_</v>
      </c>
      <c r="G6530" s="4" t="str">
        <f>IFERROR(__xludf.DUMMYFUNCTION("GOOGLETRANSLATE(B6530)"),"難民")</f>
        <v>難民</v>
      </c>
    </row>
    <row r="6531" ht="15.75" customHeight="1">
      <c r="A6531" s="4">
        <v>8044.0</v>
      </c>
      <c r="B6531" s="4" t="s">
        <v>3670</v>
      </c>
      <c r="D6531" s="4" t="s">
        <v>3678</v>
      </c>
      <c r="E6531" s="4">
        <v>0.0</v>
      </c>
      <c r="F6531" s="4" t="str">
        <f>IFERROR(__xludf.DUMMYFUNCTION("GOOGLETRANSLATE(D6531)"),"wowo--=== 12,000 名尼日利亞難民從喀麥隆遣返")</f>
        <v>wowo--=== 12,000 名尼日利亞難民從喀麥隆遣返</v>
      </c>
      <c r="G6531" s="4" t="str">
        <f>IFERROR(__xludf.DUMMYFUNCTION("GOOGLETRANSLATE(B6531)"),"難民")</f>
        <v>難民</v>
      </c>
    </row>
    <row r="6532" ht="15.75" customHeight="1">
      <c r="A6532" s="4">
        <v>8047.0</v>
      </c>
      <c r="B6532" s="4" t="s">
        <v>3670</v>
      </c>
      <c r="C6532" s="4" t="s">
        <v>9518</v>
      </c>
      <c r="D6532" s="4" t="s">
        <v>9519</v>
      </c>
      <c r="E6532" s="4">
        <v>0.0</v>
      </c>
      <c r="F6532" s="4" t="str">
        <f>IFERROR(__xludf.DUMMYFUNCTION("GOOGLETRANSLATE(D6532)"),"http://t.co/eHKLp12yiP Paci?c 媒體中心 |文章：澳洲：無國界醫生抗議新的安全措施關於報道...")</f>
        <v>http://t.co/eHKLp12yiP Paci?c 媒體中心 |文章：澳洲：無國界醫生抗議新的安全措施關於報道...</v>
      </c>
      <c r="G6532" s="4" t="str">
        <f>IFERROR(__xludf.DUMMYFUNCTION("GOOGLETRANSLATE(B6532)"),"難民")</f>
        <v>難民</v>
      </c>
    </row>
    <row r="6533" ht="15.75" customHeight="1">
      <c r="A6533" s="4">
        <v>8055.0</v>
      </c>
      <c r="B6533" s="4" t="s">
        <v>3670</v>
      </c>
      <c r="C6533" s="4" t="s">
        <v>9520</v>
      </c>
      <c r="D6533" s="4" t="s">
        <v>9521</v>
      </c>
      <c r="E6533" s="4">
        <v>0.0</v>
      </c>
      <c r="F6533" s="4" t="str">
        <f>IFERROR(__xludf.DUMMYFUNCTION("GOOGLETRANSLATE(D6533)"),"地球上最慷慨的新娘：夫婦在婚禮當天為 4000 名敘利亞難民提供食物 http://t.co/ms8e8mNddb 來自 @thedailybeast 喜歡它！")</f>
        <v>地球上最慷慨的新娘：夫婦在婚禮當天為 4000 名敘利亞難民提供食物 http://t.co/ms8e8mNddb 來自 @thedailybeast 喜歡它！</v>
      </c>
      <c r="G6533" s="4" t="str">
        <f>IFERROR(__xludf.DUMMYFUNCTION("GOOGLETRANSLATE(B6533)"),"難民")</f>
        <v>難民</v>
      </c>
    </row>
    <row r="6534" ht="15.75" customHeight="1">
      <c r="A6534" s="4">
        <v>8061.0</v>
      </c>
      <c r="B6534" s="4" t="s">
        <v>3701</v>
      </c>
      <c r="C6534" s="4" t="s">
        <v>287</v>
      </c>
      <c r="D6534" s="4" t="s">
        <v>9522</v>
      </c>
      <c r="E6534" s="4">
        <v>0.0</v>
      </c>
      <c r="F6534" s="4" t="str">
        <f>IFERROR(__xludf.DUMMYFUNCTION("GOOGLETRANSLATE(D6534)"),"別驚慌！ #KelbyTomlinson 來救援！ http://t.co/hujvgsFLUs")</f>
        <v>別驚慌！ #KelbyTomlinson 來救援！ http://t.co/hujvgsFLUs</v>
      </c>
      <c r="G6534" s="4" t="str">
        <f>IFERROR(__xludf.DUMMYFUNCTION("GOOGLETRANSLATE(B6534)"),"救援")</f>
        <v>救援</v>
      </c>
    </row>
    <row r="6535" ht="15.75" customHeight="1">
      <c r="A6535" s="4">
        <v>8062.0</v>
      </c>
      <c r="B6535" s="4" t="s">
        <v>3701</v>
      </c>
      <c r="C6535" s="4" t="s">
        <v>9523</v>
      </c>
      <c r="D6535" s="4" t="s">
        <v>9524</v>
      </c>
      <c r="E6535" s="4">
        <v>0.0</v>
      </c>
      <c r="F6535" s="4" t="str">
        <f>IFERROR(__xludf.DUMMYFUNCTION("GOOGLETRANSLATE(D6535)"),"沿海德國牧羊犬救援 OC 分享了連結... http://t.co/P85NwcMkQu #animalrescue | https://t.co/wUDlkq7ncx")</f>
        <v>沿海德國牧羊犬救援 OC 分享了連結... http://t.co/P85NwcMkQu #animalrescue | https://t.co/wUDlkq7ncx</v>
      </c>
      <c r="G6535" s="4" t="str">
        <f>IFERROR(__xludf.DUMMYFUNCTION("GOOGLETRANSLATE(B6535)"),"救援")</f>
        <v>救援</v>
      </c>
    </row>
    <row r="6536" ht="15.75" customHeight="1">
      <c r="A6536" s="4">
        <v>8065.0</v>
      </c>
      <c r="B6536" s="4" t="s">
        <v>3701</v>
      </c>
      <c r="C6536" s="4" t="s">
        <v>2605</v>
      </c>
      <c r="D6536" s="4" t="s">
        <v>9525</v>
      </c>
      <c r="E6536" s="4">
        <v>0.0</v>
      </c>
      <c r="F6536" s="4" t="str">
        <f>IFERROR(__xludf.DUMMYFUNCTION("GOOGLETRANSLATE(D6536)"),"今日救援：8 月 8 日星期六是世界貓日，黑/白貓只需 5 美元 http://t.co/oqb7DaSMVy #NewBeginningsAnimalRescue")</f>
        <v>今日救援：8 月 8 日星期六是世界貓日，黑/白貓只需 5 美元 http://t.co/oqb7DaSMVy #NewBeginningsAnimalRescue</v>
      </c>
      <c r="G6536" s="4" t="str">
        <f>IFERROR(__xludf.DUMMYFUNCTION("GOOGLETRANSLATE(B6536)"),"救援")</f>
        <v>救援</v>
      </c>
    </row>
    <row r="6537" ht="15.75" customHeight="1">
      <c r="A6537" s="4">
        <v>8066.0</v>
      </c>
      <c r="B6537" s="4" t="s">
        <v>3701</v>
      </c>
      <c r="C6537" s="4" t="s">
        <v>9526</v>
      </c>
      <c r="D6537" s="4" t="s">
        <v>9527</v>
      </c>
      <c r="E6537" s="4">
        <v>0.0</v>
      </c>
      <c r="F6537" s="4" t="str">
        <f>IFERROR(__xludf.DUMMYFUNCTION("GOOGLETRANSLATE(D6537)"),"我正在服用 2 種降血壓藥，但血壓仍然可能很高！早在 #PPact 故事曝光之前我就參與了動物救援")</f>
        <v>我正在服用 2 種降血壓藥，但血壓仍然可能很高！早在 #PPact 故事曝光之前我就參與了動物救援</v>
      </c>
      <c r="G6537" s="4" t="str">
        <f>IFERROR(__xludf.DUMMYFUNCTION("GOOGLETRANSLATE(B6537)"),"救援")</f>
        <v>救援</v>
      </c>
    </row>
    <row r="6538" ht="15.75" customHeight="1">
      <c r="A6538" s="4">
        <v>8067.0</v>
      </c>
      <c r="B6538" s="4" t="s">
        <v>3701</v>
      </c>
      <c r="C6538" s="4" t="s">
        <v>9528</v>
      </c>
      <c r="D6538" s="4" t="s">
        <v>9529</v>
      </c>
      <c r="E6538" s="4">
        <v>0.0</v>
      </c>
      <c r="F6538" s="4" t="str">
        <f>IFERROR(__xludf.DUMMYFUNCTION("GOOGLETRANSLATE(D6538)"),"沿海德國牧羊犬救援 OC 分享了連結... http://t.co/35QWnGLkOS #animalrescue | https://t.co/Is2iDC3UBJ")</f>
        <v>沿海德國牧羊犬救援 OC 分享了連結... http://t.co/35QWnGLkOS #animalrescue | https://t.co/Is2iDC3UBJ</v>
      </c>
      <c r="G6538" s="4" t="str">
        <f>IFERROR(__xludf.DUMMYFUNCTION("GOOGLETRANSLATE(B6538)"),"救援")</f>
        <v>救援</v>
      </c>
    </row>
    <row r="6539" ht="15.75" customHeight="1">
      <c r="A6539" s="4">
        <v>8068.0</v>
      </c>
      <c r="B6539" s="4" t="s">
        <v>3701</v>
      </c>
      <c r="D6539" s="4" t="s">
        <v>9530</v>
      </c>
      <c r="E6539" s="4">
        <v>0.0</v>
      </c>
      <c r="F6539" s="4" t="str">
        <f>IFERROR(__xludf.DUMMYFUNCTION("GOOGLETRANSLATE(D6539)"),"沿海德國牧羊犬救援 OC 分享了一個連結：「欣喜若狂的救援拉科...... http://t.co/t8Q6DzVgwX #animalrescue")</f>
        <v>沿海德國牧羊犬救援 OC 分享了一個連結：「欣喜若狂的救援拉科...... http://t.co/t8Q6DzVgwX #animalrescue</v>
      </c>
      <c r="G6539" s="4" t="str">
        <f>IFERROR(__xludf.DUMMYFUNCTION("GOOGLETRANSLATE(B6539)"),"救援")</f>
        <v>救援</v>
      </c>
    </row>
    <row r="6540" ht="15.75" customHeight="1">
      <c r="A6540" s="4">
        <v>8069.0</v>
      </c>
      <c r="B6540" s="4" t="s">
        <v>3701</v>
      </c>
      <c r="D6540" s="4" t="s">
        <v>9531</v>
      </c>
      <c r="E6540" s="4">
        <v>0.0</v>
      </c>
      <c r="F6540" s="4" t="str">
        <f>IFERROR(__xludf.DUMMYFUNCTION("GOOGLETRANSLATE(D6540)"),"薩格斯維維安來救援！ #psychrewatch")</f>
        <v>薩格斯維維安來救援！ #psychrewatch</v>
      </c>
      <c r="G6540" s="4" t="str">
        <f>IFERROR(__xludf.DUMMYFUNCTION("GOOGLETRANSLATE(B6540)"),"救援")</f>
        <v>救援</v>
      </c>
    </row>
    <row r="6541" ht="15.75" customHeight="1">
      <c r="A6541" s="4">
        <v>8070.0</v>
      </c>
      <c r="B6541" s="4" t="s">
        <v>3701</v>
      </c>
      <c r="C6541" s="4" t="s">
        <v>9532</v>
      </c>
      <c r="D6541" s="4" t="s">
        <v>9533</v>
      </c>
      <c r="E6541" s="4">
        <v>0.0</v>
      </c>
      <c r="F6541" s="4" t="str">
        <f>IFERROR(__xludf.DUMMYFUNCTION("GOOGLETRANSLATE(D6541)"),"不惜一切代價拯救一隻需要幫助的貓！ http://t.co/AMroX4Y4Nx")</f>
        <v>不惜一切代價拯救一隻需要幫助的貓！ http://t.co/AMroX4Y4Nx</v>
      </c>
      <c r="G6541" s="4" t="str">
        <f>IFERROR(__xludf.DUMMYFUNCTION("GOOGLETRANSLATE(B6541)"),"救援")</f>
        <v>救援</v>
      </c>
    </row>
    <row r="6542" ht="15.75" customHeight="1">
      <c r="A6542" s="4">
        <v>8071.0</v>
      </c>
      <c r="B6542" s="4" t="s">
        <v>3701</v>
      </c>
      <c r="C6542" s="4" t="s">
        <v>9528</v>
      </c>
      <c r="D6542" s="4" t="s">
        <v>9534</v>
      </c>
      <c r="E6542" s="4">
        <v>0.0</v>
      </c>
      <c r="F6542" s="4" t="str">
        <f>IFERROR(__xludf.DUMMYFUNCTION("GOOGLETRANSLATE(D6542)"),"最後機會動物救援有 3 個新貼文。 http://t.co/f1tcbg1MKi #animalrescue | https://t.co/Is2iDC3UBJ")</f>
        <v>最後機會動物救援有 3 個新貼文。 http://t.co/f1tcbg1MKi #animalrescue | https://t.co/Is2iDC3UBJ</v>
      </c>
      <c r="G6542" s="4" t="str">
        <f>IFERROR(__xludf.DUMMYFUNCTION("GOOGLETRANSLATE(B6542)"),"救援")</f>
        <v>救援</v>
      </c>
    </row>
    <row r="6543" ht="15.75" customHeight="1">
      <c r="A6543" s="4">
        <v>8073.0</v>
      </c>
      <c r="B6543" s="4" t="s">
        <v>3701</v>
      </c>
      <c r="C6543" s="4" t="s">
        <v>9523</v>
      </c>
      <c r="D6543" s="4" t="s">
        <v>9535</v>
      </c>
      <c r="E6543" s="4">
        <v>0.0</v>
      </c>
      <c r="F6543" s="4" t="str">
        <f>IFERROR(__xludf.DUMMYFUNCTION("GOOGLETRANSLATE(D6543)"),"最後機會動物救援有 3 個新貼文。 http://t.co/kIILdu8GpO #animalrescue | https://t.co/wUDlkq7ncx")</f>
        <v>最後機會動物救援有 3 個新貼文。 http://t.co/kIILdu8GpO #animalrescue | https://t.co/wUDlkq7ncx</v>
      </c>
      <c r="G6543" s="4" t="str">
        <f>IFERROR(__xludf.DUMMYFUNCTION("GOOGLETRANSLATE(B6543)"),"救援")</f>
        <v>救援</v>
      </c>
    </row>
    <row r="6544" ht="15.75" customHeight="1">
      <c r="A6544" s="4">
        <v>8074.0</v>
      </c>
      <c r="B6544" s="4" t="s">
        <v>3701</v>
      </c>
      <c r="D6544" s="4" t="s">
        <v>9536</v>
      </c>
      <c r="E6544" s="4">
        <v>0.0</v>
      </c>
      <c r="F6544" s="4" t="str">
        <f>IFERROR(__xludf.DUMMYFUNCTION("GOOGLETRANSLATE(D6544)"),"薩米和托德總是來救援，雖然他們不穿制服，但仍然會去救援，lmao。永遠的肯德基家族。")</f>
        <v>薩米和托德總是來救援，雖然他們不穿制服，但仍然會去救援，lmao。永遠的肯德基家族。</v>
      </c>
      <c r="G6544" s="4" t="str">
        <f>IFERROR(__xludf.DUMMYFUNCTION("GOOGLETRANSLATE(B6544)"),"救援")</f>
        <v>救援</v>
      </c>
    </row>
    <row r="6545" ht="15.75" customHeight="1">
      <c r="A6545" s="4">
        <v>8079.0</v>
      </c>
      <c r="B6545" s="4" t="s">
        <v>3701</v>
      </c>
      <c r="C6545" s="4" t="s">
        <v>38</v>
      </c>
      <c r="D6545" s="4" t="s">
        <v>9537</v>
      </c>
      <c r="E6545" s="4">
        <v>0.0</v>
      </c>
      <c r="F6545" s="4" t="str">
        <f>IFERROR(__xludf.DUMMYFUNCTION("GOOGLETRANSLATE(D6545)"),"為船員們準備了午餐。夜深人靜，真是漫長的一天啊！
～和平～愛～救援～")</f>
        <v>為船員們準備了午餐。夜深人靜，真是漫長的一天啊！
～和平～愛～救援～</v>
      </c>
      <c r="G6545" s="4" t="str">
        <f>IFERROR(__xludf.DUMMYFUNCTION("GOOGLETRANSLATE(B6545)"),"救援")</f>
        <v>救援</v>
      </c>
    </row>
    <row r="6546" ht="15.75" customHeight="1">
      <c r="A6546" s="4">
        <v>8081.0</v>
      </c>
      <c r="B6546" s="4" t="s">
        <v>3701</v>
      </c>
      <c r="C6546" s="4" t="s">
        <v>9538</v>
      </c>
      <c r="D6546" s="4" t="s">
        <v>9539</v>
      </c>
      <c r="E6546" s="4">
        <v>0.0</v>
      </c>
      <c r="F6546" s="4" t="str">
        <f>IFERROR(__xludf.DUMMYFUNCTION("GOOGLETRANSLATE(D6546)"),"告訴聯合國：種植園不是森林！ https://t.co/cic7h64Qv8 來自@RainforestResq")</f>
        <v>告訴聯合國：種植園不是森林！ https://t.co/cic7h64Qv8 來自@RainforestResq</v>
      </c>
      <c r="G6546" s="4" t="str">
        <f>IFERROR(__xludf.DUMMYFUNCTION("GOOGLETRANSLATE(B6546)"),"救援")</f>
        <v>救援</v>
      </c>
    </row>
    <row r="6547" ht="15.75" customHeight="1">
      <c r="A6547" s="4">
        <v>8083.0</v>
      </c>
      <c r="B6547" s="4" t="s">
        <v>3701</v>
      </c>
      <c r="C6547" s="4" t="s">
        <v>9540</v>
      </c>
      <c r="D6547" s="4" t="s">
        <v>9541</v>
      </c>
      <c r="E6547" s="4">
        <v>0.0</v>
      </c>
      <c r="F6547" s="4" t="str">
        <f>IFERROR(__xludf.DUMMYFUNCTION("GOOGLETRANSLATE(D6547)"),"瑪麗來營救特洛伊。 ???? https://t.co/rosVXQeLQj")</f>
        <v>瑪麗來營救特洛伊。 ???? https://t.co/rosVXQeLQj</v>
      </c>
      <c r="G6547" s="4" t="str">
        <f>IFERROR(__xludf.DUMMYFUNCTION("GOOGLETRANSLATE(B6547)"),"救援")</f>
        <v>救援</v>
      </c>
    </row>
    <row r="6548" ht="15.75" customHeight="1">
      <c r="A6548" s="4">
        <v>8087.0</v>
      </c>
      <c r="B6548" s="4" t="s">
        <v>3701</v>
      </c>
      <c r="D6548" s="4" t="s">
        <v>9542</v>
      </c>
      <c r="E6548" s="4">
        <v>0.0</v>
      </c>
      <c r="F6548" s="4" t="str">
        <f>IFERROR(__xludf.DUMMYFUNCTION("GOOGLETRANSLATE(D6548)"),"最後機會動物救援有 3 個新貼文。 http://t.co/1EB2DaUYfn #animalrescue")</f>
        <v>最後機會動物救援有 3 個新貼文。 http://t.co/1EB2DaUYfn #animalrescue</v>
      </c>
      <c r="G6548" s="4" t="str">
        <f>IFERROR(__xludf.DUMMYFUNCTION("GOOGLETRANSLATE(B6548)"),"救援")</f>
        <v>救援</v>
      </c>
    </row>
    <row r="6549" ht="15.75" customHeight="1">
      <c r="A6549" s="4">
        <v>8088.0</v>
      </c>
      <c r="B6549" s="4" t="s">
        <v>3701</v>
      </c>
      <c r="D6549" s="4" t="s">
        <v>9543</v>
      </c>
      <c r="E6549" s="4">
        <v>0.0</v>
      </c>
      <c r="F6549" s="4" t="str">
        <f>IFERROR(__xludf.DUMMYFUNCTION("GOOGLETRANSLATE(D6549)"),"@LisaVanderpump 你有多少隻狗，它們都是救援犬嗎？")</f>
        <v>@LisaVanderpump 你有多少隻狗，它們都是救援犬嗎？</v>
      </c>
      <c r="G6549" s="4" t="str">
        <f>IFERROR(__xludf.DUMMYFUNCTION("GOOGLETRANSLATE(B6549)"),"救援")</f>
        <v>救援</v>
      </c>
    </row>
    <row r="6550" ht="15.75" customHeight="1">
      <c r="A6550" s="4">
        <v>8091.0</v>
      </c>
      <c r="B6550" s="4" t="s">
        <v>3701</v>
      </c>
      <c r="C6550" s="4" t="s">
        <v>9544</v>
      </c>
      <c r="D6550" s="4" t="s">
        <v>9545</v>
      </c>
      <c r="E6550" s="4">
        <v>0.0</v>
      </c>
      <c r="F6550" s="4" t="str">
        <f>IFERROR(__xludf.DUMMYFUNCTION("GOOGLETRANSLATE(D6550)"),"沿海德國牧羊犬救援 OC 分享了連結... http://t.co/2JxkmkpalP #animalrescue | https://t.co/ec46LyQQc6")</f>
        <v>沿海德國牧羊犬救援 OC 分享了連結... http://t.co/2JxkmkpalP #animalrescue | https://t.co/ec46LyQQc6</v>
      </c>
      <c r="G6550" s="4" t="str">
        <f>IFERROR(__xludf.DUMMYFUNCTION("GOOGLETRANSLATE(B6550)"),"救援")</f>
        <v>救援</v>
      </c>
    </row>
    <row r="6551" ht="15.75" customHeight="1">
      <c r="A6551" s="4">
        <v>8098.0</v>
      </c>
      <c r="B6551" s="4" t="s">
        <v>3708</v>
      </c>
      <c r="C6551" s="4" t="s">
        <v>9546</v>
      </c>
      <c r="D6551" s="4" t="s">
        <v>9547</v>
      </c>
      <c r="E6551" s="4">
        <v>0.0</v>
      </c>
      <c r="F6551" s="4" t="str">
        <f>IFERROR(__xludf.DUMMYFUNCTION("GOOGLETRANSLATE(D6551)"),"@TennoAtax 我遞給你一杯水然後坐下。 '我被一個 Tenno 救了。我在道場周圍的船上住了大約一年……”")</f>
        <v>@TennoAtax 我遞給你一杯水然後坐下。 '我被一個 Tenno 救了。我在道場周圍的船上住了大約一年……”</v>
      </c>
      <c r="G6551" s="4" t="str">
        <f>IFERROR(__xludf.DUMMYFUNCTION("GOOGLETRANSLATE(B6551)"),"獲救")</f>
        <v>獲救</v>
      </c>
    </row>
    <row r="6552" ht="15.75" customHeight="1">
      <c r="A6552" s="4">
        <v>8100.0</v>
      </c>
      <c r="B6552" s="4" t="s">
        <v>3708</v>
      </c>
      <c r="C6552" s="4" t="s">
        <v>9548</v>
      </c>
      <c r="D6552" s="4" t="s">
        <v>9549</v>
      </c>
      <c r="E6552" s="4">
        <v>0.0</v>
      </c>
      <c r="F6552" s="4" t="str">
        <f>IFERROR(__xludf.DUMMYFUNCTION("GOOGLETRANSLATE(D6552)"),"“相信我們會被那些笨蛋救出來的！”瓦爾真是太搞笑了，她可能會死#emmerdale")</f>
        <v>“相信我們會被那些笨蛋救出來的！”瓦爾真是太搞笑了，她可能會死#emmerdale</v>
      </c>
      <c r="G6552" s="4" t="str">
        <f>IFERROR(__xludf.DUMMYFUNCTION("GOOGLETRANSLATE(B6552)"),"獲救")</f>
        <v>獲救</v>
      </c>
    </row>
    <row r="6553" ht="15.75" customHeight="1">
      <c r="A6553" s="4">
        <v>8101.0</v>
      </c>
      <c r="B6553" s="4" t="s">
        <v>3708</v>
      </c>
      <c r="C6553" s="4" t="s">
        <v>9550</v>
      </c>
      <c r="D6553" s="4" t="s">
        <v>9551</v>
      </c>
      <c r="E6553" s="4">
        <v>0.0</v>
      </c>
      <c r="F6553" s="4" t="str">
        <f>IFERROR(__xludf.DUMMYFUNCTION("GOOGLETRANSLATE(D6553)"),"夏天#summervibes #california #puppy #pitmix #rescued #brixton #banksy #happy #mybabies https://t.co/7VoVkTXsPo")</f>
        <v>夏天#summervibes #california #puppy #pitmix #rescued #brixton #banksy #happy #mybabies https://t.co/7VoVkTXsPo</v>
      </c>
      <c r="G6553" s="4" t="str">
        <f>IFERROR(__xludf.DUMMYFUNCTION("GOOGLETRANSLATE(B6553)"),"獲救")</f>
        <v>獲救</v>
      </c>
    </row>
    <row r="6554" ht="15.75" customHeight="1">
      <c r="A6554" s="4">
        <v>8102.0</v>
      </c>
      <c r="B6554" s="4" t="s">
        <v>3708</v>
      </c>
      <c r="C6554" s="4" t="s">
        <v>5220</v>
      </c>
      <c r="D6554" s="4" t="s">
        <v>9552</v>
      </c>
      <c r="E6554" s="4">
        <v>0.0</v>
      </c>
      <c r="F6554" s="4" t="str">
        <f>IFERROR(__xludf.DUMMYFUNCTION("GOOGLETRANSLATE(D6554)"),"活埋狗的男子以為沒有人會找到她，但她及時獲救http://t.co/SahQ5UOAHW")</f>
        <v>活埋狗的男子以為沒有人會找到她，但她及時獲救http://t.co/SahQ5UOAHW</v>
      </c>
      <c r="G6554" s="4" t="str">
        <f>IFERROR(__xludf.DUMMYFUNCTION("GOOGLETRANSLATE(B6554)"),"獲救")</f>
        <v>獲救</v>
      </c>
    </row>
    <row r="6555" ht="15.75" customHeight="1">
      <c r="A6555" s="4">
        <v>8105.0</v>
      </c>
      <c r="B6555" s="4" t="s">
        <v>3708</v>
      </c>
      <c r="C6555" s="4" t="s">
        <v>9553</v>
      </c>
      <c r="D6555" s="4" t="s">
        <v>9554</v>
      </c>
      <c r="E6555" s="4">
        <v>0.0</v>
      </c>
      <c r="F6555" s="4" t="str">
        <f>IFERROR(__xludf.DUMMYFUNCTION("GOOGLETRANSLATE(D6555)"),"但現在#Skyrim 再次等待被拯救。")</f>
        <v>但現在#Skyrim 再次等待被拯救。</v>
      </c>
      <c r="G6555" s="4" t="str">
        <f>IFERROR(__xludf.DUMMYFUNCTION("GOOGLETRANSLATE(B6555)"),"獲救")</f>
        <v>獲救</v>
      </c>
    </row>
    <row r="6556" ht="15.75" customHeight="1">
      <c r="A6556" s="4">
        <v>8109.0</v>
      </c>
      <c r="B6556" s="4" t="s">
        <v>3708</v>
      </c>
      <c r="C6556" s="4" t="s">
        <v>7321</v>
      </c>
      <c r="D6556" s="4" t="s">
        <v>9555</v>
      </c>
      <c r="E6556" s="4">
        <v>0.0</v>
      </c>
      <c r="F6556" s="4" t="str">
        <f>IFERROR(__xludf.DUMMYFUNCTION("GOOGLETRANSLATE(D6556)"),"芬蘭嘻哈先驅 Paleface 將被「從漂流木筏中救出」並稍後帶入貨櫃#enkelbiljett #menolippu")</f>
        <v>芬蘭嘻哈先驅 Paleface 將被「從漂流木筏中救出」並稍後帶入貨櫃#enkelbiljett #menolippu</v>
      </c>
      <c r="G6556" s="4" t="str">
        <f>IFERROR(__xludf.DUMMYFUNCTION("GOOGLETRANSLATE(B6556)"),"獲救")</f>
        <v>獲救</v>
      </c>
    </row>
    <row r="6557" ht="15.75" customHeight="1">
      <c r="A6557" s="4">
        <v>8111.0</v>
      </c>
      <c r="B6557" s="4" t="s">
        <v>3708</v>
      </c>
      <c r="D6557" s="4" t="s">
        <v>9556</v>
      </c>
      <c r="E6557" s="4">
        <v>0.0</v>
      </c>
      <c r="F6557" s="4" t="str">
        <f>IFERROR(__xludf.DUMMYFUNCTION("GOOGLETRANSLATE(D6557)"),"拯救被遺棄的可卡犬所需的資金 http://t.co/RJrmW7nzy5")</f>
        <v>拯救被遺棄的可卡犬所需的資金 http://t.co/RJrmW7nzy5</v>
      </c>
      <c r="G6557" s="4" t="str">
        <f>IFERROR(__xludf.DUMMYFUNCTION("GOOGLETRANSLATE(B6557)"),"獲救")</f>
        <v>獲救</v>
      </c>
    </row>
    <row r="6558" ht="15.75" customHeight="1">
      <c r="A6558" s="4">
        <v>8112.0</v>
      </c>
      <c r="B6558" s="4" t="s">
        <v>3708</v>
      </c>
      <c r="D6558" s="4" t="s">
        <v>9557</v>
      </c>
      <c r="E6558" s="4">
        <v>0.0</v>
      </c>
      <c r="F6558" s="4" t="str">
        <f>IFERROR(__xludf.DUMMYFUNCTION("GOOGLETRANSLATE(D6558)"),"我喜歡 @YouTube 影片 http://t.co/45TWHJ0l6m RomanAtwoodVlogs |拯救生病的小貓！！")</f>
        <v>我喜歡 @YouTube 影片 http://t.co/45TWHJ0l6m RomanAtwoodVlogs |拯救生病的小貓！！</v>
      </c>
      <c r="G6558" s="4" t="str">
        <f>IFERROR(__xludf.DUMMYFUNCTION("GOOGLETRANSLATE(B6558)"),"獲救")</f>
        <v>獲救</v>
      </c>
    </row>
    <row r="6559" ht="15.75" customHeight="1">
      <c r="A6559" s="4">
        <v>8116.0</v>
      </c>
      <c r="B6559" s="4" t="s">
        <v>3708</v>
      </c>
      <c r="C6559" s="4" t="s">
        <v>9558</v>
      </c>
      <c r="D6559" s="4" t="s">
        <v>9559</v>
      </c>
      <c r="E6559" s="4">
        <v>0.0</v>
      </c>
      <c r="F6559" s="4" t="str">
        <f>IFERROR(__xludf.DUMMYFUNCTION("GOOGLETRANSLATE(D6559)"),"一隻勇敢的小狗從河裡被救了出來。他的康復將激勵... https://t.co/jYwFyGcLHM 來自 @YouTube")</f>
        <v>一隻勇敢的小狗從河裡被救了出來。他的康復將激勵... https://t.co/jYwFyGcLHM 來自 @YouTube</v>
      </c>
      <c r="G6559" s="4" t="str">
        <f>IFERROR(__xludf.DUMMYFUNCTION("GOOGLETRANSLATE(B6559)"),"獲救")</f>
        <v>獲救</v>
      </c>
    </row>
    <row r="6560" ht="15.75" customHeight="1">
      <c r="A6560" s="4">
        <v>8118.0</v>
      </c>
      <c r="B6560" s="4" t="s">
        <v>3708</v>
      </c>
      <c r="C6560" s="4" t="s">
        <v>9560</v>
      </c>
      <c r="D6560" s="4" t="s">
        <v>9561</v>
      </c>
      <c r="E6560" s="4">
        <v>0.0</v>
      </c>
      <c r="F6560" s="4" t="str">
        <f>IFERROR(__xludf.DUMMYFUNCTION("GOOGLETRANSLATE(D6560)"),"無家可歸的男子帶著他救出的 11 隻流浪狗穿越美國，得到了陌生人的幫助 http://t.co/QhfqlUI6RY 來自 @Reshareworthy")</f>
        <v>無家可歸的男子帶著他救出的 11 隻流浪狗穿越美國，得到了陌生人的幫助 http://t.co/QhfqlUI6RY 來自 @Reshareworthy</v>
      </c>
      <c r="G6560" s="4" t="str">
        <f>IFERROR(__xludf.DUMMYFUNCTION("GOOGLETRANSLATE(B6560)"),"獲救")</f>
        <v>獲救</v>
      </c>
    </row>
    <row r="6561" ht="15.75" customHeight="1">
      <c r="A6561" s="4">
        <v>8120.0</v>
      </c>
      <c r="B6561" s="4" t="s">
        <v>3708</v>
      </c>
      <c r="C6561" s="4" t="s">
        <v>4266</v>
      </c>
      <c r="D6561" s="4" t="s">
        <v>9562</v>
      </c>
      <c r="E6561" s="4">
        <v>0.0</v>
      </c>
      <c r="F6561" s="4" t="str">
        <f>IFERROR(__xludf.DUMMYFUNCTION("GOOGLETRANSLATE(D6561)"),"“你只能從你實際所在的地方獲救，而不能從你假裝所在的地方獲救。”喬治·希亞特")</f>
        <v>“你只能從你實際所在的地方獲救，而不能從你假裝所在的地方獲救。”喬治·希亞特</v>
      </c>
      <c r="G6561" s="4" t="str">
        <f>IFERROR(__xludf.DUMMYFUNCTION("GOOGLETRANSLATE(B6561)"),"獲救")</f>
        <v>獲救</v>
      </c>
    </row>
    <row r="6562" ht="15.75" customHeight="1">
      <c r="A6562" s="4">
        <v>8121.0</v>
      </c>
      <c r="B6562" s="4" t="s">
        <v>3708</v>
      </c>
      <c r="C6562" s="4" t="s">
        <v>9563</v>
      </c>
      <c r="D6562" s="4" t="s">
        <v>9564</v>
      </c>
      <c r="E6562" s="4">
        <v>0.0</v>
      </c>
      <c r="F6562" s="4" t="str">
        <f>IFERROR(__xludf.DUMMYFUNCTION("GOOGLETRANSLATE(D6562)"),"我們至少在九年前救了我的狗？她老了，但還是一如既往的甜美？？ @Zak_Bagans http://t.co/yhYY3o609U")</f>
        <v>我們至少在九年前救了我的狗？她老了，但還是一如既往的甜美？？ @Zak_Bagans http://t.co/yhYY3o609U</v>
      </c>
      <c r="G6562" s="4" t="str">
        <f>IFERROR(__xludf.DUMMYFUNCTION("GOOGLETRANSLATE(B6562)"),"獲救")</f>
        <v>獲救</v>
      </c>
    </row>
    <row r="6563" ht="15.75" customHeight="1">
      <c r="A6563" s="4">
        <v>8130.0</v>
      </c>
      <c r="B6563" s="4" t="s">
        <v>3708</v>
      </c>
      <c r="C6563" s="4" t="s">
        <v>9565</v>
      </c>
      <c r="D6563" s="4" t="s">
        <v>9566</v>
      </c>
      <c r="E6563" s="4">
        <v>0.0</v>
      </c>
      <c r="F6563" s="4" t="str">
        <f>IFERROR(__xludf.DUMMYFUNCTION("GOOGLETRANSLATE(D6563)"),"相信我們會被那些愚蠢的人拯救的。 #艾默戴爾#SummerFate")</f>
        <v>相信我們會被那些愚蠢的人拯救的。 #艾默戴爾#SummerFate</v>
      </c>
      <c r="G6563" s="4" t="str">
        <f>IFERROR(__xludf.DUMMYFUNCTION("GOOGLETRANSLATE(B6563)"),"獲救")</f>
        <v>獲救</v>
      </c>
    </row>
    <row r="6564" ht="15.75" customHeight="1">
      <c r="A6564" s="4">
        <v>8133.0</v>
      </c>
      <c r="B6564" s="4" t="s">
        <v>3708</v>
      </c>
      <c r="D6564" s="4" t="s">
        <v>9567</v>
      </c>
      <c r="E6564" s="4">
        <v>0.0</v>
      </c>
      <c r="F6564" s="4" t="str">
        <f>IFERROR(__xludf.DUMMYFUNCTION("GOOGLETRANSLATE(D6564)"),"Rescue TB 繼續在 HITS 上亮相：http://t.co/pA5SSLeFEC，來自 @offtrackhorse")</f>
        <v>Rescue TB 繼續在 HITS 上亮相：http://t.co/pA5SSLeFEC，來自 @offtrackhorse</v>
      </c>
      <c r="G6564" s="4" t="str">
        <f>IFERROR(__xludf.DUMMYFUNCTION("GOOGLETRANSLATE(B6564)"),"獲救")</f>
        <v>獲救</v>
      </c>
    </row>
    <row r="6565" ht="15.75" customHeight="1">
      <c r="A6565" s="4">
        <v>8135.0</v>
      </c>
      <c r="B6565" s="4" t="s">
        <v>3708</v>
      </c>
      <c r="D6565" s="4" t="s">
        <v>9568</v>
      </c>
      <c r="E6565" s="4">
        <v>0.0</v>
      </c>
      <c r="F6565" s="4" t="str">
        <f>IFERROR(__xludf.DUMMYFUNCTION("GOOGLETRANSLATE(D6565)"),"回到我身邊吧！我拯救了你，掃除了你的罪孽，如同雲彩一樣。以賽亞書 44:22 現代英文版")</f>
        <v>回到我身邊吧！我拯救了你，掃除了你的罪孽，如同雲彩一樣。以賽亞書 44:22 現代英文版</v>
      </c>
      <c r="G6565" s="4" t="str">
        <f>IFERROR(__xludf.DUMMYFUNCTION("GOOGLETRANSLATE(B6565)"),"獲救")</f>
        <v>獲救</v>
      </c>
    </row>
    <row r="6566" ht="15.75" customHeight="1">
      <c r="A6566" s="4">
        <v>8136.0</v>
      </c>
      <c r="B6566" s="4" t="s">
        <v>3708</v>
      </c>
      <c r="C6566" s="4" t="s">
        <v>6433</v>
      </c>
      <c r="D6566" s="4" t="s">
        <v>9569</v>
      </c>
      <c r="E6566" s="4">
        <v>0.0</v>
      </c>
      <c r="F6566" s="4" t="str">
        <f>IFERROR(__xludf.DUMMYFUNCTION("GOOGLETRANSLATE(D6566)"),"@Zak_Bagans 寵物就像是家庭的一部分。我喜歡動物。？？？我救了最後兩隻寵物！當動物受到虐待時我心碎？？？")</f>
        <v>@Zak_Bagans 寵物就像是家庭的一部分。我喜歡動物。？？？我救了最後兩隻寵物！當動物受到虐待時我心碎？？？</v>
      </c>
      <c r="G6566" s="4" t="str">
        <f>IFERROR(__xludf.DUMMYFUNCTION("GOOGLETRANSLATE(B6566)"),"獲救")</f>
        <v>獲救</v>
      </c>
    </row>
    <row r="6567" ht="15.75" customHeight="1">
      <c r="A6567" s="4">
        <v>8137.0</v>
      </c>
      <c r="B6567" s="4" t="s">
        <v>3708</v>
      </c>
      <c r="C6567" s="4" t="s">
        <v>9010</v>
      </c>
      <c r="D6567" s="4" t="s">
        <v>9570</v>
      </c>
      <c r="E6567" s="4">
        <v>0.0</v>
      </c>
      <c r="F6567" s="4" t="str">
        <f>IFERROR(__xludf.DUMMYFUNCTION("GOOGLETRANSLATE(D6567)"),"我喜歡 @YouTube 影片 http://t.co/FNpDJwVw1j 住在紙板箱裡的無家可歸的狗被救了&amp;amp;有一種暖心的")</f>
        <v>我喜歡 @YouTube 影片 http://t.co/FNpDJwVw1j 住在紙板箱裡的無家可歸的狗被救了&amp;amp;有一種暖心的</v>
      </c>
      <c r="G6567" s="4" t="str">
        <f>IFERROR(__xludf.DUMMYFUNCTION("GOOGLETRANSLATE(B6567)"),"獲救")</f>
        <v>獲救</v>
      </c>
    </row>
    <row r="6568" ht="15.75" customHeight="1">
      <c r="A6568" s="4">
        <v>8138.0</v>
      </c>
      <c r="B6568" s="4" t="s">
        <v>3708</v>
      </c>
      <c r="C6568" s="4" t="s">
        <v>126</v>
      </c>
      <c r="D6568" s="4" t="s">
        <v>9571</v>
      </c>
      <c r="E6568" s="4">
        <v>0.0</v>
      </c>
      <c r="F6568" s="4" t="str">
        <f>IFERROR(__xludf.DUMMYFUNCTION("GOOGLETRANSLATE(D6568)"),"憤怒、不信任的獲救大像在她的新家找到了和平與友誼（照片）http://t.co/VaUnPS6WJa 來自 @OneGreenPlanet")</f>
        <v>憤怒、不信任的獲救大像在她的新家找到了和平與友誼（照片）http://t.co/VaUnPS6WJa 來自 @OneGreenPlanet</v>
      </c>
      <c r="G6568" s="4" t="str">
        <f>IFERROR(__xludf.DUMMYFUNCTION("GOOGLETRANSLATE(B6568)"),"獲救")</f>
        <v>獲救</v>
      </c>
    </row>
    <row r="6569" ht="15.75" customHeight="1">
      <c r="A6569" s="4">
        <v>8154.0</v>
      </c>
      <c r="B6569" s="4" t="s">
        <v>3730</v>
      </c>
      <c r="D6569" s="4" t="s">
        <v>9572</v>
      </c>
      <c r="E6569" s="4">
        <v>0.0</v>
      </c>
      <c r="F6569" s="4" t="str">
        <f>IFERROR(__xludf.DUMMYFUNCTION("GOOGLETRANSLATE(D6569)"),"我有一種無法解釋的想看《救援者》的慾望。 #童年定義")</f>
        <v>我有一種無法解釋的想看《救援者》的慾望。 #童年定義</v>
      </c>
      <c r="G6569" s="4" t="str">
        <f>IFERROR(__xludf.DUMMYFUNCTION("GOOGLETRANSLATE(B6569)"),"救援人員")</f>
        <v>救援人員</v>
      </c>
    </row>
    <row r="6570" ht="15.75" customHeight="1">
      <c r="A6570" s="4">
        <v>8156.0</v>
      </c>
      <c r="B6570" s="4" t="s">
        <v>3730</v>
      </c>
      <c r="C6570" s="4" t="s">
        <v>23</v>
      </c>
      <c r="D6570" s="4" t="s">
        <v>9573</v>
      </c>
      <c r="E6570" s="4">
        <v>0.0</v>
      </c>
      <c r="F6570" s="4" t="str">
        <f>IFERROR(__xludf.DUMMYFUNCTION("GOOGLETRANSLATE(D6570)"),"@AndyGilder Channel 5 一直在為英國皇家防止虐待動物協會 (RSPCA) 的狗救援人員做同樣的事情......「電視廣告」已經悄悄溜進了後門。")</f>
        <v>@AndyGilder Channel 5 一直在為英國皇家防止虐待動物協會 (RSPCA) 的狗救援人員做同樣的事情......「電視廣告」已經悄悄溜進了後門。</v>
      </c>
      <c r="G6570" s="4" t="str">
        <f>IFERROR(__xludf.DUMMYFUNCTION("GOOGLETRANSLATE(B6570)"),"救援人員")</f>
        <v>救援人員</v>
      </c>
    </row>
    <row r="6571" ht="15.75" customHeight="1">
      <c r="A6571" s="4">
        <v>8165.0</v>
      </c>
      <c r="B6571" s="4" t="s">
        <v>3730</v>
      </c>
      <c r="D6571" s="4" t="s">
        <v>9574</v>
      </c>
      <c r="E6571" s="4">
        <v>0.0</v>
      </c>
      <c r="F6571" s="4" t="str">
        <f>IFERROR(__xludf.DUMMYFUNCTION("GOOGLETRANSLATE(D6571)"),"最後第二個 eBay 出價 RT？ http://t.co/oEKUcq4ZL0 少林救星 (DVD 2010) 沉禪南蔣五毒功夫？請收藏")</f>
        <v>最後第二個 eBay 出價 RT？ http://t.co/oEKUcq4ZL0 少林救星 (DVD 2010) 沉禪南蔣五毒功夫？請收藏</v>
      </c>
      <c r="G6571" s="4" t="str">
        <f>IFERROR(__xludf.DUMMYFUNCTION("GOOGLETRANSLATE(B6571)"),"救援人員")</f>
        <v>救援人員</v>
      </c>
    </row>
    <row r="6572" ht="15.75" customHeight="1">
      <c r="A6572" s="4">
        <v>8195.0</v>
      </c>
      <c r="B6572" s="4" t="s">
        <v>3770</v>
      </c>
      <c r="C6572" s="4" t="s">
        <v>9575</v>
      </c>
      <c r="D6572" s="4" t="s">
        <v>9576</v>
      </c>
      <c r="E6572" s="4">
        <v>0.0</v>
      </c>
      <c r="F6572" s="4" t="str">
        <f>IFERROR(__xludf.DUMMYFUNCTION("GOOGLETRANSLATE(D6572)"),"致全世界所有熱愛肉類的女權主義者 Riot Grill 已經到來：流行測驗！你比較喜歡哪一個：女... http://t.co/KmndkFa7me #art")</f>
        <v>致全世界所有熱愛肉類的女權主義者 Riot Grill 已經到來：流行測驗！你比較喜歡哪一個：女... http://t.co/KmndkFa7me #art</v>
      </c>
      <c r="G6572" s="4" t="str">
        <f>IFERROR(__xludf.DUMMYFUNCTION("GOOGLETRANSLATE(B6572)"),"暴動")</f>
        <v>暴動</v>
      </c>
    </row>
    <row r="6573" ht="15.75" customHeight="1">
      <c r="A6573" s="4">
        <v>8196.0</v>
      </c>
      <c r="B6573" s="4" t="s">
        <v>3770</v>
      </c>
      <c r="C6573" s="4" t="s">
        <v>34</v>
      </c>
      <c r="D6573" s="4" t="s">
        <v>9577</v>
      </c>
      <c r="E6573" s="4">
        <v>0.0</v>
      </c>
      <c r="F6573" s="4" t="str">
        <f>IFERROR(__xludf.DUMMYFUNCTION("GOOGLETRANSLATE(D6573)"),"斯圖爾特·布羅德（Stuart Broad）在喬·魯特（Joe Root）對澳大利亞人發起騷亂之前拿下八分")</f>
        <v>斯圖爾特·布羅德（Stuart Broad）在喬·魯特（Joe Root）對澳大利亞人發起騷亂之前拿下八分</v>
      </c>
      <c r="G6573" s="4" t="str">
        <f>IFERROR(__xludf.DUMMYFUNCTION("GOOGLETRANSLATE(B6573)"),"暴動")</f>
        <v>暴動</v>
      </c>
    </row>
    <row r="6574" ht="15.75" customHeight="1">
      <c r="A6574" s="4">
        <v>8202.0</v>
      </c>
      <c r="B6574" s="4" t="s">
        <v>3770</v>
      </c>
      <c r="D6574" s="4" t="s">
        <v>9578</v>
      </c>
      <c r="E6574" s="4">
        <v>0.0</v>
      </c>
      <c r="F6574" s="4" t="str">
        <f>IFERROR(__xludf.DUMMYFUNCTION("GOOGLETRANSLATE(D6574)"),"@teamVODG 由@NickCannon 發現
 在@iTunesMusic @iTunes 上收聽/購買 @realmandyrain #RIOT https://t.co/dehMym5lpk Û_ #BlowMandyUp")</f>
        <v>@teamVODG 由@NickCannon 發現
 在@iTunesMusic @iTunes 上收聽/購買 @realmandyrain #RIOT https://t.co/dehMym5lpk Û_ #BlowMandyUp</v>
      </c>
      <c r="G6574" s="4" t="str">
        <f>IFERROR(__xludf.DUMMYFUNCTION("GOOGLETRANSLATE(B6574)"),"暴動")</f>
        <v>暴動</v>
      </c>
    </row>
    <row r="6575" ht="15.75" customHeight="1">
      <c r="A6575" s="4">
        <v>8203.0</v>
      </c>
      <c r="B6575" s="4" t="s">
        <v>3770</v>
      </c>
      <c r="D6575" s="4" t="s">
        <v>9579</v>
      </c>
      <c r="E6575" s="4">
        <v>0.0</v>
      </c>
      <c r="F6575" s="4" t="str">
        <f>IFERROR(__xludf.DUMMYFUNCTION("GOOGLETRANSLATE(D6575)"),"致全世界所有熱愛肉類的女權主義者 Riot Grill 已抵達 http://t.co/um3wTL5r7K #arts http://t.co/2LQyxZQ5DN")</f>
        <v>致全世界所有熱愛肉類的女權主義者 Riot Grill 已抵達 http://t.co/um3wTL5r7K #arts http://t.co/2LQyxZQ5DN</v>
      </c>
      <c r="G6575" s="4" t="str">
        <f>IFERROR(__xludf.DUMMYFUNCTION("GOOGLETRANSLATE(B6575)"),"暴動")</f>
        <v>暴動</v>
      </c>
    </row>
    <row r="6576" ht="15.75" customHeight="1">
      <c r="A6576" s="4">
        <v>8204.0</v>
      </c>
      <c r="B6576" s="4" t="s">
        <v>3770</v>
      </c>
      <c r="C6576" s="4" t="s">
        <v>9580</v>
      </c>
      <c r="D6576" s="4" t="s">
        <v>9581</v>
      </c>
      <c r="E6576" s="4">
        <v>0.0</v>
      </c>
      <c r="F6576" s="4" t="str">
        <f>IFERROR(__xludf.DUMMYFUNCTION("GOOGLETRANSLATE(D6576)"),"http://t.co/cxB55H37jn Rascal Flatts Riot Tour 大西洋城海灘音樂會 - 2015 年 8 月 20 日-2 門票 http://t.co/H6tyYSGR30")</f>
        <v>http://t.co/cxB55H37jn Rascal Flatts Riot Tour 大西洋城海灘音樂會 - 2015 年 8 月 20 日-2 門票 http://t.co/H6tyYSGR30</v>
      </c>
      <c r="G6576" s="4" t="str">
        <f>IFERROR(__xludf.DUMMYFUNCTION("GOOGLETRANSLATE(B6576)"),"暴動")</f>
        <v>暴動</v>
      </c>
    </row>
    <row r="6577" ht="15.75" customHeight="1">
      <c r="A6577" s="4">
        <v>8205.0</v>
      </c>
      <c r="B6577" s="4" t="s">
        <v>3770</v>
      </c>
      <c r="C6577" s="4" t="s">
        <v>3030</v>
      </c>
      <c r="D6577" s="4" t="s">
        <v>9582</v>
      </c>
      <c r="E6577" s="4">
        <v>0.0</v>
      </c>
      <c r="F6577" s="4" t="str">
        <f>IFERROR(__xludf.DUMMYFUNCTION("GOOGLETRANSLATE(D6577)"),"致全世界所有熱愛肉類的女權主義者 Riot Grill 已抵達 http://t.co/uDQA53KfQu")</f>
        <v>致全世界所有熱愛肉類的女權主義者 Riot Grill 已抵達 http://t.co/uDQA53KfQu</v>
      </c>
      <c r="G6577" s="4" t="str">
        <f>IFERROR(__xludf.DUMMYFUNCTION("GOOGLETRANSLATE(B6577)"),"暴動")</f>
        <v>暴動</v>
      </c>
    </row>
    <row r="6578" ht="15.75" customHeight="1">
      <c r="A6578" s="4">
        <v>8208.0</v>
      </c>
      <c r="B6578" s="4" t="s">
        <v>3770</v>
      </c>
      <c r="C6578" s="4" t="s">
        <v>9583</v>
      </c>
      <c r="D6578" s="4" t="s">
        <v>9584</v>
      </c>
      <c r="E6578" s="4">
        <v>0.0</v>
      </c>
      <c r="F6578" s="4" t="str">
        <f>IFERROR(__xludf.DUMMYFUNCTION("GOOGLETRANSLATE(D6578)"),"說真的，我們必須對迪士尼和漫威的總部發動一場戰術騷亂…")</f>
        <v>說真的，我們必須對迪士尼和漫威的總部發動一場戰術騷亂…</v>
      </c>
      <c r="G6578" s="4" t="str">
        <f>IFERROR(__xludf.DUMMYFUNCTION("GOOGLETRANSLATE(B6578)"),"暴動")</f>
        <v>暴動</v>
      </c>
    </row>
    <row r="6579" ht="15.75" customHeight="1">
      <c r="A6579" s="4">
        <v>8209.0</v>
      </c>
      <c r="B6579" s="4" t="s">
        <v>3770</v>
      </c>
      <c r="C6579" s="4" t="s">
        <v>9585</v>
      </c>
      <c r="D6579" s="4" t="s">
        <v>9586</v>
      </c>
      <c r="E6579" s="4">
        <v>0.0</v>
      </c>
      <c r="F6579" s="4" t="str">
        <f>IFERROR(__xludf.DUMMYFUNCTION("GOOGLETRANSLATE(D6579)"),"@Dani_Riot 請留意，我們將在未來幾天/幾週內尋找大量新團隊成員:)")</f>
        <v>@Dani_Riot 請留意，我們將在未來幾天/幾週內尋找大量新團隊成員:)</v>
      </c>
      <c r="G6579" s="4" t="str">
        <f>IFERROR(__xludf.DUMMYFUNCTION("GOOGLETRANSLATE(B6579)"),"暴動")</f>
        <v>暴動</v>
      </c>
    </row>
    <row r="6580" ht="15.75" customHeight="1">
      <c r="A6580" s="4">
        <v>8210.0</v>
      </c>
      <c r="B6580" s="4" t="s">
        <v>3770</v>
      </c>
      <c r="C6580" s="4" t="s">
        <v>4452</v>
      </c>
      <c r="D6580" s="4" t="s">
        <v>9587</v>
      </c>
      <c r="E6580" s="4">
        <v>0.0</v>
      </c>
      <c r="F6580" s="4" t="str">
        <f>IFERROR(__xludf.DUMMYFUNCTION("GOOGLETRANSLATE(D6580)"),"致全世界所有熱愛肉類的女權主義者 Riot Grill 已經到來：流行測驗！你比較喜歡哪一個：女權主義者... http://t.co/HXOX7o42Rq")</f>
        <v>致全世界所有熱愛肉類的女權主義者 Riot Grill 已經到來：流行測驗！你比較喜歡哪一個：女權主義者... http://t.co/HXOX7o42Rq</v>
      </c>
      <c r="G6580" s="4" t="str">
        <f>IFERROR(__xludf.DUMMYFUNCTION("GOOGLETRANSLATE(B6580)"),"暴動")</f>
        <v>暴動</v>
      </c>
    </row>
    <row r="6581" ht="15.75" customHeight="1">
      <c r="A6581" s="4">
        <v>8212.0</v>
      </c>
      <c r="B6581" s="4" t="s">
        <v>3770</v>
      </c>
      <c r="D6581" s="4" t="s">
        <v>9588</v>
      </c>
      <c r="E6581" s="4">
        <v>0.0</v>
      </c>
      <c r="F6581" s="4" t="str">
        <f>IFERROR(__xludf.DUMMYFUNCTION("GOOGLETRANSLATE(D6581)"),"@AcaciaPenn 我今天會發起一場大騷亂，把我送進監獄 mfs shidddd ??")</f>
        <v>@AcaciaPenn 我今天會發起一場大騷亂，把我送進監獄 mfs shidddd ??</v>
      </c>
      <c r="G6581" s="4" t="str">
        <f>IFERROR(__xludf.DUMMYFUNCTION("GOOGLETRANSLATE(B6581)"),"暴動")</f>
        <v>暴動</v>
      </c>
    </row>
    <row r="6582" ht="15.75" customHeight="1">
      <c r="A6582" s="4">
        <v>8213.0</v>
      </c>
      <c r="B6582" s="4" t="s">
        <v>3770</v>
      </c>
      <c r="D6582" s="4" t="s">
        <v>9589</v>
      </c>
      <c r="E6582" s="4">
        <v>0.0</v>
      </c>
      <c r="F6582" s="4" t="str">
        <f>IFERROR(__xludf.DUMMYFUNCTION("GOOGLETRANSLATE(D6582)"),"Riot Kit Bah - 秋冬新概念裝備的一部分
#menswear #fashion #urbanfashionÛ_ https://t.co/cCwzDTFbUS")</f>
        <v>Riot Kit Bah - 秋冬新概念裝備的一部分
#menswear #fashion #urbanfashionÛ_ https://t.co/cCwzDTFbUS</v>
      </c>
      <c r="G6582" s="4" t="str">
        <f>IFERROR(__xludf.DUMMYFUNCTION("GOOGLETRANSLATE(B6582)"),"暴動")</f>
        <v>暴動</v>
      </c>
    </row>
    <row r="6583" ht="15.75" customHeight="1">
      <c r="A6583" s="4">
        <v>8214.0</v>
      </c>
      <c r="B6583" s="4" t="s">
        <v>3770</v>
      </c>
      <c r="D6583" s="4" t="s">
        <v>9590</v>
      </c>
      <c r="E6583" s="4">
        <v>0.0</v>
      </c>
      <c r="F6583" s="4" t="str">
        <f>IFERROR(__xludf.DUMMYFUNCTION("GOOGLETRANSLATE(D6583)"),"@abran_caballero 由 @NickCannon 發現
 在@iTunesMusic @iTunes 上收聽/購買 @realmandyrain #RIOT https://t.co/dehMym5lpk Û_ #BlowMandyUp")</f>
        <v>@abran_caballero 由 @NickCannon 發現
 在@iTunesMusic @iTunes 上收聽/購買 @realmandyrain #RIOT https://t.co/dehMym5lpk Û_ #BlowMandyUp</v>
      </c>
      <c r="G6583" s="4" t="str">
        <f>IFERROR(__xludf.DUMMYFUNCTION("GOOGLETRANSLATE(B6583)"),"暴動")</f>
        <v>暴動</v>
      </c>
    </row>
    <row r="6584" ht="15.75" customHeight="1">
      <c r="A6584" s="4">
        <v>8215.0</v>
      </c>
      <c r="B6584" s="4" t="s">
        <v>3770</v>
      </c>
      <c r="D6584" s="4" t="s">
        <v>9591</v>
      </c>
      <c r="E6584" s="4">
        <v>0.0</v>
      </c>
      <c r="F6584" s="4" t="str">
        <f>IFERROR(__xludf.DUMMYFUNCTION("GOOGLETRANSLATE(D6584)"),"我喜歡 @YouTube 影片 http://t.co/5fR41TPzte Thorin's Thoughts - Riot and Sandbox Mode (LoL)")</f>
        <v>我喜歡 @YouTube 影片 http://t.co/5fR41TPzte Thorin's Thoughts - Riot and Sandbox Mode (LoL)</v>
      </c>
      <c r="G6584" s="4" t="str">
        <f>IFERROR(__xludf.DUMMYFUNCTION("GOOGLETRANSLATE(B6584)"),"暴動")</f>
        <v>暴動</v>
      </c>
    </row>
    <row r="6585" ht="15.75" customHeight="1">
      <c r="A6585" s="4">
        <v>8216.0</v>
      </c>
      <c r="B6585" s="4" t="s">
        <v>3770</v>
      </c>
      <c r="D6585" s="4" t="s">
        <v>9592</v>
      </c>
      <c r="E6585" s="4">
        <v>0.0</v>
      </c>
      <c r="F6585" s="4" t="str">
        <f>IFERROR(__xludf.DUMMYFUNCTION("GOOGLETRANSLATE(D6585)"),"斯圖爾特·布羅德(Stuart Broad) 在喬·魯特(Joe Root) 與澳大利亞人發生衝突之前拿下八分：斯圖爾特·布羅德(Stuart Broad) 拿下了職業生涯最好的8 分.. .... http://t.co/zGSJWXdrCM")</f>
        <v>斯圖爾特·布羅德(Stuart Broad) 在喬·魯特(Joe Root) 與澳大利亞人發生衝突之前拿下八分：斯圖爾特·布羅德(Stuart Broad) 拿下了職業生涯最好的8 分.. .... http://t.co/zGSJWXdrCM</v>
      </c>
      <c r="G6585" s="4" t="str">
        <f>IFERROR(__xludf.DUMMYFUNCTION("GOOGLETRANSLATE(B6585)"),"暴動")</f>
        <v>暴動</v>
      </c>
    </row>
    <row r="6586" ht="15.75" customHeight="1">
      <c r="A6586" s="4">
        <v>8217.0</v>
      </c>
      <c r="B6586" s="4" t="s">
        <v>3770</v>
      </c>
      <c r="C6586" s="4" t="s">
        <v>1118</v>
      </c>
      <c r="D6586" s="4" t="s">
        <v>9593</v>
      </c>
      <c r="E6586" s="4">
        <v>0.0</v>
      </c>
      <c r="F6586" s="4" t="str">
        <f>IFERROR(__xludf.DUMMYFUNCTION("GOOGLETRANSLATE(D6586)"),"轉發莎拉·西爾弗曼 (@SarahKSilverman)：
《我的散步》原聲帶由特雷西·烏爾曼的《他們不知道》開始。完美的")</f>
        <v>轉發莎拉·西爾弗曼 (@SarahKSilverman)：
《我的散步》原聲帶由特雷西·烏爾曼的《他們不知道》開始。完美的</v>
      </c>
      <c r="G6586" s="4" t="str">
        <f>IFERROR(__xludf.DUMMYFUNCTION("GOOGLETRANSLATE(B6586)"),"暴動")</f>
        <v>暴動</v>
      </c>
    </row>
    <row r="6587" ht="15.75" customHeight="1">
      <c r="A6587" s="4">
        <v>8219.0</v>
      </c>
      <c r="B6587" s="4" t="s">
        <v>3770</v>
      </c>
      <c r="D6587" s="4" t="s">
        <v>9594</v>
      </c>
      <c r="E6587" s="4">
        <v>0.0</v>
      </c>
      <c r="F6587" s="4" t="str">
        <f>IFERROR(__xludf.DUMMYFUNCTION("GOOGLETRANSLATE(D6587)"),"經過這麼長時間，Riot 確實應該製作一款官方的撒旦提摩皮膚 http://t.co/TYtPBC4GWi")</f>
        <v>經過這麼長時間，Riot 確實應該製作一款官方的撒旦提摩皮膚 http://t.co/TYtPBC4GWi</v>
      </c>
      <c r="G6587" s="4" t="str">
        <f>IFERROR(__xludf.DUMMYFUNCTION("GOOGLETRANSLATE(B6587)"),"暴動")</f>
        <v>暴動</v>
      </c>
    </row>
    <row r="6588" ht="15.75" customHeight="1">
      <c r="A6588" s="4">
        <v>8221.0</v>
      </c>
      <c r="B6588" s="4" t="s">
        <v>3770</v>
      </c>
      <c r="C6588" s="4" t="s">
        <v>9595</v>
      </c>
      <c r="D6588" s="4" t="s">
        <v>9596</v>
      </c>
      <c r="E6588" s="4">
        <v>0.0</v>
      </c>
      <c r="F6588" s="4" t="str">
        <f>IFERROR(__xludf.DUMMYFUNCTION("GOOGLETRANSLATE(D6588)"),"我喜歡@YouTube 影片 http://t.co/lAmsdzKCuz Sick Riot Shield Slide Spots！ ！")</f>
        <v>我喜歡@YouTube 影片 http://t.co/lAmsdzKCuz Sick Riot Shield Slide Spots！ ！</v>
      </c>
      <c r="G6588" s="4" t="str">
        <f>IFERROR(__xludf.DUMMYFUNCTION("GOOGLETRANSLATE(B6588)"),"暴動")</f>
        <v>暴動</v>
      </c>
    </row>
    <row r="6589" ht="15.75" customHeight="1">
      <c r="A6589" s="4">
        <v>8223.0</v>
      </c>
      <c r="B6589" s="4" t="s">
        <v>3770</v>
      </c>
      <c r="C6589" s="4" t="s">
        <v>9597</v>
      </c>
      <c r="D6589" s="4" t="s">
        <v>9598</v>
      </c>
      <c r="E6589" s="4">
        <v>0.0</v>
      </c>
      <c r="F6589" s="4" t="str">
        <f>IFERROR(__xludf.DUMMYFUNCTION("GOOGLETRANSLATE(D6589)"),"@ByTorrecilla Torrecilla 我們總是在 LoL 遊戲中提供秘密 檢查秘密，在我的簡歷上獲得 600.000 防暴點數")</f>
        <v>@ByTorrecilla Torrecilla 我們總是在 LoL 遊戲中提供秘密 檢查秘密，在我的簡歷上獲得 600.000 防暴點數</v>
      </c>
      <c r="G6589" s="4" t="str">
        <f>IFERROR(__xludf.DUMMYFUNCTION("GOOGLETRANSLATE(B6589)"),"暴動")</f>
        <v>暴動</v>
      </c>
    </row>
    <row r="6590" ht="15.75" customHeight="1">
      <c r="A6590" s="4">
        <v>8224.0</v>
      </c>
      <c r="B6590" s="4" t="s">
        <v>3770</v>
      </c>
      <c r="C6590" s="4" t="s">
        <v>9599</v>
      </c>
      <c r="D6590" s="4" t="s">
        <v>9600</v>
      </c>
      <c r="E6590" s="4">
        <v>0.0</v>
      </c>
      <c r="F6590" s="4" t="str">
        <f>IFERROR(__xludf.DUMMYFUNCTION("GOOGLETRANSLATE(D6590)"),"跨性別女性和有色人種變裝皇后領導了這場騷亂，而眾所周知的男同性戀者通常​​被認為是煽動騷亂的罪魁禍首。")</f>
        <v>跨性別女性和有色人種變裝皇后領導了這場騷亂，而眾所周知的男同性戀者通常​​被認為是煽動騷亂的罪魁禍首。</v>
      </c>
      <c r="G6590" s="4" t="str">
        <f>IFERROR(__xludf.DUMMYFUNCTION("GOOGLETRANSLATE(B6590)"),"暴動")</f>
        <v>暴動</v>
      </c>
    </row>
    <row r="6591" ht="15.75" customHeight="1">
      <c r="A6591" s="4">
        <v>8225.0</v>
      </c>
      <c r="B6591" s="4" t="s">
        <v>3770</v>
      </c>
      <c r="C6591" s="4" t="s">
        <v>512</v>
      </c>
      <c r="D6591" s="4" t="s">
        <v>9601</v>
      </c>
      <c r="E6591" s="4">
        <v>0.0</v>
      </c>
      <c r="F6591" s="4" t="str">
        <f>IFERROR(__xludf.DUMMYFUNCTION("GOOGLETRANSLATE(D6591)"),"@eac4AU 您現在可以在 ITUNES 和 iTunes 上預訂這部電影。 9/15 觀看！！耶！ http://t.co/fVP3Wnid4L http://t.co/bwdhIBtiKs http://t.co/qelROcI7by")</f>
        <v>@eac4AU 您現在可以在 ITUNES 和 iTunes 上預訂這部電影。 9/15 觀看！！耶！ http://t.co/fVP3Wnid4L http://t.co/bwdhIBtiKs http://t.co/qelROcI7by</v>
      </c>
      <c r="G6591" s="4" t="str">
        <f>IFERROR(__xludf.DUMMYFUNCTION("GOOGLETRANSLATE(B6591)"),"暴動")</f>
        <v>暴動</v>
      </c>
    </row>
    <row r="6592" ht="15.75" customHeight="1">
      <c r="A6592" s="4">
        <v>8226.0</v>
      </c>
      <c r="B6592" s="4" t="s">
        <v>3770</v>
      </c>
      <c r="C6592" s="4" t="s">
        <v>1019</v>
      </c>
      <c r="D6592" s="4" t="s">
        <v>9602</v>
      </c>
      <c r="E6592" s="4">
        <v>0.0</v>
      </c>
      <c r="F6592" s="4" t="str">
        <f>IFERROR(__xludf.DUMMYFUNCTION("GOOGLETRANSLATE(D6592)"),"“如果附近沒有盟友，你就無法使用這項技能。”你是怎麼被錄用的？確實是因為這讓每位 Riot 員工都顯得無能。")</f>
        <v>“如果附近沒有盟友，你就無法使用這項技能。”你是怎麼被錄用的？確實是因為這讓每位 Riot 員工都顯得無能。</v>
      </c>
      <c r="G6592" s="4" t="str">
        <f>IFERROR(__xludf.DUMMYFUNCTION("GOOGLETRANSLATE(B6592)"),"暴動")</f>
        <v>暴動</v>
      </c>
    </row>
    <row r="6593" ht="15.75" customHeight="1">
      <c r="A6593" s="4">
        <v>8231.0</v>
      </c>
      <c r="B6593" s="4" t="s">
        <v>3770</v>
      </c>
      <c r="C6593" s="4" t="s">
        <v>9603</v>
      </c>
      <c r="D6593" s="4" t="s">
        <v>9604</v>
      </c>
      <c r="E6593" s="4">
        <v>0.0</v>
      </c>
      <c r="F6593" s="4" t="str">
        <f>IFERROR(__xludf.DUMMYFUNCTION("GOOGLETRANSLATE(D6593)"),"突擊測驗！你喜歡哪一個：女性主義革命還是炸餛飩配牛肝菌和乳清乾酪_ http://t.co/n6MCPgVWQ2 http://t.co/s8OiNfGXyX")</f>
        <v>突擊測驗！你喜歡哪一個：女性主義革命還是炸餛飩配牛肝菌和乳清乾酪_ http://t.co/n6MCPgVWQ2 http://t.co/s8OiNfGXyX</v>
      </c>
      <c r="G6593" s="4" t="str">
        <f>IFERROR(__xludf.DUMMYFUNCTION("GOOGLETRANSLATE(B6593)"),"暴動")</f>
        <v>暴動</v>
      </c>
    </row>
    <row r="6594" ht="15.75" customHeight="1">
      <c r="A6594" s="4">
        <v>8232.0</v>
      </c>
      <c r="B6594" s="4" t="s">
        <v>3770</v>
      </c>
      <c r="D6594" s="4" t="s">
        <v>9605</v>
      </c>
      <c r="E6594" s="4">
        <v>0.0</v>
      </c>
      <c r="F6594" s="4" t="str">
        <f>IFERROR(__xludf.DUMMYFUNCTION("GOOGLETRANSLATE(D6594)"),"致全世界所有熱愛肉類的女權主義者 Riot Grill 已抵達 http://t.co/SkAAUSjpO4 OliviaMiles01")</f>
        <v>致全世界所有熱愛肉類的女權主義者 Riot Grill 已抵達 http://t.co/SkAAUSjpO4 OliviaMiles01</v>
      </c>
      <c r="G6594" s="4" t="str">
        <f>IFERROR(__xludf.DUMMYFUNCTION("GOOGLETRANSLATE(B6594)"),"暴動")</f>
        <v>暴動</v>
      </c>
    </row>
    <row r="6595" ht="15.75" customHeight="1">
      <c r="A6595" s="4">
        <v>8235.0</v>
      </c>
      <c r="B6595" s="4" t="s">
        <v>3770</v>
      </c>
      <c r="C6595" s="4" t="s">
        <v>1118</v>
      </c>
      <c r="D6595" s="4" t="s">
        <v>9606</v>
      </c>
      <c r="E6595" s="4">
        <v>0.0</v>
      </c>
      <c r="F6595" s="4" t="str">
        <f>IFERROR(__xludf.DUMMYFUNCTION("GOOGLETRANSLATE(D6595)"),"@Trollkrattos Juan Carlos Salvador 獲得 100.000 Riot Points LoL 的秘密技巧現已發布！檢查我的簡歷上的秘密")</f>
        <v>@Trollkrattos Juan Carlos Salvador 獲得 100.000 Riot Points LoL 的秘密技巧現已發布！檢查我的簡歷上的秘密</v>
      </c>
      <c r="G6595" s="4" t="str">
        <f>IFERROR(__xludf.DUMMYFUNCTION("GOOGLETRANSLATE(B6595)"),"暴動")</f>
        <v>暴動</v>
      </c>
    </row>
    <row r="6596" ht="15.75" customHeight="1">
      <c r="A6596" s="4">
        <v>8236.0</v>
      </c>
      <c r="B6596" s="4" t="s">
        <v>3770</v>
      </c>
      <c r="C6596" s="4" t="s">
        <v>915</v>
      </c>
      <c r="D6596" s="4" t="s">
        <v>9607</v>
      </c>
      <c r="E6596" s="4">
        <v>0.0</v>
      </c>
      <c r="F6596" s="4" t="str">
        <f>IFERROR(__xludf.DUMMYFUNCTION("GOOGLETRANSLATE(D6596)"),"東南泥土暴動系列加冕冠軍：東南泥土暴動系列加冕冠軍BLACKFOOT ID：So... http://t.co/v9i4PfXO0C")</f>
        <v>東南泥土暴動系列加冕冠軍：東南泥土暴動系列加冕冠軍BLACKFOOT ID：So... http://t.co/v9i4PfXO0C</v>
      </c>
      <c r="G6596" s="4" t="str">
        <f>IFERROR(__xludf.DUMMYFUNCTION("GOOGLETRANSLATE(B6596)"),"暴動")</f>
        <v>暴動</v>
      </c>
    </row>
    <row r="6597" ht="15.75" customHeight="1">
      <c r="A6597" s="4">
        <v>8238.0</v>
      </c>
      <c r="B6597" s="4" t="s">
        <v>3770</v>
      </c>
      <c r="C6597" s="4" t="s">
        <v>323</v>
      </c>
      <c r="D6597" s="4" t="s">
        <v>9577</v>
      </c>
      <c r="E6597" s="4">
        <v>0.0</v>
      </c>
      <c r="F6597" s="4" t="str">
        <f>IFERROR(__xludf.DUMMYFUNCTION("GOOGLETRANSLATE(D6597)"),"斯圖爾特·布羅德（Stuart Broad）在喬·魯特（Joe Root）對澳大利亞人發起騷亂之前拿下八分")</f>
        <v>斯圖爾特·布羅德（Stuart Broad）在喬·魯特（Joe Root）對澳大利亞人發起騷亂之前拿下八分</v>
      </c>
      <c r="G6597" s="4" t="str">
        <f>IFERROR(__xludf.DUMMYFUNCTION("GOOGLETRANSLATE(B6597)"),"暴動")</f>
        <v>暴動</v>
      </c>
    </row>
    <row r="6598" ht="15.75" customHeight="1">
      <c r="A6598" s="4">
        <v>8240.0</v>
      </c>
      <c r="B6598" s="4" t="s">
        <v>3770</v>
      </c>
      <c r="D6598" s="4" t="s">
        <v>9608</v>
      </c>
      <c r="E6598" s="4">
        <v>0.0</v>
      </c>
      <c r="F6598" s="4" t="str">
        <f>IFERROR(__xludf.DUMMYFUNCTION("GOOGLETRANSLATE(D6598)"),"@JWalkerLyle 由 @NickCannon 發現
 在@iTunesMusic @iTunes 上收聽/購買 @realmandyrain #RIOT https://t.co/dehMym5lpk Û_ #BlowMandyUp")</f>
        <v>@JWalkerLyle 由 @NickCannon 發現
 在@iTunesMusic @iTunes 上收聽/購買 @realmandyrain #RIOT https://t.co/dehMym5lpk Û_ #BlowMandyUp</v>
      </c>
      <c r="G6598" s="4" t="str">
        <f>IFERROR(__xludf.DUMMYFUNCTION("GOOGLETRANSLATE(B6598)"),"暴動")</f>
        <v>暴動</v>
      </c>
    </row>
    <row r="6599" ht="15.75" customHeight="1">
      <c r="A6599" s="4">
        <v>8241.0</v>
      </c>
      <c r="B6599" s="4" t="s">
        <v>3770</v>
      </c>
      <c r="C6599" s="4" t="s">
        <v>351</v>
      </c>
      <c r="D6599" s="4" t="s">
        <v>9609</v>
      </c>
      <c r="E6599" s="4">
        <v>0.0</v>
      </c>
      <c r="F6599" s="4" t="str">
        <f>IFERROR(__xludf.DUMMYFUNCTION("GOOGLETRANSLATE(D6599)"),"？餅乾 - 白色騷亂？ http://t.co/Cc7D0wxk0M #nowplaying")</f>
        <v>？餅乾 - 白色騷亂？ http://t.co/Cc7D0wxk0M #nowplaying</v>
      </c>
      <c r="G6599" s="4" t="str">
        <f>IFERROR(__xludf.DUMMYFUNCTION("GOOGLETRANSLATE(B6599)"),"暴動")</f>
        <v>暴動</v>
      </c>
    </row>
    <row r="6600" ht="15.75" customHeight="1">
      <c r="A6600" s="4">
        <v>8243.0</v>
      </c>
      <c r="B6600" s="4" t="s">
        <v>3781</v>
      </c>
      <c r="C6600" s="4" t="s">
        <v>9610</v>
      </c>
      <c r="D6600" s="4" t="s">
        <v>9611</v>
      </c>
      <c r="E6600" s="4">
        <v>0.0</v>
      </c>
      <c r="F6600" s="4" t="str">
        <f>IFERROR(__xludf.DUMMYFUNCTION("GOOGLETRANSLATE(D6600)"),"新 doco 今晚 9 點 Setanta Sports Ireland 免費觀看。愛爾蘭足球比賽中最大的警力阻止騷亂")</f>
        <v>新 doco 今晚 9 點 Setanta Sports Ireland 免費觀看。愛爾蘭足球比賽中最大的警力阻止騷亂</v>
      </c>
      <c r="G6600" s="4" t="str">
        <f>IFERROR(__xludf.DUMMYFUNCTION("GOOGLETRANSLATE(B6600)"),"騷亂")</f>
        <v>騷亂</v>
      </c>
    </row>
    <row r="6601" ht="15.75" customHeight="1">
      <c r="A6601" s="4">
        <v>8245.0</v>
      </c>
      <c r="B6601" s="4" t="s">
        <v>3781</v>
      </c>
      <c r="C6601" s="4" t="s">
        <v>1302</v>
      </c>
      <c r="D6601" s="4" t="s">
        <v>9612</v>
      </c>
      <c r="E6601" s="4">
        <v>0.0</v>
      </c>
      <c r="F6601" s="4" t="str">
        <f>IFERROR(__xludf.DUMMYFUNCTION("GOOGLETRANSLATE(D6601)"),"如果他們殺了瓦爾我就騷亂#Emmerdale")</f>
        <v>如果他們殺了瓦爾我就騷亂#Emmerdale</v>
      </c>
      <c r="G6601" s="4" t="str">
        <f>IFERROR(__xludf.DUMMYFUNCTION("GOOGLETRANSLATE(B6601)"),"騷亂")</f>
        <v>騷亂</v>
      </c>
    </row>
    <row r="6602" ht="15.75" customHeight="1">
      <c r="A6602" s="4">
        <v>8251.0</v>
      </c>
      <c r="B6602" s="4" t="s">
        <v>3781</v>
      </c>
      <c r="D6602" s="4" t="s">
        <v>9613</v>
      </c>
      <c r="E6602" s="4">
        <v>0.0</v>
      </c>
      <c r="F6602" s="4" t="str">
        <f>IFERROR(__xludf.DUMMYFUNCTION("GOOGLETRANSLATE(D6602)"),"如果那是個黑人，安提阿就會騷亂")</f>
        <v>如果那是個黑人，安提阿就會騷亂</v>
      </c>
      <c r="G6602" s="4" t="str">
        <f>IFERROR(__xludf.DUMMYFUNCTION("GOOGLETRANSLATE(B6602)"),"騷亂")</f>
        <v>騷亂</v>
      </c>
    </row>
    <row r="6603" ht="15.75" customHeight="1">
      <c r="A6603" s="4">
        <v>8252.0</v>
      </c>
      <c r="B6603" s="4" t="s">
        <v>3781</v>
      </c>
      <c r="C6603" s="4" t="s">
        <v>1529</v>
      </c>
      <c r="D6603" s="4" t="s">
        <v>9614</v>
      </c>
      <c r="E6603" s="4">
        <v>0.0</v>
      </c>
      <c r="F6603" s="4" t="str">
        <f>IFERROR(__xludf.DUMMYFUNCTION("GOOGLETRANSLATE(D6603)"),".@runjewels 最近與@BBC 會面，討論美國和美國的種族關係。騷亂的好處。 ＃愛就是愛
https://t.co/6Ce1vwOVHs")</f>
        <v>.@runjewels 最近與@BBC 會面，討論美國和美國的種族關係。騷亂的好處。 ＃愛就是愛
https://t.co/6Ce1vwOVHs</v>
      </c>
      <c r="G6603" s="4" t="str">
        <f>IFERROR(__xludf.DUMMYFUNCTION("GOOGLETRANSLATE(B6603)"),"騷亂")</f>
        <v>騷亂</v>
      </c>
    </row>
    <row r="6604" ht="15.75" customHeight="1">
      <c r="A6604" s="4">
        <v>8253.0</v>
      </c>
      <c r="B6604" s="4" t="s">
        <v>3781</v>
      </c>
      <c r="C6604" s="4" t="s">
        <v>9615</v>
      </c>
      <c r="D6604" s="4" t="s">
        <v>9616</v>
      </c>
      <c r="E6604" s="4">
        <v>0.0</v>
      </c>
      <c r="F6604" s="4" t="str">
        <f>IFERROR(__xludf.DUMMYFUNCTION("GOOGLETRANSLATE(D6604)"),"@Reuters 像你這樣的人應該在不可避免的騷亂之後因你的謊言而受到指控")</f>
        <v>@Reuters 像你這樣的人應該在不可避免的騷亂之後因你的謊言而受到指控</v>
      </c>
      <c r="G6604" s="4" t="str">
        <f>IFERROR(__xludf.DUMMYFUNCTION("GOOGLETRANSLATE(B6604)"),"騷亂")</f>
        <v>騷亂</v>
      </c>
    </row>
    <row r="6605" ht="15.75" customHeight="1">
      <c r="A6605" s="4">
        <v>8258.0</v>
      </c>
      <c r="B6605" s="4" t="s">
        <v>3781</v>
      </c>
      <c r="C6605" s="4" t="s">
        <v>9617</v>
      </c>
      <c r="D6605" s="4" t="s">
        <v>9618</v>
      </c>
      <c r="E6605" s="4">
        <v>0.0</v>
      </c>
      <c r="F6605" s="4" t="str">
        <f>IFERROR(__xludf.DUMMYFUNCTION("GOOGLETRANSLATE(D6605)"),"@CloydRivers，當 tOSU 贏得冠軍時，也有很多黑人騷亂。")</f>
        <v>@CloydRivers，當 tOSU 贏得冠軍時，也有很多黑人騷亂。</v>
      </c>
      <c r="G6605" s="4" t="str">
        <f>IFERROR(__xludf.DUMMYFUNCTION("GOOGLETRANSLATE(B6605)"),"騷亂")</f>
        <v>騷亂</v>
      </c>
    </row>
    <row r="6606" ht="15.75" customHeight="1">
      <c r="A6606" s="4">
        <v>8264.0</v>
      </c>
      <c r="B6606" s="4" t="s">
        <v>3781</v>
      </c>
      <c r="C6606" s="4" t="s">
        <v>9619</v>
      </c>
      <c r="D6606" s="4" t="s">
        <v>9620</v>
      </c>
      <c r="E6606" s="4">
        <v>0.0</v>
      </c>
      <c r="F6606" s="4" t="str">
        <f>IFERROR(__xludf.DUMMYFUNCTION("GOOGLETRANSLATE(D6606)"),"我認為推特的發明是為了防止我們這些失眠症患者在凌晨發生騷亂。")</f>
        <v>我認為推特的發明是為了防止我們這些失眠症患者在凌晨發生騷亂。</v>
      </c>
      <c r="G6606" s="4" t="str">
        <f>IFERROR(__xludf.DUMMYFUNCTION("GOOGLETRANSLATE(B6606)"),"騷亂")</f>
        <v>騷亂</v>
      </c>
    </row>
    <row r="6607" ht="15.75" customHeight="1">
      <c r="A6607" s="4">
        <v>8267.0</v>
      </c>
      <c r="B6607" s="4" t="s">
        <v>3781</v>
      </c>
      <c r="D6607" s="4" t="s">
        <v>9621</v>
      </c>
      <c r="E6607" s="4">
        <v>0.0</v>
      </c>
      <c r="F6607" s="4" t="str">
        <f>IFERROR(__xludf.DUMMYFUNCTION("GOOGLETRANSLATE(D6607)"),"Gmail 仍然騷亂...")</f>
        <v>Gmail 仍然騷亂...</v>
      </c>
      <c r="G6607" s="4" t="str">
        <f>IFERROR(__xludf.DUMMYFUNCTION("GOOGLETRANSLATE(B6607)"),"騷亂")</f>
        <v>騷亂</v>
      </c>
    </row>
    <row r="6608" ht="15.75" customHeight="1">
      <c r="A6608" s="4">
        <v>8271.0</v>
      </c>
      <c r="B6608" s="4" t="s">
        <v>3781</v>
      </c>
      <c r="D6608" s="4" t="s">
        <v>9622</v>
      </c>
      <c r="E6608" s="4">
        <v>0.0</v>
      </c>
      <c r="F6608" s="4" t="str">
        <f>IFERROR(__xludf.DUMMYFUNCTION("GOOGLETRANSLATE(D6608)"),"@RyleeDowns02 @nevaehburton33 如果明天騷亂我還沒拿到錢？")</f>
        <v>@RyleeDowns02 @nevaehburton33 如果明天騷亂我還沒拿到錢？</v>
      </c>
      <c r="G6608" s="4" t="str">
        <f>IFERROR(__xludf.DUMMYFUNCTION("GOOGLETRANSLATE(B6608)"),"騷亂")</f>
        <v>騷亂</v>
      </c>
    </row>
    <row r="6609" ht="15.75" customHeight="1">
      <c r="A6609" s="4">
        <v>8276.0</v>
      </c>
      <c r="B6609" s="4" t="s">
        <v>3781</v>
      </c>
      <c r="C6609" s="4" t="s">
        <v>9623</v>
      </c>
      <c r="D6609" s="4" t="s">
        <v>9624</v>
      </c>
      <c r="E6609" s="4">
        <v>0.0</v>
      </c>
      <c r="F6609" s="4" t="str">
        <f>IFERROR(__xludf.DUMMYFUNCTION("GOOGLETRANSLATE(D6609)"),"@davidolszak 還是賓州州立大學輸球後歡樂谷的騷亂？")</f>
        <v>@davidolszak 還是賓州州立大學輸球後歡樂谷的騷亂？</v>
      </c>
      <c r="G6609" s="4" t="str">
        <f>IFERROR(__xludf.DUMMYFUNCTION("GOOGLETRANSLATE(B6609)"),"騷亂")</f>
        <v>騷亂</v>
      </c>
    </row>
    <row r="6610" ht="15.75" customHeight="1">
      <c r="A6610" s="4">
        <v>8280.0</v>
      </c>
      <c r="B6610" s="4" t="s">
        <v>3781</v>
      </c>
      <c r="C6610" s="4" t="s">
        <v>9625</v>
      </c>
      <c r="D6610" s="4" t="s">
        <v>9626</v>
      </c>
      <c r="E6610" s="4">
        <v>0.0</v>
      </c>
      <c r="F6610" s="4" t="str">
        <f>IFERROR(__xludf.DUMMYFUNCTION("GOOGLETRANSLATE(D6610)"),"@Georgous__ 有什麼替代方案？合法的替代方案？抗議？騷亂可能不是最和平的事情，但它顯示瞭如何")</f>
        <v>@Georgous__ 有什麼替代方案？合法的替代方案？抗議？騷亂可能不是最和平的事情，但它顯示瞭如何</v>
      </c>
      <c r="G6610" s="4" t="str">
        <f>IFERROR(__xludf.DUMMYFUNCTION("GOOGLETRANSLATE(B6610)"),"騷亂")</f>
        <v>騷亂</v>
      </c>
    </row>
    <row r="6611" ht="15.75" customHeight="1">
      <c r="A6611" s="4">
        <v>8288.0</v>
      </c>
      <c r="B6611" s="4" t="s">
        <v>3781</v>
      </c>
      <c r="C6611" s="4" t="s">
        <v>6084</v>
      </c>
      <c r="D6611" s="4" t="s">
        <v>9627</v>
      </c>
      <c r="E6611" s="4">
        <v>0.0</v>
      </c>
      <c r="F6611" s="4" t="str">
        <f>IFERROR(__xludf.DUMMYFUNCTION("GOOGLETRANSLATE(D6611)"),"http://t.co/jMzcaqyDfa Cindy Noonan@CindyNoonan-Heartbreak in #Baltimore #Rioting #YAHIstorical #UndergroundRailraod")</f>
        <v>http://t.co/jMzcaqyDfa Cindy Noonan@CindyNoonan-Heartbreak in #Baltimore #Rioting #YAHIstorical #UndergroundRailraod</v>
      </c>
      <c r="G6611" s="4" t="str">
        <f>IFERROR(__xludf.DUMMYFUNCTION("GOOGLETRANSLATE(B6611)"),"騷亂")</f>
        <v>騷亂</v>
      </c>
    </row>
    <row r="6612" ht="15.75" customHeight="1">
      <c r="A6612" s="4">
        <v>8292.0</v>
      </c>
      <c r="B6612" s="4" t="s">
        <v>3816</v>
      </c>
      <c r="C6612" s="4" t="s">
        <v>9628</v>
      </c>
      <c r="D6612" s="4" t="s">
        <v>9629</v>
      </c>
      <c r="E6612" s="4">
        <v>0.0</v>
      </c>
      <c r="F6612" s="4" t="str">
        <f>IFERROR(__xludf.DUMMYFUNCTION("GOOGLETRANSLATE(D6612)"),"“拒絕讓我的生活變成廢墟。”當糞便不斷堆積時，拿把鏟子。” @ExpireHC")</f>
        <v>“拒絕讓我的生活變成廢墟。”當糞便不斷堆積時，拿把鏟子。” @ExpireHC</v>
      </c>
      <c r="G6612" s="4" t="str">
        <f>IFERROR(__xludf.DUMMYFUNCTION("GOOGLETRANSLATE(B6612)"),"瓦礫")</f>
        <v>瓦礫</v>
      </c>
    </row>
    <row r="6613" ht="15.75" customHeight="1">
      <c r="A6613" s="4">
        <v>8294.0</v>
      </c>
      <c r="B6613" s="4" t="s">
        <v>3816</v>
      </c>
      <c r="C6613" s="4" t="s">
        <v>2205</v>
      </c>
      <c r="D6613" s="4" t="s">
        <v>9630</v>
      </c>
      <c r="E6613" s="4">
        <v>0.0</v>
      </c>
      <c r="F6613" s="4" t="str">
        <f>IFERROR(__xludf.DUMMYFUNCTION("GOOGLETRANSLATE(D6613)"),"中國股市崩盤：瓦礫中有寶石嗎？：今年中國股市崩盤... http://t.co/KABK3tcJNL ... 來自 @Forbes")</f>
        <v>中國股市崩盤：瓦礫中有寶石嗎？：今年中國股市崩盤... http://t.co/KABK3tcJNL ... 來自 @Forbes</v>
      </c>
      <c r="G6613" s="4" t="str">
        <f>IFERROR(__xludf.DUMMYFUNCTION("GOOGLETRANSLATE(B6613)"),"瓦礫")</f>
        <v>瓦礫</v>
      </c>
    </row>
    <row r="6614" ht="15.75" customHeight="1">
      <c r="A6614" s="4">
        <v>8295.0</v>
      </c>
      <c r="B6614" s="4" t="s">
        <v>3816</v>
      </c>
      <c r="D6614" s="4" t="s">
        <v>9631</v>
      </c>
      <c r="E6614" s="4">
        <v>0.0</v>
      </c>
      <c r="F6614" s="4" t="str">
        <f>IFERROR(__xludf.DUMMYFUNCTION("GOOGLETRANSLATE(D6614)"),"“如果你繼續進行核軍備競賽，你要做的就是讓瓦礫彈起來。” ？溫斯頓邱吉爾")</f>
        <v>“如果你繼續進行核軍備競賽，你要做的就是讓瓦礫彈起來。” ？溫斯頓邱吉爾</v>
      </c>
      <c r="G6614" s="4" t="str">
        <f>IFERROR(__xludf.DUMMYFUNCTION("GOOGLETRANSLATE(B6614)"),"瓦礫")</f>
        <v>瓦礫</v>
      </c>
    </row>
    <row r="6615" ht="15.75" customHeight="1">
      <c r="A6615" s="4">
        <v>8297.0</v>
      </c>
      <c r="B6615" s="4" t="s">
        <v>3816</v>
      </c>
      <c r="D6615" s="4" t="s">
        <v>9632</v>
      </c>
      <c r="E6615" s="4">
        <v>0.0</v>
      </c>
      <c r="F6615" s="4" t="str">
        <f>IFERROR(__xludf.DUMMYFUNCTION("GOOGLETRANSLATE(D6615)"),"@accionempresa 今年夏天中國股市崩盤引發了逢低吸納的興趣... http://t.co/gO0pkrFzMF @gerenciatodos å¡")</f>
        <v>@accionempresa 今年夏天中國股市崩盤引發了逢低吸納的興趣... http://t.co/gO0pkrFzMF @gerenciatodos å¡</v>
      </c>
      <c r="G6615" s="4" t="str">
        <f>IFERROR(__xludf.DUMMYFUNCTION("GOOGLETRANSLATE(B6615)"),"瓦礫")</f>
        <v>瓦礫</v>
      </c>
    </row>
    <row r="6616" ht="15.75" customHeight="1">
      <c r="A6616" s="4">
        <v>8298.0</v>
      </c>
      <c r="B6616" s="4" t="s">
        <v>3816</v>
      </c>
      <c r="D6616" s="4" t="s">
        <v>9633</v>
      </c>
      <c r="E6616" s="4">
        <v>0.0</v>
      </c>
      <c r="F6616" s="4" t="str">
        <f>IFERROR(__xludf.DUMMYFUNCTION("GOOGLETRANSLATE(D6616)"),"我的父母有時很衝動。我記得回到家時我的房間裡充滿了灰塵和灰塵。瓦礫只是因為他們想要重新設計。 ??")</f>
        <v>我的父母有時很衝動。我記得回到家時我的房間裡充滿了灰塵和灰塵。瓦礫只是因為他們想要重新設計。 ??</v>
      </c>
      <c r="G6616" s="4" t="str">
        <f>IFERROR(__xludf.DUMMYFUNCTION("GOOGLETRANSLATE(B6616)"),"瓦礫")</f>
        <v>瓦礫</v>
      </c>
    </row>
    <row r="6617" ht="15.75" customHeight="1">
      <c r="A6617" s="4">
        <v>8300.0</v>
      </c>
      <c r="B6617" s="4" t="s">
        <v>3816</v>
      </c>
      <c r="D6617" s="4" t="s">
        <v>9634</v>
      </c>
      <c r="E6617" s="4">
        <v>0.0</v>
      </c>
      <c r="F6617" s="4" t="str">
        <f>IFERROR(__xludf.DUMMYFUNCTION("GOOGLETRANSLATE(D6617)"),"將災難產生的瓦礫變成可以用來建造房屋的「樂高」積木。這屬於#crazyideascollege
http://t.co/dh0s4bUuK7")</f>
        <v>將災難產生的瓦礫變成可以用來建造房屋的「樂高」積木。這屬於#crazyideascollege
http://t.co/dh0s4bUuK7</v>
      </c>
      <c r="G6617" s="4" t="str">
        <f>IFERROR(__xludf.DUMMYFUNCTION("GOOGLETRANSLATE(B6617)"),"瓦礫")</f>
        <v>瓦礫</v>
      </c>
    </row>
    <row r="6618" ht="15.75" customHeight="1">
      <c r="A6618" s="4">
        <v>8301.0</v>
      </c>
      <c r="B6618" s="4" t="s">
        <v>3816</v>
      </c>
      <c r="C6618" s="4" t="s">
        <v>9635</v>
      </c>
      <c r="D6618" s="4" t="s">
        <v>9636</v>
      </c>
      <c r="E6618" s="4">
        <v>0.0</v>
      </c>
      <c r="F6618" s="4" t="str">
        <f>IFERROR(__xludf.DUMMYFUNCTION("GOOGLETRANSLATE(D6618)"),"#360WiseNews：中國股市崩盤：瓦礫中有寶石嗎？ http://t.co/eaTFro3d5x")</f>
        <v>#360WiseNews：中國股市崩盤：瓦礫中有寶石嗎？ http://t.co/eaTFro3d5x</v>
      </c>
      <c r="G6618" s="4" t="str">
        <f>IFERROR(__xludf.DUMMYFUNCTION("GOOGLETRANSLATE(B6618)"),"瓦礫")</f>
        <v>瓦礫</v>
      </c>
    </row>
    <row r="6619" ht="15.75" customHeight="1">
      <c r="A6619" s="4">
        <v>8304.0</v>
      </c>
      <c r="B6619" s="4" t="s">
        <v>3816</v>
      </c>
      <c r="C6619" s="4" t="s">
        <v>376</v>
      </c>
      <c r="D6619" s="4" t="s">
        <v>9637</v>
      </c>
      <c r="E6619" s="4">
        <v>0.0</v>
      </c>
      <c r="F6619" s="4" t="str">
        <f>IFERROR(__xludf.DUMMYFUNCTION("GOOGLETRANSLATE(D6619)"),"[福布斯]：中國股市崩盤：廢墟裡有寶石嗎？：今年夏天中國股市崩盤... http://t.co/Q4grDpAjr5")</f>
        <v>[福布斯]：中國股市崩盤：廢墟裡有寶石嗎？：今年夏天中國股市崩盤... http://t.co/Q4grDpAjr5</v>
      </c>
      <c r="G6619" s="4" t="str">
        <f>IFERROR(__xludf.DUMMYFUNCTION("GOOGLETRANSLATE(B6619)"),"瓦礫")</f>
        <v>瓦礫</v>
      </c>
    </row>
    <row r="6620" ht="15.75" customHeight="1">
      <c r="A6620" s="4">
        <v>8310.0</v>
      </c>
      <c r="B6620" s="4" t="s">
        <v>3816</v>
      </c>
      <c r="D6620" s="4" t="s">
        <v>9638</v>
      </c>
      <c r="E6620" s="4">
        <v>0.0</v>
      </c>
      <c r="F6620" s="4" t="str">
        <f>IFERROR(__xludf.DUMMYFUNCTION("GOOGLETRANSLATE(D6620)"),"今年夏天中國股市崩盤引發了逢低買入者和押注反彈的多頭的興趣。 DÛ_ http://t.co/1yggZziZ9o")</f>
        <v>今年夏天中國股市崩盤引發了逢低買入者和押注反彈的多頭的興趣。 DÛ_ http://t.co/1yggZziZ9o</v>
      </c>
      <c r="G6620" s="4" t="str">
        <f>IFERROR(__xludf.DUMMYFUNCTION("GOOGLETRANSLATE(B6620)"),"瓦礫")</f>
        <v>瓦礫</v>
      </c>
    </row>
    <row r="6621" ht="15.75" customHeight="1">
      <c r="A6621" s="4">
        <v>8312.0</v>
      </c>
      <c r="B6621" s="4" t="s">
        <v>3816</v>
      </c>
      <c r="C6621" s="4" t="s">
        <v>3480</v>
      </c>
      <c r="D6621" s="4" t="s">
        <v>9639</v>
      </c>
      <c r="E6621" s="4">
        <v>0.0</v>
      </c>
      <c r="F6621" s="4" t="str">
        <f>IFERROR(__xludf.DUMMYFUNCTION("GOOGLETRANSLATE(D6621)"),"中國股市崩盤：瓦礫中有寶石嗎？ http://t.co/3PBFyJx0yA")</f>
        <v>中國股市崩盤：瓦礫中有寶石嗎？ http://t.co/3PBFyJx0yA</v>
      </c>
      <c r="G6621" s="4" t="str">
        <f>IFERROR(__xludf.DUMMYFUNCTION("GOOGLETRANSLATE(B6621)"),"瓦礫")</f>
        <v>瓦礫</v>
      </c>
    </row>
    <row r="6622" ht="15.75" customHeight="1">
      <c r="A6622" s="4">
        <v>8320.0</v>
      </c>
      <c r="B6622" s="4" t="s">
        <v>3816</v>
      </c>
      <c r="C6622" s="4" t="s">
        <v>627</v>
      </c>
      <c r="D6622" s="4" t="s">
        <v>9640</v>
      </c>
      <c r="E6622" s="4">
        <v>0.0</v>
      </c>
      <c r="F6622" s="4" t="str">
        <f>IFERROR(__xludf.DUMMYFUNCTION("GOOGLETRANSLATE(D6622)"),"中國股市崩盤：瓦礫中有寶石嗎？ http://t.co/o6oNSjHCsD #tcot #p2 #news")</f>
        <v>中國股市崩盤：瓦礫中有寶石嗎？ http://t.co/o6oNSjHCsD #tcot #p2 #news</v>
      </c>
      <c r="G6622" s="4" t="str">
        <f>IFERROR(__xludf.DUMMYFUNCTION("GOOGLETRANSLATE(B6622)"),"瓦礫")</f>
        <v>瓦礫</v>
      </c>
    </row>
    <row r="6623" ht="15.75" customHeight="1">
      <c r="A6623" s="4">
        <v>8321.0</v>
      </c>
      <c r="B6623" s="4" t="s">
        <v>3816</v>
      </c>
      <c r="C6623" s="4" t="s">
        <v>9641</v>
      </c>
      <c r="D6623" s="4" t="s">
        <v>9642</v>
      </c>
      <c r="E6623" s="4">
        <v>0.0</v>
      </c>
      <c r="F6623" s="4" t="str">
        <f>IFERROR(__xludf.DUMMYFUNCTION("GOOGLETRANSLATE(D6623)"),"中國股市崩盤：瓦礫中有寶石嗎？：今年夏天中國股市崩盤... http://t.co/pE2R3lN16o by .Forbes")</f>
        <v>中國股市崩盤：瓦礫中有寶石嗎？：今年夏天中國股市崩盤... http://t.co/pE2R3lN16o by .Forbes</v>
      </c>
      <c r="G6623" s="4" t="str">
        <f>IFERROR(__xludf.DUMMYFUNCTION("GOOGLETRANSLATE(B6623)"),"瓦礫")</f>
        <v>瓦礫</v>
      </c>
    </row>
    <row r="6624" ht="15.75" customHeight="1">
      <c r="A6624" s="4">
        <v>8324.0</v>
      </c>
      <c r="B6624" s="4" t="s">
        <v>3816</v>
      </c>
      <c r="C6624" s="4" t="s">
        <v>9643</v>
      </c>
      <c r="D6624" s="4" t="s">
        <v>9644</v>
      </c>
      <c r="E6624" s="4">
        <v>0.0</v>
      </c>
      <c r="F6624" s="4" t="str">
        <f>IFERROR(__xludf.DUMMYFUNCTION("GOOGLETRANSLATE(D6624)"),"我在廢墟中發現了一顆鑽石")</f>
        <v>我在廢墟中發現了一顆鑽石</v>
      </c>
      <c r="G6624" s="4" t="str">
        <f>IFERROR(__xludf.DUMMYFUNCTION("GOOGLETRANSLATE(B6624)"),"瓦礫")</f>
        <v>瓦礫</v>
      </c>
    </row>
    <row r="6625" ht="15.75" customHeight="1">
      <c r="A6625" s="4">
        <v>8332.0</v>
      </c>
      <c r="B6625" s="4" t="s">
        <v>3816</v>
      </c>
      <c r="C6625" s="4" t="s">
        <v>289</v>
      </c>
      <c r="D6625" s="4" t="s">
        <v>9645</v>
      </c>
      <c r="E6625" s="4">
        <v>0.0</v>
      </c>
      <c r="F6625" s="4" t="str">
        <f>IFERROR(__xludf.DUMMYFUNCTION("GOOGLETRANSLATE(D6625)"),"中國股市崩盤：瓦礫中有寶石嗎？ http://t.co/Ox3qb15LWQ | https://t.co/8u07FoqjzW http://t.co/tg5fQc8zEY")</f>
        <v>中國股市崩盤：瓦礫中有寶石嗎？ http://t.co/Ox3qb15LWQ | https://t.co/8u07FoqjzW http://t.co/tg5fQc8zEY</v>
      </c>
      <c r="G6625" s="4" t="str">
        <f>IFERROR(__xludf.DUMMYFUNCTION("GOOGLETRANSLATE(B6625)"),"瓦礫")</f>
        <v>瓦礫</v>
      </c>
    </row>
    <row r="6626" ht="15.75" customHeight="1">
      <c r="A6626" s="4">
        <v>8335.0</v>
      </c>
      <c r="B6626" s="4" t="s">
        <v>3816</v>
      </c>
      <c r="C6626" s="4" t="s">
        <v>955</v>
      </c>
      <c r="D6626" s="4" t="s">
        <v>9646</v>
      </c>
      <c r="E6626" s="4">
        <v>0.0</v>
      </c>
      <c r="F6626" s="4" t="str">
        <f>IFERROR(__xludf.DUMMYFUNCTION("GOOGLETRANSLATE(D6626)"),"新帖子：“中國股市崩盤：瓦礫中有寶石嗎？” http://t.co/6CaDRhIOxp")</f>
        <v>新帖子：“中國股市崩盤：瓦礫中有寶石嗎？” http://t.co/6CaDRhIOxp</v>
      </c>
      <c r="G6626" s="4" t="str">
        <f>IFERROR(__xludf.DUMMYFUNCTION("GOOGLETRANSLATE(B6626)"),"瓦礫")</f>
        <v>瓦礫</v>
      </c>
    </row>
    <row r="6627" ht="15.75" customHeight="1">
      <c r="A6627" s="4">
        <v>8337.0</v>
      </c>
      <c r="B6627" s="4" t="s">
        <v>3816</v>
      </c>
      <c r="D6627" s="4" t="s">
        <v>9647</v>
      </c>
      <c r="E6627" s="4">
        <v>0.0</v>
      </c>
      <c r="F6627" s="4" t="str">
        <f>IFERROR(__xludf.DUMMYFUNCTION("GOOGLETRANSLATE(D6627)"),"中國股市崩盤：瓦礫中有寶石嗎？：今年夏天中國股市崩盤引發了... http://t.co/2OqSGZqlbz")</f>
        <v>中國股市崩盤：瓦礫中有寶石嗎？：今年夏天中國股市崩盤引發了... http://t.co/2OqSGZqlbz</v>
      </c>
      <c r="G6627" s="4" t="str">
        <f>IFERROR(__xludf.DUMMYFUNCTION("GOOGLETRANSLATE(B6627)"),"瓦礫")</f>
        <v>瓦礫</v>
      </c>
    </row>
    <row r="6628" ht="15.75" customHeight="1">
      <c r="A6628" s="4">
        <v>8339.0</v>
      </c>
      <c r="B6628" s="4" t="s">
        <v>3816</v>
      </c>
      <c r="C6628" s="4" t="s">
        <v>9648</v>
      </c>
      <c r="D6628" s="4" t="s">
        <v>9649</v>
      </c>
      <c r="E6628" s="4">
        <v>0.0</v>
      </c>
      <c r="F6628" s="4" t="str">
        <f>IFERROR(__xludf.DUMMYFUNCTION("GOOGLETRANSLATE(D6628)"),"照片：postapocalypticflimflam：在廢墟中摸索。 http://t.co/Bgy4i47j70")</f>
        <v>照片：postapocalypticflimflam：在廢墟中摸索。 http://t.co/Bgy4i47j70</v>
      </c>
      <c r="G6628" s="4" t="str">
        <f>IFERROR(__xludf.DUMMYFUNCTION("GOOGLETRANSLATE(B6628)"),"瓦礫")</f>
        <v>瓦礫</v>
      </c>
    </row>
    <row r="6629" ht="15.75" customHeight="1">
      <c r="A6629" s="4">
        <v>8341.0</v>
      </c>
      <c r="B6629" s="4" t="s">
        <v>3816</v>
      </c>
      <c r="C6629" s="4" t="s">
        <v>9650</v>
      </c>
      <c r="D6629" s="4" t="s">
        <v>9651</v>
      </c>
      <c r="E6629" s="4">
        <v>0.0</v>
      </c>
      <c r="F6629" s="4" t="str">
        <f>IFERROR(__xludf.DUMMYFUNCTION("GOOGLETRANSLATE(D6629)"),"#360WiseNews：中國股市崩盤：瓦礫中有寶石嗎？ http://t.co/gQskwqZuUl")</f>
        <v>#360WiseNews：中國股市崩盤：瓦礫中有寶石嗎？ http://t.co/gQskwqZuUl</v>
      </c>
      <c r="G6629" s="4" t="str">
        <f>IFERROR(__xludf.DUMMYFUNCTION("GOOGLETRANSLATE(B6629)"),"瓦礫")</f>
        <v>瓦礫</v>
      </c>
    </row>
    <row r="6630" ht="15.75" customHeight="1">
      <c r="A6630" s="4">
        <v>8344.0</v>
      </c>
      <c r="B6630" s="4" t="s">
        <v>3833</v>
      </c>
      <c r="C6630" s="4" t="s">
        <v>9652</v>
      </c>
      <c r="D6630" s="4" t="s">
        <v>9653</v>
      </c>
      <c r="E6630" s="4">
        <v>0.0</v>
      </c>
      <c r="F6630" s="4" t="str">
        <f>IFERROR(__xludf.DUMMYFUNCTION("GOOGLETRANSLATE(D6630)"),"@okgabby_該死的。別讓它毀了你的一年。今年是我們的一年。最好像我們以前那樣開始拼車")</f>
        <v>@okgabby_該死的。別讓它毀了你的一年。今年是我們的一年。最好像我們以前那樣開始拼車</v>
      </c>
      <c r="G6630" s="4" t="str">
        <f>IFERROR(__xludf.DUMMYFUNCTION("GOOGLETRANSLATE(B6630)"),"廢墟")</f>
        <v>廢墟</v>
      </c>
    </row>
    <row r="6631" ht="15.75" customHeight="1">
      <c r="A6631" s="4">
        <v>8345.0</v>
      </c>
      <c r="B6631" s="4" t="s">
        <v>3833</v>
      </c>
      <c r="C6631" s="4" t="s">
        <v>48</v>
      </c>
      <c r="D6631" s="4" t="s">
        <v>9654</v>
      </c>
      <c r="E6631" s="4">
        <v>0.0</v>
      </c>
      <c r="F6631" s="4" t="str">
        <f>IFERROR(__xludf.DUMMYFUNCTION("GOOGLETRANSLATE(D6631)"),"如果我不能破壞他的心情，那我可能就迷失了方向。 https://t.co/sLc27EMUgM")</f>
        <v>如果我不能破壞他的心情，那我可能就迷失了方向。 https://t.co/sLc27EMUgM</v>
      </c>
      <c r="G6631" s="4" t="str">
        <f>IFERROR(__xludf.DUMMYFUNCTION("GOOGLETRANSLATE(B6631)"),"廢墟")</f>
        <v>廢墟</v>
      </c>
    </row>
    <row r="6632" ht="15.75" customHeight="1">
      <c r="A6632" s="4">
        <v>8346.0</v>
      </c>
      <c r="B6632" s="4" t="s">
        <v>3833</v>
      </c>
      <c r="D6632" s="4" t="s">
        <v>9655</v>
      </c>
      <c r="E6632" s="4">
        <v>0.0</v>
      </c>
      <c r="F6632" s="4" t="str">
        <f>IFERROR(__xludf.DUMMYFUNCTION("GOOGLETRANSLATE(D6632)"),"我毀了一切？？？")</f>
        <v>我毀了一切？？？</v>
      </c>
      <c r="G6632" s="4" t="str">
        <f>IFERROR(__xludf.DUMMYFUNCTION("GOOGLETRANSLATE(B6632)"),"廢墟")</f>
        <v>廢墟</v>
      </c>
    </row>
    <row r="6633" ht="15.75" customHeight="1">
      <c r="A6633" s="4">
        <v>8347.0</v>
      </c>
      <c r="B6633" s="4" t="s">
        <v>3833</v>
      </c>
      <c r="C6633" s="4" t="s">
        <v>9656</v>
      </c>
      <c r="D6633" s="4" t="s">
        <v>9657</v>
      </c>
      <c r="E6633" s="4">
        <v>0.0</v>
      </c>
      <c r="F6633" s="4" t="str">
        <f>IFERROR(__xludf.DUMMYFUNCTION("GOOGLETRANSLATE(D6633)"),"#quote 永遠不要讓你的問題毀掉你的信仰。")</f>
        <v>#quote 永遠不要讓你的問題毀掉你的信仰。</v>
      </c>
      <c r="G6633" s="4" t="str">
        <f>IFERROR(__xludf.DUMMYFUNCTION("GOOGLETRANSLATE(B6633)"),"廢墟")</f>
        <v>廢墟</v>
      </c>
    </row>
    <row r="6634" ht="15.75" customHeight="1">
      <c r="A6634" s="4">
        <v>8348.0</v>
      </c>
      <c r="B6634" s="4" t="s">
        <v>3833</v>
      </c>
      <c r="C6634" s="4" t="s">
        <v>9658</v>
      </c>
      <c r="D6634" s="4" t="s">
        <v>9659</v>
      </c>
      <c r="E6634" s="4">
        <v>0.0</v>
      </c>
      <c r="F6634" s="4" t="str">
        <f>IFERROR(__xludf.DUMMYFUNCTION("GOOGLETRANSLATE(D6634)"),"我很焦慮，因為很多人會看著我見到他們，這讓我不舒服，但我不能讓這毀了這一刻")</f>
        <v>我很焦慮，因為很多人會看著我見到他們，這讓我不舒服，但我不能讓這毀了這一刻</v>
      </c>
      <c r="G6634" s="4" t="str">
        <f>IFERROR(__xludf.DUMMYFUNCTION("GOOGLETRANSLATE(B6634)"),"廢墟")</f>
        <v>廢墟</v>
      </c>
    </row>
    <row r="6635" ht="15.75" customHeight="1">
      <c r="A6635" s="4">
        <v>8349.0</v>
      </c>
      <c r="B6635" s="4" t="s">
        <v>3833</v>
      </c>
      <c r="C6635" s="4" t="s">
        <v>9660</v>
      </c>
      <c r="D6635" s="4" t="s">
        <v>9661</v>
      </c>
      <c r="E6635" s="4">
        <v>0.0</v>
      </c>
      <c r="F6635" s="4" t="str">
        <f>IFERROR(__xludf.DUMMYFUNCTION("GOOGLETRANSLATE(D6635)"),"吸煙者破壞了新車的氣味？？？")</f>
        <v>吸煙者破壞了新車的氣味？？？</v>
      </c>
      <c r="G6635" s="4" t="str">
        <f>IFERROR(__xludf.DUMMYFUNCTION("GOOGLETRANSLATE(B6635)"),"廢墟")</f>
        <v>廢墟</v>
      </c>
    </row>
    <row r="6636" ht="15.75" customHeight="1">
      <c r="A6636" s="4">
        <v>8350.0</v>
      </c>
      <c r="B6636" s="4" t="s">
        <v>3833</v>
      </c>
      <c r="C6636" s="4" t="s">
        <v>9662</v>
      </c>
      <c r="D6636" s="4" t="s">
        <v>9663</v>
      </c>
      <c r="E6636" s="4">
        <v>0.0</v>
      </c>
      <c r="F6636" s="4" t="str">
        <f>IFERROR(__xludf.DUMMYFUNCTION("GOOGLETRANSLATE(D6636)"),"@ChrisDyson16 等著你在 #MTA 的朋友毀了它#Sorrybutitstrue")</f>
        <v>@ChrisDyson16 等著你在 #MTA 的朋友毀了它#Sorrybutitstrue</v>
      </c>
      <c r="G6636" s="4" t="str">
        <f>IFERROR(__xludf.DUMMYFUNCTION("GOOGLETRANSLATE(B6636)"),"廢墟")</f>
        <v>廢墟</v>
      </c>
    </row>
    <row r="6637" ht="15.75" customHeight="1">
      <c r="A6637" s="4">
        <v>8351.0</v>
      </c>
      <c r="B6637" s="4" t="s">
        <v>3833</v>
      </c>
      <c r="C6637" s="4" t="s">
        <v>9664</v>
      </c>
      <c r="D6637" s="4" t="s">
        <v>9665</v>
      </c>
      <c r="E6637" s="4">
        <v>0.0</v>
      </c>
      <c r="F6637" s="4" t="str">
        <f>IFERROR(__xludf.DUMMYFUNCTION("GOOGLETRANSLATE(D6637)"),"我對紅色 7 關閉感到非常難過:( 雅皮士和遊客毀了一切")</f>
        <v>我對紅色 7 關閉感到非常難過:( 雅皮士和遊客毀了一切</v>
      </c>
      <c r="G6637" s="4" t="str">
        <f>IFERROR(__xludf.DUMMYFUNCTION("GOOGLETRANSLATE(B6637)"),"廢墟")</f>
        <v>廢墟</v>
      </c>
    </row>
    <row r="6638" ht="15.75" customHeight="1">
      <c r="A6638" s="4">
        <v>8352.0</v>
      </c>
      <c r="B6638" s="4" t="s">
        <v>3833</v>
      </c>
      <c r="D6638" s="4" t="s">
        <v>9666</v>
      </c>
      <c r="E6638" s="4">
        <v>0.0</v>
      </c>
      <c r="F6638" s="4" t="str">
        <f>IFERROR(__xludf.DUMMYFUNCTION("GOOGLETRANSLATE(D6638)"),"總是要破壞我的心情")</f>
        <v>總是要破壞我的心情</v>
      </c>
      <c r="G6638" s="4" t="str">
        <f>IFERROR(__xludf.DUMMYFUNCTION("GOOGLETRANSLATE(B6638)"),"廢墟")</f>
        <v>廢墟</v>
      </c>
    </row>
    <row r="6639" ht="15.75" customHeight="1">
      <c r="A6639" s="4">
        <v>8355.0</v>
      </c>
      <c r="B6639" s="4" t="s">
        <v>3833</v>
      </c>
      <c r="D6639" s="4" t="s">
        <v>9667</v>
      </c>
      <c r="E6639" s="4">
        <v>0.0</v>
      </c>
      <c r="F6639" s="4" t="str">
        <f>IFERROR(__xludf.DUMMYFUNCTION("GOOGLETRANSLATE(D6639)"),"我理解你想和你的男性朋友一起出去玩，我會給你空間，但不要破壞我對你的信任。")</f>
        <v>我理解你想和你的男性朋友一起出去玩，我會給你空間，但不要破壞我對你的信任。</v>
      </c>
      <c r="G6639" s="4" t="str">
        <f>IFERROR(__xludf.DUMMYFUNCTION("GOOGLETRANSLATE(B6639)"),"廢墟")</f>
        <v>廢墟</v>
      </c>
    </row>
    <row r="6640" ht="15.75" customHeight="1">
      <c r="A6640" s="4">
        <v>8356.0</v>
      </c>
      <c r="B6640" s="4" t="s">
        <v>3833</v>
      </c>
      <c r="C6640" s="4" t="s">
        <v>9668</v>
      </c>
      <c r="D6640" s="4" t="s">
        <v>9669</v>
      </c>
      <c r="E6640" s="4">
        <v>0.0</v>
      </c>
      <c r="F6640" s="4" t="str">
        <f>IFERROR(__xludf.DUMMYFUNCTION("GOOGLETRANSLATE(D6640)"),"就像你到底為什麼希望任何人不快樂而不是故意破壞別人的幸福")</f>
        <v>就像你到底為什麼希望任何人不快樂而不是故意破壞別人的幸福</v>
      </c>
      <c r="G6640" s="4" t="str">
        <f>IFERROR(__xludf.DUMMYFUNCTION("GOOGLETRANSLATE(B6640)"),"廢墟")</f>
        <v>廢墟</v>
      </c>
    </row>
    <row r="6641" ht="15.75" customHeight="1">
      <c r="A6641" s="4">
        <v>8360.0</v>
      </c>
      <c r="B6641" s="4" t="s">
        <v>3833</v>
      </c>
      <c r="C6641" s="4" t="s">
        <v>9670</v>
      </c>
      <c r="D6641" s="4" t="s">
        <v>9671</v>
      </c>
      <c r="E6641" s="4">
        <v>0.0</v>
      </c>
      <c r="F6641" s="4" t="str">
        <f>IFERROR(__xludf.DUMMYFUNCTION("GOOGLETRANSLATE(D6641)"),"剛洗完澡看起來怎麼樣？ （仍然喜歡這個新頭髮，它會毀了我的品牌嗎？）#yes https://t.co/T2Kk8fya77")</f>
        <v>剛洗完澡看起來怎麼樣？ （仍然喜歡這個新頭髮，它會毀了我的品牌嗎？）#yes https://t.co/T2Kk8fya77</v>
      </c>
      <c r="G6641" s="4" t="str">
        <f>IFERROR(__xludf.DUMMYFUNCTION("GOOGLETRANSLATE(B6641)"),"廢墟")</f>
        <v>廢墟</v>
      </c>
    </row>
    <row r="6642" ht="15.75" customHeight="1">
      <c r="A6642" s="4">
        <v>8361.0</v>
      </c>
      <c r="B6642" s="4" t="s">
        <v>3833</v>
      </c>
      <c r="D6642" s="4" t="s">
        <v>9672</v>
      </c>
      <c r="E6642" s="4">
        <v>0.0</v>
      </c>
      <c r="F6642" s="4" t="str">
        <f>IFERROR(__xludf.DUMMYFUNCTION("GOOGLETRANSLATE(D6642)"),"@savannahross_4 看到我試圖毀掉我的生活")</f>
        <v>@savannahross_4 看到我試圖毀掉我的生活</v>
      </c>
      <c r="G6642" s="4" t="str">
        <f>IFERROR(__xludf.DUMMYFUNCTION("GOOGLETRANSLATE(B6642)"),"廢墟")</f>
        <v>廢墟</v>
      </c>
    </row>
    <row r="6643" ht="15.75" customHeight="1">
      <c r="A6643" s="4">
        <v>8362.0</v>
      </c>
      <c r="B6643" s="4" t="s">
        <v>3833</v>
      </c>
      <c r="C6643" s="4" t="s">
        <v>9673</v>
      </c>
      <c r="D6643" s="4" t="s">
        <v>9674</v>
      </c>
      <c r="E6643" s="4">
        <v>0.0</v>
      </c>
      <c r="F6643" s="4" t="str">
        <f>IFERROR(__xludf.DUMMYFUNCTION("GOOGLETRANSLATE(D6643)"),"我幹得好！每個人都為我鼓掌，我是多麼出色，我從不破壞任何東西")</f>
        <v>我幹得好！每個人都為我鼓掌，我是多麼出色，我從不破壞任何東西</v>
      </c>
      <c r="G6643" s="4" t="str">
        <f>IFERROR(__xludf.DUMMYFUNCTION("GOOGLETRANSLATE(B6643)"),"廢墟")</f>
        <v>廢墟</v>
      </c>
    </row>
    <row r="6644" ht="15.75" customHeight="1">
      <c r="A6644" s="4">
        <v>8364.0</v>
      </c>
      <c r="B6644" s="4" t="s">
        <v>3833</v>
      </c>
      <c r="D6644" s="4" t="s">
        <v>9675</v>
      </c>
      <c r="E6644" s="4">
        <v>0.0</v>
      </c>
      <c r="F6644" s="4" t="str">
        <f>IFERROR(__xludf.DUMMYFUNCTION("GOOGLETRANSLATE(D6644)"),"如何用三個字毀掉假期：“這是一個 Zmne！”")</f>
        <v>如何用三個字毀掉假期：“這是一個 Zmne！”</v>
      </c>
      <c r="G6644" s="4" t="str">
        <f>IFERROR(__xludf.DUMMYFUNCTION("GOOGLETRANSLATE(B6644)"),"廢墟")</f>
        <v>廢墟</v>
      </c>
    </row>
    <row r="6645" ht="15.75" customHeight="1">
      <c r="A6645" s="4">
        <v>8365.0</v>
      </c>
      <c r="B6645" s="4" t="s">
        <v>3833</v>
      </c>
      <c r="C6645" s="4" t="s">
        <v>9676</v>
      </c>
      <c r="D6645" s="4" t="s">
        <v>9677</v>
      </c>
      <c r="E6645" s="4">
        <v>0.0</v>
      </c>
      <c r="F6645" s="4" t="str">
        <f>IFERROR(__xludf.DUMMYFUNCTION("GOOGLETRANSLATE(D6645)"),"每當我有美好的一天時，總會有人來破壞它")</f>
        <v>每當我有美好的一天時，總會有人來破壞它</v>
      </c>
      <c r="G6645" s="4" t="str">
        <f>IFERROR(__xludf.DUMMYFUNCTION("GOOGLETRANSLATE(B6645)"),"廢墟")</f>
        <v>廢墟</v>
      </c>
    </row>
    <row r="6646" ht="15.75" customHeight="1">
      <c r="A6646" s="4">
        <v>8366.0</v>
      </c>
      <c r="B6646" s="4" t="s">
        <v>3833</v>
      </c>
      <c r="C6646" s="4" t="s">
        <v>9678</v>
      </c>
      <c r="D6646" s="4" t="s">
        <v>9679</v>
      </c>
      <c r="E6646" s="4">
        <v>0.0</v>
      </c>
      <c r="F6646" s="4" t="str">
        <f>IFERROR(__xludf.DUMMYFUNCTION("GOOGLETRANSLATE(D6646)"),"你想破壞一段關係嗎？只要問“你的意圖是什麼”，你就會做到")</f>
        <v>你想破壞一段關係嗎？只要問“你的意圖是什麼”，你就會做到</v>
      </c>
      <c r="G6646" s="4" t="str">
        <f>IFERROR(__xludf.DUMMYFUNCTION("GOOGLETRANSLATE(B6646)"),"廢墟")</f>
        <v>廢墟</v>
      </c>
    </row>
    <row r="6647" ht="15.75" customHeight="1">
      <c r="A6647" s="4">
        <v>8367.0</v>
      </c>
      <c r="B6647" s="4" t="s">
        <v>3833</v>
      </c>
      <c r="C6647" s="4" t="s">
        <v>9680</v>
      </c>
      <c r="D6647" s="4" t="s">
        <v>9681</v>
      </c>
      <c r="E6647" s="4">
        <v>0.0</v>
      </c>
      <c r="F6647" s="4" t="str">
        <f>IFERROR(__xludf.DUMMYFUNCTION("GOOGLETRANSLATE(D6647)"),"然後我用一些可怕的東西毀了這一切......#minions http://t.co/rc6eeJME17")</f>
        <v>然後我用一些可怕的東西毀了這一切......#minions http://t.co/rc6eeJME17</v>
      </c>
      <c r="G6647" s="4" t="str">
        <f>IFERROR(__xludf.DUMMYFUNCTION("GOOGLETRANSLATE(B6647)"),"廢墟")</f>
        <v>廢墟</v>
      </c>
    </row>
    <row r="6648" ht="15.75" customHeight="1">
      <c r="A6648" s="4">
        <v>8368.0</v>
      </c>
      <c r="B6648" s="4" t="s">
        <v>3833</v>
      </c>
      <c r="C6648" s="4" t="s">
        <v>9682</v>
      </c>
      <c r="D6648" s="4" t="s">
        <v>9683</v>
      </c>
      <c r="E6648" s="4">
        <v>0.0</v>
      </c>
      <c r="F6648" s="4" t="str">
        <f>IFERROR(__xludf.DUMMYFUNCTION("GOOGLETRANSLATE(D6648)"),"這真的很糟糕，我現在甚至無法與化妝師合作，因為他們會毀掉一切。")</f>
        <v>這真的很糟糕，我現在甚至無法與化妝師合作，因為他們會毀掉一切。</v>
      </c>
      <c r="G6648" s="4" t="str">
        <f>IFERROR(__xludf.DUMMYFUNCTION("GOOGLETRANSLATE(B6648)"),"廢墟")</f>
        <v>廢墟</v>
      </c>
    </row>
    <row r="6649" ht="15.75" customHeight="1">
      <c r="A6649" s="4">
        <v>8369.0</v>
      </c>
      <c r="B6649" s="4" t="s">
        <v>3833</v>
      </c>
      <c r="C6649" s="4" t="s">
        <v>9684</v>
      </c>
      <c r="D6649" s="4" t="s">
        <v>9685</v>
      </c>
      <c r="E6649" s="4">
        <v>0.0</v>
      </c>
      <c r="F6649" s="4" t="str">
        <f>IFERROR(__xludf.DUMMYFUNCTION("GOOGLETRANSLATE(D6649)"),"該死的威爾斯知道如何毀掉一首歌？")</f>
        <v>該死的威爾斯知道如何毀掉一首歌？</v>
      </c>
      <c r="G6649" s="4" t="str">
        <f>IFERROR(__xludf.DUMMYFUNCTION("GOOGLETRANSLATE(B6649)"),"廢墟")</f>
        <v>廢墟</v>
      </c>
    </row>
    <row r="6650" ht="15.75" customHeight="1">
      <c r="A6650" s="4">
        <v>8370.0</v>
      </c>
      <c r="B6650" s="4" t="s">
        <v>3833</v>
      </c>
      <c r="D6650" s="4" t="s">
        <v>9686</v>
      </c>
      <c r="E6650" s="4">
        <v>0.0</v>
      </c>
      <c r="F6650" s="4" t="str">
        <f>IFERROR(__xludf.DUMMYFUNCTION("GOOGLETRANSLATE(D6650)"),"因為你像交響樂一樣演奏我直到你的手指流血。我是你最偉大的傑作。你毀了我？？")</f>
        <v>因為你像交響樂一樣演奏我直到你的手指流血。我是你最偉大的傑作。你毀了我？？</v>
      </c>
      <c r="G6650" s="4" t="str">
        <f>IFERROR(__xludf.DUMMYFUNCTION("GOOGLETRANSLATE(B6650)"),"廢墟")</f>
        <v>廢墟</v>
      </c>
    </row>
    <row r="6651" ht="15.75" customHeight="1">
      <c r="A6651" s="4">
        <v>8371.0</v>
      </c>
      <c r="B6651" s="4" t="s">
        <v>3833</v>
      </c>
      <c r="C6651" s="4" t="s">
        <v>9687</v>
      </c>
      <c r="D6651" s="4" t="s">
        <v>9688</v>
      </c>
      <c r="E6651" s="4">
        <v>0.0</v>
      </c>
      <c r="F6651" s="4" t="str">
        <f>IFERROR(__xludf.DUMMYFUNCTION("GOOGLETRANSLATE(D6651)"),"為什麼我的家人必須毀掉一些對我來說實際上有好處的東西？")</f>
        <v>為什麼我的家人必須毀掉一些對我來說實際上有好處的東西？</v>
      </c>
      <c r="G6651" s="4" t="str">
        <f>IFERROR(__xludf.DUMMYFUNCTION("GOOGLETRANSLATE(B6651)"),"廢墟")</f>
        <v>廢墟</v>
      </c>
    </row>
    <row r="6652" ht="15.75" customHeight="1">
      <c r="A6652" s="4">
        <v>8372.0</v>
      </c>
      <c r="B6652" s="4" t="s">
        <v>3833</v>
      </c>
      <c r="C6652" s="4" t="s">
        <v>9689</v>
      </c>
      <c r="D6652" s="4" t="s">
        <v>9690</v>
      </c>
      <c r="E6652" s="4">
        <v>0.0</v>
      </c>
      <c r="F6652" s="4" t="str">
        <f>IFERROR(__xludf.DUMMYFUNCTION("GOOGLETRANSLATE(D6652)"),"我討厭我太尷尬了，我毀了事情")</f>
        <v>我討厭我太尷尬了，我毀了事情</v>
      </c>
      <c r="G6652" s="4" t="str">
        <f>IFERROR(__xludf.DUMMYFUNCTION("GOOGLETRANSLATE(B6652)"),"廢墟")</f>
        <v>廢墟</v>
      </c>
    </row>
    <row r="6653" ht="15.75" customHeight="1">
      <c r="A6653" s="4">
        <v>8374.0</v>
      </c>
      <c r="B6653" s="4" t="s">
        <v>3833</v>
      </c>
      <c r="D6653" s="4" t="s">
        <v>9691</v>
      </c>
      <c r="E6653" s="4">
        <v>0.0</v>
      </c>
      <c r="F6653" s="4" t="str">
        <f>IFERROR(__xludf.DUMMYFUNCTION("GOOGLETRANSLATE(D6653)"),"漫漫毀滅之路 - 噴火戰機")</f>
        <v>漫漫毀滅之路 - 噴火戰機</v>
      </c>
      <c r="G6653" s="4" t="str">
        <f>IFERROR(__xludf.DUMMYFUNCTION("GOOGLETRANSLATE(B6653)"),"廢墟")</f>
        <v>廢墟</v>
      </c>
    </row>
    <row r="6654" ht="15.75" customHeight="1">
      <c r="A6654" s="4">
        <v>8375.0</v>
      </c>
      <c r="B6654" s="4" t="s">
        <v>3833</v>
      </c>
      <c r="C6654" s="4" t="s">
        <v>9193</v>
      </c>
      <c r="D6654" s="4" t="s">
        <v>9692</v>
      </c>
      <c r="E6654" s="4">
        <v>0.0</v>
      </c>
      <c r="F6654" s="4" t="str">
        <f>IFERROR(__xludf.DUMMYFUNCTION("GOOGLETRANSLATE(D6654)"),"為什麼要毀掉一切？ @9tarbox 你毀了酸奶油，還把一塊起司放進冰箱裡..dummy")</f>
        <v>為什麼要毀掉一切？ @9tarbox 你毀了酸奶油，還把一塊起司放進冰箱裡..dummy</v>
      </c>
      <c r="G6654" s="4" t="str">
        <f>IFERROR(__xludf.DUMMYFUNCTION("GOOGLETRANSLATE(B6654)"),"廢墟")</f>
        <v>廢墟</v>
      </c>
    </row>
    <row r="6655" ht="15.75" customHeight="1">
      <c r="A6655" s="4">
        <v>8377.0</v>
      </c>
      <c r="B6655" s="4" t="s">
        <v>3833</v>
      </c>
      <c r="D6655" s="4" t="s">
        <v>9693</v>
      </c>
      <c r="E6655" s="4">
        <v>0.0</v>
      </c>
      <c r="F6655" s="4" t="str">
        <f>IFERROR(__xludf.DUMMYFUNCTION("GOOGLETRANSLATE(D6655)"),"別讓幾個混蛋毀了你的夜晚")</f>
        <v>別讓幾個混蛋毀了你的夜晚</v>
      </c>
      <c r="G6655" s="4" t="str">
        <f>IFERROR(__xludf.DUMMYFUNCTION("GOOGLETRANSLATE(B6655)"),"廢墟")</f>
        <v>廢墟</v>
      </c>
    </row>
    <row r="6656" ht="15.75" customHeight="1">
      <c r="A6656" s="4">
        <v>8378.0</v>
      </c>
      <c r="B6656" s="4" t="s">
        <v>3833</v>
      </c>
      <c r="C6656" s="4" t="s">
        <v>178</v>
      </c>
      <c r="D6656" s="4" t="s">
        <v>9694</v>
      </c>
      <c r="E6656" s="4">
        <v>0.0</v>
      </c>
      <c r="F6656" s="4" t="str">
        <f>IFERROR(__xludf.DUMMYFUNCTION("GOOGLETRANSLATE(D6656)"),"哈哈，真正的問題是 NFL 試圖毀掉這個傢伙的遺產的方式。 https://t.co/s107ee7CYC")</f>
        <v>哈哈，真正的問題是 NFL 試圖毀掉這個傢伙的遺產的方式。 https://t.co/s107ee7CYC</v>
      </c>
      <c r="G6656" s="4" t="str">
        <f>IFERROR(__xludf.DUMMYFUNCTION("GOOGLETRANSLATE(B6656)"),"廢墟")</f>
        <v>廢墟</v>
      </c>
    </row>
    <row r="6657" ht="15.75" customHeight="1">
      <c r="A6657" s="4">
        <v>8382.0</v>
      </c>
      <c r="B6657" s="4" t="s">
        <v>3833</v>
      </c>
      <c r="C6657" s="4" t="s">
        <v>9695</v>
      </c>
      <c r="D6657" s="4" t="s">
        <v>9696</v>
      </c>
      <c r="E6657" s="4">
        <v>0.0</v>
      </c>
      <c r="F6657" s="4" t="str">
        <f>IFERROR(__xludf.DUMMYFUNCTION("GOOGLETRANSLATE(D6657)"),"RT 毀了@connormidd 的一天。 http://t.co/krsy54XMMC")</f>
        <v>RT 毀了@connormidd 的一天。 http://t.co/krsy54XMMC</v>
      </c>
      <c r="G6657" s="4" t="str">
        <f>IFERROR(__xludf.DUMMYFUNCTION("GOOGLETRANSLATE(B6657)"),"廢墟")</f>
        <v>廢墟</v>
      </c>
    </row>
    <row r="6658" ht="15.75" customHeight="1">
      <c r="A6658" s="4">
        <v>8383.0</v>
      </c>
      <c r="B6658" s="4" t="s">
        <v>3833</v>
      </c>
      <c r="C6658" s="4" t="s">
        <v>790</v>
      </c>
      <c r="D6658" s="4" t="s">
        <v>9697</v>
      </c>
      <c r="E6658" s="4">
        <v>0.0</v>
      </c>
      <c r="F6658" s="4" t="str">
        <f>IFERROR(__xludf.DUMMYFUNCTION("GOOGLETRANSLATE(D6658)"),"貪婪的混蛋@全屏方式毀掉了創造力。 YouTube 審查：https://t.co/nMtlpO4B58")</f>
        <v>貪婪的混蛋@全屏方式毀掉了創造力。 YouTube 審查：https://t.co/nMtlpO4B58</v>
      </c>
      <c r="G6658" s="4" t="str">
        <f>IFERROR(__xludf.DUMMYFUNCTION("GOOGLETRANSLATE(B6658)"),"廢墟")</f>
        <v>廢墟</v>
      </c>
    </row>
    <row r="6659" ht="15.75" customHeight="1">
      <c r="A6659" s="4">
        <v>8385.0</v>
      </c>
      <c r="B6659" s="4" t="s">
        <v>3833</v>
      </c>
      <c r="C6659" s="4" t="s">
        <v>9698</v>
      </c>
      <c r="D6659" s="4" t="s">
        <v>9699</v>
      </c>
      <c r="E6659" s="4">
        <v>0.0</v>
      </c>
      <c r="F6659" s="4" t="str">
        <f>IFERROR(__xludf.DUMMYFUNCTION("GOOGLETRANSLATE(D6659)"),"@JulieChen 她不應該。和他們在一起會毀掉她的比賽，而瓦妮莎是一位偉大的球員")</f>
        <v>@JulieChen 她不應該。和他們在一起會毀掉她的比賽，而瓦妮莎是一位偉大的球員</v>
      </c>
      <c r="G6659" s="4" t="str">
        <f>IFERROR(__xludf.DUMMYFUNCTION("GOOGLETRANSLATE(B6659)"),"廢墟")</f>
        <v>廢墟</v>
      </c>
    </row>
    <row r="6660" ht="15.75" customHeight="1">
      <c r="A6660" s="4">
        <v>8386.0</v>
      </c>
      <c r="B6660" s="4" t="s">
        <v>3833</v>
      </c>
      <c r="C6660" s="4" t="s">
        <v>9700</v>
      </c>
      <c r="D6660" s="4" t="s">
        <v>9701</v>
      </c>
      <c r="E6660" s="4">
        <v>0.0</v>
      </c>
      <c r="F6660" s="4" t="str">
        <f>IFERROR(__xludf.DUMMYFUNCTION("GOOGLETRANSLATE(D6660)"),"@clnv_ 是的，是的！我會。我不想毀了我的生活。哈哈")</f>
        <v>@clnv_ 是的，是的！我會。我不想毀了我的生活。哈哈</v>
      </c>
      <c r="G6660" s="4" t="str">
        <f>IFERROR(__xludf.DUMMYFUNCTION("GOOGLETRANSLATE(B6660)"),"廢墟")</f>
        <v>廢墟</v>
      </c>
    </row>
    <row r="6661" ht="15.75" customHeight="1">
      <c r="A6661" s="4">
        <v>8387.0</v>
      </c>
      <c r="B6661" s="4" t="s">
        <v>3833</v>
      </c>
      <c r="C6661" s="4" t="s">
        <v>9702</v>
      </c>
      <c r="D6661" s="4" t="s">
        <v>9703</v>
      </c>
      <c r="E6661" s="4">
        <v>0.0</v>
      </c>
      <c r="F6661" s="4" t="str">
        <f>IFERROR(__xludf.DUMMYFUNCTION("GOOGLETRANSLATE(D6661)"),"@nbc 我想看到你重啟《新鮮貝萊爾王子》，帶回原來的演員陣容和一切。不做任何會破壞演出的事情。")</f>
        <v>@nbc 我想看到你重啟《新鮮貝萊爾王子》，帶回原來的演員陣容和一切。不做任何會破壞演出的事情。</v>
      </c>
      <c r="G6661" s="4" t="str">
        <f>IFERROR(__xludf.DUMMYFUNCTION("GOOGLETRANSLATE(B6661)"),"廢墟")</f>
        <v>廢墟</v>
      </c>
    </row>
    <row r="6662" ht="15.75" customHeight="1">
      <c r="A6662" s="4">
        <v>8388.0</v>
      </c>
      <c r="B6662" s="4" t="s">
        <v>3833</v>
      </c>
      <c r="D6662" s="4" t="s">
        <v>9704</v>
      </c>
      <c r="E6662" s="4">
        <v>0.0</v>
      </c>
      <c r="F6662" s="4" t="str">
        <f>IFERROR(__xludf.DUMMYFUNCTION("GOOGLETRANSLATE(D6662)"),"你只能讓自己快樂。他媽的那些試圖毀掉它的人保持微笑？")</f>
        <v>你只能讓自己快樂。他媽的那些試圖毀掉它的人保持微笑？</v>
      </c>
      <c r="G6662" s="4" t="str">
        <f>IFERROR(__xludf.DUMMYFUNCTION("GOOGLETRANSLATE(B6662)"),"廢墟")</f>
        <v>廢墟</v>
      </c>
    </row>
    <row r="6663" ht="15.75" customHeight="1">
      <c r="A6663" s="4">
        <v>8389.0</v>
      </c>
      <c r="B6663" s="4" t="s">
        <v>3833</v>
      </c>
      <c r="C6663" s="4" t="s">
        <v>9705</v>
      </c>
      <c r="D6663" s="4" t="s">
        <v>9706</v>
      </c>
      <c r="E6663" s="4">
        <v>0.0</v>
      </c>
      <c r="F6663" s="4" t="str">
        <f>IFERROR(__xludf.DUMMYFUNCTION("GOOGLETRANSLATE(D6663)"),"我會讓一些人毀掉我的生活、我的靈魂、我的子宮頸、我的一切。奧德爾絕對名列榜首。")</f>
        <v>我會讓一些人毀掉我的生活、我的靈魂、我的子宮頸、我的一切。奧德爾絕對名列榜首。</v>
      </c>
      <c r="G6663" s="4" t="str">
        <f>IFERROR(__xludf.DUMMYFUNCTION("GOOGLETRANSLATE(B6663)"),"廢墟")</f>
        <v>廢墟</v>
      </c>
    </row>
    <row r="6664" ht="15.75" customHeight="1">
      <c r="A6664" s="4">
        <v>8390.0</v>
      </c>
      <c r="B6664" s="4" t="s">
        <v>3833</v>
      </c>
      <c r="C6664" s="4" t="s">
        <v>6010</v>
      </c>
      <c r="D6664" s="4" t="s">
        <v>9707</v>
      </c>
      <c r="E6664" s="4">
        <v>0.0</v>
      </c>
      <c r="F6664" s="4" t="str">
        <f>IFERROR(__xludf.DUMMYFUNCTION("GOOGLETRANSLATE(D6664)"),"如果有必要的話，我會毀掉我的生活。")</f>
        <v>如果有必要的話，我會毀掉我的生活。</v>
      </c>
      <c r="G6664" s="4" t="str">
        <f>IFERROR(__xludf.DUMMYFUNCTION("GOOGLETRANSLATE(B6664)"),"廢墟")</f>
        <v>廢墟</v>
      </c>
    </row>
    <row r="6665" ht="15.75" customHeight="1">
      <c r="A6665" s="4">
        <v>8391.0</v>
      </c>
      <c r="B6665" s="4" t="s">
        <v>3833</v>
      </c>
      <c r="C6665" s="4" t="s">
        <v>9708</v>
      </c>
      <c r="D6665" s="4" t="s">
        <v>9709</v>
      </c>
      <c r="E6665" s="4">
        <v>0.0</v>
      </c>
      <c r="F6665" s="4" t="str">
        <f>IFERROR(__xludf.DUMMYFUNCTION("GOOGLETRANSLATE(D6665)"),"寶貝，如果你讓我留下來，我會毀了你")</f>
        <v>寶貝，如果你讓我留下來，我會毀了你</v>
      </c>
      <c r="G6665" s="4" t="str">
        <f>IFERROR(__xludf.DUMMYFUNCTION("GOOGLETRANSLATE(B6665)"),"廢墟")</f>
        <v>廢墟</v>
      </c>
    </row>
    <row r="6666" ht="15.75" customHeight="1">
      <c r="A6666" s="4">
        <v>8392.0</v>
      </c>
      <c r="B6666" s="4" t="s">
        <v>3836</v>
      </c>
      <c r="C6666" s="4" t="s">
        <v>9710</v>
      </c>
      <c r="D6666" s="4" t="s">
        <v>9711</v>
      </c>
      <c r="E6666" s="4">
        <v>0.0</v>
      </c>
      <c r="F6666" s="4" t="str">
        <f>IFERROR(__xludf.DUMMYFUNCTION("GOOGLETRANSLATE(D6666)"),"@CTAZtrope31 一切都一定沒問題，因為她現在正在聽「Sandstorm」…")</f>
        <v>@CTAZtrope31 一切都一定沒問題，因為她現在正在聽「Sandstorm」…</v>
      </c>
      <c r="G6666" s="4" t="str">
        <f>IFERROR(__xludf.DUMMYFUNCTION("GOOGLETRANSLATE(B6666)"),"沙暴")</f>
        <v>沙暴</v>
      </c>
    </row>
    <row r="6667" ht="15.75" customHeight="1">
      <c r="A6667" s="4">
        <v>8396.0</v>
      </c>
      <c r="B6667" s="4" t="s">
        <v>3836</v>
      </c>
      <c r="C6667" s="4" t="s">
        <v>627</v>
      </c>
      <c r="D6667" s="4" t="s">
        <v>9712</v>
      </c>
      <c r="E6667" s="4">
        <v>0.0</v>
      </c>
      <c r="F6667" s="4" t="str">
        <f>IFERROR(__xludf.DUMMYFUNCTION("GOOGLETRANSLATE(D6667)"),"@Hienshi @Gbay99 如果騷亂給了一個好的答案，它就不會變成沙塵暴。相反，他們給了愚蠢的藉口。至少有新客戶了")</f>
        <v>@Hienshi @Gbay99 如果騷亂給了一個好的答案，它就不會變成沙塵暴。相反，他們給了愚蠢的藉口。至少有新客戶了</v>
      </c>
      <c r="G6667" s="4" t="str">
        <f>IFERROR(__xludf.DUMMYFUNCTION("GOOGLETRANSLATE(B6667)"),"沙暴")</f>
        <v>沙暴</v>
      </c>
    </row>
    <row r="6668" ht="15.75" customHeight="1">
      <c r="A6668" s="4">
        <v>8399.0</v>
      </c>
      <c r="B6668" s="4" t="s">
        <v>3836</v>
      </c>
      <c r="C6668" s="4" t="s">
        <v>627</v>
      </c>
      <c r="D6668" s="4" t="s">
        <v>9713</v>
      </c>
      <c r="E6668" s="4">
        <v>0.0</v>
      </c>
      <c r="F6668" s="4" t="str">
        <f>IFERROR(__xludf.DUMMYFUNCTION("GOOGLETRANSLATE(D6668)"),"我喜歡 @YouTube 影片 http://t.co/xR3xJJ8gJB Darude - Sandstorm")</f>
        <v>我喜歡 @YouTube 影片 http://t.co/xR3xJJ8gJB Darude - Sandstorm</v>
      </c>
      <c r="G6668" s="4" t="str">
        <f>IFERROR(__xludf.DUMMYFUNCTION("GOOGLETRANSLATE(B6668)"),"沙暴")</f>
        <v>沙暴</v>
      </c>
    </row>
    <row r="6669" ht="15.75" customHeight="1">
      <c r="A6669" s="4">
        <v>8414.0</v>
      </c>
      <c r="B6669" s="4" t="s">
        <v>3836</v>
      </c>
      <c r="D6669" s="4" t="s">
        <v>9714</v>
      </c>
      <c r="E6669" s="4">
        <v>0.0</v>
      </c>
      <c r="F6669" s="4" t="str">
        <f>IFERROR(__xludf.DUMMYFUNCTION("GOOGLETRANSLATE(D6669)"),"當有酒和達魯德時誰需要朋友 - 沙塵暴 :D")</f>
        <v>當有酒和達魯德時誰需要朋友 - 沙塵暴 :D</v>
      </c>
      <c r="G6669" s="4" t="str">
        <f>IFERROR(__xludf.DUMMYFUNCTION("GOOGLETRANSLATE(B6669)"),"沙暴")</f>
        <v>沙暴</v>
      </c>
    </row>
    <row r="6670" ht="15.75" customHeight="1">
      <c r="A6670" s="4">
        <v>8425.0</v>
      </c>
      <c r="B6670" s="4" t="s">
        <v>3836</v>
      </c>
      <c r="C6670" s="4" t="s">
        <v>9715</v>
      </c>
      <c r="D6670" s="4" t="s">
        <v>9716</v>
      </c>
      <c r="E6670" s="4">
        <v>0.0</v>
      </c>
      <c r="F6670" s="4" t="str">
        <f>IFERROR(__xludf.DUMMYFUNCTION("GOOGLETRANSLATE(D6670)"),"@SunderCR 兩小時的 Sandstorm 混音。全部融合在一起。歌曲之間沒有沉默。")</f>
        <v>@SunderCR 兩小時的 Sandstorm 混音。全部融合在一起。歌曲之間沒有沉默。</v>
      </c>
      <c r="G6670" s="4" t="str">
        <f>IFERROR(__xludf.DUMMYFUNCTION("GOOGLETRANSLATE(B6670)"),"沙暴")</f>
        <v>沙暴</v>
      </c>
    </row>
    <row r="6671" ht="15.75" customHeight="1">
      <c r="A6671" s="4">
        <v>8430.0</v>
      </c>
      <c r="B6671" s="4" t="s">
        <v>3836</v>
      </c>
      <c r="C6671" s="4" t="s">
        <v>3873</v>
      </c>
      <c r="D6671" s="4" t="s">
        <v>9717</v>
      </c>
      <c r="E6671" s="4">
        <v>0.0</v>
      </c>
      <c r="F6671" s="4" t="str">
        <f>IFERROR(__xludf.DUMMYFUNCTION("GOOGLETRANSLATE(D6671)"),"放下沙塵暴！！！ https://t.co/EfKCoegJck")</f>
        <v>放下沙塵暴！！！ https://t.co/EfKCoegJck</v>
      </c>
      <c r="G6671" s="4" t="str">
        <f>IFERROR(__xludf.DUMMYFUNCTION("GOOGLETRANSLATE(B6671)"),"沙暴")</f>
        <v>沙暴</v>
      </c>
    </row>
    <row r="6672" ht="15.75" customHeight="1">
      <c r="A6672" s="4">
        <v>8436.0</v>
      </c>
      <c r="B6672" s="4" t="s">
        <v>3836</v>
      </c>
      <c r="C6672" s="4" t="s">
        <v>9718</v>
      </c>
      <c r="D6672" s="4" t="s">
        <v>9719</v>
      </c>
      <c r="E6672" s="4">
        <v>0.0</v>
      </c>
      <c r="F6672" s="4" t="str">
        <f>IFERROR(__xludf.DUMMYFUNCTION("GOOGLETRANSLATE(D6672)"),"@VillicanAlicia [[是達魯德沙塵暴嗎？]]")</f>
        <v>@VillicanAlicia [[是達魯德沙塵暴嗎？]]</v>
      </c>
      <c r="G6672" s="4" t="str">
        <f>IFERROR(__xludf.DUMMYFUNCTION("GOOGLETRANSLATE(B6672)"),"沙暴")</f>
        <v>沙暴</v>
      </c>
    </row>
    <row r="6673" ht="15.75" customHeight="1">
      <c r="A6673" s="4">
        <v>8437.0</v>
      </c>
      <c r="B6673" s="4" t="s">
        <v>3836</v>
      </c>
      <c r="C6673" s="4" t="s">
        <v>9720</v>
      </c>
      <c r="D6673" s="4" t="s">
        <v>9721</v>
      </c>
      <c r="E6673" s="4">
        <v>0.0</v>
      </c>
      <c r="F6673" s="4" t="str">
        <f>IFERROR(__xludf.DUMMYFUNCTION("GOOGLETRANSLATE(D6673)"),"現在我不能在沒有氣喇叭的情況下聽Darude Sandstorm")</f>
        <v>現在我不能在沒有氣喇叭的情況下聽Darude Sandstorm</v>
      </c>
      <c r="G6673" s="4" t="str">
        <f>IFERROR(__xludf.DUMMYFUNCTION("GOOGLETRANSLATE(B6673)"),"沙暴")</f>
        <v>沙暴</v>
      </c>
    </row>
    <row r="6674" ht="15.75" customHeight="1">
      <c r="A6674" s="4">
        <v>8440.0</v>
      </c>
      <c r="B6674" s="4" t="s">
        <v>3836</v>
      </c>
      <c r="D6674" s="4" t="s">
        <v>9722</v>
      </c>
      <c r="E6674" s="4">
        <v>0.0</v>
      </c>
      <c r="F6674" s="4" t="str">
        <f>IFERROR(__xludf.DUMMYFUNCTION("GOOGLETRANSLATE(D6674)"),"正在播放：Darude - Sandstorm - 廣播編輯 http://t.co/DUdAIrBBPo http://t.co/padosfyXnM")</f>
        <v>正在播放：Darude - Sandstorm - 廣播編輯 http://t.co/DUdAIrBBPo http://t.co/padosfyXnM</v>
      </c>
      <c r="G6674" s="4" t="str">
        <f>IFERROR(__xludf.DUMMYFUNCTION("GOOGLETRANSLATE(B6674)"),"沙暴")</f>
        <v>沙暴</v>
      </c>
    </row>
    <row r="6675" ht="15.75" customHeight="1">
      <c r="A6675" s="4">
        <v>8443.0</v>
      </c>
      <c r="B6675" s="4" t="s">
        <v>3868</v>
      </c>
      <c r="D6675" s="4" t="s">
        <v>9723</v>
      </c>
      <c r="E6675" s="4">
        <v>0.0</v>
      </c>
      <c r="F6675" s="4" t="str">
        <f>IFERROR(__xludf.DUMMYFUNCTION("GOOGLETRANSLATE(D6675)"),"我把手機摔在地上，然後尖叫起來，哈哈哈哈")</f>
        <v>我把手機摔在地上，然後尖叫起來，哈哈哈哈</v>
      </c>
      <c r="G6675" s="4" t="str">
        <f>IFERROR(__xludf.DUMMYFUNCTION("GOOGLETRANSLATE(B6675)"),"尖叫著")</f>
        <v>尖叫著</v>
      </c>
    </row>
    <row r="6676" ht="15.75" customHeight="1">
      <c r="A6676" s="4">
        <v>8444.0</v>
      </c>
      <c r="B6676" s="4" t="s">
        <v>3868</v>
      </c>
      <c r="C6676" s="4" t="s">
        <v>9724</v>
      </c>
      <c r="D6676" s="4" t="s">
        <v>9725</v>
      </c>
      <c r="E6676" s="4">
        <v>0.0</v>
      </c>
      <c r="F6676" s="4" t="str">
        <f>IFERROR(__xludf.DUMMYFUNCTION("GOOGLETRANSLATE(D6676)"),"@InfiniteGrace7 我只是向世界尖叫我有多愛我的小馬駒？")</f>
        <v>@InfiniteGrace7 我只是向世界尖叫我有多愛我的小馬駒？</v>
      </c>
      <c r="G6676" s="4" t="str">
        <f>IFERROR(__xludf.DUMMYFUNCTION("GOOGLETRANSLATE(B6676)"),"尖叫著")</f>
        <v>尖叫著</v>
      </c>
    </row>
    <row r="6677" ht="15.75" customHeight="1">
      <c r="A6677" s="4">
        <v>8445.0</v>
      </c>
      <c r="B6677" s="4" t="s">
        <v>3868</v>
      </c>
      <c r="D6677" s="4" t="s">
        <v>9726</v>
      </c>
      <c r="E6677" s="4">
        <v>0.0</v>
      </c>
      <c r="F6677" s="4" t="str">
        <f>IFERROR(__xludf.DUMMYFUNCTION("GOOGLETRANSLATE(D6677)"),"更新：警察看起來都是很好的人。當我變身時我感覺很糟糕，他們尖叫著……別擔心，他們只是失去知覺。")</f>
        <v>更新：警察看起來都是很好的人。當我變身時我感覺很糟糕，他們尖叫著……別擔心，他們只是失去知覺。</v>
      </c>
      <c r="G6677" s="4" t="str">
        <f>IFERROR(__xludf.DUMMYFUNCTION("GOOGLETRANSLATE(B6677)"),"尖叫著")</f>
        <v>尖叫著</v>
      </c>
    </row>
    <row r="6678" ht="15.75" customHeight="1">
      <c r="A6678" s="4">
        <v>8446.0</v>
      </c>
      <c r="B6678" s="4" t="s">
        <v>3868</v>
      </c>
      <c r="D6678" s="4" t="s">
        <v>9727</v>
      </c>
      <c r="E6678" s="4">
        <v>0.0</v>
      </c>
      <c r="F6678" s="4" t="str">
        <f>IFERROR(__xludf.DUMMYFUNCTION("GOOGLETRANSLATE(D6678)"),"有人會因為歌詞寫錯而被尖叫 lmao")</f>
        <v>有人會因為歌詞寫錯而被尖叫 lmao</v>
      </c>
      <c r="G6678" s="4" t="str">
        <f>IFERROR(__xludf.DUMMYFUNCTION("GOOGLETRANSLATE(B6678)"),"尖叫著")</f>
        <v>尖叫著</v>
      </c>
    </row>
    <row r="6679" ht="15.75" customHeight="1">
      <c r="A6679" s="4">
        <v>8447.0</v>
      </c>
      <c r="B6679" s="4" t="s">
        <v>3868</v>
      </c>
      <c r="D6679" s="4" t="s">
        <v>9728</v>
      </c>
      <c r="E6679" s="4">
        <v>0.0</v>
      </c>
      <c r="F6679" s="4" t="str">
        <f>IFERROR(__xludf.DUMMYFUNCTION("GOOGLETRANSLATE(D6679)"),"我剛剛尖叫了 SIDJSJDJEKDJSKDJD 。我受不了你了？？ https://t.co/0Vcsafx9bY")</f>
        <v>我剛剛尖叫了 SIDJSJDJEKDJSKDJD 。我受不了你了？？ https://t.co/0Vcsafx9bY</v>
      </c>
      <c r="G6679" s="4" t="str">
        <f>IFERROR(__xludf.DUMMYFUNCTION("GOOGLETRANSLATE(B6679)"),"尖叫著")</f>
        <v>尖叫著</v>
      </c>
    </row>
    <row r="6680" ht="15.75" customHeight="1">
      <c r="A6680" s="4">
        <v>8451.0</v>
      </c>
      <c r="B6680" s="4" t="s">
        <v>3868</v>
      </c>
      <c r="C6680" s="4" t="s">
        <v>9729</v>
      </c>
      <c r="D6680" s="4" t="s">
        <v>9730</v>
      </c>
      <c r="E6680" s="4">
        <v>0.0</v>
      </c>
      <c r="F6680" s="4" t="str">
        <f>IFERROR(__xludf.DUMMYFUNCTION("GOOGLETRANSLATE(D6680)"),"當她拿到微晶片針時，她尖叫起來。說實話我也會哭的，針頭很大啊哈拉姆")</f>
        <v>當她拿到微晶片針時，她尖叫起來。說實話我也會哭的，針頭很大啊哈拉姆</v>
      </c>
      <c r="G6680" s="4" t="str">
        <f>IFERROR(__xludf.DUMMYFUNCTION("GOOGLETRANSLATE(B6680)"),"尖叫著")</f>
        <v>尖叫著</v>
      </c>
    </row>
    <row r="6681" ht="15.75" customHeight="1">
      <c r="A6681" s="4">
        <v>8452.0</v>
      </c>
      <c r="B6681" s="4" t="s">
        <v>3868</v>
      </c>
      <c r="D6681" s="4" t="s">
        <v>9731</v>
      </c>
      <c r="E6681" s="4">
        <v>0.0</v>
      </c>
      <c r="F6681" s="4" t="str">
        <f>IFERROR(__xludf.DUMMYFUNCTION("GOOGLETRANSLATE(D6681)"),"我在樓上聽到了史蒂文宇宙的主題曲，在歌曲的部分尖叫著他的名字，嚇壞了我的表弟")</f>
        <v>我在樓上聽到了史蒂文宇宙的主題曲，在歌曲的部分尖叫著他的名字，嚇壞了我的表弟</v>
      </c>
      <c r="G6681" s="4" t="str">
        <f>IFERROR(__xludf.DUMMYFUNCTION("GOOGLETRANSLATE(B6681)"),"尖叫著")</f>
        <v>尖叫著</v>
      </c>
    </row>
    <row r="6682" ht="15.75" customHeight="1">
      <c r="A6682" s="4">
        <v>8453.0</v>
      </c>
      <c r="B6682" s="4" t="s">
        <v>3868</v>
      </c>
      <c r="C6682" s="4" t="s">
        <v>9732</v>
      </c>
      <c r="D6682" s="4" t="s">
        <v>9733</v>
      </c>
      <c r="E6682" s="4">
        <v>0.0</v>
      </c>
      <c r="F6682" s="4" t="str">
        <f>IFERROR(__xludf.DUMMYFUNCTION("GOOGLETRANSLATE(D6682)"),"@mogacola @zamtriossu 我在推特上尖叫了")</f>
        <v>@mogacola @zamtriossu 我在推特上尖叫了</v>
      </c>
      <c r="G6682" s="4" t="str">
        <f>IFERROR(__xludf.DUMMYFUNCTION("GOOGLETRANSLATE(B6682)"),"尖叫著")</f>
        <v>尖叫著</v>
      </c>
    </row>
    <row r="6683" ht="15.75" customHeight="1">
      <c r="A6683" s="4">
        <v>8454.0</v>
      </c>
      <c r="B6683" s="4" t="s">
        <v>3868</v>
      </c>
      <c r="C6683" s="4" t="s">
        <v>9734</v>
      </c>
      <c r="D6683" s="4" t="s">
        <v>9735</v>
      </c>
      <c r="E6683" s="4">
        <v>0.0</v>
      </c>
      <c r="F6683" s="4" t="str">
        <f>IFERROR(__xludf.DUMMYFUNCTION("GOOGLETRANSLATE(D6683)"),"我旁邊的女孩尖叫著我他媽的有機會哭嗎")</f>
        <v>我旁邊的女孩尖叫著我他媽的有機會哭嗎</v>
      </c>
      <c r="G6683" s="4" t="str">
        <f>IFERROR(__xludf.DUMMYFUNCTION("GOOGLETRANSLATE(B6683)"),"尖叫著")</f>
        <v>尖叫著</v>
      </c>
    </row>
    <row r="6684" ht="15.75" customHeight="1">
      <c r="A6684" s="4">
        <v>8455.0</v>
      </c>
      <c r="B6684" s="4" t="s">
        <v>3868</v>
      </c>
      <c r="C6684" s="4" t="s">
        <v>9736</v>
      </c>
      <c r="D6684" s="4" t="s">
        <v>9737</v>
      </c>
      <c r="E6684" s="4">
        <v>0.0</v>
      </c>
      <c r="F6684" s="4" t="str">
        <f>IFERROR(__xludf.DUMMYFUNCTION("GOOGLETRANSLATE(D6684)"),"我認為我尖叫過的最響亮的進球是伊瓜因對德國的越位進球")</f>
        <v>我認為我尖叫過的最響亮的進球是伊瓜因對德國的越位進球</v>
      </c>
      <c r="G6684" s="4" t="str">
        <f>IFERROR(__xludf.DUMMYFUNCTION("GOOGLETRANSLATE(B6684)"),"尖叫著")</f>
        <v>尖叫著</v>
      </c>
    </row>
    <row r="6685" ht="15.75" customHeight="1">
      <c r="A6685" s="4">
        <v>8457.0</v>
      </c>
      <c r="B6685" s="4" t="s">
        <v>3868</v>
      </c>
      <c r="D6685" s="4" t="s">
        <v>9738</v>
      </c>
      <c r="E6685" s="4">
        <v>0.0</v>
      </c>
      <c r="F6685" s="4" t="str">
        <f>IFERROR(__xludf.DUMMYFUNCTION("GOOGLETRANSLATE(D6685)"),"我戴著耳塞跑步，現在我意識到這意味著我可能沒有禮貌地向賈里德打招呼，而是或多或少地對他尖叫？？？")</f>
        <v>我戴著耳塞跑步，現在我意識到這意味著我可能沒有禮貌地向賈里德打招呼，而是或多或少地對他尖叫？？？</v>
      </c>
      <c r="G6685" s="4" t="str">
        <f>IFERROR(__xludf.DUMMYFUNCTION("GOOGLETRANSLATE(B6685)"),"尖叫著")</f>
        <v>尖叫著</v>
      </c>
    </row>
    <row r="6686" ht="15.75" customHeight="1">
      <c r="A6686" s="4">
        <v>8458.0</v>
      </c>
      <c r="B6686" s="4" t="s">
        <v>3868</v>
      </c>
      <c r="D6686" s="4" t="s">
        <v>9739</v>
      </c>
      <c r="E6686" s="4">
        <v>0.0</v>
      </c>
      <c r="F6686" s="4" t="str">
        <f>IFERROR(__xludf.DUMMYFUNCTION("GOOGLETRANSLATE(D6686)"),"我只是因為要求我爸爸移動半步以便我能通過而被尖叫......")</f>
        <v>我只是因為要求我爸爸移動半步以便我能通過而被尖叫......</v>
      </c>
      <c r="G6686" s="4" t="str">
        <f>IFERROR(__xludf.DUMMYFUNCTION("GOOGLETRANSLATE(B6686)"),"尖叫著")</f>
        <v>尖叫著</v>
      </c>
    </row>
    <row r="6687" ht="15.75" customHeight="1">
      <c r="A6687" s="4">
        <v>8459.0</v>
      </c>
      <c r="B6687" s="4" t="s">
        <v>3868</v>
      </c>
      <c r="C6687" s="4" t="s">
        <v>9740</v>
      </c>
      <c r="D6687" s="4" t="s">
        <v>9741</v>
      </c>
      <c r="E6687" s="4">
        <v>0.0</v>
      </c>
      <c r="F6687" s="4" t="str">
        <f>IFERROR(__xludf.DUMMYFUNCTION("GOOGLETRANSLATE(D6687)"),"@CortezEra 當我們簽下他時我尖叫了我他媽的簡直不敢相信")</f>
        <v>@CortezEra 當我們簽下他時我尖叫了我他媽的簡直不敢相信</v>
      </c>
      <c r="G6687" s="4" t="str">
        <f>IFERROR(__xludf.DUMMYFUNCTION("GOOGLETRANSLATE(B6687)"),"尖叫著")</f>
        <v>尖叫著</v>
      </c>
    </row>
    <row r="6688" ht="15.75" customHeight="1">
      <c r="A6688" s="4">
        <v>8461.0</v>
      </c>
      <c r="B6688" s="4" t="s">
        <v>3868</v>
      </c>
      <c r="D6688" s="4" t="s">
        <v>9742</v>
      </c>
      <c r="E6688" s="4">
        <v>0.0</v>
      </c>
      <c r="F6688" s="4" t="str">
        <f>IFERROR(__xludf.DUMMYFUNCTION("GOOGLETRANSLATE(D6688)"),"不要停止相信這家餐廳的廣播裡剛剛傳來了一個小白人尖叫“這是媽媽的歌”")</f>
        <v>不要停止相信這家餐廳的廣播裡剛剛傳來了一個小白人尖叫“這是媽媽的歌”</v>
      </c>
      <c r="G6688" s="4" t="str">
        <f>IFERROR(__xludf.DUMMYFUNCTION("GOOGLETRANSLATE(B6688)"),"尖叫著")</f>
        <v>尖叫著</v>
      </c>
    </row>
    <row r="6689" ht="15.75" customHeight="1">
      <c r="A6689" s="4">
        <v>8463.0</v>
      </c>
      <c r="B6689" s="4" t="s">
        <v>3868</v>
      </c>
      <c r="C6689" s="4" t="s">
        <v>9743</v>
      </c>
      <c r="D6689" s="4" t="s">
        <v>9744</v>
      </c>
      <c r="E6689" s="4">
        <v>0.0</v>
      </c>
      <c r="F6689" s="4" t="str">
        <f>IFERROR(__xludf.DUMMYFUNCTION("GOOGLETRANSLATE(D6689)"),"布魯克在音樂會上對我進行了面部計時，並連續尖叫了兩分鐘")</f>
        <v>布魯克在音樂會上對我進行了面部計時，並連續尖叫了兩分鐘</v>
      </c>
      <c r="G6689" s="4" t="str">
        <f>IFERROR(__xludf.DUMMYFUNCTION("GOOGLETRANSLATE(B6689)"),"尖叫著")</f>
        <v>尖叫著</v>
      </c>
    </row>
    <row r="6690" ht="15.75" customHeight="1">
      <c r="A6690" s="4">
        <v>8464.0</v>
      </c>
      <c r="B6690" s="4" t="s">
        <v>3868</v>
      </c>
      <c r="C6690" s="4" t="s">
        <v>9745</v>
      </c>
      <c r="D6690" s="4" t="s">
        <v>9746</v>
      </c>
      <c r="E6690" s="4">
        <v>0.0</v>
      </c>
      <c r="F6690" s="4" t="str">
        <f>IFERROR(__xludf.DUMMYFUNCTION("GOOGLETRANSLATE(D6690)"),"*想發推文表達我多麼不喜歡今天的女權主義運動，但不想被尖叫'http://t.co/R7pVTSdUmA")</f>
        <v>*想發推文表達我多麼不喜歡今天的女權主義運動，但不想被尖叫'http://t.co/R7pVTSdUmA</v>
      </c>
      <c r="G6690" s="4" t="str">
        <f>IFERROR(__xludf.DUMMYFUNCTION("GOOGLETRANSLATE(B6690)"),"尖叫著")</f>
        <v>尖叫著</v>
      </c>
    </row>
    <row r="6691" ht="15.75" customHeight="1">
      <c r="A6691" s="4">
        <v>8468.0</v>
      </c>
      <c r="B6691" s="4" t="s">
        <v>3868</v>
      </c>
      <c r="C6691" s="4" t="s">
        <v>9747</v>
      </c>
      <c r="D6691" s="4" t="s">
        <v>9748</v>
      </c>
      <c r="E6691" s="4">
        <v>0.0</v>
      </c>
      <c r="F6691" s="4" t="str">
        <f>IFERROR(__xludf.DUMMYFUNCTION("GOOGLETRANSLATE(D6691)"),"這週在營地裡有 26 個人在我耳邊尖叫。二十六！我們還剩下 1/2 天。 #雪松林地2015")</f>
        <v>這週在營地裡有 26 個人在我耳邊尖叫。二十六！我們還剩下 1/2 天。 #雪松林地2015</v>
      </c>
      <c r="G6691" s="4" t="str">
        <f>IFERROR(__xludf.DUMMYFUNCTION("GOOGLETRANSLATE(B6691)"),"尖叫著")</f>
        <v>尖叫著</v>
      </c>
    </row>
    <row r="6692" ht="15.75" customHeight="1">
      <c r="A6692" s="4">
        <v>8471.0</v>
      </c>
      <c r="B6692" s="4" t="s">
        <v>3868</v>
      </c>
      <c r="C6692" s="4" t="s">
        <v>9749</v>
      </c>
      <c r="D6692" s="4" t="s">
        <v>9750</v>
      </c>
      <c r="E6692" s="4">
        <v>0.0</v>
      </c>
      <c r="F6692" s="4" t="str">
        <f>IFERROR(__xludf.DUMMYFUNCTION("GOOGLETRANSLATE(D6692)"),"今天，一些去參加領導力訓練營的孩子來到我的工作單位要求上廁所，我內心的 ASB 孩子尖叫了很多。我想念營地？？")</f>
        <v>今天，一些去參加領導力訓練營的孩子來到我的工作單位要求上廁所，我內心的 ASB 孩子尖叫了很多。我想念營地？？</v>
      </c>
      <c r="G6692" s="4" t="str">
        <f>IFERROR(__xludf.DUMMYFUNCTION("GOOGLETRANSLATE(B6692)"),"尖叫著")</f>
        <v>尖叫著</v>
      </c>
    </row>
    <row r="6693" ht="15.75" customHeight="1">
      <c r="A6693" s="4">
        <v>8473.0</v>
      </c>
      <c r="B6693" s="4" t="s">
        <v>3868</v>
      </c>
      <c r="D6693" s="4" t="s">
        <v>9751</v>
      </c>
      <c r="E6693" s="4">
        <v>0.0</v>
      </c>
      <c r="F6693" s="4" t="str">
        <f>IFERROR(__xludf.DUMMYFUNCTION("GOOGLETRANSLATE(D6693)"),"不是因為我想作弊什麼的。在我的推特上發洩的感覺很好，沒有文字被尖叫哈哈")</f>
        <v>不是因為我想作弊什麼的。在我的推特上發洩的感覺很好，沒有文字被尖叫哈哈</v>
      </c>
      <c r="G6693" s="4" t="str">
        <f>IFERROR(__xludf.DUMMYFUNCTION("GOOGLETRANSLATE(B6693)"),"尖叫著")</f>
        <v>尖叫著</v>
      </c>
    </row>
    <row r="6694" ht="15.75" customHeight="1">
      <c r="A6694" s="4">
        <v>8475.0</v>
      </c>
      <c r="B6694" s="4" t="s">
        <v>3868</v>
      </c>
      <c r="D6694" s="4" t="s">
        <v>9752</v>
      </c>
      <c r="E6694" s="4">
        <v>0.0</v>
      </c>
      <c r="F6694" s="4" t="str">
        <f>IFERROR(__xludf.DUMMYFUNCTION("GOOGLETRANSLATE(D6694)"),"對不起，我在 1D 節目中太瘋狂了，就像在我的 WWA 節目中 Niall 開始唱“偷走我的女孩”我真的尖叫起來，他媽的閉嘴")</f>
        <v>對不起，我在 1D 節目中太瘋狂了，就像在我的 WWA 節目中 Niall 開始唱“偷走我的女孩”我真的尖叫起來，他媽的閉嘴</v>
      </c>
      <c r="G6694" s="4" t="str">
        <f>IFERROR(__xludf.DUMMYFUNCTION("GOOGLETRANSLATE(B6694)"),"尖叫著")</f>
        <v>尖叫著</v>
      </c>
    </row>
    <row r="6695" ht="15.75" customHeight="1">
      <c r="A6695" s="4">
        <v>8476.0</v>
      </c>
      <c r="B6695" s="4" t="s">
        <v>3868</v>
      </c>
      <c r="C6695" s="4" t="s">
        <v>9753</v>
      </c>
      <c r="D6695" s="4" t="s">
        <v>9754</v>
      </c>
      <c r="E6695" s="4">
        <v>0.0</v>
      </c>
      <c r="F6695" s="4" t="str">
        <f>IFERROR(__xludf.DUMMYFUNCTION("GOOGLETRANSLATE(D6695)"),"我剛剛用 57 種語言尖叫，這太棒了 https://t.co/ldjet9tfMk")</f>
        <v>我剛剛用 57 種語言尖叫，這太棒了 https://t.co/ldjet9tfMk</v>
      </c>
      <c r="G6695" s="4" t="str">
        <f>IFERROR(__xludf.DUMMYFUNCTION("GOOGLETRANSLATE(B6695)"),"尖叫著")</f>
        <v>尖叫著</v>
      </c>
    </row>
    <row r="6696" ht="15.75" customHeight="1">
      <c r="A6696" s="4">
        <v>8477.0</v>
      </c>
      <c r="B6696" s="4" t="s">
        <v>3868</v>
      </c>
      <c r="C6696" s="4" t="s">
        <v>9755</v>
      </c>
      <c r="D6696" s="4" t="s">
        <v>9756</v>
      </c>
      <c r="E6696" s="4">
        <v>0.0</v>
      </c>
      <c r="F6696" s="4" t="str">
        <f>IFERROR(__xludf.DUMMYFUNCTION("GOOGLETRANSLATE(D6696)"),"我在最後尖叫了 OAMSGAJAGAHAHAH IM LAIGHIGN #OTRAMETLIFE http://t.co/eTkBW1RCrv")</f>
        <v>我在最後尖叫了 OAMSGAJAGAHAHAH IM LAIGHIGN #OTRAMETLIFE http://t.co/eTkBW1RCrv</v>
      </c>
      <c r="G6696" s="4" t="str">
        <f>IFERROR(__xludf.DUMMYFUNCTION("GOOGLETRANSLATE(B6696)"),"尖叫著")</f>
        <v>尖叫著</v>
      </c>
    </row>
    <row r="6697" ht="15.75" customHeight="1">
      <c r="A6697" s="4">
        <v>8478.0</v>
      </c>
      <c r="B6697" s="4" t="s">
        <v>3868</v>
      </c>
      <c r="C6697" s="4" t="s">
        <v>9757</v>
      </c>
      <c r="D6697" s="4" t="s">
        <v>9758</v>
      </c>
      <c r="E6697" s="4">
        <v>0.0</v>
      </c>
      <c r="F6697" s="4" t="str">
        <f>IFERROR(__xludf.DUMMYFUNCTION("GOOGLETRANSLATE(D6697)"),"我從來沒有喊得這麼大聲 https://t.co/PC3h1NE4G0")</f>
        <v>我從來沒有喊得這麼大聲 https://t.co/PC3h1NE4G0</v>
      </c>
      <c r="G6697" s="4" t="str">
        <f>IFERROR(__xludf.DUMMYFUNCTION("GOOGLETRANSLATE(B6697)"),"尖叫著")</f>
        <v>尖叫著</v>
      </c>
    </row>
    <row r="6698" ht="15.75" customHeight="1">
      <c r="A6698" s="4">
        <v>8480.0</v>
      </c>
      <c r="B6698" s="4" t="s">
        <v>3868</v>
      </c>
      <c r="C6698" s="4" t="s">
        <v>9759</v>
      </c>
      <c r="D6698" s="4" t="s">
        <v>9760</v>
      </c>
      <c r="E6698" s="4">
        <v>0.0</v>
      </c>
      <c r="F6698" s="4" t="str">
        <f>IFERROR(__xludf.DUMMYFUNCTION("GOOGLETRANSLATE(D6698)"),"我尖叫著「真是個機會」http://t.co/GXYivsWki7")</f>
        <v>我尖叫著「真是個機會」http://t.co/GXYivsWki7</v>
      </c>
      <c r="G6698" s="4" t="str">
        <f>IFERROR(__xludf.DUMMYFUNCTION("GOOGLETRANSLATE(B6698)"),"尖叫著")</f>
        <v>尖叫著</v>
      </c>
    </row>
    <row r="6699" ht="15.75" customHeight="1">
      <c r="A6699" s="4">
        <v>8483.0</v>
      </c>
      <c r="B6699" s="4" t="s">
        <v>3868</v>
      </c>
      <c r="C6699" s="4" t="s">
        <v>9761</v>
      </c>
      <c r="D6699" s="4" t="s">
        <v>9762</v>
      </c>
      <c r="E6699" s="4">
        <v>0.0</v>
      </c>
      <c r="F6699" s="4" t="str">
        <f>IFERROR(__xludf.DUMMYFUNCTION("GOOGLETRANSLATE(D6699)"),"@Real_Liam_Payne 當你說你們會回到 S.A 時，我大聲尖叫，所以請遵守你的承諾 #AddTexasToNext1DTour")</f>
        <v>@Real_Liam_Payne 當你說你們會回到 S.A 時，我大聲尖叫，所以請遵守你的承諾 #AddTexasToNext1DTour</v>
      </c>
      <c r="G6699" s="4" t="str">
        <f>IFERROR(__xludf.DUMMYFUNCTION("GOOGLETRANSLATE(B6699)"),"尖叫著")</f>
        <v>尖叫著</v>
      </c>
    </row>
    <row r="6700" ht="15.75" customHeight="1">
      <c r="A6700" s="4">
        <v>8484.0</v>
      </c>
      <c r="B6700" s="4" t="s">
        <v>3868</v>
      </c>
      <c r="D6700" s="4" t="s">
        <v>9763</v>
      </c>
      <c r="E6700" s="4">
        <v>0.0</v>
      </c>
      <c r="F6700" s="4" t="str">
        <f>IFERROR(__xludf.DUMMYFUNCTION("GOOGLETRANSLATE(D6700)"),"@ThatWitchEm @EmmaChosenOne @JessieNovoaRP @Jessie_Novoa_ @Liana_Novoa 你為什麼要尖叫")</f>
        <v>@ThatWitchEm @EmmaChosenOne @JessieNovoaRP @Jessie_Novoa_ @Liana_Novoa 你為什麼要尖叫</v>
      </c>
      <c r="G6700" s="4" t="str">
        <f>IFERROR(__xludf.DUMMYFUNCTION("GOOGLETRANSLATE(B6700)"),"尖叫著")</f>
        <v>尖叫著</v>
      </c>
    </row>
    <row r="6701" ht="15.75" customHeight="1">
      <c r="A6701" s="4">
        <v>8486.0</v>
      </c>
      <c r="B6701" s="4" t="s">
        <v>3868</v>
      </c>
      <c r="C6701" s="4" t="s">
        <v>9764</v>
      </c>
      <c r="D6701" s="4" t="s">
        <v>9765</v>
      </c>
      <c r="E6701" s="4">
        <v>0.0</v>
      </c>
      <c r="F6701" s="4" t="str">
        <f>IFERROR(__xludf.DUMMYFUNCTION("GOOGLETRANSLATE(D6701)"),"@ArianaGrande 我真的走出了音樂會並尖叫著我的靈魂受到了祝福")</f>
        <v>@ArianaGrande 我真的走出了音樂會並尖叫著我的靈魂受到了祝福</v>
      </c>
      <c r="G6701" s="4" t="str">
        <f>IFERROR(__xludf.DUMMYFUNCTION("GOOGLETRANSLATE(B6701)"),"尖叫著")</f>
        <v>尖叫著</v>
      </c>
    </row>
    <row r="6702" ht="15.75" customHeight="1">
      <c r="A6702" s="4">
        <v>8487.0</v>
      </c>
      <c r="B6702" s="4" t="s">
        <v>3868</v>
      </c>
      <c r="C6702" s="4" t="s">
        <v>9766</v>
      </c>
      <c r="D6702" s="4" t="s">
        <v>9767</v>
      </c>
      <c r="E6702" s="4">
        <v>0.0</v>
      </c>
      <c r="F6702" s="4" t="str">
        <f>IFERROR(__xludf.DUMMYFUNCTION("GOOGLETRANSLATE(D6702)"),"我只是尖叫他媽的什麼鬼")</f>
        <v>我只是尖叫他媽的什麼鬼</v>
      </c>
      <c r="G6702" s="4" t="str">
        <f>IFERROR(__xludf.DUMMYFUNCTION("GOOGLETRANSLATE(B6702)"),"尖叫著")</f>
        <v>尖叫著</v>
      </c>
    </row>
    <row r="6703" ht="15.75" customHeight="1">
      <c r="A6703" s="4">
        <v>8490.0</v>
      </c>
      <c r="B6703" s="4" t="s">
        <v>3868</v>
      </c>
      <c r="C6703" s="4" t="s">
        <v>9768</v>
      </c>
      <c r="D6703" s="4" t="s">
        <v>9769</v>
      </c>
      <c r="E6703" s="4">
        <v>0.0</v>
      </c>
      <c r="F6703" s="4" t="str">
        <f>IFERROR(__xludf.DUMMYFUNCTION("GOOGLETRANSLATE(D6703)"),"//有點尖叫&gt;_&lt; https://t.co/MSUY4qTPk9")</f>
        <v>//有點尖叫&gt;_&lt; https://t.co/MSUY4qTPk9</v>
      </c>
      <c r="G6703" s="4" t="str">
        <f>IFERROR(__xludf.DUMMYFUNCTION("GOOGLETRANSLATE(B6703)"),"尖叫著")</f>
        <v>尖叫著</v>
      </c>
    </row>
    <row r="6704" ht="15.75" customHeight="1">
      <c r="A6704" s="4">
        <v>8491.0</v>
      </c>
      <c r="B6704" s="4" t="s">
        <v>3868</v>
      </c>
      <c r="D6704" s="4" t="s">
        <v>9770</v>
      </c>
      <c r="E6704" s="4">
        <v>0.0</v>
      </c>
      <c r="F6704" s="4" t="str">
        <f>IFERROR(__xludf.DUMMYFUNCTION("GOOGLETRANSLATE(D6704)"),"我什至不記得 slsp 發生過，我只記得當時就像 wtf，然後燈滅了，每個人都尖叫著安可")</f>
        <v>我什至不記得 slsp 發生過，我只記得當時就像 wtf，然後燈滅了，每個人都尖叫著安可</v>
      </c>
      <c r="G6704" s="4" t="str">
        <f>IFERROR(__xludf.DUMMYFUNCTION("GOOGLETRANSLATE(B6704)"),"尖叫著")</f>
        <v>尖叫著</v>
      </c>
    </row>
    <row r="6705" ht="15.75" customHeight="1">
      <c r="A6705" s="4">
        <v>8494.0</v>
      </c>
      <c r="B6705" s="4" t="s">
        <v>3877</v>
      </c>
      <c r="D6705" s="4" t="s">
        <v>9771</v>
      </c>
      <c r="E6705" s="4">
        <v>0.0</v>
      </c>
      <c r="F6705" s="4" t="str">
        <f>IFERROR(__xludf.DUMMYFUNCTION("GOOGLETRANSLATE(D6705)"),"喜歡醒來看到我爸爸對我尖叫？？？？？？")</f>
        <v>喜歡醒來看到我爸爸對我尖叫？？？？？？</v>
      </c>
      <c r="G6705" s="4" t="str">
        <f>IFERROR(__xludf.DUMMYFUNCTION("GOOGLETRANSLATE(B6705)"),"尖叫")</f>
        <v>尖叫</v>
      </c>
    </row>
    <row r="6706" ht="15.75" customHeight="1">
      <c r="A6706" s="4">
        <v>8496.0</v>
      </c>
      <c r="B6706" s="4" t="s">
        <v>3877</v>
      </c>
      <c r="D6706" s="4" t="s">
        <v>9772</v>
      </c>
      <c r="E6706" s="4">
        <v>0.0</v>
      </c>
      <c r="F6706" s="4" t="str">
        <f>IFERROR(__xludf.DUMMYFUNCTION("GOOGLETRANSLATE(D6706)"),"如果你夠安靜，你真的可以聽到幽靈在泰勒推特上尖叫")</f>
        <v>如果你夠安靜，你真的可以聽到幽靈在泰勒推特上尖叫</v>
      </c>
      <c r="G6706" s="4" t="str">
        <f>IFERROR(__xludf.DUMMYFUNCTION("GOOGLETRANSLATE(B6706)"),"尖叫")</f>
        <v>尖叫</v>
      </c>
    </row>
    <row r="6707" ht="15.75" customHeight="1">
      <c r="A6707" s="4">
        <v>8497.0</v>
      </c>
      <c r="B6707" s="4" t="s">
        <v>3877</v>
      </c>
      <c r="C6707" s="4" t="s">
        <v>9773</v>
      </c>
      <c r="D6707" s="4" t="s">
        <v>9774</v>
      </c>
      <c r="E6707" s="4">
        <v>0.0</v>
      </c>
      <c r="F6707" s="4" t="str">
        <f>IFERROR(__xludf.DUMMYFUNCTION("GOOGLETRANSLATE(D6707)"),"我在尖叫和交友，天哪 https://t.co/WdVQlEWYBs")</f>
        <v>我在尖叫和交友，天哪 https://t.co/WdVQlEWYBs</v>
      </c>
      <c r="G6707" s="4" t="str">
        <f>IFERROR(__xludf.DUMMYFUNCTION("GOOGLETRANSLATE(B6707)"),"尖叫")</f>
        <v>尖叫</v>
      </c>
    </row>
    <row r="6708" ht="15.75" customHeight="1">
      <c r="A6708" s="4">
        <v>8498.0</v>
      </c>
      <c r="B6708" s="4" t="s">
        <v>3877</v>
      </c>
      <c r="C6708" s="4" t="s">
        <v>9775</v>
      </c>
      <c r="D6708" s="4" t="s">
        <v>9776</v>
      </c>
      <c r="E6708" s="4">
        <v>0.0</v>
      </c>
      <c r="F6708" s="4" t="str">
        <f>IFERROR(__xludf.DUMMYFUNCTION("GOOGLETRANSLATE(D6708)"),"昨晚把我拖下水的時候，我尖叫著“人體模型的外殼”而不是“男人的外殼”，我想那裡的每個人都討厭我")</f>
        <v>昨晚把我拖下水的時候，我尖叫著“人體模型的外殼”而不是“男人的外殼”，我想那裡的每個人都討厭我</v>
      </c>
      <c r="G6708" s="4" t="str">
        <f>IFERROR(__xludf.DUMMYFUNCTION("GOOGLETRANSLATE(B6708)"),"尖叫")</f>
        <v>尖叫</v>
      </c>
    </row>
    <row r="6709" ht="15.75" customHeight="1">
      <c r="A6709" s="4">
        <v>8502.0</v>
      </c>
      <c r="B6709" s="4" t="s">
        <v>3877</v>
      </c>
      <c r="D6709" s="4" t="s">
        <v>9777</v>
      </c>
      <c r="E6709" s="4">
        <v>0.0</v>
      </c>
      <c r="F6709" s="4" t="str">
        <f>IFERROR(__xludf.DUMMYFUNCTION("GOOGLETRANSLATE(D6709)"),"*提示賈里安娜站立尖叫")</f>
        <v>*提示賈里安娜站立尖叫</v>
      </c>
      <c r="G6709" s="4" t="str">
        <f>IFERROR(__xludf.DUMMYFUNCTION("GOOGLETRANSLATE(B6709)"),"尖叫")</f>
        <v>尖叫</v>
      </c>
    </row>
    <row r="6710" ht="15.75" customHeight="1">
      <c r="A6710" s="4">
        <v>8503.0</v>
      </c>
      <c r="B6710" s="4" t="s">
        <v>3877</v>
      </c>
      <c r="D6710" s="4" t="s">
        <v>9778</v>
      </c>
      <c r="E6710" s="4">
        <v>0.0</v>
      </c>
      <c r="F6710" s="4" t="str">
        <f>IFERROR(__xludf.DUMMYFUNCTION("GOOGLETRANSLATE(D6710)"),"@BizzleMahomie 尖叫")</f>
        <v>@BizzleMahomie 尖叫</v>
      </c>
      <c r="G6710" s="4" t="str">
        <f>IFERROR(__xludf.DUMMYFUNCTION("GOOGLETRANSLATE(B6710)"),"尖叫")</f>
        <v>尖叫</v>
      </c>
    </row>
    <row r="6711" ht="15.75" customHeight="1">
      <c r="A6711" s="4">
        <v>8504.0</v>
      </c>
      <c r="B6711" s="4" t="s">
        <v>3877</v>
      </c>
      <c r="C6711" s="4" t="s">
        <v>3878</v>
      </c>
      <c r="D6711" s="4" t="s">
        <v>9779</v>
      </c>
      <c r="E6711" s="4">
        <v>0.0</v>
      </c>
      <c r="F6711" s="4" t="str">
        <f>IFERROR(__xludf.DUMMYFUNCTION("GOOGLETRANSLATE(D6711)"),"@camilacabello97 現在我內心在尖叫")</f>
        <v>@camilacabello97 現在我內心在尖叫</v>
      </c>
      <c r="G6711" s="4" t="str">
        <f>IFERROR(__xludf.DUMMYFUNCTION("GOOGLETRANSLATE(B6711)"),"尖叫")</f>
        <v>尖叫</v>
      </c>
    </row>
    <row r="6712" ht="15.75" customHeight="1">
      <c r="A6712" s="4">
        <v>8505.0</v>
      </c>
      <c r="B6712" s="4" t="s">
        <v>3877</v>
      </c>
      <c r="C6712" s="4" t="s">
        <v>9780</v>
      </c>
      <c r="D6712" s="4" t="s">
        <v>9781</v>
      </c>
      <c r="E6712" s="4">
        <v>0.0</v>
      </c>
      <c r="F6712" s="4" t="str">
        <f>IFERROR(__xludf.DUMMYFUNCTION("GOOGLETRANSLATE(D6712)"),"@estellasrevenge 當我第一次在裡面游泳時，我基本上是在尖叫為什麼它聞起來/嘗起來這麼糟糕")</f>
        <v>@estellasrevenge 當我第一次在裡面游泳時，我基本上是在尖叫為什麼它聞起來/嘗起來這麼糟糕</v>
      </c>
      <c r="G6712" s="4" t="str">
        <f>IFERROR(__xludf.DUMMYFUNCTION("GOOGLETRANSLATE(B6712)"),"尖叫")</f>
        <v>尖叫</v>
      </c>
    </row>
    <row r="6713" ht="15.75" customHeight="1">
      <c r="A6713" s="4">
        <v>8506.0</v>
      </c>
      <c r="B6713" s="4" t="s">
        <v>3877</v>
      </c>
      <c r="C6713" s="4" t="s">
        <v>9782</v>
      </c>
      <c r="D6713" s="4" t="s">
        <v>9783</v>
      </c>
      <c r="E6713" s="4">
        <v>0.0</v>
      </c>
      <c r="F6713" s="4" t="str">
        <f>IFERROR(__xludf.DUMMYFUNCTION("GOOGLETRANSLATE(D6713)"),"尖叫@MariahCarey @ArianaGrande http://t.co/xxZD1nmb1i")</f>
        <v>尖叫@MariahCarey @ArianaGrande http://t.co/xxZD1nmb1i</v>
      </c>
      <c r="G6713" s="4" t="str">
        <f>IFERROR(__xludf.DUMMYFUNCTION("GOOGLETRANSLATE(B6713)"),"尖叫")</f>
        <v>尖叫</v>
      </c>
    </row>
    <row r="6714" ht="15.75" customHeight="1">
      <c r="A6714" s="4">
        <v>8507.0</v>
      </c>
      <c r="B6714" s="4" t="s">
        <v>3877</v>
      </c>
      <c r="D6714" s="4" t="s">
        <v>9784</v>
      </c>
      <c r="E6714" s="4">
        <v>0.0</v>
      </c>
      <c r="F6714" s="4" t="str">
        <f>IFERROR(__xludf.DUMMYFUNCTION("GOOGLETRANSLATE(D6714)"),"Lhh 無聲尖叫已掌握 https://t.co/BIexWDlDWC")</f>
        <v>Lhh 無聲尖叫已掌握 https://t.co/BIexWDlDWC</v>
      </c>
      <c r="G6714" s="4" t="str">
        <f>IFERROR(__xludf.DUMMYFUNCTION("GOOGLETRANSLATE(B6714)"),"尖叫")</f>
        <v>尖叫</v>
      </c>
    </row>
    <row r="6715" ht="15.75" customHeight="1">
      <c r="A6715" s="4">
        <v>8508.0</v>
      </c>
      <c r="B6715" s="4" t="s">
        <v>3877</v>
      </c>
      <c r="C6715" s="4" t="s">
        <v>9785</v>
      </c>
      <c r="D6715" s="4" t="s">
        <v>9786</v>
      </c>
      <c r="E6715" s="4">
        <v>0.0</v>
      </c>
      <c r="F6715" s="4" t="str">
        <f>IFERROR(__xludf.DUMMYFUNCTION("GOOGLETRANSLATE(D6715)"),"@noahshack 他很性感&amp;amp;他會唱歌我尖叫？？？？？？")</f>
        <v>@noahshack 他很性感&amp;amp;他會唱歌我尖叫？？？？？？</v>
      </c>
      <c r="G6715" s="4" t="str">
        <f>IFERROR(__xludf.DUMMYFUNCTION("GOOGLETRANSLATE(B6715)"),"尖叫")</f>
        <v>尖叫</v>
      </c>
    </row>
    <row r="6716" ht="15.75" customHeight="1">
      <c r="A6716" s="4">
        <v>8509.0</v>
      </c>
      <c r="B6716" s="4" t="s">
        <v>3877</v>
      </c>
      <c r="C6716" s="4" t="s">
        <v>9787</v>
      </c>
      <c r="D6716" s="4" t="s">
        <v>9788</v>
      </c>
      <c r="E6716" s="4">
        <v>0.0</v>
      </c>
      <c r="F6716" s="4" t="str">
        <f>IFERROR(__xludf.DUMMYFUNCTION("GOOGLETRANSLATE(D6716)"),"/ 沒關係，寶貝，我在電視上尖叫 x https://t.co/JwDfPYG3NT")</f>
        <v>/ 沒關係，寶貝，我在電視上尖叫 x https://t.co/JwDfPYG3NT</v>
      </c>
      <c r="G6716" s="4" t="str">
        <f>IFERROR(__xludf.DUMMYFUNCTION("GOOGLETRANSLATE(B6716)"),"尖叫")</f>
        <v>尖叫</v>
      </c>
    </row>
    <row r="6717" ht="15.75" customHeight="1">
      <c r="A6717" s="4">
        <v>8510.0</v>
      </c>
      <c r="B6717" s="4" t="s">
        <v>3877</v>
      </c>
      <c r="D6717" s="4" t="s">
        <v>9789</v>
      </c>
      <c r="E6717" s="4">
        <v>0.0</v>
      </c>
      <c r="F6717" s="4" t="str">
        <f>IFERROR(__xludf.DUMMYFUNCTION("GOOGLETRANSLATE(D6717)"),"嚴酷的環境伴隨著我們
更好的一天
透過莎拉C
思緒與尖叫的警笛相伴
來回踱步...... http://t.co/ProNtOuo91")</f>
        <v>嚴酷的環境伴隨著我們
更好的一天
透過莎拉C
思緒與尖叫的警笛相伴
來回踱步...... http://t.co/ProNtOuo91</v>
      </c>
      <c r="G6717" s="4" t="str">
        <f>IFERROR(__xludf.DUMMYFUNCTION("GOOGLETRANSLATE(B6717)"),"尖叫")</f>
        <v>尖叫</v>
      </c>
    </row>
    <row r="6718" ht="15.75" customHeight="1">
      <c r="A6718" s="4">
        <v>8511.0</v>
      </c>
      <c r="B6718" s="4" t="s">
        <v>3877</v>
      </c>
      <c r="C6718" s="4" t="s">
        <v>9790</v>
      </c>
      <c r="D6718" s="4" t="s">
        <v>9791</v>
      </c>
      <c r="E6718" s="4">
        <v>0.0</v>
      </c>
      <c r="F6718" s="4" t="str">
        <f>IFERROR(__xludf.DUMMYFUNCTION("GOOGLETRANSLATE(D6718)"),"我的最愛 我他媽的尖叫得很大聲 http://t.co/cP7c1cH0ZU")</f>
        <v>我的最愛 我他媽的尖叫得很大聲 http://t.co/cP7c1cH0ZU</v>
      </c>
      <c r="G6718" s="4" t="str">
        <f>IFERROR(__xludf.DUMMYFUNCTION("GOOGLETRANSLATE(B6718)"),"尖叫")</f>
        <v>尖叫</v>
      </c>
    </row>
    <row r="6719" ht="15.75" customHeight="1">
      <c r="A6719" s="4">
        <v>8512.0</v>
      </c>
      <c r="B6719" s="4" t="s">
        <v>3877</v>
      </c>
      <c r="C6719" s="4" t="s">
        <v>9792</v>
      </c>
      <c r="D6719" s="4" t="s">
        <v>9793</v>
      </c>
      <c r="E6719" s="4">
        <v>0.0</v>
      </c>
      <c r="F6719" s="4" t="str">
        <f>IFERROR(__xludf.DUMMYFUNCTION("GOOGLETRANSLATE(D6719)"),"@tyleroakley 我在尖叫")</f>
        <v>@tyleroakley 我在尖叫</v>
      </c>
      <c r="G6719" s="4" t="str">
        <f>IFERROR(__xludf.DUMMYFUNCTION("GOOGLETRANSLATE(B6719)"),"尖叫")</f>
        <v>尖叫</v>
      </c>
    </row>
    <row r="6720" ht="15.75" customHeight="1">
      <c r="A6720" s="4">
        <v>8513.0</v>
      </c>
      <c r="B6720" s="4" t="s">
        <v>3877</v>
      </c>
      <c r="C6720" s="4" t="s">
        <v>9794</v>
      </c>
      <c r="D6720" s="4" t="s">
        <v>9795</v>
      </c>
      <c r="E6720" s="4">
        <v>0.0</v>
      </c>
      <c r="F6720" s="4" t="str">
        <f>IFERROR(__xludf.DUMMYFUNCTION("GOOGLETRANSLATE(D6720)"),"@Scalpium 尖叫")</f>
        <v>@Scalpium 尖叫</v>
      </c>
      <c r="G6720" s="4" t="str">
        <f>IFERROR(__xludf.DUMMYFUNCTION("GOOGLETRANSLATE(B6720)"),"尖叫")</f>
        <v>尖叫</v>
      </c>
    </row>
    <row r="6721" ht="15.75" customHeight="1">
      <c r="A6721" s="4">
        <v>8514.0</v>
      </c>
      <c r="B6721" s="4" t="s">
        <v>3877</v>
      </c>
      <c r="D6721" s="4" t="s">
        <v>9796</v>
      </c>
      <c r="E6721" s="4">
        <v>0.0</v>
      </c>
      <c r="F6721" s="4" t="str">
        <f>IFERROR(__xludf.DUMMYFUNCTION("GOOGLETRANSLATE(D6721)"),"卡蜜拉今晚瘋狂追隨我，尖叫著幸福")</f>
        <v>卡蜜拉今晚瘋狂追隨我，尖叫著幸福</v>
      </c>
      <c r="G6721" s="4" t="str">
        <f>IFERROR(__xludf.DUMMYFUNCTION("GOOGLETRANSLATE(B6721)"),"尖叫")</f>
        <v>尖叫</v>
      </c>
    </row>
    <row r="6722" ht="15.75" customHeight="1">
      <c r="A6722" s="4">
        <v>8515.0</v>
      </c>
      <c r="B6722" s="4" t="s">
        <v>3877</v>
      </c>
      <c r="C6722" s="4" t="s">
        <v>9797</v>
      </c>
      <c r="D6722" s="4" t="s">
        <v>9798</v>
      </c>
      <c r="E6722" s="4">
        <v>0.0</v>
      </c>
      <c r="F6722" s="4" t="str">
        <f>IFERROR(__xludf.DUMMYFUNCTION("GOOGLETRANSLATE(D6722)"),"@stvmlly 抱歉在車裡對你和@Safferoonicle 尖叫，我只是有點“我知道那些人讓我們大喊吧！” :/")</f>
        <v>@stvmlly 抱歉在車裡對你和@Safferoonicle 尖叫，我只是有點“我知道那些人讓我們大喊吧！” :/</v>
      </c>
      <c r="G6722" s="4" t="str">
        <f>IFERROR(__xludf.DUMMYFUNCTION("GOOGLETRANSLATE(B6722)"),"尖叫")</f>
        <v>尖叫</v>
      </c>
    </row>
    <row r="6723" ht="15.75" customHeight="1">
      <c r="A6723" s="4">
        <v>8516.0</v>
      </c>
      <c r="B6723" s="4" t="s">
        <v>3877</v>
      </c>
      <c r="C6723" s="4" t="s">
        <v>9799</v>
      </c>
      <c r="D6723" s="4" t="s">
        <v>9800</v>
      </c>
      <c r="E6723" s="4">
        <v>0.0</v>
      </c>
      <c r="F6723" s="4" t="str">
        <f>IFERROR(__xludf.DUMMYFUNCTION("GOOGLETRANSLATE(D6723)"),"我爸爸是一位尖叫的教練，他總是在場上鍛鍊他的聲帶。 http://t.co/axVQ80RbYJ #FunnyDadCoach")</f>
        <v>我爸爸是一位尖叫的教練，他總是在場上鍛鍊他的聲帶。 http://t.co/axVQ80RbYJ #FunnyDadCoach</v>
      </c>
      <c r="G6723" s="4" t="str">
        <f>IFERROR(__xludf.DUMMYFUNCTION("GOOGLETRANSLATE(B6723)"),"尖叫")</f>
        <v>尖叫</v>
      </c>
    </row>
    <row r="6724" ht="15.75" customHeight="1">
      <c r="A6724" s="4">
        <v>8517.0</v>
      </c>
      <c r="B6724" s="4" t="s">
        <v>3877</v>
      </c>
      <c r="C6724" s="4" t="s">
        <v>9801</v>
      </c>
      <c r="D6724" s="4" t="s">
        <v>9802</v>
      </c>
      <c r="E6724" s="4">
        <v>0.0</v>
      </c>
      <c r="F6724" s="4" t="str">
        <f>IFERROR(__xludf.DUMMYFUNCTION("GOOGLETRANSLATE(D6724)"),"'[+54 -9] 人們怎麼不知道肯德爾詹納是誰？她的 Instagram 粉絲數是 GD' SCREAMING LMAO 的 6 倍")</f>
        <v>'[+54 -9] 人們怎麼不知道肯德爾詹納是誰？她的 Instagram 粉絲數是 GD' SCREAMING LMAO 的 6 倍</v>
      </c>
      <c r="G6724" s="4" t="str">
        <f>IFERROR(__xludf.DUMMYFUNCTION("GOOGLETRANSLATE(B6724)"),"尖叫")</f>
        <v>尖叫</v>
      </c>
    </row>
    <row r="6725" ht="15.75" customHeight="1">
      <c r="A6725" s="4">
        <v>8518.0</v>
      </c>
      <c r="B6725" s="4" t="s">
        <v>3877</v>
      </c>
      <c r="C6725" s="4" t="s">
        <v>9803</v>
      </c>
      <c r="D6725" s="4" t="s">
        <v>9804</v>
      </c>
      <c r="E6725" s="4">
        <v>0.0</v>
      </c>
      <c r="F6725" s="4" t="str">
        <f>IFERROR(__xludf.DUMMYFUNCTION("GOOGLETRANSLATE(D6725)"),"@MissDaOh，如果她有一個尖叫的嬰兒，你會更喜歡它")</f>
        <v>@MissDaOh，如果她有一個尖叫的嬰兒，你會更喜歡它</v>
      </c>
      <c r="G6725" s="4" t="str">
        <f>IFERROR(__xludf.DUMMYFUNCTION("GOOGLETRANSLATE(B6725)"),"尖叫")</f>
        <v>尖叫</v>
      </c>
    </row>
    <row r="6726" ht="15.75" customHeight="1">
      <c r="A6726" s="4">
        <v>8520.0</v>
      </c>
      <c r="B6726" s="4" t="s">
        <v>3877</v>
      </c>
      <c r="C6726" s="4" t="s">
        <v>9805</v>
      </c>
      <c r="D6726" s="4" t="s">
        <v>9806</v>
      </c>
      <c r="E6726" s="4">
        <v>0.0</v>
      </c>
      <c r="F6726" s="4" t="str">
        <f>IFERROR(__xludf.DUMMYFUNCTION("GOOGLETRANSLATE(D6726)"),"@ArianaGrande @justinbieber 我尖叫天啊#IDOLS #22DAYS #WDYM")</f>
        <v>@ArianaGrande @justinbieber 我尖叫天啊#IDOLS #22DAYS #WDYM</v>
      </c>
      <c r="G6726" s="4" t="str">
        <f>IFERROR(__xludf.DUMMYFUNCTION("GOOGLETRANSLATE(B6726)"),"尖叫")</f>
        <v>尖叫</v>
      </c>
    </row>
    <row r="6727" ht="15.75" customHeight="1">
      <c r="A6727" s="4">
        <v>8522.0</v>
      </c>
      <c r="B6727" s="4" t="s">
        <v>3877</v>
      </c>
      <c r="C6727" s="4" t="s">
        <v>9807</v>
      </c>
      <c r="D6727" s="4" t="s">
        <v>9808</v>
      </c>
      <c r="E6727" s="4">
        <v>0.0</v>
      </c>
      <c r="F6727" s="4" t="str">
        <f>IFERROR(__xludf.DUMMYFUNCTION("GOOGLETRANSLATE(D6727)"),"@justinbieber @ArianaGrande 你聽得到我尖叫嗎！！！！！！")</f>
        <v>@justinbieber @ArianaGrande 你聽得到我尖叫嗎！！！！！！</v>
      </c>
      <c r="G6727" s="4" t="str">
        <f>IFERROR(__xludf.DUMMYFUNCTION("GOOGLETRANSLATE(B6727)"),"尖叫")</f>
        <v>尖叫</v>
      </c>
    </row>
    <row r="6728" ht="15.75" customHeight="1">
      <c r="A6728" s="4">
        <v>8523.0</v>
      </c>
      <c r="B6728" s="4" t="s">
        <v>3877</v>
      </c>
      <c r="C6728" s="4" t="s">
        <v>1529</v>
      </c>
      <c r="D6728" s="4" t="s">
        <v>9809</v>
      </c>
      <c r="E6728" s="4">
        <v>0.0</v>
      </c>
      <c r="F6728" s="4" t="str">
        <f>IFERROR(__xludf.DUMMYFUNCTION("GOOGLETRANSLATE(D6728)"),"@KamKasteIIano @BluntedJayt 他媽的尖叫！")</f>
        <v>@KamKasteIIano @BluntedJayt 他媽的尖叫！</v>
      </c>
      <c r="G6728" s="4" t="str">
        <f>IFERROR(__xludf.DUMMYFUNCTION("GOOGLETRANSLATE(B6728)"),"尖叫")</f>
        <v>尖叫</v>
      </c>
    </row>
    <row r="6729" ht="15.75" customHeight="1">
      <c r="A6729" s="4">
        <v>8524.0</v>
      </c>
      <c r="B6729" s="4" t="s">
        <v>3877</v>
      </c>
      <c r="C6729" s="4" t="s">
        <v>9810</v>
      </c>
      <c r="D6729" s="4" t="s">
        <v>9811</v>
      </c>
      <c r="E6729" s="4">
        <v>0.0</v>
      </c>
      <c r="F6729" s="4" t="str">
        <f>IFERROR(__xludf.DUMMYFUNCTION("GOOGLETRANSLATE(D6729)"),"@ArianaGrande @justinbieber 所有的愛都在為這個尖叫？？？？？？")</f>
        <v>@ArianaGrande @justinbieber 所有的愛都在為這個尖叫？？？？？？</v>
      </c>
      <c r="G6729" s="4" t="str">
        <f>IFERROR(__xludf.DUMMYFUNCTION("GOOGLETRANSLATE(B6729)"),"尖叫")</f>
        <v>尖叫</v>
      </c>
    </row>
    <row r="6730" ht="15.75" customHeight="1">
      <c r="A6730" s="4">
        <v>8526.0</v>
      </c>
      <c r="B6730" s="4" t="s">
        <v>3877</v>
      </c>
      <c r="C6730" s="4" t="s">
        <v>9812</v>
      </c>
      <c r="D6730" s="4" t="s">
        <v>9813</v>
      </c>
      <c r="E6730" s="4">
        <v>0.0</v>
      </c>
      <c r="F6730" s="4" t="str">
        <f>IFERROR(__xludf.DUMMYFUNCTION("GOOGLETRANSLATE(D6730)"),"嘿，孤獨的女孩
你必須告訴你的朋友嗎
關於我如何讓你尖叫我的名字？")</f>
        <v>嘿，孤獨的女孩
你必須告訴你的朋友嗎
關於我如何讓你尖叫我的名字？</v>
      </c>
      <c r="G6730" s="4" t="str">
        <f>IFERROR(__xludf.DUMMYFUNCTION("GOOGLETRANSLATE(B6730)"),"尖叫")</f>
        <v>尖叫</v>
      </c>
    </row>
    <row r="6731" ht="15.75" customHeight="1">
      <c r="A6731" s="4">
        <v>8530.0</v>
      </c>
      <c r="B6731" s="4" t="s">
        <v>3877</v>
      </c>
      <c r="D6731" s="4" t="s">
        <v>9814</v>
      </c>
      <c r="E6731" s="4">
        <v>0.0</v>
      </c>
      <c r="F6731" s="4" t="str">
        <f>IFERROR(__xludf.DUMMYFUNCTION("GOOGLETRANSLATE(D6731)"),"@danisnotonfire 如果你跟著我，我會進城並通過尖叫和舉著牌子到處走來為你的 YouTube 頻道做廣告。請??")</f>
        <v>@danisnotonfire 如果你跟著我，我會進城並通過尖叫和舉著牌子到處走來為你的 YouTube 頻道做廣告。請??</v>
      </c>
      <c r="G6731" s="4" t="str">
        <f>IFERROR(__xludf.DUMMYFUNCTION("GOOGLETRANSLATE(B6731)"),"尖叫")</f>
        <v>尖叫</v>
      </c>
    </row>
    <row r="6732" ht="15.75" customHeight="1">
      <c r="A6732" s="4">
        <v>8531.0</v>
      </c>
      <c r="B6732" s="4" t="s">
        <v>3877</v>
      </c>
      <c r="C6732" s="4" t="s">
        <v>9815</v>
      </c>
      <c r="D6732" s="4" t="s">
        <v>9816</v>
      </c>
      <c r="E6732" s="4">
        <v>0.0</v>
      </c>
      <c r="F6732" s="4" t="str">
        <f>IFERROR(__xludf.DUMMYFUNCTION("GOOGLETRANSLATE(D6732)"),"@justinbieber @ArianaGrande 尖叫")</f>
        <v>@justinbieber @ArianaGrande 尖叫</v>
      </c>
      <c r="G6732" s="4" t="str">
        <f>IFERROR(__xludf.DUMMYFUNCTION("GOOGLETRANSLATE(B6732)"),"尖叫")</f>
        <v>尖叫</v>
      </c>
    </row>
    <row r="6733" ht="15.75" customHeight="1">
      <c r="A6733" s="4">
        <v>8533.0</v>
      </c>
      <c r="B6733" s="4" t="s">
        <v>3877</v>
      </c>
      <c r="C6733" s="4" t="s">
        <v>89</v>
      </c>
      <c r="D6733" s="4" t="s">
        <v>9817</v>
      </c>
      <c r="E6733" s="4">
        <v>0.0</v>
      </c>
      <c r="F6733" s="4" t="str">
        <f>IFERROR(__xludf.DUMMYFUNCTION("GOOGLETRANSLATE(D6733)"),"@blanksocietyx @emmerdale 我尖叫他是我的最愛")</f>
        <v>@blanksocietyx @emmerdale 我尖叫他是我的最愛</v>
      </c>
      <c r="G6733" s="4" t="str">
        <f>IFERROR(__xludf.DUMMYFUNCTION("GOOGLETRANSLATE(B6733)"),"尖叫")</f>
        <v>尖叫</v>
      </c>
    </row>
    <row r="6734" ht="15.75" customHeight="1">
      <c r="A6734" s="4">
        <v>8536.0</v>
      </c>
      <c r="B6734" s="4" t="s">
        <v>3877</v>
      </c>
      <c r="D6734" s="4" t="s">
        <v>9818</v>
      </c>
      <c r="E6734" s="4">
        <v>0.0</v>
      </c>
      <c r="F6734" s="4" t="str">
        <f>IFERROR(__xludf.DUMMYFUNCTION("GOOGLETRANSLATE(D6734)"),"@justinbieber @ArianaGrande 我在尖叫")</f>
        <v>@justinbieber @ArianaGrande 我在尖叫</v>
      </c>
      <c r="G6734" s="4" t="str">
        <f>IFERROR(__xludf.DUMMYFUNCTION("GOOGLETRANSLATE(B6734)"),"尖叫")</f>
        <v>尖叫</v>
      </c>
    </row>
    <row r="6735" ht="15.75" customHeight="1">
      <c r="A6735" s="4">
        <v>8538.0</v>
      </c>
      <c r="B6735" s="4" t="s">
        <v>3877</v>
      </c>
      <c r="C6735" s="4" t="s">
        <v>9819</v>
      </c>
      <c r="D6735" s="4" t="s">
        <v>9820</v>
      </c>
      <c r="E6735" s="4">
        <v>0.0</v>
      </c>
      <c r="F6735" s="4" t="str">
        <f>IFERROR(__xludf.DUMMYFUNCTION("GOOGLETRANSLATE(D6735)"),"用 22 種不同語言尖叫 http://t.co/rDfaAKKbNJ")</f>
        <v>用 22 種不同語言尖叫 http://t.co/rDfaAKKbNJ</v>
      </c>
      <c r="G6735" s="4" t="str">
        <f>IFERROR(__xludf.DUMMYFUNCTION("GOOGLETRANSLATE(B6735)"),"尖叫")</f>
        <v>尖叫</v>
      </c>
    </row>
    <row r="6736" ht="15.75" customHeight="1">
      <c r="A6736" s="4">
        <v>8539.0</v>
      </c>
      <c r="B6736" s="4" t="s">
        <v>3877</v>
      </c>
      <c r="C6736" s="4" t="s">
        <v>9821</v>
      </c>
      <c r="D6736" s="4" t="s">
        <v>9822</v>
      </c>
      <c r="E6736" s="4">
        <v>0.0</v>
      </c>
      <c r="F6736" s="4" t="str">
        <f>IFERROR(__xludf.DUMMYFUNCTION("GOOGLETRANSLATE(D6736)"),"@justinbieber 我尖叫地獄是啊啊啊天哪 http://t.co/y678XsNvJ6")</f>
        <v>@justinbieber 我尖叫地獄是啊啊啊天哪 http://t.co/y678XsNvJ6</v>
      </c>
      <c r="G6736" s="4" t="str">
        <f>IFERROR(__xludf.DUMMYFUNCTION("GOOGLETRANSLATE(B6736)"),"尖叫")</f>
        <v>尖叫</v>
      </c>
    </row>
    <row r="6737" ht="15.75" customHeight="1">
      <c r="A6737" s="4">
        <v>8540.0</v>
      </c>
      <c r="B6737" s="4" t="s">
        <v>3877</v>
      </c>
      <c r="C6737" s="4" t="s">
        <v>9823</v>
      </c>
      <c r="D6737" s="4" t="s">
        <v>9824</v>
      </c>
      <c r="E6737" s="4">
        <v>0.0</v>
      </c>
      <c r="F6737" s="4" t="str">
        <f>IFERROR(__xludf.DUMMYFUNCTION("GOOGLETRANSLATE(D6737)"),"像小男孩一樣，你最好坐下來，別再對我媽媽尖叫，別再扯你的頭髮了。像個三歲小孩一樣哭泣&amp;amp;長大了")</f>
        <v>像小男孩一樣，你最好坐下來，別再對我媽媽尖叫，別再扯你的頭髮了。像個三歲小孩一樣哭泣&amp;amp;長大了</v>
      </c>
      <c r="G6737" s="4" t="str">
        <f>IFERROR(__xludf.DUMMYFUNCTION("GOOGLETRANSLATE(B6737)"),"尖叫")</f>
        <v>尖叫</v>
      </c>
    </row>
    <row r="6738" ht="15.75" customHeight="1">
      <c r="A6738" s="4">
        <v>8541.0</v>
      </c>
      <c r="B6738" s="4" t="s">
        <v>3877</v>
      </c>
      <c r="C6738" s="4" t="s">
        <v>9825</v>
      </c>
      <c r="D6738" s="4" t="s">
        <v>9826</v>
      </c>
      <c r="E6738" s="4">
        <v>0.0</v>
      </c>
      <c r="F6738" s="4" t="str">
        <f>IFERROR(__xludf.DUMMYFUNCTION("GOOGLETRANSLATE(D6738)"),"@ArianaGrande @justinbieber OMGGGG 我在尖叫")</f>
        <v>@ArianaGrande @justinbieber OMGGGG 我在尖叫</v>
      </c>
      <c r="G6738" s="4" t="str">
        <f>IFERROR(__xludf.DUMMYFUNCTION("GOOGLETRANSLATE(B6738)"),"尖叫")</f>
        <v>尖叫</v>
      </c>
    </row>
    <row r="6739" ht="15.75" customHeight="1">
      <c r="A6739" s="4">
        <v>8542.0</v>
      </c>
      <c r="B6739" s="4" t="s">
        <v>3881</v>
      </c>
      <c r="C6739" s="4" t="s">
        <v>9827</v>
      </c>
      <c r="D6739" s="4" t="s">
        <v>9828</v>
      </c>
      <c r="E6739" s="4">
        <v>0.0</v>
      </c>
      <c r="F6739" s="4" t="str">
        <f>IFERROR(__xludf.DUMMYFUNCTION("GOOGLETRANSLATE(D6739)"),"@TromboneTristan OOOOOHSHIT OOOHSHIT SCREAMS 我愛地獄")</f>
        <v>@TromboneTristan OOOOOHSHIT OOOHSHIT SCREAMS 我愛地獄</v>
      </c>
      <c r="G6739" s="4" t="str">
        <f>IFERROR(__xludf.DUMMYFUNCTION("GOOGLETRANSLATE(B6739)"),"尖叫聲")</f>
        <v>尖叫聲</v>
      </c>
    </row>
    <row r="6740" ht="15.75" customHeight="1">
      <c r="A6740" s="4">
        <v>8543.0</v>
      </c>
      <c r="B6740" s="4" t="s">
        <v>3881</v>
      </c>
      <c r="C6740" s="4" t="s">
        <v>9829</v>
      </c>
      <c r="D6740" s="4" t="s">
        <v>9830</v>
      </c>
      <c r="E6740" s="4">
        <v>0.0</v>
      </c>
      <c r="F6740" s="4" t="str">
        <f>IFERROR(__xludf.DUMMYFUNCTION("GOOGLETRANSLATE(D6740)"),"@DaneMillar1 *尖叫 666*")</f>
        <v>@DaneMillar1 *尖叫 666*</v>
      </c>
      <c r="G6740" s="4" t="str">
        <f>IFERROR(__xludf.DUMMYFUNCTION("GOOGLETRANSLATE(B6740)"),"尖叫聲")</f>
        <v>尖叫聲</v>
      </c>
    </row>
    <row r="6741" ht="15.75" customHeight="1">
      <c r="A6741" s="4">
        <v>8546.0</v>
      </c>
      <c r="B6741" s="4" t="s">
        <v>3881</v>
      </c>
      <c r="D6741" s="4" t="s">
        <v>9831</v>
      </c>
      <c r="E6741" s="4">
        <v>0.0</v>
      </c>
      <c r="F6741" s="4" t="str">
        <f>IFERROR(__xludf.DUMMYFUNCTION("GOOGLETRANSLATE(D6741)"),"當你打電話時，@Worstoverdose 尖叫著“監獄裡的人在電話裡結塊”，所以每個人都看著你？？？？？？？？？？？")</f>
        <v>當你打電話時，@Worstoverdose 尖叫著“監獄裡的人在電話裡結塊”，所以每個人都看著你？？？？？？？？？？？</v>
      </c>
      <c r="G6741" s="4" t="str">
        <f>IFERROR(__xludf.DUMMYFUNCTION("GOOGLETRANSLATE(B6741)"),"尖叫聲")</f>
        <v>尖叫聲</v>
      </c>
    </row>
    <row r="6742" ht="15.75" customHeight="1">
      <c r="A6742" s="4">
        <v>8547.0</v>
      </c>
      <c r="B6742" s="4" t="s">
        <v>3881</v>
      </c>
      <c r="C6742" s="4" t="s">
        <v>9832</v>
      </c>
      <c r="D6742" s="4" t="s">
        <v>9833</v>
      </c>
      <c r="E6742" s="4">
        <v>0.0</v>
      </c>
      <c r="F6742" s="4" t="str">
        <f>IFERROR(__xludf.DUMMYFUNCTION("GOOGLETRANSLATE(D6742)"),"*用 25 種不同語言尖叫*")</f>
        <v>*用 25 種不同語言尖叫*</v>
      </c>
      <c r="G6742" s="4" t="str">
        <f>IFERROR(__xludf.DUMMYFUNCTION("GOOGLETRANSLATE(B6742)"),"尖叫聲")</f>
        <v>尖叫聲</v>
      </c>
    </row>
    <row r="6743" ht="15.75" customHeight="1">
      <c r="A6743" s="4">
        <v>8550.0</v>
      </c>
      <c r="B6743" s="4" t="s">
        <v>3881</v>
      </c>
      <c r="C6743" s="4" t="s">
        <v>6433</v>
      </c>
      <c r="D6743" s="4" t="s">
        <v>9834</v>
      </c>
      <c r="E6743" s="4">
        <v>0.0</v>
      </c>
      <c r="F6743" s="4" t="str">
        <f>IFERROR(__xludf.DUMMYFUNCTION("GOOGLETRANSLATE(D6743)"),"*內心尖叫*")</f>
        <v>*內心尖叫*</v>
      </c>
      <c r="G6743" s="4" t="str">
        <f>IFERROR(__xludf.DUMMYFUNCTION("GOOGLETRANSLATE(B6743)"),"尖叫聲")</f>
        <v>尖叫聲</v>
      </c>
    </row>
    <row r="6744" ht="15.75" customHeight="1">
      <c r="A6744" s="4">
        <v>8551.0</v>
      </c>
      <c r="B6744" s="4" t="s">
        <v>3881</v>
      </c>
      <c r="C6744" s="4" t="s">
        <v>9835</v>
      </c>
      <c r="D6744" s="4" t="s">
        <v>9836</v>
      </c>
      <c r="E6744" s="4">
        <v>0.0</v>
      </c>
      <c r="F6744" s="4" t="str">
        <f>IFERROR(__xludf.DUMMYFUNCTION("GOOGLETRANSLATE(D6744)"),"*尖叫聲* http://t.co/PU7C4Hhbxj")</f>
        <v>*尖叫聲* http://t.co/PU7C4Hhbxj</v>
      </c>
      <c r="G6744" s="4" t="str">
        <f>IFERROR(__xludf.DUMMYFUNCTION("GOOGLETRANSLATE(B6744)"),"尖叫聲")</f>
        <v>尖叫聲</v>
      </c>
    </row>
    <row r="6745" ht="15.75" customHeight="1">
      <c r="A6745" s="4">
        <v>8553.0</v>
      </c>
      <c r="B6745" s="4" t="s">
        <v>3881</v>
      </c>
      <c r="C6745" s="4" t="s">
        <v>9837</v>
      </c>
      <c r="D6745" s="4" t="s">
        <v>9838</v>
      </c>
      <c r="E6745" s="4">
        <v>0.0</v>
      </c>
      <c r="F6745" s="4" t="str">
        <f>IFERROR(__xludf.DUMMYFUNCTION("GOOGLETRANSLATE(D6745)"),"@HimeRuisu 我要狠狠地撞你的屁股，我得把你的臉塞到枕頭上才能掩蓋你痛苦和快樂的尖叫聲~")</f>
        <v>@HimeRuisu 我要狠狠地撞你的屁股，我得把你的臉塞到枕頭上才能掩蓋你痛苦和快樂的尖叫聲~</v>
      </c>
      <c r="G6745" s="4" t="str">
        <f>IFERROR(__xludf.DUMMYFUNCTION("GOOGLETRANSLATE(B6745)"),"尖叫聲")</f>
        <v>尖叫聲</v>
      </c>
    </row>
    <row r="6746" ht="15.75" customHeight="1">
      <c r="A6746" s="4">
        <v>8555.0</v>
      </c>
      <c r="B6746" s="4" t="s">
        <v>3881</v>
      </c>
      <c r="D6746" s="4" t="s">
        <v>9839</v>
      </c>
      <c r="E6746" s="4">
        <v>0.0</v>
      </c>
      <c r="F6746" s="4" t="str">
        <f>IFERROR(__xludf.DUMMYFUNCTION("GOOGLETRANSLATE(D6746)"),"我下樓試圖在媽媽面前表現得盡可能正常，而萊安農尖叫著“宿醉？？？”啊？？？嗯嗯沒有？？？？？？？")</f>
        <v>我下樓試圖在媽媽面前表現得盡可能正常，而萊安農尖叫著“宿醉？？？”啊？？？嗯嗯沒有？？？？？？？</v>
      </c>
      <c r="G6746" s="4" t="str">
        <f>IFERROR(__xludf.DUMMYFUNCTION("GOOGLETRANSLATE(B6746)"),"尖叫聲")</f>
        <v>尖叫聲</v>
      </c>
    </row>
    <row r="6747" ht="15.75" customHeight="1">
      <c r="A6747" s="4">
        <v>8556.0</v>
      </c>
      <c r="B6747" s="4" t="s">
        <v>3881</v>
      </c>
      <c r="C6747" s="4" t="s">
        <v>2605</v>
      </c>
      <c r="D6747" s="4" t="s">
        <v>9840</v>
      </c>
      <c r="E6747" s="4">
        <v>0.0</v>
      </c>
      <c r="F6747" s="4" t="str">
        <f>IFERROR(__xludf.DUMMYFUNCTION("GOOGLETRANSLATE(D6747)"),"他打了一個裁縫他媽的雙殺，凱尖叫著他被搶走了一擊。")</f>
        <v>他打了一個裁縫他媽的雙殺，凱尖叫著他被搶走了一擊。</v>
      </c>
      <c r="G6747" s="4" t="str">
        <f>IFERROR(__xludf.DUMMYFUNCTION("GOOGLETRANSLATE(B6747)"),"尖叫聲")</f>
        <v>尖叫聲</v>
      </c>
    </row>
    <row r="6748" ht="15.75" customHeight="1">
      <c r="A6748" s="4">
        <v>8557.0</v>
      </c>
      <c r="B6748" s="4" t="s">
        <v>3881</v>
      </c>
      <c r="D6748" s="4" t="s">
        <v>9841</v>
      </c>
      <c r="E6748" s="4">
        <v>0.0</v>
      </c>
      <c r="F6748" s="4" t="str">
        <f>IFERROR(__xludf.DUMMYFUNCTION("GOOGLETRANSLATE(D6748)"),"顯然我的臉在尖叫
“讓我產生感情，然後欺騙我”")</f>
        <v>顯然我的臉在尖叫
“讓我產生感情，然後欺騙我”</v>
      </c>
      <c r="G6748" s="4" t="str">
        <f>IFERROR(__xludf.DUMMYFUNCTION("GOOGLETRANSLATE(B6748)"),"尖叫聲")</f>
        <v>尖叫聲</v>
      </c>
    </row>
    <row r="6749" ht="15.75" customHeight="1">
      <c r="A6749" s="4">
        <v>8558.0</v>
      </c>
      <c r="B6749" s="4" t="s">
        <v>3881</v>
      </c>
      <c r="C6749" s="4" t="s">
        <v>9842</v>
      </c>
      <c r="D6749" s="4" t="s">
        <v>9843</v>
      </c>
      <c r="E6749" s="4">
        <v>0.0</v>
      </c>
      <c r="F6749" s="4" t="str">
        <f>IFERROR(__xludf.DUMMYFUNCTION("GOOGLETRANSLATE(D6749)"),"@drag0nking0201 *尖叫*別嚇到我和它的電子動畫")</f>
        <v>@drag0nking0201 *尖叫*別嚇到我和它的電子動畫</v>
      </c>
      <c r="G6749" s="4" t="str">
        <f>IFERROR(__xludf.DUMMYFUNCTION("GOOGLETRANSLATE(B6749)"),"尖叫聲")</f>
        <v>尖叫聲</v>
      </c>
    </row>
    <row r="6750" ht="15.75" customHeight="1">
      <c r="A6750" s="4">
        <v>8559.0</v>
      </c>
      <c r="B6750" s="4" t="s">
        <v>3881</v>
      </c>
      <c r="D6750" s="4" t="s">
        <v>9844</v>
      </c>
      <c r="E6750" s="4">
        <v>0.0</v>
      </c>
      <c r="F6750" s="4" t="str">
        <f>IFERROR(__xludf.DUMMYFUNCTION("GOOGLETRANSLATE(D6750)"),"在《戰地 3》中對著麥克風尖叫")</f>
        <v>在《戰地 3》中對著麥克風尖叫</v>
      </c>
      <c r="G6750" s="4" t="str">
        <f>IFERROR(__xludf.DUMMYFUNCTION("GOOGLETRANSLATE(B6750)"),"尖叫聲")</f>
        <v>尖叫聲</v>
      </c>
    </row>
    <row r="6751" ht="15.75" customHeight="1">
      <c r="A6751" s="4">
        <v>8560.0</v>
      </c>
      <c r="B6751" s="4" t="s">
        <v>3881</v>
      </c>
      <c r="C6751" s="4" t="s">
        <v>9845</v>
      </c>
      <c r="D6751" s="4" t="s">
        <v>9846</v>
      </c>
      <c r="E6751" s="4">
        <v>0.0</v>
      </c>
      <c r="F6751" s="4" t="str">
        <f>IFERROR(__xludf.DUMMYFUNCTION("GOOGLETRANSLATE(D6751)"),"～依然迴響著他們的尖叫聲～")</f>
        <v>～依然迴響著他們的尖叫聲～</v>
      </c>
      <c r="G6751" s="4" t="str">
        <f>IFERROR(__xludf.DUMMYFUNCTION("GOOGLETRANSLATE(B6751)"),"尖叫聲")</f>
        <v>尖叫聲</v>
      </c>
    </row>
    <row r="6752" ht="15.75" customHeight="1">
      <c r="A6752" s="4">
        <v>8561.0</v>
      </c>
      <c r="B6752" s="4" t="s">
        <v>3881</v>
      </c>
      <c r="C6752" s="4" t="s">
        <v>9847</v>
      </c>
      <c r="D6752" s="4" t="s">
        <v>9848</v>
      </c>
      <c r="E6752" s="4">
        <v>0.0</v>
      </c>
      <c r="F6752" s="4" t="str">
        <f>IFERROR(__xludf.DUMMYFUNCTION("GOOGLETRANSLATE(D6752)"),"在防彈少年團的每首歌中，智旻都會尖叫")</f>
        <v>在防彈少年團的每首歌中，智旻都會尖叫</v>
      </c>
      <c r="G6752" s="4" t="str">
        <f>IFERROR(__xludf.DUMMYFUNCTION("GOOGLETRANSLATE(B6752)"),"尖叫聲")</f>
        <v>尖叫聲</v>
      </c>
    </row>
    <row r="6753" ht="15.75" customHeight="1">
      <c r="A6753" s="4">
        <v>8562.0</v>
      </c>
      <c r="B6753" s="4" t="s">
        <v>3881</v>
      </c>
      <c r="C6753" s="4" t="s">
        <v>9849</v>
      </c>
      <c r="D6753" s="4" t="s">
        <v>9850</v>
      </c>
      <c r="E6753" s="4">
        <v>0.0</v>
      </c>
      <c r="F6753" s="4" t="str">
        <f>IFERROR(__xludf.DUMMYFUNCTION("GOOGLETRANSLATE(D6753)"),"茉莉在電話裡隨意地打電話，而她卻因一隻蜘蛛而哭泣和尖叫")</f>
        <v>茉莉在電話裡隨意地打電話，而她卻因一隻蜘蛛而哭泣和尖叫</v>
      </c>
      <c r="G6753" s="4" t="str">
        <f>IFERROR(__xludf.DUMMYFUNCTION("GOOGLETRANSLATE(B6753)"),"尖叫聲")</f>
        <v>尖叫聲</v>
      </c>
    </row>
    <row r="6754" ht="15.75" customHeight="1">
      <c r="A6754" s="4">
        <v>8567.0</v>
      </c>
      <c r="B6754" s="4" t="s">
        <v>3881</v>
      </c>
      <c r="C6754" s="4" t="s">
        <v>9851</v>
      </c>
      <c r="D6754" s="4" t="s">
        <v>9852</v>
      </c>
      <c r="E6754" s="4">
        <v>0.0</v>
      </c>
      <c r="F6754" s="4" t="str">
        <f>IFERROR(__xludf.DUMMYFUNCTION("GOOGLETRANSLATE(D6754)"),"@RealJaxClone *尖叫聲*")</f>
        <v>@RealJaxClone *尖叫聲*</v>
      </c>
      <c r="G6754" s="4" t="str">
        <f>IFERROR(__xludf.DUMMYFUNCTION("GOOGLETRANSLATE(B6754)"),"尖叫聲")</f>
        <v>尖叫聲</v>
      </c>
    </row>
    <row r="6755" ht="15.75" customHeight="1">
      <c r="A6755" s="4">
        <v>8570.0</v>
      </c>
      <c r="B6755" s="4" t="s">
        <v>3881</v>
      </c>
      <c r="D6755" s="4" t="s">
        <v>9853</v>
      </c>
      <c r="E6755" s="4">
        <v>0.0</v>
      </c>
      <c r="F6755" s="4" t="str">
        <f>IFERROR(__xludf.DUMMYFUNCTION("GOOGLETRANSLATE(D6755)"),"現在是更新 RLY 生活了嗎？是嗎？/尖叫聲
振動我無法處理")</f>
        <v>現在是更新 RLY 生活了嗎？是嗎？/尖叫聲
振動我無法處理</v>
      </c>
      <c r="G6755" s="4" t="str">
        <f>IFERROR(__xludf.DUMMYFUNCTION("GOOGLETRANSLATE(B6755)"),"尖叫聲")</f>
        <v>尖叫聲</v>
      </c>
    </row>
    <row r="6756" ht="15.75" customHeight="1">
      <c r="A6756" s="4">
        <v>8571.0</v>
      </c>
      <c r="B6756" s="4" t="s">
        <v>3881</v>
      </c>
      <c r="C6756" s="4" t="s">
        <v>9854</v>
      </c>
      <c r="D6756" s="4" t="s">
        <v>9855</v>
      </c>
      <c r="E6756" s="4">
        <v>0.0</v>
      </c>
      <c r="F6756" s="4" t="str">
        <f>IFERROR(__xludf.DUMMYFUNCTION("GOOGLETRANSLATE(D6756)"),"@saku_uchiha_ @Ya_Boi_Luke
尖叫著，臉上佈滿了佐久的生殖器")</f>
        <v>@saku_uchiha_ @Ya_Boi_Luke
尖叫著，臉上佈滿了佐久的生殖器</v>
      </c>
      <c r="G6756" s="4" t="str">
        <f>IFERROR(__xludf.DUMMYFUNCTION("GOOGLETRANSLATE(B6756)"),"尖叫聲")</f>
        <v>尖叫聲</v>
      </c>
    </row>
    <row r="6757" ht="15.75" customHeight="1">
      <c r="A6757" s="4">
        <v>8572.0</v>
      </c>
      <c r="B6757" s="4" t="s">
        <v>3881</v>
      </c>
      <c r="D6757" s="4" t="s">
        <v>9856</v>
      </c>
      <c r="E6757" s="4">
        <v>0.0</v>
      </c>
      <c r="F6757" s="4" t="str">
        <f>IFERROR(__xludf.DUMMYFUNCTION("GOOGLETRANSLATE(D6757)"),"@heyot6 我不在家。我需要觀察。 [尖叫聲]")</f>
        <v>@heyot6 我不在家。我需要觀察。 [尖叫聲]</v>
      </c>
      <c r="G6757" s="4" t="str">
        <f>IFERROR(__xludf.DUMMYFUNCTION("GOOGLETRANSLATE(B6757)"),"尖叫聲")</f>
        <v>尖叫聲</v>
      </c>
    </row>
    <row r="6758" ht="15.75" customHeight="1">
      <c r="A6758" s="4">
        <v>8574.0</v>
      </c>
      <c r="B6758" s="4" t="s">
        <v>3881</v>
      </c>
      <c r="D6758" s="4" t="s">
        <v>9857</v>
      </c>
      <c r="E6758" s="4">
        <v>0.0</v>
      </c>
      <c r="F6758" s="4" t="str">
        <f>IFERROR(__xludf.DUMMYFUNCTION("GOOGLETRANSLATE(D6758)"),"鑑於最近發生的事件，我想說的是*尖叫了五年*")</f>
        <v>鑑於最近發生的事件，我想說的是*尖叫了五年*</v>
      </c>
      <c r="G6758" s="4" t="str">
        <f>IFERROR(__xludf.DUMMYFUNCTION("GOOGLETRANSLATE(B6758)"),"尖叫聲")</f>
        <v>尖叫聲</v>
      </c>
    </row>
    <row r="6759" ht="15.75" customHeight="1">
      <c r="A6759" s="4">
        <v>8575.0</v>
      </c>
      <c r="B6759" s="4" t="s">
        <v>3881</v>
      </c>
      <c r="D6759" s="4" t="s">
        <v>9858</v>
      </c>
      <c r="E6759" s="4">
        <v>0.0</v>
      </c>
      <c r="F6759" s="4" t="str">
        <f>IFERROR(__xludf.DUMMYFUNCTION("GOOGLETRANSLATE(D6759)"),"所以@LawsonOfficial 就跟著我，我無法抑制喜悅的尖叫！ ＃謝謝你！ ??????????")</f>
        <v>所以@LawsonOfficial 就跟著我，我無法抑制喜悅的尖叫！ ＃謝謝你！ ??????????</v>
      </c>
      <c r="G6759" s="4" t="str">
        <f>IFERROR(__xludf.DUMMYFUNCTION("GOOGLETRANSLATE(B6759)"),"尖叫聲")</f>
        <v>尖叫聲</v>
      </c>
    </row>
    <row r="6760" ht="15.75" customHeight="1">
      <c r="A6760" s="4">
        <v>8576.0</v>
      </c>
      <c r="B6760" s="4" t="s">
        <v>3881</v>
      </c>
      <c r="D6760" s="4" t="s">
        <v>9859</v>
      </c>
      <c r="E6760" s="4">
        <v>0.0</v>
      </c>
      <c r="F6760" s="4" t="str">
        <f>IFERROR(__xludf.DUMMYFUNCTION("GOOGLETRANSLATE(D6760)"),"@4Tiles @ZacB_ 我的戴爾平板電腦在 win10 下尖叫")</f>
        <v>@4Tiles @ZacB_ 我的戴爾平板電腦在 win10 下尖叫</v>
      </c>
      <c r="G6760" s="4" t="str">
        <f>IFERROR(__xludf.DUMMYFUNCTION("GOOGLETRANSLATE(B6760)"),"尖叫聲")</f>
        <v>尖叫聲</v>
      </c>
    </row>
    <row r="6761" ht="15.75" customHeight="1">
      <c r="A6761" s="4">
        <v>8579.0</v>
      </c>
      <c r="B6761" s="4" t="s">
        <v>3881</v>
      </c>
      <c r="C6761" s="4" t="s">
        <v>9860</v>
      </c>
      <c r="D6761" s="4" t="s">
        <v>9861</v>
      </c>
      <c r="E6761" s="4">
        <v>0.0</v>
      </c>
      <c r="F6761" s="4" t="str">
        <f>IFERROR(__xludf.DUMMYFUNCTION("GOOGLETRANSLATE(D6761)"),"樂一通-布萊克格里芬的這則廣告尖叫著他們正在製作太空大灌籃 2")</f>
        <v>樂一通-布萊克格里芬的這則廣告尖叫著他們正在製作太空大灌籃 2</v>
      </c>
      <c r="G6761" s="4" t="str">
        <f>IFERROR(__xludf.DUMMYFUNCTION("GOOGLETRANSLATE(B6761)"),"尖叫聲")</f>
        <v>尖叫聲</v>
      </c>
    </row>
    <row r="6762" ht="15.75" customHeight="1">
      <c r="A6762" s="4">
        <v>8580.0</v>
      </c>
      <c r="B6762" s="4" t="s">
        <v>3881</v>
      </c>
      <c r="C6762" s="4" t="s">
        <v>9862</v>
      </c>
      <c r="D6762" s="4" t="s">
        <v>9863</v>
      </c>
      <c r="E6762" s="4">
        <v>0.0</v>
      </c>
      <c r="F6762" s="4" t="str">
        <f>IFERROR(__xludf.DUMMYFUNCTION("GOOGLETRANSLATE(D6762)"),"尖叫聲。大家在哪裡。
哦，等等學校
好的
我可以")</f>
        <v>尖叫聲。大家在哪裡。
哦，等等學校
好的
我可以</v>
      </c>
      <c r="G6762" s="4" t="str">
        <f>IFERROR(__xludf.DUMMYFUNCTION("GOOGLETRANSLATE(B6762)"),"尖叫聲")</f>
        <v>尖叫聲</v>
      </c>
    </row>
    <row r="6763" ht="15.75" customHeight="1">
      <c r="A6763" s="4">
        <v>8581.0</v>
      </c>
      <c r="B6763" s="4" t="s">
        <v>3881</v>
      </c>
      <c r="C6763" s="4" t="s">
        <v>1101</v>
      </c>
      <c r="D6763" s="4" t="s">
        <v>9864</v>
      </c>
      <c r="E6763" s="4">
        <v>0.0</v>
      </c>
      <c r="F6763" s="4" t="str">
        <f>IFERROR(__xludf.DUMMYFUNCTION("GOOGLETRANSLATE(D6763)"),"噢，夥計。 “阿波羅船員”只是尖叫“我們想不出這個黑人的名字，快點說出一些名字並將它們混在一起”")</f>
        <v>噢，夥計。 “阿波羅船員”只是尖叫“我們想不出這個黑人的名字，快點說出一些名字並將它們混在一起”</v>
      </c>
      <c r="G6763" s="4" t="str">
        <f>IFERROR(__xludf.DUMMYFUNCTION("GOOGLETRANSLATE(B6763)"),"尖叫聲")</f>
        <v>尖叫聲</v>
      </c>
    </row>
    <row r="6764" ht="15.75" customHeight="1">
      <c r="A6764" s="4">
        <v>8582.0</v>
      </c>
      <c r="B6764" s="4" t="s">
        <v>3881</v>
      </c>
      <c r="D6764" s="4" t="s">
        <v>9865</v>
      </c>
      <c r="E6764" s="4">
        <v>0.0</v>
      </c>
      <c r="F6764" s="4" t="str">
        <f>IFERROR(__xludf.DUMMYFUNCTION("GOOGLETRANSLATE(D6764)"),"@QueenWendy_ 快去睡吧，以免有人對我們尖叫？？？？？？")</f>
        <v>@QueenWendy_ 快去睡吧，以免有人對我們尖叫？？？？？？</v>
      </c>
      <c r="G6764" s="4" t="str">
        <f>IFERROR(__xludf.DUMMYFUNCTION("GOOGLETRANSLATE(B6764)"),"尖叫聲")</f>
        <v>尖叫聲</v>
      </c>
    </row>
    <row r="6765" ht="15.75" customHeight="1">
      <c r="A6765" s="4">
        <v>8585.0</v>
      </c>
      <c r="B6765" s="4" t="s">
        <v>3881</v>
      </c>
      <c r="C6765" s="4" t="s">
        <v>627</v>
      </c>
      <c r="D6765" s="4" t="s">
        <v>9866</v>
      </c>
      <c r="E6765" s="4">
        <v>0.0</v>
      </c>
      <c r="F6765" s="4" t="str">
        <f>IFERROR(__xludf.DUMMYFUNCTION("GOOGLETRANSLATE(D6765)"),"@wisdc &amp;amp;歐巴馬支持 Death2USA .. http://t.co/serARcNrbY")</f>
        <v>@wisdc &amp;amp;歐巴馬支持 Death2USA .. http://t.co/serARcNrbY</v>
      </c>
      <c r="G6765" s="4" t="str">
        <f>IFERROR(__xludf.DUMMYFUNCTION("GOOGLETRANSLATE(B6765)"),"尖叫聲")</f>
        <v>尖叫聲</v>
      </c>
    </row>
    <row r="6766" ht="15.75" customHeight="1">
      <c r="A6766" s="4">
        <v>8587.0</v>
      </c>
      <c r="B6766" s="4" t="s">
        <v>3881</v>
      </c>
      <c r="C6766" s="4" t="s">
        <v>9867</v>
      </c>
      <c r="D6766" s="4" t="s">
        <v>9868</v>
      </c>
      <c r="E6766" s="4">
        <v>0.0</v>
      </c>
      <c r="F6766" s="4" t="str">
        <f>IFERROR(__xludf.DUMMYFUNCTION("GOOGLETRANSLATE(D6766)"),"@harveymaine AAAA 好吧，讓我搬到另一個房間，這樣就沒有人聽到我的同性戀尖叫聲了")</f>
        <v>@harveymaine AAAA 好吧，讓我搬到另一個房間，這樣就沒有人聽到我的同性戀尖叫聲了</v>
      </c>
      <c r="G6766" s="4" t="str">
        <f>IFERROR(__xludf.DUMMYFUNCTION("GOOGLETRANSLATE(B6766)"),"尖叫聲")</f>
        <v>尖叫聲</v>
      </c>
    </row>
    <row r="6767" ht="15.75" customHeight="1">
      <c r="A6767" s="4">
        <v>8589.0</v>
      </c>
      <c r="B6767" s="4" t="s">
        <v>3881</v>
      </c>
      <c r="C6767" s="4" t="s">
        <v>9869</v>
      </c>
      <c r="D6767" s="4" t="s">
        <v>9870</v>
      </c>
      <c r="E6767" s="4">
        <v>0.0</v>
      </c>
      <c r="F6767" s="4" t="str">
        <f>IFERROR(__xludf.DUMMYFUNCTION("GOOGLETRANSLATE(D6767)"),"*尖叫聲*")</f>
        <v>*尖叫聲*</v>
      </c>
      <c r="G6767" s="4" t="str">
        <f>IFERROR(__xludf.DUMMYFUNCTION("GOOGLETRANSLATE(B6767)"),"尖叫聲")</f>
        <v>尖叫聲</v>
      </c>
    </row>
    <row r="6768" ht="15.75" customHeight="1">
      <c r="A6768" s="4">
        <v>8591.0</v>
      </c>
      <c r="B6768" s="4" t="s">
        <v>3881</v>
      </c>
      <c r="C6768" s="4" t="s">
        <v>9660</v>
      </c>
      <c r="D6768" s="4" t="s">
        <v>9871</v>
      </c>
      <c r="E6768" s="4">
        <v>0.0</v>
      </c>
      <c r="F6768" s="4" t="str">
        <f>IFERROR(__xludf.DUMMYFUNCTION("GOOGLETRANSLATE(D6768)"),"對我自己的母親尖叫 http://t.co/gBEpdi0WzT")</f>
        <v>對我自己的母親尖叫 http://t.co/gBEpdi0WzT</v>
      </c>
      <c r="G6768" s="4" t="str">
        <f>IFERROR(__xludf.DUMMYFUNCTION("GOOGLETRANSLATE(B6768)"),"尖叫聲")</f>
        <v>尖叫聲</v>
      </c>
    </row>
    <row r="6769" ht="15.75" customHeight="1">
      <c r="A6769" s="4">
        <v>8596.0</v>
      </c>
      <c r="B6769" s="4" t="s">
        <v>3891</v>
      </c>
      <c r="C6769" s="4" t="s">
        <v>764</v>
      </c>
      <c r="D6769" s="4" t="s">
        <v>9872</v>
      </c>
      <c r="E6769" s="4">
        <v>0.0</v>
      </c>
      <c r="F6769" s="4" t="str">
        <f>IFERROR(__xludf.DUMMYFUNCTION("GOOGLETRANSLATE(D6769)"),"男人正在閱讀一份反對核能的著名音樂家名單……哇，有力的證據。他們一定對地震風險了解很多…")</f>
        <v>男人正在閱讀一份反對核能的著名音樂家名單……哇，有力的證據。他們一定對地震風險了解很多…</v>
      </c>
      <c r="G6769" s="4" t="str">
        <f>IFERROR(__xludf.DUMMYFUNCTION("GOOGLETRANSLATE(B6769)"),"地震")</f>
        <v>地震</v>
      </c>
    </row>
    <row r="6770" ht="15.75" customHeight="1">
      <c r="A6770" s="4">
        <v>8599.0</v>
      </c>
      <c r="B6770" s="4" t="s">
        <v>3891</v>
      </c>
      <c r="C6770" s="4" t="s">
        <v>9873</v>
      </c>
      <c r="D6770" s="4" t="s">
        <v>9874</v>
      </c>
      <c r="E6770" s="4">
        <v>0.0</v>
      </c>
      <c r="F6770" s="4" t="str">
        <f>IFERROR(__xludf.DUMMYFUNCTION("GOOGLETRANSLATE(D6770)"),"@hebrooon 你最好學習地震公式的導數，而不是思考類似的事情，或者你就是這樣的人？哈哈")</f>
        <v>@hebrooon 你最好學習地震公式的導數，而不是思考類似的事情，或者你就是這樣的人？哈哈</v>
      </c>
      <c r="G6770" s="4" t="str">
        <f>IFERROR(__xludf.DUMMYFUNCTION("GOOGLETRANSLATE(B6770)"),"地震")</f>
        <v>地震</v>
      </c>
    </row>
    <row r="6771" ht="15.75" customHeight="1">
      <c r="A6771" s="4">
        <v>8607.0</v>
      </c>
      <c r="B6771" s="4" t="s">
        <v>3891</v>
      </c>
      <c r="D6771" s="4" t="s">
        <v>9875</v>
      </c>
      <c r="E6771" s="4">
        <v>0.0</v>
      </c>
      <c r="F6771" s="4" t="str">
        <f>IFERROR(__xludf.DUMMYFUNCTION("GOOGLETRANSLATE(D6771)"),"29% 的#oil 和 #gas 組織無法即時洞察#cyber 威脅。了解 #EY 如何提供協助 http://t.co/qamgvQAFzc")</f>
        <v>29% 的#oil 和 #gas 組織無法即時洞察#cyber 威脅。了解 #EY 如何提供協助 http://t.co/qamgvQAFzc</v>
      </c>
      <c r="G6771" s="4" t="str">
        <f>IFERROR(__xludf.DUMMYFUNCTION("GOOGLETRANSLATE(B6771)"),"地震")</f>
        <v>地震</v>
      </c>
    </row>
    <row r="6772" ht="15.75" customHeight="1">
      <c r="A6772" s="4">
        <v>8608.0</v>
      </c>
      <c r="B6772" s="4" t="s">
        <v>3891</v>
      </c>
      <c r="C6772" s="4" t="s">
        <v>3900</v>
      </c>
      <c r="D6772" s="4" t="s">
        <v>9876</v>
      </c>
      <c r="E6772" s="4">
        <v>0.0</v>
      </c>
      <c r="F6772" s="4" t="str">
        <f>IFERROR(__xludf.DUMMYFUNCTION("GOOGLETRANSLATE(D6772)"),"勘探從加彭轉向索馬利亞 - WorldOil（訂閱）http://t.co/kqVEVuutDJ #??????? #索馬利亞")</f>
        <v>勘探從加彭轉向索馬利亞 - WorldOil（訂閱）http://t.co/kqVEVuutDJ #??????? #索馬利亞</v>
      </c>
      <c r="G6772" s="4" t="str">
        <f>IFERROR(__xludf.DUMMYFUNCTION("GOOGLETRANSLATE(B6772)"),"地震")</f>
        <v>地震</v>
      </c>
    </row>
    <row r="6773" ht="15.75" customHeight="1">
      <c r="A6773" s="4">
        <v>8610.0</v>
      </c>
      <c r="B6773" s="4" t="s">
        <v>3891</v>
      </c>
      <c r="C6773" s="4" t="s">
        <v>9877</v>
      </c>
      <c r="D6773" s="4" t="s">
        <v>9878</v>
      </c>
      <c r="E6773" s="4">
        <v>0.0</v>
      </c>
      <c r="F6773" s="4" t="str">
        <f>IFERROR(__xludf.DUMMYFUNCTION("GOOGLETRANSLATE(D6773)"),"「Seismic」 Apple TV 服務可在全球播放 25 個頻道... http://t.co/zqMtrBKaS0 | https://t.co/YEqq3BZX3g http://t.co/kmVrZaSXY4")</f>
        <v>「Seismic」 Apple TV 服務可在全球播放 25 個頻道... http://t.co/zqMtrBKaS0 | https://t.co/YEqq3BZX3g http://t.co/kmVrZaSXY4</v>
      </c>
      <c r="G6773" s="4" t="str">
        <f>IFERROR(__xludf.DUMMYFUNCTION("GOOGLETRANSLATE(B6773)"),"地震")</f>
        <v>地震</v>
      </c>
    </row>
    <row r="6774" ht="15.75" customHeight="1">
      <c r="A6774" s="4">
        <v>8612.0</v>
      </c>
      <c r="B6774" s="4" t="s">
        <v>3891</v>
      </c>
      <c r="C6774" s="4" t="s">
        <v>9879</v>
      </c>
      <c r="D6774" s="4" t="s">
        <v>9880</v>
      </c>
      <c r="E6774" s="4">
        <v>0.0</v>
      </c>
      <c r="F6774" s="4" t="str">
        <f>IFERROR(__xludf.DUMMYFUNCTION("GOOGLETRANSLATE(D6774)"),"@marek1330 *扎爾在打擊中畏縮，但不讓馬雷克走* *他使用地震投擲")</f>
        <v>@marek1330 *扎爾在打擊中畏縮，但不讓馬雷克走* *他使用地震投擲</v>
      </c>
      <c r="G6774" s="4" t="str">
        <f>IFERROR(__xludf.DUMMYFUNCTION("GOOGLETRANSLATE(B6774)"),"地震")</f>
        <v>地震</v>
      </c>
    </row>
    <row r="6775" ht="15.75" customHeight="1">
      <c r="A6775" s="4">
        <v>8613.0</v>
      </c>
      <c r="B6775" s="4" t="s">
        <v>3891</v>
      </c>
      <c r="D6775" s="4" t="s">
        <v>9881</v>
      </c>
      <c r="E6775" s="4">
        <v>0.0</v>
      </c>
      <c r="F6775" s="4" t="str">
        <f>IFERROR(__xludf.DUMMYFUNCTION("GOOGLETRANSLATE(D6775)"),"SEISMIC AUDIO SA-15T SA15T 帶襯墊黑色揚聲器蓋 (2) - 數量 1 = 1 對！ http://t.co/2jbIbeib9G http://t.co/p5KtaqW5QG")</f>
        <v>SEISMIC AUDIO SA-15T SA15T 帶襯墊黑色揚聲器蓋 (2) - 數量 1 = 1 對！ http://t.co/2jbIbeib9G http://t.co/p5KtaqW5QG</v>
      </c>
      <c r="G6775" s="4" t="str">
        <f>IFERROR(__xludf.DUMMYFUNCTION("GOOGLETRANSLATE(B6775)"),"地震")</f>
        <v>地震</v>
      </c>
    </row>
    <row r="6776" ht="15.75" customHeight="1">
      <c r="A6776" s="4">
        <v>8618.0</v>
      </c>
      <c r="B6776" s="4" t="s">
        <v>3891</v>
      </c>
      <c r="D6776" s="4" t="s">
        <v>9882</v>
      </c>
      <c r="E6776" s="4">
        <v>0.0</v>
      </c>
      <c r="F6776" s="4" t="str">
        <f>IFERROR(__xludf.DUMMYFUNCTION("GOOGLETRANSLATE(D6776)"),"關於使用穿孔金屬剪力板進行抗震應用 http://t.co/cX5OjH2Dr4")</f>
        <v>關於使用穿孔金屬剪力板進行抗震應用 http://t.co/cX5OjH2Dr4</v>
      </c>
      <c r="G6776" s="4" t="str">
        <f>IFERROR(__xludf.DUMMYFUNCTION("GOOGLETRANSLATE(B6776)"),"地震")</f>
        <v>地震</v>
      </c>
    </row>
    <row r="6777" ht="15.75" customHeight="1">
      <c r="A6777" s="4">
        <v>8621.0</v>
      </c>
      <c r="B6777" s="4" t="s">
        <v>3891</v>
      </c>
      <c r="D6777" s="4" t="s">
        <v>9883</v>
      </c>
      <c r="E6777" s="4">
        <v>0.0</v>
      </c>
      <c r="F6777" s="4" t="str">
        <f>IFERROR(__xludf.DUMMYFUNCTION("GOOGLETRANSLATE(D6777)"),"謝謝本森和克萊格#follow！查看我們的#maps：http://t.co/btdjGWeKqx")</f>
        <v>謝謝本森和克萊格#follow！查看我們的#maps：http://t.co/btdjGWeKqx</v>
      </c>
      <c r="G6777" s="4" t="str">
        <f>IFERROR(__xludf.DUMMYFUNCTION("GOOGLETRANSLATE(B6777)"),"地震")</f>
        <v>地震</v>
      </c>
    </row>
    <row r="6778" ht="15.75" customHeight="1">
      <c r="A6778" s="4">
        <v>8622.0</v>
      </c>
      <c r="B6778" s="4" t="s">
        <v>3891</v>
      </c>
      <c r="D6778" s="4" t="s">
        <v>9884</v>
      </c>
      <c r="E6778" s="4">
        <v>0.0</v>
      </c>
      <c r="F6778" s="4" t="str">
        <f>IFERROR(__xludf.DUMMYFUNCTION("GOOGLETRANSLATE(D6778)"),"週四 00:25，我們更新了 2D 和 3D #seismic 勘探船的 #kml。 #offshore #oil http://t.co/btdjGWeKqx")</f>
        <v>週四 00:25，我們更新了 2D 和 3D #seismic 勘探船的 #kml。 #offshore #oil http://t.co/btdjGWeKqx</v>
      </c>
      <c r="G6778" s="4" t="str">
        <f>IFERROR(__xludf.DUMMYFUNCTION("GOOGLETRANSLATE(B6778)"),"地震")</f>
        <v>地震</v>
      </c>
    </row>
    <row r="6779" ht="15.75" customHeight="1">
      <c r="A6779" s="4">
        <v>8624.0</v>
      </c>
      <c r="B6779" s="4" t="s">
        <v>3891</v>
      </c>
      <c r="C6779" s="4" t="s">
        <v>9885</v>
      </c>
      <c r="D6779" s="4" t="s">
        <v>9886</v>
      </c>
      <c r="E6779" s="4">
        <v>0.0</v>
      </c>
      <c r="F6779" s="4" t="str">
        <f>IFERROR(__xludf.DUMMYFUNCTION("GOOGLETRANSLATE(D6779)"),"@卡卡賈姆博裡？？
你掌控著印度的未來..
您的主題：勘探或地震維護（電氣或機械）")</f>
        <v>@卡卡賈姆博裡？？
你掌控著印度的未來..
您的主題：勘探或地震維護（電氣或機械）</v>
      </c>
      <c r="G6779" s="4" t="str">
        <f>IFERROR(__xludf.DUMMYFUNCTION("GOOGLETRANSLATE(B6779)"),"地震")</f>
        <v>地震</v>
      </c>
    </row>
    <row r="6780" ht="15.75" customHeight="1">
      <c r="A6780" s="4">
        <v>8627.0</v>
      </c>
      <c r="B6780" s="4" t="s">
        <v>3891</v>
      </c>
      <c r="C6780" s="4" t="s">
        <v>9887</v>
      </c>
      <c r="D6780" s="4" t="s">
        <v>9888</v>
      </c>
      <c r="E6780" s="4">
        <v>0.0</v>
      </c>
      <c r="F6780" s="4" t="str">
        <f>IFERROR(__xludf.DUMMYFUNCTION("GOOGLETRANSLATE(D6780)"),"機構徵詢有關地震許可證的意見 http://t.co/9Vd6x4WDOY")</f>
        <v>機構徵詢有關地震許可證的意見 http://t.co/9Vd6x4WDOY</v>
      </c>
      <c r="G6780" s="4" t="str">
        <f>IFERROR(__xludf.DUMMYFUNCTION("GOOGLETRANSLATE(B6780)"),"地震")</f>
        <v>地震</v>
      </c>
    </row>
    <row r="6781" ht="15.75" customHeight="1">
      <c r="A6781" s="4">
        <v>8628.0</v>
      </c>
      <c r="B6781" s="4" t="s">
        <v>3891</v>
      </c>
      <c r="C6781" s="4" t="s">
        <v>9889</v>
      </c>
      <c r="D6781" s="4" t="s">
        <v>9890</v>
      </c>
      <c r="E6781" s="4">
        <v>0.0</v>
      </c>
      <c r="F6781" s="4" t="str">
        <f>IFERROR(__xludf.DUMMYFUNCTION("GOOGLETRANSLATE(D6781)"),"還沒有計劃嗎？別擔心，我們會為您提供保障。大量的 Seismic IPA 和 Seismic Squeeze Radler 可以幫助... http://t.co/A8nMdkd3rV")</f>
        <v>還沒有計劃嗎？別擔心，我們會為您提供保障。大量的 Seismic IPA 和 Seismic Squeeze Radler 可以幫助... http://t.co/A8nMdkd3rV</v>
      </c>
      <c r="G6781" s="4" t="str">
        <f>IFERROR(__xludf.DUMMYFUNCTION("GOOGLETRANSLATE(B6781)"),"地震")</f>
        <v>地震</v>
      </c>
    </row>
    <row r="6782" ht="15.75" customHeight="1">
      <c r="A6782" s="4">
        <v>8635.0</v>
      </c>
      <c r="B6782" s="4" t="s">
        <v>3891</v>
      </c>
      <c r="C6782" s="4" t="s">
        <v>9891</v>
      </c>
      <c r="D6782" s="4" t="s">
        <v>9892</v>
      </c>
      <c r="E6782" s="4">
        <v>0.0</v>
      </c>
      <c r="F6782" s="4" t="str">
        <f>IFERROR(__xludf.DUMMYFUNCTION("GOOGLETRANSLATE(D6782)"),"@SeismicSoftware 的新貼文：通路銷售支援的 3 個主要挑戰 http://t.co/kWMRCEkVTF")</f>
        <v>@SeismicSoftware 的新貼文：通路銷售支援的 3 個主要挑戰 http://t.co/kWMRCEkVTF</v>
      </c>
      <c r="G6782" s="4" t="str">
        <f>IFERROR(__xludf.DUMMYFUNCTION("GOOGLETRANSLATE(B6782)"),"地震")</f>
        <v>地震</v>
      </c>
    </row>
    <row r="6783" ht="15.75" customHeight="1">
      <c r="A6783" s="4">
        <v>8637.0</v>
      </c>
      <c r="B6783" s="4" t="s">
        <v>3891</v>
      </c>
      <c r="C6783" s="4" t="s">
        <v>89</v>
      </c>
      <c r="D6783" s="4" t="s">
        <v>9893</v>
      </c>
      <c r="E6783" s="4">
        <v>0.0</v>
      </c>
      <c r="F6783" s="4" t="str">
        <f>IFERROR(__xludf.DUMMYFUNCTION("GOOGLETRANSLATE(D6783)"),"英格蘭東海岸。多格銀行向西。 1. M/V Western Regent 正在區域內拖曳 8400 公尺長的電纜進行地震勘測¤_")</f>
        <v>英格蘭東海岸。多格銀行向西。 1. M/V Western Regent 正在區域內拖曳 8400 公尺長的電纜進行地震勘測¤_</v>
      </c>
      <c r="G6783" s="4" t="str">
        <f>IFERROR(__xludf.DUMMYFUNCTION("GOOGLETRANSLATE(B6783)"),"地震")</f>
        <v>地震</v>
      </c>
    </row>
    <row r="6784" ht="15.75" customHeight="1">
      <c r="A6784" s="4">
        <v>8639.0</v>
      </c>
      <c r="B6784" s="4" t="s">
        <v>3891</v>
      </c>
      <c r="D6784" s="4" t="s">
        <v>9894</v>
      </c>
      <c r="E6784" s="4">
        <v>0.0</v>
      </c>
      <c r="F6784" s="4" t="str">
        <f>IFERROR(__xludf.DUMMYFUNCTION("GOOGLETRANSLATE(D6784)"),"藝術界的巨變又回到了奇怪的狀態 - 觀察者網 http://t.co/W0xR5gP8cW")</f>
        <v>藝術界的巨變又回到了奇怪的狀態 - 觀察者網 http://t.co/W0xR5gP8cW</v>
      </c>
      <c r="G6784" s="4" t="str">
        <f>IFERROR(__xludf.DUMMYFUNCTION("GOOGLETRANSLATE(B6784)"),"地震")</f>
        <v>地震</v>
      </c>
    </row>
    <row r="6785" ht="15.75" customHeight="1">
      <c r="A6785" s="4">
        <v>8642.0</v>
      </c>
      <c r="B6785" s="4" t="s">
        <v>3911</v>
      </c>
      <c r="C6785" s="4" t="s">
        <v>9895</v>
      </c>
      <c r="D6785" s="4" t="s">
        <v>9896</v>
      </c>
      <c r="E6785" s="4">
        <v>0.0</v>
      </c>
      <c r="F6785" s="4" t="str">
        <f>IFERROR(__xludf.DUMMYFUNCTION("GOOGLETRANSLATE(D6785)"),"天坑自拍：你不會相信布魯克林天坑裡有什麼！：
        天坑自拍：你不會相信...... http://t.co/A3b5n3rcr5")</f>
        <v>天坑自拍：你不會相信布魯克林天坑裡有什麼！：
        天坑自拍：你不會相信...... http://t.co/A3b5n3rcr5</v>
      </c>
      <c r="G6785" s="4" t="str">
        <f>IFERROR(__xludf.DUMMYFUNCTION("GOOGLETRANSLATE(B6785)"),"天坑")</f>
        <v>天坑</v>
      </c>
    </row>
    <row r="6786" ht="15.75" customHeight="1">
      <c r="A6786" s="4">
        <v>8644.0</v>
      </c>
      <c r="B6786" s="4" t="s">
        <v>3911</v>
      </c>
      <c r="C6786" s="4" t="s">
        <v>9897</v>
      </c>
      <c r="D6786" s="4" t="s">
        <v>9898</v>
      </c>
      <c r="E6786" s="4">
        <v>0.0</v>
      </c>
      <c r="F6786" s="4" t="str">
        <f>IFERROR(__xludf.DUMMYFUNCTION("GOOGLETRANSLATE(D6786)"),"GOZ 上的演講非常棒。迄今為止最有趣的事實是，他們手動購買了所有 .ru 域名來進行沉洞，而不是尋求合作。")</f>
        <v>GOZ 上的演講非常棒。迄今為止最有趣的事實是，他們手動購買了所有 .ru 域名來進行沉洞，而不是尋求合作。</v>
      </c>
      <c r="G6786" s="4" t="str">
        <f>IFERROR(__xludf.DUMMYFUNCTION("GOOGLETRANSLATE(B6786)"),"天坑")</f>
        <v>天坑</v>
      </c>
    </row>
    <row r="6787" ht="15.75" customHeight="1">
      <c r="A6787" s="4">
        <v>8646.0</v>
      </c>
      <c r="B6787" s="4" t="s">
        <v>3911</v>
      </c>
      <c r="C6787" s="4" t="s">
        <v>828</v>
      </c>
      <c r="D6787" s="4" t="s">
        <v>9899</v>
      </c>
      <c r="E6787" s="4">
        <v>0.0</v>
      </c>
      <c r="F6787" s="4" t="str">
        <f>IFERROR(__xludf.DUMMYFUNCTION("GOOGLETRANSLATE(D6787)"),"沒有什麼能讓我感到驚訝了，我相信還會有更多... http://t.co/zdpvQmEezS")</f>
        <v>沒有什麼能讓我感到驚訝了，我相信還會有更多... http://t.co/zdpvQmEezS</v>
      </c>
      <c r="G6787" s="4" t="str">
        <f>IFERROR(__xludf.DUMMYFUNCTION("GOOGLETRANSLATE(B6787)"),"天坑")</f>
        <v>天坑</v>
      </c>
    </row>
    <row r="6788" ht="15.75" customHeight="1">
      <c r="A6788" s="4">
        <v>8653.0</v>
      </c>
      <c r="B6788" s="4" t="s">
        <v>3911</v>
      </c>
      <c r="C6788" s="4" t="s">
        <v>126</v>
      </c>
      <c r="D6788" s="4" t="s">
        <v>9900</v>
      </c>
      <c r="E6788" s="4">
        <v>0.0</v>
      </c>
      <c r="F6788" s="4" t="str">
        <f>IFERROR(__xludf.DUMMYFUNCTION("GOOGLETRANSLATE(D6788)"),"@Azimel“尖叫的瘋狂科學家在調查過程中摔倒並掉進天坑後死亡”")</f>
        <v>@Azimel“尖叫的瘋狂科學家在調查過程中摔倒並掉進天坑後死亡”</v>
      </c>
      <c r="G6788" s="4" t="str">
        <f>IFERROR(__xludf.DUMMYFUNCTION("GOOGLETRANSLATE(B6788)"),"天坑")</f>
        <v>天坑</v>
      </c>
    </row>
    <row r="6789" ht="15.75" customHeight="1">
      <c r="A6789" s="4">
        <v>8658.0</v>
      </c>
      <c r="B6789" s="4" t="s">
        <v>3911</v>
      </c>
      <c r="C6789" s="4" t="s">
        <v>9901</v>
      </c>
      <c r="D6789" s="4" t="s">
        <v>9902</v>
      </c>
      <c r="E6789" s="4">
        <v>0.0</v>
      </c>
      <c r="F6789" s="4" t="str">
        <f>IFERROR(__xludf.DUMMYFUNCTION("GOOGLETRANSLATE(D6789)"),"我一直在嘗試寫一篇關於生活在天坑裡的怪物的神學短篇故事。然後我聽說了布魯克林。 #意外預言")</f>
        <v>我一直在嘗試寫一篇關於生活在天坑裡的怪物的神學短篇故事。然後我聽說了布魯克林。 #意外預言</v>
      </c>
      <c r="G6789" s="4" t="str">
        <f>IFERROR(__xludf.DUMMYFUNCTION("GOOGLETRANSLATE(B6789)"),"天坑")</f>
        <v>天坑</v>
      </c>
    </row>
    <row r="6790" ht="15.75" customHeight="1">
      <c r="A6790" s="4">
        <v>8659.0</v>
      </c>
      <c r="B6790" s="4" t="s">
        <v>3911</v>
      </c>
      <c r="D6790" s="4" t="s">
        <v>9903</v>
      </c>
      <c r="E6790" s="4">
        <v>0.0</v>
      </c>
      <c r="F6790" s="4" t="str">
        <f>IFERROR(__xludf.DUMMYFUNCTION("GOOGLETRANSLATE(D6790)"),"天坑自拍：你不會相信布魯克林天坑裡有什麼！ http://t.co/3gLYOyf6Oc")</f>
        <v>天坑自拍：你不會相信布魯克林天坑裡有什麼！ http://t.co/3gLYOyf6Oc</v>
      </c>
      <c r="G6790" s="4" t="str">
        <f>IFERROR(__xludf.DUMMYFUNCTION("GOOGLETRANSLATE(B6790)"),"天坑")</f>
        <v>天坑</v>
      </c>
    </row>
    <row r="6791" ht="15.75" customHeight="1">
      <c r="A6791" s="4">
        <v>8660.0</v>
      </c>
      <c r="B6791" s="4" t="s">
        <v>3911</v>
      </c>
      <c r="C6791" s="4" t="s">
        <v>9904</v>
      </c>
      <c r="D6791" s="4" t="s">
        <v>9905</v>
      </c>
      <c r="E6791" s="4">
        <v>0.0</v>
      </c>
      <c r="F6791" s="4" t="str">
        <f>IFERROR(__xludf.DUMMYFUNCTION("GOOGLETRANSLATE(D6791)"),"@MoorlandsChmbr 最近發生了很多事情。請參閱部落格 http://t.co/XVcO7sLxhW #sinkhole #piling http://t.co/jbVmGeg522")</f>
        <v>@MoorlandsChmbr 最近發生了很多事情。請參閱部落格 http://t.co/XVcO7sLxhW #sinkhole #piling http://t.co/jbVmGeg522</v>
      </c>
      <c r="G6791" s="4" t="str">
        <f>IFERROR(__xludf.DUMMYFUNCTION("GOOGLETRANSLATE(B6791)"),"天坑")</f>
        <v>天坑</v>
      </c>
    </row>
    <row r="6792" ht="15.75" customHeight="1">
      <c r="A6792" s="4">
        <v>8670.0</v>
      </c>
      <c r="B6792" s="4" t="s">
        <v>3911</v>
      </c>
      <c r="C6792" s="4" t="s">
        <v>2497</v>
      </c>
      <c r="D6792" s="4" t="s">
        <v>9906</v>
      </c>
      <c r="E6792" s="4">
        <v>0.0</v>
      </c>
      <c r="F6792" s="4" t="str">
        <f>IFERROR(__xludf.DUMMYFUNCTION("GOOGLETRANSLATE(D6792)"),"我可能會掉進天坑而死，但我仍然會因此受到指責")</f>
        <v>我可能會掉進天坑而死，但我仍然會因此受到指責</v>
      </c>
      <c r="G6792" s="4" t="str">
        <f>IFERROR(__xludf.DUMMYFUNCTION("GOOGLETRANSLATE(B6792)"),"天坑")</f>
        <v>天坑</v>
      </c>
    </row>
    <row r="6793" ht="15.75" customHeight="1">
      <c r="A6793" s="4">
        <v>8677.0</v>
      </c>
      <c r="B6793" s="4" t="s">
        <v>3911</v>
      </c>
      <c r="C6793" s="4" t="s">
        <v>9907</v>
      </c>
      <c r="D6793" s="4" t="s">
        <v>9908</v>
      </c>
      <c r="E6793" s="4">
        <v>0.0</v>
      </c>
      <c r="F6793" s="4" t="str">
        <f>IFERROR(__xludf.DUMMYFUNCTION("GOOGLETRANSLATE(D6793)"),"天坑自拍：你不會相信布魯克林天坑裡有什麼！：
        天坑塞爾... http://t.co/OYY9MGW7HN @hinterestin #funny")</f>
        <v>天坑自拍：你不會相信布魯克林天坑裡有什麼！：
        天坑塞爾... http://t.co/OYY9MGW7HN @hinterestin #funny</v>
      </c>
      <c r="G6793" s="4" t="str">
        <f>IFERROR(__xludf.DUMMYFUNCTION("GOOGLETRANSLATE(B6793)"),"天坑")</f>
        <v>天坑</v>
      </c>
    </row>
    <row r="6794" ht="15.75" customHeight="1">
      <c r="A6794" s="4">
        <v>8681.0</v>
      </c>
      <c r="B6794" s="4" t="s">
        <v>3911</v>
      </c>
      <c r="C6794" s="4" t="s">
        <v>9909</v>
      </c>
      <c r="D6794" s="4" t="s">
        <v>9910</v>
      </c>
      <c r="E6794" s="4">
        <v>0.0</v>
      </c>
      <c r="F6794" s="4" t="str">
        <f>IFERROR(__xludf.DUMMYFUNCTION("GOOGLETRANSLATE(D6794)"),"@DavidCovucci 我們不能，因為一個天坑吞沒了附近的每個玉米餅店")</f>
        <v>@DavidCovucci 我們不能，因為一個天坑吞沒了附近的每個玉米餅店</v>
      </c>
      <c r="G6794" s="4" t="str">
        <f>IFERROR(__xludf.DUMMYFUNCTION("GOOGLETRANSLATE(B6794)"),"天坑")</f>
        <v>天坑</v>
      </c>
    </row>
    <row r="6795" ht="15.75" customHeight="1">
      <c r="A6795" s="4">
        <v>8685.0</v>
      </c>
      <c r="B6795" s="4" t="s">
        <v>3911</v>
      </c>
      <c r="C6795" s="4" t="s">
        <v>9911</v>
      </c>
      <c r="D6795" s="4" t="s">
        <v>9912</v>
      </c>
      <c r="E6795" s="4">
        <v>0.0</v>
      </c>
      <c r="F6795" s="4" t="str">
        <f>IFERROR(__xludf.DUMMYFUNCTION("GOOGLETRANSLATE(D6795)"),"你覺得那個下水道看起來像是在下沉嗎？這就是天坑前發生的事嗎？？？我要瘋了 http://t.co/heIekfcHdM")</f>
        <v>你覺得那個下水道看起來像是在下沉嗎？這就是天坑前發生的事嗎？？？我要瘋了 http://t.co/heIekfcHdM</v>
      </c>
      <c r="G6795" s="4" t="str">
        <f>IFERROR(__xludf.DUMMYFUNCTION("GOOGLETRANSLATE(B6795)"),"天坑")</f>
        <v>天坑</v>
      </c>
    </row>
    <row r="6796" ht="15.75" customHeight="1">
      <c r="A6796" s="4">
        <v>8688.0</v>
      </c>
      <c r="B6796" s="4" t="s">
        <v>3911</v>
      </c>
      <c r="D6796" s="4" t="s">
        <v>9913</v>
      </c>
      <c r="E6796" s="4">
        <v>0.0</v>
      </c>
      <c r="F6796" s="4" t="str">
        <f>IFERROR(__xludf.DUMMYFUNCTION("GOOGLETRANSLATE(D6796)"),"街上突然出現了一個洞？ http://t.co/dWU8QqYs0v")</f>
        <v>街上突然出現了一個洞？ http://t.co/dWU8QqYs0v</v>
      </c>
      <c r="G6796" s="4" t="str">
        <f>IFERROR(__xludf.DUMMYFUNCTION("GOOGLETRANSLATE(B6796)"),"天坑")</f>
        <v>天坑</v>
      </c>
    </row>
    <row r="6797" ht="15.75" customHeight="1">
      <c r="A6797" s="4">
        <v>8692.0</v>
      </c>
      <c r="B6797" s="4" t="s">
        <v>3948</v>
      </c>
      <c r="C6797" s="4" t="s">
        <v>9914</v>
      </c>
      <c r="D6797" s="4" t="s">
        <v>9915</v>
      </c>
      <c r="E6797" s="4">
        <v>0.0</v>
      </c>
      <c r="F6797" s="4" t="str">
        <f>IFERROR(__xludf.DUMMYFUNCTION("GOOGLETRANSLATE(D6797)"),"您是否覺得自己陷入低自我形象的境地？參加測驗：http://t.co/JvjALYg2n1 http://t.co/qXMWELJbc0")</f>
        <v>您是否覺得自己陷入低自我形象的境地？參加測驗：http://t.co/JvjALYg2n1 http://t.co/qXMWELJbc0</v>
      </c>
      <c r="G6797" s="4" t="str">
        <f>IFERROR(__xludf.DUMMYFUNCTION("GOOGLETRANSLATE(B6797)"),"下沉")</f>
        <v>下沉</v>
      </c>
    </row>
    <row r="6798" ht="15.75" customHeight="1">
      <c r="A6798" s="4">
        <v>8694.0</v>
      </c>
      <c r="B6798" s="4" t="s">
        <v>3948</v>
      </c>
      <c r="D6798" s="4" t="s">
        <v>9916</v>
      </c>
      <c r="E6798" s="4">
        <v>0.0</v>
      </c>
      <c r="F6798" s="4" t="str">
        <f>IFERROR(__xludf.DUMMYFUNCTION("GOOGLETRANSLATE(D6798)"),"你是否覺得自己正陷入不幸之中？參加測驗：http://t.co/OrJb3j803F http://t.co/MWdHXYfrag")</f>
        <v>你是否覺得自己正陷入不幸之中？參加測驗：http://t.co/OrJb3j803F http://t.co/MWdHXYfrag</v>
      </c>
      <c r="G6798" s="4" t="str">
        <f>IFERROR(__xludf.DUMMYFUNCTION("GOOGLETRANSLATE(B6798)"),"下沉")</f>
        <v>下沉</v>
      </c>
    </row>
    <row r="6799" ht="15.75" customHeight="1">
      <c r="A6799" s="4">
        <v>8695.0</v>
      </c>
      <c r="B6799" s="4" t="s">
        <v>3948</v>
      </c>
      <c r="C6799" s="4" t="s">
        <v>2061</v>
      </c>
      <c r="D6799" s="4" t="s">
        <v>9917</v>
      </c>
      <c r="E6799" s="4">
        <v>0.0</v>
      </c>
      <c r="F6799" s="4" t="str">
        <f>IFERROR(__xludf.DUMMYFUNCTION("GOOGLETRANSLATE(D6799)"),"隨著音樂錄影帶電視事業的下滑，布魯克·霍根應該感謝她父親的免費宣傳……儘管我懷疑這會對她有幫助。")</f>
        <v>隨著音樂錄影帶電視事業的下滑，布魯克·霍根應該感謝她父親的免費宣傳……儘管我懷疑這會對她有幫助。</v>
      </c>
      <c r="G6799" s="4" t="str">
        <f>IFERROR(__xludf.DUMMYFUNCTION("GOOGLETRANSLATE(B6799)"),"下沉")</f>
        <v>下沉</v>
      </c>
    </row>
    <row r="6800" ht="15.75" customHeight="1">
      <c r="A6800" s="4">
        <v>8696.0</v>
      </c>
      <c r="B6800" s="4" t="s">
        <v>3948</v>
      </c>
      <c r="D6800" s="4" t="s">
        <v>9918</v>
      </c>
      <c r="E6800" s="4">
        <v>0.0</v>
      </c>
      <c r="F6800" s="4" t="str">
        <f>IFERROR(__xludf.DUMMYFUNCTION("GOOGLETRANSLATE(D6800)"),"@supernovalester 我為他們感到難過。我真的能感覺到你的心在下沉，因為你沒有得到任何人，呃jfc")</f>
        <v>@supernovalester 我為他們感到難過。我真的能感覺到你的心在下沉，因為你沒有得到任何人，呃jfc</v>
      </c>
      <c r="G6800" s="4" t="str">
        <f>IFERROR(__xludf.DUMMYFUNCTION("GOOGLETRANSLATE(B6800)"),"下沉")</f>
        <v>下沉</v>
      </c>
    </row>
    <row r="6801" ht="15.75" customHeight="1">
      <c r="A6801" s="4">
        <v>8697.0</v>
      </c>
      <c r="B6801" s="4" t="s">
        <v>3948</v>
      </c>
      <c r="C6801" s="4" t="s">
        <v>9919</v>
      </c>
      <c r="D6801" s="4" t="s">
        <v>9920</v>
      </c>
      <c r="E6801" s="4">
        <v>0.0</v>
      </c>
      <c r="F6801" s="4" t="str">
        <f>IFERROR(__xludf.DUMMYFUNCTION("GOOGLETRANSLATE(D6801)"),"#nowplaying Sinking Fast - Now or Never 在 North East Unsigned Radio 收聽 http://t.co/QymAlttvZp")</f>
        <v>#nowplaying Sinking Fast - Now or Never 在 North East Unsigned Radio 收聽 http://t.co/QymAlttvZp</v>
      </c>
      <c r="G6801" s="4" t="str">
        <f>IFERROR(__xludf.DUMMYFUNCTION("GOOGLETRANSLATE(B6801)"),"下沉")</f>
        <v>下沉</v>
      </c>
    </row>
    <row r="6802" ht="15.75" customHeight="1">
      <c r="A6802" s="4">
        <v>8699.0</v>
      </c>
      <c r="B6802" s="4" t="s">
        <v>3948</v>
      </c>
      <c r="C6802" s="4" t="s">
        <v>398</v>
      </c>
      <c r="D6802" s="4" t="s">
        <v>9921</v>
      </c>
      <c r="E6802" s="4">
        <v>0.0</v>
      </c>
      <c r="F6802" s="4" t="str">
        <f>IFERROR(__xludf.DUMMYFUNCTION("GOOGLETRANSLATE(D6802)"),"黑鬼的車下沉了，但他為 Fox 13 搶購了它。#priorities http://t.co/9StLKH59Fb")</f>
        <v>黑鬼的車下沉了，但他為 Fox 13 搶購了它。#priorities http://t.co/9StLKH59Fb</v>
      </c>
      <c r="G6802" s="4" t="str">
        <f>IFERROR(__xludf.DUMMYFUNCTION("GOOGLETRANSLATE(B6802)"),"下沉")</f>
        <v>下沉</v>
      </c>
    </row>
    <row r="6803" ht="15.75" customHeight="1">
      <c r="A6803" s="4">
        <v>8700.0</v>
      </c>
      <c r="B6803" s="4" t="s">
        <v>3948</v>
      </c>
      <c r="D6803" s="4" t="s">
        <v>9922</v>
      </c>
      <c r="E6803" s="4">
        <v>0.0</v>
      </c>
      <c r="F6803" s="4" t="str">
        <f>IFERROR(__xludf.DUMMYFUNCTION("GOOGLETRANSLATE(D6803)"),"@abandonedpics 你應該刪除這個，它不是廢棄的，也不是沉沒的。那是西爾苗內城堡的達瑟納。")</f>
        <v>@abandonedpics 你應該刪除這個，它不是廢棄的，也不是沉沒的。那是西爾苗內城堡的達瑟納。</v>
      </c>
      <c r="G6803" s="4" t="str">
        <f>IFERROR(__xludf.DUMMYFUNCTION("GOOGLETRANSLATE(B6803)"),"下沉")</f>
        <v>下沉</v>
      </c>
    </row>
    <row r="6804" ht="15.75" customHeight="1">
      <c r="A6804" s="4">
        <v>8702.0</v>
      </c>
      <c r="B6804" s="4" t="s">
        <v>3948</v>
      </c>
      <c r="D6804" s="4" t="s">
        <v>3951</v>
      </c>
      <c r="E6804" s="4">
        <v>0.0</v>
      </c>
      <c r="F6804" s="4" t="str">
        <f>IFERROR(__xludf.DUMMYFUNCTION("GOOGLETRANSLATE(D6804)"),"當你在家玩手機一段時間後發現它一直處於 3G 模式時，那種可怕的沮喪感")</f>
        <v>當你在家玩手機一段時間後發現它一直處於 3G 模式時，那種可怕的沮喪感</v>
      </c>
      <c r="G6804" s="4" t="str">
        <f>IFERROR(__xludf.DUMMYFUNCTION("GOOGLETRANSLATE(B6804)"),"下沉")</f>
        <v>下沉</v>
      </c>
    </row>
    <row r="6805" ht="15.75" customHeight="1">
      <c r="A6805" s="4">
        <v>8705.0</v>
      </c>
      <c r="B6805" s="4" t="s">
        <v>3948</v>
      </c>
      <c r="D6805" s="4" t="s">
        <v>9923</v>
      </c>
      <c r="E6805" s="4">
        <v>0.0</v>
      </c>
      <c r="F6805" s="4" t="str">
        <f>IFERROR(__xludf.DUMMYFUNCTION("GOOGLETRANSLATE(D6805)"),"發薪日監獄病房償債基金支付無擔保貸款前金錢違規：jBUmZQpK")</f>
        <v>發薪日監獄病房償債基金支付無擔保貸款前金錢違規：jBUmZQpK</v>
      </c>
      <c r="G6805" s="4" t="str">
        <f>IFERROR(__xludf.DUMMYFUNCTION("GOOGLETRANSLATE(B6805)"),"下沉")</f>
        <v>下沉</v>
      </c>
    </row>
    <row r="6806" ht="15.75" customHeight="1">
      <c r="A6806" s="4">
        <v>8706.0</v>
      </c>
      <c r="B6806" s="4" t="s">
        <v>3948</v>
      </c>
      <c r="D6806" s="4" t="s">
        <v>9924</v>
      </c>
      <c r="E6806" s="4">
        <v>0.0</v>
      </c>
      <c r="F6806" s="4" t="str">
        <f>IFERROR(__xludf.DUMMYFUNCTION("GOOGLETRANSLATE(D6806)"),"？當你在家玩手機一段時間後發現它一直都是 3G 時，那種可怕的沮喪感")</f>
        <v>？當你在家玩手機一段時間後發現它一直都是 3G 時，那種可怕的沮喪感</v>
      </c>
      <c r="G6806" s="4" t="str">
        <f>IFERROR(__xludf.DUMMYFUNCTION("GOOGLETRANSLATE(B6806)"),"下沉")</f>
        <v>下沉</v>
      </c>
    </row>
    <row r="6807" ht="15.75" customHeight="1">
      <c r="A6807" s="4">
        <v>8708.0</v>
      </c>
      <c r="B6807" s="4" t="s">
        <v>3948</v>
      </c>
      <c r="D6807" s="4" t="s">
        <v>9925</v>
      </c>
      <c r="E6807" s="4">
        <v>0.0</v>
      </c>
      <c r="F6807" s="4" t="str">
        <f>IFERROR(__xludf.DUMMYFUNCTION("GOOGLETRANSLATE(D6807)"),"如果你迷失了方向並且孤獨，或者你像一塊石頭一樣下沉，繼續前進")</f>
        <v>如果你迷失了方向並且孤獨，或者你像一塊石頭一樣下沉，繼續前進</v>
      </c>
      <c r="G6807" s="4" t="str">
        <f>IFERROR(__xludf.DUMMYFUNCTION("GOOGLETRANSLATE(B6807)"),"下沉")</f>
        <v>下沉</v>
      </c>
    </row>
    <row r="6808" ht="15.75" customHeight="1">
      <c r="A6808" s="4">
        <v>8709.0</v>
      </c>
      <c r="B6808" s="4" t="s">
        <v>3948</v>
      </c>
      <c r="C6808" s="4" t="s">
        <v>9926</v>
      </c>
      <c r="D6808" s="4" t="s">
        <v>9927</v>
      </c>
      <c r="E6808" s="4">
        <v>0.0</v>
      </c>
      <c r="F6808" s="4" t="str">
        <f>IFERROR(__xludf.DUMMYFUNCTION("GOOGLETRANSLATE(D6808)"),"躺著的克林頓沉沒了！唐納德·川普唱道：讓我們讓美國再次偉大！ https://t.co/zv60cHjclF")</f>
        <v>躺著的克林頓沉沒了！唐納德·川普唱道：讓我們讓美國再次偉大！ https://t.co/zv60cHjclF</v>
      </c>
      <c r="G6808" s="4" t="str">
        <f>IFERROR(__xludf.DUMMYFUNCTION("GOOGLETRANSLATE(B6808)"),"下沉")</f>
        <v>下沉</v>
      </c>
    </row>
    <row r="6809" ht="15.75" customHeight="1">
      <c r="A6809" s="4">
        <v>8711.0</v>
      </c>
      <c r="B6809" s="4" t="s">
        <v>3948</v>
      </c>
      <c r="D6809" s="4" t="s">
        <v>9928</v>
      </c>
      <c r="E6809" s="4">
        <v>0.0</v>
      </c>
      <c r="F6809" s="4" t="str">
        <f>IFERROR(__xludf.DUMMYFUNCTION("GOOGLETRANSLATE(D6809)"),"我們沿著正在下沉的船的木板行走")</f>
        <v>我們沿著正在下沉的船的木板行走</v>
      </c>
      <c r="G6809" s="4" t="str">
        <f>IFERROR(__xludf.DUMMYFUNCTION("GOOGLETRANSLATE(B6809)"),"下沉")</f>
        <v>下沉</v>
      </c>
    </row>
    <row r="6810" ht="15.75" customHeight="1">
      <c r="A6810" s="4">
        <v>8712.0</v>
      </c>
      <c r="B6810" s="4" t="s">
        <v>3948</v>
      </c>
      <c r="D6810" s="4" t="s">
        <v>9929</v>
      </c>
      <c r="E6810" s="4">
        <v>0.0</v>
      </c>
      <c r="F6810" s="4" t="str">
        <f>IFERROR(__xludf.DUMMYFUNCTION("GOOGLETRANSLATE(D6810)"),"沉船 (@sinkingshipindy)：Scarlet Lane Lenore 正在取代 Stone Saison (@StoneBrewingCo)")</f>
        <v>沉船 (@sinkingshipindy)：Scarlet Lane Lenore 正在取代 Stone Saison (@StoneBrewingCo)</v>
      </c>
      <c r="G6810" s="4" t="str">
        <f>IFERROR(__xludf.DUMMYFUNCTION("GOOGLETRANSLATE(B6810)"),"下沉")</f>
        <v>下沉</v>
      </c>
    </row>
    <row r="6811" ht="15.75" customHeight="1">
      <c r="A6811" s="4">
        <v>8714.0</v>
      </c>
      <c r="B6811" s="4" t="s">
        <v>3948</v>
      </c>
      <c r="D6811" s="4" t="s">
        <v>3951</v>
      </c>
      <c r="E6811" s="4">
        <v>0.0</v>
      </c>
      <c r="F6811" s="4" t="str">
        <f>IFERROR(__xludf.DUMMYFUNCTION("GOOGLETRANSLATE(D6811)"),"當你在家玩手機一段時間後發現它一直處於 3G 模式時，那種可怕的沮喪感")</f>
        <v>當你在家玩手機一段時間後發現它一直處於 3G 模式時，那種可怕的沮喪感</v>
      </c>
      <c r="G6811" s="4" t="str">
        <f>IFERROR(__xludf.DUMMYFUNCTION("GOOGLETRANSLATE(B6811)"),"下沉")</f>
        <v>下沉</v>
      </c>
    </row>
    <row r="6812" ht="15.75" customHeight="1">
      <c r="A6812" s="4">
        <v>8715.0</v>
      </c>
      <c r="B6812" s="4" t="s">
        <v>3948</v>
      </c>
      <c r="D6812" s="4" t="s">
        <v>9930</v>
      </c>
      <c r="E6812" s="4">
        <v>0.0</v>
      </c>
      <c r="F6812" s="4" t="str">
        <f>IFERROR(__xludf.DUMMYFUNCTION("GOOGLETRANSLATE(D6812)"),"在電影《泰坦尼克號》中，傑克和羅絲本可以留在木樑上而不會下沉。")</f>
        <v>在電影《泰坦尼克號》中，傑克和羅絲本可以留在木樑上而不會下沉。</v>
      </c>
      <c r="G6812" s="4" t="str">
        <f>IFERROR(__xludf.DUMMYFUNCTION("GOOGLETRANSLATE(B6812)"),"下沉")</f>
        <v>下沉</v>
      </c>
    </row>
    <row r="6813" ht="15.75" customHeight="1">
      <c r="A6813" s="4">
        <v>8717.0</v>
      </c>
      <c r="B6813" s="4" t="s">
        <v>3948</v>
      </c>
      <c r="C6813" s="4" t="s">
        <v>7093</v>
      </c>
      <c r="D6813" s="4" t="s">
        <v>9931</v>
      </c>
      <c r="E6813" s="4">
        <v>0.0</v>
      </c>
      <c r="F6813" s="4" t="str">
        <f>IFERROR(__xludf.DUMMYFUNCTION("GOOGLETRANSLATE(D6813)"),"如果您迷路了&amp;amp;獨自一人還是你像石頭一樣沉下去…")</f>
        <v>如果您迷路了&amp;amp;獨自一人還是你像石頭一樣沉下去…</v>
      </c>
      <c r="G6813" s="4" t="str">
        <f>IFERROR(__xludf.DUMMYFUNCTION("GOOGLETRANSLATE(B6813)"),"下沉")</f>
        <v>下沉</v>
      </c>
    </row>
    <row r="6814" ht="15.75" customHeight="1">
      <c r="A6814" s="4">
        <v>8718.0</v>
      </c>
      <c r="B6814" s="4" t="s">
        <v>3948</v>
      </c>
      <c r="D6814" s="4" t="s">
        <v>9932</v>
      </c>
      <c r="E6814" s="4">
        <v>0.0</v>
      </c>
      <c r="F6814" s="4" t="str">
        <f>IFERROR(__xludf.DUMMYFUNCTION("GOOGLETRANSLATE(D6814)"),"如果有機會的話，也會看到#TNA 正在下沉的船。忍不住安撫我病態的好奇心。 #DestinationIMPACT")</f>
        <v>如果有機會的話，也會看到#TNA 正在下沉的船。忍不住安撫我病態的好奇心。 #DestinationIMPACT</v>
      </c>
      <c r="G6814" s="4" t="str">
        <f>IFERROR(__xludf.DUMMYFUNCTION("GOOGLETRANSLATE(B6814)"),"下沉")</f>
        <v>下沉</v>
      </c>
    </row>
    <row r="6815" ht="15.75" customHeight="1">
      <c r="A6815" s="4">
        <v>8720.0</v>
      </c>
      <c r="B6815" s="4" t="s">
        <v>3948</v>
      </c>
      <c r="C6815" s="4" t="s">
        <v>790</v>
      </c>
      <c r="D6815" s="4" t="s">
        <v>9933</v>
      </c>
      <c r="E6815" s="4">
        <v>0.0</v>
      </c>
      <c r="F6815" s="4" t="str">
        <f>IFERROR(__xludf.DUMMYFUNCTION("GOOGLETRANSLATE(D6815)"),"很高興能受到@ATT 惡魔的鍛煉。價格不斷上漲，服務不斷下降。 ＃再見")</f>
        <v>很高興能受到@ATT 惡魔的鍛煉。價格不斷上漲，服務不斷下降。 ＃再見</v>
      </c>
      <c r="G6815" s="4" t="str">
        <f>IFERROR(__xludf.DUMMYFUNCTION("GOOGLETRANSLATE(B6815)"),"下沉")</f>
        <v>下沉</v>
      </c>
    </row>
    <row r="6816" ht="15.75" customHeight="1">
      <c r="A6816" s="4">
        <v>8722.0</v>
      </c>
      <c r="B6816" s="4" t="s">
        <v>3948</v>
      </c>
      <c r="C6816" s="4" t="s">
        <v>9934</v>
      </c>
      <c r="D6816" s="4" t="s">
        <v>9935</v>
      </c>
      <c r="E6816" s="4">
        <v>0.0</v>
      </c>
      <c r="F6816" s="4" t="str">
        <f>IFERROR(__xludf.DUMMYFUNCTION("GOOGLETRANSLATE(D6816)"),"投資新聞 Keurig Green Mountain Inc. 第三季獲利：盤後股價下跌 - 新股中的股票 http://t.co/GtdNW1SpVi")</f>
        <v>投資新聞 Keurig Green Mountain Inc. 第三季獲利：盤後股價下跌 - 新股中的股票 http://t.co/GtdNW1SpVi</v>
      </c>
      <c r="G6816" s="4" t="str">
        <f>IFERROR(__xludf.DUMMYFUNCTION("GOOGLETRANSLATE(B6816)"),"下沉")</f>
        <v>下沉</v>
      </c>
    </row>
    <row r="6817" ht="15.75" customHeight="1">
      <c r="A6817" s="4">
        <v>8723.0</v>
      </c>
      <c r="B6817" s="4" t="s">
        <v>3948</v>
      </c>
      <c r="D6817" s="4" t="s">
        <v>9936</v>
      </c>
      <c r="E6817" s="4">
        <v>0.0</v>
      </c>
      <c r="F6817" s="4" t="str">
        <f>IFERROR(__xludf.DUMMYFUNCTION("GOOGLETRANSLATE(D6817)"),"@WCCORosen 倫敦勞合社為您的賭注提供保險嗎 @CoryCove #sinking #twins")</f>
        <v>@WCCORosen 倫敦勞合社為您的賭注提供保險嗎 @CoryCove #sinking #twins</v>
      </c>
      <c r="G6817" s="4" t="str">
        <f>IFERROR(__xludf.DUMMYFUNCTION("GOOGLETRANSLATE(B6817)"),"下沉")</f>
        <v>下沉</v>
      </c>
    </row>
    <row r="6818" ht="15.75" customHeight="1">
      <c r="A6818" s="4">
        <v>8724.0</v>
      </c>
      <c r="B6818" s="4" t="s">
        <v>3948</v>
      </c>
      <c r="C6818" s="4" t="s">
        <v>9937</v>
      </c>
      <c r="D6818" s="4" t="s">
        <v>9938</v>
      </c>
      <c r="E6818" s="4">
        <v>0.0</v>
      </c>
      <c r="F6818" s="4" t="str">
        <f>IFERROR(__xludf.DUMMYFUNCTION("GOOGLETRANSLATE(D6818)"),"沉入拖鞋或將靴子放入 http://t.co/b1bx0ERuep")</f>
        <v>沉入拖鞋或將靴子放入 http://t.co/b1bx0ERuep</v>
      </c>
      <c r="G6818" s="4" t="str">
        <f>IFERROR(__xludf.DUMMYFUNCTION("GOOGLETRANSLATE(B6818)"),"下沉")</f>
        <v>下沉</v>
      </c>
    </row>
    <row r="6819" ht="15.75" customHeight="1">
      <c r="A6819" s="4">
        <v>8726.0</v>
      </c>
      <c r="B6819" s="4" t="s">
        <v>3948</v>
      </c>
      <c r="C6819" s="4" t="s">
        <v>9939</v>
      </c>
      <c r="D6819" s="4" t="s">
        <v>9940</v>
      </c>
      <c r="E6819" s="4">
        <v>0.0</v>
      </c>
      <c r="F6819" s="4" t="str">
        <f>IFERROR(__xludf.DUMMYFUNCTION("GOOGLETRANSLATE(D6819)"),"在你的眼裡我看到了希望
我曾經知道。
我在下沉。
我在下沉
離開你。
別回頭
你會看到的...
你可以做到。")</f>
        <v>在你的眼裡我看到了希望
我曾經知道。
我在下沉。
我在下沉
離開你。
別回頭
你會看到的...
你可以做到。</v>
      </c>
      <c r="G6819" s="4" t="str">
        <f>IFERROR(__xludf.DUMMYFUNCTION("GOOGLETRANSLATE(B6819)"),"下沉")</f>
        <v>下沉</v>
      </c>
    </row>
    <row r="6820" ht="15.75" customHeight="1">
      <c r="A6820" s="4">
        <v>8727.0</v>
      </c>
      <c r="B6820" s="4" t="s">
        <v>3948</v>
      </c>
      <c r="D6820" s="4" t="s">
        <v>9941</v>
      </c>
      <c r="E6820" s="4">
        <v>0.0</v>
      </c>
      <c r="F6820" s="4" t="str">
        <f>IFERROR(__xludf.DUMMYFUNCTION("GOOGLETRANSLATE(D6820)"),"當你在家裡玩手機一段時間後發現它一直都是 3G 時，那種可怕的沉淪感。")</f>
        <v>當你在家裡玩手機一段時間後發現它一直都是 3G 時，那種可怕的沉淪感。</v>
      </c>
      <c r="G6820" s="4" t="str">
        <f>IFERROR(__xludf.DUMMYFUNCTION("GOOGLETRANSLATE(B6820)"),"下沉")</f>
        <v>下沉</v>
      </c>
    </row>
    <row r="6821" ht="15.75" customHeight="1">
      <c r="A6821" s="4">
        <v>8728.0</v>
      </c>
      <c r="B6821" s="4" t="s">
        <v>3948</v>
      </c>
      <c r="C6821" s="4" t="s">
        <v>9942</v>
      </c>
      <c r="D6821" s="4" t="s">
        <v>9943</v>
      </c>
      <c r="E6821" s="4">
        <v>0.0</v>
      </c>
      <c r="F6821" s="4" t="str">
        <f>IFERROR(__xludf.DUMMYFUNCTION("GOOGLETRANSLATE(D6821)"),"「我陷入了最黑暗的夢境，如此深，如此冷，我內心的痛苦，我對你的愛超出了我所能承受的範圍」喬塔·埃塞？")</f>
        <v>「我陷入了最黑暗的夢境，如此深，如此冷，我內心的痛苦，我對你的愛超出了我所能承受的範圍」喬塔·埃塞？</v>
      </c>
      <c r="G6821" s="4" t="str">
        <f>IFERROR(__xludf.DUMMYFUNCTION("GOOGLETRANSLATE(B6821)"),"下沉")</f>
        <v>下沉</v>
      </c>
    </row>
    <row r="6822" ht="15.75" customHeight="1">
      <c r="A6822" s="4">
        <v>8729.0</v>
      </c>
      <c r="B6822" s="4" t="s">
        <v>3948</v>
      </c>
      <c r="D6822" s="4" t="s">
        <v>9944</v>
      </c>
      <c r="E6822" s="4">
        <v>0.0</v>
      </c>
      <c r="F6822" s="4" t="str">
        <f>IFERROR(__xludf.DUMMYFUNCTION("GOOGLETRANSLATE(D6822)"),"下沉碳水化合物諮詢組裝計畫可以潛意識自我直接生活是一種主要的逃脫方式：XkDrx")</f>
        <v>下沉碳水化合物諮詢組裝計畫可以潛意識自我直接生活是一種主要的逃脫方式：XkDrx</v>
      </c>
      <c r="G6822" s="4" t="str">
        <f>IFERROR(__xludf.DUMMYFUNCTION("GOOGLETRANSLATE(B6822)"),"下沉")</f>
        <v>下沉</v>
      </c>
    </row>
    <row r="6823" ht="15.75" customHeight="1">
      <c r="A6823" s="4">
        <v>8732.0</v>
      </c>
      <c r="B6823" s="4" t="s">
        <v>3948</v>
      </c>
      <c r="C6823" s="4" t="s">
        <v>9945</v>
      </c>
      <c r="D6823" s="4" t="s">
        <v>9946</v>
      </c>
      <c r="E6823" s="4">
        <v>0.0</v>
      </c>
      <c r="F6823" s="4" t="str">
        <f>IFERROR(__xludf.DUMMYFUNCTION("GOOGLETRANSLATE(D6823)"),"這是蘿拉，她喜歡用牙齒咬我的肉，抓我的手臂？？？？？？ http://t.co/J43NWkX0X3")</f>
        <v>這是蘿拉，她喜歡用牙齒咬我的肉，抓我的手臂？？？？？？ http://t.co/J43NWkX0X3</v>
      </c>
      <c r="G6823" s="4" t="str">
        <f>IFERROR(__xludf.DUMMYFUNCTION("GOOGLETRANSLATE(B6823)"),"下沉")</f>
        <v>下沉</v>
      </c>
    </row>
    <row r="6824" ht="15.75" customHeight="1">
      <c r="A6824" s="4">
        <v>8733.0</v>
      </c>
      <c r="B6824" s="4" t="s">
        <v>3948</v>
      </c>
      <c r="C6824" s="4" t="s">
        <v>183</v>
      </c>
      <c r="D6824" s="4" t="s">
        <v>9947</v>
      </c>
      <c r="E6824" s="4">
        <v>0.0</v>
      </c>
      <c r="F6824" s="4" t="str">
        <f>IFERROR(__xludf.DUMMYFUNCTION("GOOGLETRANSLATE(D6824)"),"我花了太多的時間沉浸在《四海兄弟》和《四海兄弟 II》的精彩世界。對另一部分感到興奮。")</f>
        <v>我花了太多的時間沉浸在《四海兄弟》和《四海兄弟 II》的精彩世界。對另一部分感到興奮。</v>
      </c>
      <c r="G6824" s="4" t="str">
        <f>IFERROR(__xludf.DUMMYFUNCTION("GOOGLETRANSLATE(B6824)"),"下沉")</f>
        <v>下沉</v>
      </c>
    </row>
    <row r="6825" ht="15.75" customHeight="1">
      <c r="A6825" s="4">
        <v>8734.0</v>
      </c>
      <c r="B6825" s="4" t="s">
        <v>3948</v>
      </c>
      <c r="C6825" s="4" t="s">
        <v>9948</v>
      </c>
      <c r="D6825" s="4" t="s">
        <v>9949</v>
      </c>
      <c r="E6825" s="4">
        <v>0.0</v>
      </c>
      <c r="F6825" s="4" t="str">
        <f>IFERROR(__xludf.DUMMYFUNCTION("GOOGLETRANSLATE(D6825)"),"你是否覺得自己正陷入不幸之中？參加測驗：http://t.co/BTjPEO0Bto http://t.co/ClyJ32L333")</f>
        <v>你是否覺得自己正陷入不幸之中？參加測驗：http://t.co/BTjPEO0Bto http://t.co/ClyJ32L333</v>
      </c>
      <c r="G6825" s="4" t="str">
        <f>IFERROR(__xludf.DUMMYFUNCTION("GOOGLETRANSLATE(B6825)"),"下沉")</f>
        <v>下沉</v>
      </c>
    </row>
    <row r="6826" ht="15.75" customHeight="1">
      <c r="A6826" s="4">
        <v>8736.0</v>
      </c>
      <c r="B6826" s="4" t="s">
        <v>3948</v>
      </c>
      <c r="D6826" s="4" t="s">
        <v>9950</v>
      </c>
      <c r="E6826" s="4">
        <v>0.0</v>
      </c>
      <c r="F6826" s="4" t="str">
        <f>IFERROR(__xludf.DUMMYFUNCTION("GOOGLETRANSLATE(D6826)"),"這是最後一集，我的心好痛")</f>
        <v>這是最後一集，我的心好痛</v>
      </c>
      <c r="G6826" s="4" t="str">
        <f>IFERROR(__xludf.DUMMYFUNCTION("GOOGLETRANSLATE(B6826)"),"下沉")</f>
        <v>下沉</v>
      </c>
    </row>
    <row r="6827" ht="15.75" customHeight="1">
      <c r="A6827" s="4">
        <v>8737.0</v>
      </c>
      <c r="B6827" s="4" t="s">
        <v>3948</v>
      </c>
      <c r="C6827" s="4" t="s">
        <v>183</v>
      </c>
      <c r="D6827" s="4" t="s">
        <v>9951</v>
      </c>
      <c r="E6827" s="4">
        <v>0.0</v>
      </c>
      <c r="F6827" s="4" t="str">
        <f>IFERROR(__xludf.DUMMYFUNCTION("GOOGLETRANSLATE(D6827)"),"慢慢下沈浪費？？ @艾德希蘭")</f>
        <v>慢慢下沈浪費？？ @艾德希蘭</v>
      </c>
      <c r="G6827" s="4" t="str">
        <f>IFERROR(__xludf.DUMMYFUNCTION("GOOGLETRANSLATE(B6827)"),"下沉")</f>
        <v>下沉</v>
      </c>
    </row>
    <row r="6828" ht="15.75" customHeight="1">
      <c r="A6828" s="4">
        <v>8740.0</v>
      </c>
      <c r="B6828" s="4" t="s">
        <v>3948</v>
      </c>
      <c r="C6828" s="4" t="s">
        <v>9952</v>
      </c>
      <c r="D6828" s="4" t="s">
        <v>9953</v>
      </c>
      <c r="E6828" s="4">
        <v>0.0</v>
      </c>
      <c r="F6828" s="4" t="str">
        <f>IFERROR(__xludf.DUMMYFUNCTION("GOOGLETRANSLATE(D6828)"),"每次我們嘗試，最後總是會下沉")</f>
        <v>每次我們嘗試，最後總是會下沉</v>
      </c>
      <c r="G6828" s="4" t="str">
        <f>IFERROR(__xludf.DUMMYFUNCTION("GOOGLETRANSLATE(B6828)"),"下沉")</f>
        <v>下沉</v>
      </c>
    </row>
    <row r="6829" ht="15.75" customHeight="1">
      <c r="A6829" s="4">
        <v>8741.0</v>
      </c>
      <c r="B6829" s="4" t="s">
        <v>3948</v>
      </c>
      <c r="C6829" s="4" t="s">
        <v>7485</v>
      </c>
      <c r="D6829" s="4" t="s">
        <v>9954</v>
      </c>
      <c r="E6829" s="4">
        <v>0.0</v>
      </c>
      <c r="F6829" s="4" t="str">
        <f>IFERROR(__xludf.DUMMYFUNCTION("GOOGLETRANSLATE(D6829)"),"你是否覺得自己正陷入不幸之中？參加測驗：http://t.co/t0c1F2lEdv http://t.co/u0MeXO4Uhh")</f>
        <v>你是否覺得自己正陷入不幸之中？參加測驗：http://t.co/t0c1F2lEdv http://t.co/u0MeXO4Uhh</v>
      </c>
      <c r="G6829" s="4" t="str">
        <f>IFERROR(__xludf.DUMMYFUNCTION("GOOGLETRANSLATE(B6829)"),"下沉")</f>
        <v>下沉</v>
      </c>
    </row>
    <row r="6830" ht="15.75" customHeight="1">
      <c r="A6830" s="4">
        <v>8742.0</v>
      </c>
      <c r="B6830" s="4" t="s">
        <v>3959</v>
      </c>
      <c r="C6830" s="4" t="s">
        <v>9955</v>
      </c>
      <c r="D6830" s="4" t="s">
        <v>9956</v>
      </c>
      <c r="E6830" s="4">
        <v>0.0</v>
      </c>
      <c r="F6830" s="4" t="str">
        <f>IFERROR(__xludf.DUMMYFUNCTION("GOOGLETRANSLATE(D6830)"),"我剛剛發出了一種奇怪的高音調噪音，然後我聽到了 nsixjks 的警報聲??????")</f>
        <v>我剛剛發出了一種奇怪的高音調噪音，然後我聽到了 nsixjks 的警報聲??????</v>
      </c>
      <c r="G6830" s="4" t="str">
        <f>IFERROR(__xludf.DUMMYFUNCTION("GOOGLETRANSLATE(B6830)"),"警笛")</f>
        <v>警笛</v>
      </c>
    </row>
    <row r="6831" ht="15.75" customHeight="1">
      <c r="A6831" s="4">
        <v>8743.0</v>
      </c>
      <c r="B6831" s="4" t="s">
        <v>3959</v>
      </c>
      <c r="D6831" s="4" t="s">
        <v>9957</v>
      </c>
      <c r="E6831" s="4">
        <v>0.0</v>
      </c>
      <c r="F6831" s="4" t="str">
        <f>IFERROR(__xludf.DUMMYFUNCTION("GOOGLETRANSLATE(D6831)"),"今天是 Corii Siren 的生日！現在寵她：http://t.co/l3GizRUCy4 #wishlist http://t.co/HgEDwxTDJN")</f>
        <v>今天是 Corii Siren 的生日！現在寵她：http://t.co/l3GizRUCy4 #wishlist http://t.co/HgEDwxTDJN</v>
      </c>
      <c r="G6831" s="4" t="str">
        <f>IFERROR(__xludf.DUMMYFUNCTION("GOOGLETRANSLATE(B6831)"),"警笛")</f>
        <v>警笛</v>
      </c>
    </row>
    <row r="6832" ht="15.75" customHeight="1">
      <c r="A6832" s="4">
        <v>8744.0</v>
      </c>
      <c r="B6832" s="4" t="s">
        <v>3959</v>
      </c>
      <c r="C6832" s="4" t="s">
        <v>9958</v>
      </c>
      <c r="D6832" s="4" t="s">
        <v>9959</v>
      </c>
      <c r="E6832" s="4">
        <v>0.0</v>
      </c>
      <c r="F6832" s="4" t="str">
        <f>IFERROR(__xludf.DUMMYFUNCTION("GOOGLETRANSLATE(D6832)"),"'@Ma3Route：哈哈果醬 imeshika hapa 花園城市墊子與 AAR 救護車保險桿對保險桿。我們決定通過 @BonnieG434 放鬆一下' Piga Siren kijan")</f>
        <v>'@Ma3Route：哈哈果醬 imeshika hapa 花園城市墊子與 AAR 救護車保險桿對保險桿。我們決定通過 @BonnieG434 放鬆一下' Piga Siren kijan</v>
      </c>
      <c r="G6832" s="4" t="str">
        <f>IFERROR(__xludf.DUMMYFUNCTION("GOOGLETRANSLATE(B6832)"),"警笛")</f>
        <v>警笛</v>
      </c>
    </row>
    <row r="6833" ht="15.75" customHeight="1">
      <c r="A6833" s="4">
        <v>8745.0</v>
      </c>
      <c r="B6833" s="4" t="s">
        <v>3959</v>
      </c>
      <c r="C6833" s="4" t="s">
        <v>9960</v>
      </c>
      <c r="D6833" s="4" t="s">
        <v>9961</v>
      </c>
      <c r="E6833" s="4">
        <v>0.0</v>
      </c>
      <c r="F6833" s="4" t="str">
        <f>IFERROR(__xludf.DUMMYFUNCTION("GOOGLETRANSLATE(D6833)"),"@stacedemon 哦該死！")</f>
        <v>@stacedemon 哦該死！</v>
      </c>
      <c r="G6833" s="4" t="str">
        <f>IFERROR(__xludf.DUMMYFUNCTION("GOOGLETRANSLATE(B6833)"),"警笛")</f>
        <v>警笛</v>
      </c>
    </row>
    <row r="6834" ht="15.75" customHeight="1">
      <c r="A6834" s="4">
        <v>8746.0</v>
      </c>
      <c r="B6834" s="4" t="s">
        <v>3959</v>
      </c>
      <c r="C6834" s="4" t="s">
        <v>183</v>
      </c>
      <c r="D6834" s="4" t="s">
        <v>9962</v>
      </c>
      <c r="E6834" s="4">
        <v>0.0</v>
      </c>
      <c r="F6834" s="4" t="str">
        <f>IFERROR(__xludf.DUMMYFUNCTION("GOOGLETRANSLATE(D6834)"),"大愛@IbeyiOfficial https://t.co/OlnK1TI1NM")</f>
        <v>大愛@IbeyiOfficial https://t.co/OlnK1TI1NM</v>
      </c>
      <c r="G6834" s="4" t="str">
        <f>IFERROR(__xludf.DUMMYFUNCTION("GOOGLETRANSLATE(B6834)"),"警笛")</f>
        <v>警笛</v>
      </c>
    </row>
    <row r="6835" ht="15.75" customHeight="1">
      <c r="A6835" s="4">
        <v>8750.0</v>
      </c>
      <c r="B6835" s="4" t="s">
        <v>3959</v>
      </c>
      <c r="D6835" s="4" t="s">
        <v>9963</v>
      </c>
      <c r="E6835" s="4">
        <v>0.0</v>
      </c>
      <c r="F6835" s="4" t="str">
        <f>IFERROR(__xludf.DUMMYFUNCTION("GOOGLETRANSLATE(D6835)"),"哈哈'@j2bone：*表弟'@Foxy__Siren：追逐*'@WEYREY_gidi：現在他們正在引起迪瑪麗亞..哈哈''")</f>
        <v>哈哈'@j2bone：*表弟'@Foxy__Siren：追逐*'@WEYREY_gidi：現在他們正在引起迪瑪麗亞..哈哈''</v>
      </c>
      <c r="G6835" s="4" t="str">
        <f>IFERROR(__xludf.DUMMYFUNCTION("GOOGLETRANSLATE(B6835)"),"警笛")</f>
        <v>警笛</v>
      </c>
    </row>
    <row r="6836" ht="15.75" customHeight="1">
      <c r="A6836" s="4">
        <v>8751.0</v>
      </c>
      <c r="B6836" s="4" t="s">
        <v>3959</v>
      </c>
      <c r="D6836" s="4" t="s">
        <v>9964</v>
      </c>
      <c r="E6836" s="4">
        <v>0.0</v>
      </c>
      <c r="F6836" s="4" t="str">
        <f>IFERROR(__xludf.DUMMYFUNCTION("GOOGLETRANSLATE(D6836)"),"什麼。這。他媽的。 https://t.co/Nv7rK63Pgc")</f>
        <v>什麼。這。他媽的。 https://t.co/Nv7rK63Pgc</v>
      </c>
      <c r="G6836" s="4" t="str">
        <f>IFERROR(__xludf.DUMMYFUNCTION("GOOGLETRANSLATE(B6836)"),"警笛")</f>
        <v>警笛</v>
      </c>
    </row>
    <row r="6837" ht="15.75" customHeight="1">
      <c r="A6837" s="4">
        <v>8752.0</v>
      </c>
      <c r="B6837" s="4" t="s">
        <v>3959</v>
      </c>
      <c r="C6837" s="4" t="s">
        <v>9965</v>
      </c>
      <c r="D6837" s="4" t="s">
        <v>9966</v>
      </c>
      <c r="E6837" s="4">
        <v>0.0</v>
      </c>
      <c r="F6837" s="4" t="str">
        <f>IFERROR(__xludf.DUMMYFUNCTION("GOOGLETRANSLATE(D6837)"),"我更喜歡遊戲的治療/恢復方面，而不是更好的攻擊，所以現在海妖&gt;所有其他角色（新女孩除外）。")</f>
        <v>我更喜歡遊戲的治療/恢復方面，而不是更好的攻擊，所以現在海妖&gt;所有其他角色（新女孩除外）。</v>
      </c>
      <c r="G6837" s="4" t="str">
        <f>IFERROR(__xludf.DUMMYFUNCTION("GOOGLETRANSLATE(B6837)"),"警笛")</f>
        <v>警笛</v>
      </c>
    </row>
    <row r="6838" ht="15.75" customHeight="1">
      <c r="A6838" s="4">
        <v>8753.0</v>
      </c>
      <c r="B6838" s="4" t="s">
        <v>3959</v>
      </c>
      <c r="C6838" s="4" t="s">
        <v>1406</v>
      </c>
      <c r="D6838" s="4" t="s">
        <v>9967</v>
      </c>
      <c r="E6838" s="4">
        <v>0.0</v>
      </c>
      <c r="F6838" s="4" t="str">
        <f>IFERROR(__xludf.DUMMYFUNCTION("GOOGLETRANSLATE(D6838)"),"有著天使般聲音的惡魔。就像海妖的呼喚，召喚我前往虛空。不 ？？關於此Û_ https://t.co/nPS3xpBKaQ")</f>
        <v>有著天使般聲音的惡魔。就像海妖的呼喚，召喚我前往虛空。不 ？？關於此Û_ https://t.co/nPS3xpBKaQ</v>
      </c>
      <c r="G6838" s="4" t="str">
        <f>IFERROR(__xludf.DUMMYFUNCTION("GOOGLETRANSLATE(B6838)"),"警笛")</f>
        <v>警笛</v>
      </c>
    </row>
    <row r="6839" ht="15.75" customHeight="1">
      <c r="A6839" s="4">
        <v>8754.0</v>
      </c>
      <c r="B6839" s="4" t="s">
        <v>3959</v>
      </c>
      <c r="C6839" s="4" t="s">
        <v>291</v>
      </c>
      <c r="D6839" s="4" t="s">
        <v>9968</v>
      </c>
      <c r="E6839" s="4">
        <v>0.0</v>
      </c>
      <c r="F6839" s="4" t="str">
        <f>IFERROR(__xludf.DUMMYFUNCTION("GOOGLETRANSLATE(D6839)"),"WHELEN 型號 295SS-100 警笛放大器警用緊急車輛 - eBay 完整閱讀 http://t.co/A5iwUS8EVQ http://t.co/gI82N2JuWn")</f>
        <v>WHELEN 型號 295SS-100 警笛放大器警用緊急車輛 - eBay 完整閱讀 http://t.co/A5iwUS8EVQ http://t.co/gI82N2JuWn</v>
      </c>
      <c r="G6839" s="4" t="str">
        <f>IFERROR(__xludf.DUMMYFUNCTION("GOOGLETRANSLATE(B6839)"),"警笛")</f>
        <v>警笛</v>
      </c>
    </row>
    <row r="6840" ht="15.75" customHeight="1">
      <c r="A6840" s="4">
        <v>8755.0</v>
      </c>
      <c r="B6840" s="4" t="s">
        <v>3959</v>
      </c>
      <c r="C6840" s="4" t="s">
        <v>9969</v>
      </c>
      <c r="D6840" s="4" t="s">
        <v>9970</v>
      </c>
      <c r="E6840" s="4">
        <v>0.0</v>
      </c>
      <c r="F6840" s="4" t="str">
        <f>IFERROR(__xludf.DUMMYFUNCTION("GOOGLETRANSLATE(D6840)"),"http://t.co/a0v1ybySOD 這是一天中最好的時間！ @Siren_Voice 是#liveonstreamate！")</f>
        <v>http://t.co/a0v1ybySOD 這是一天中最好的時間！ @Siren_Voice 是#liveonstreamate！</v>
      </c>
      <c r="G6840" s="4" t="str">
        <f>IFERROR(__xludf.DUMMYFUNCTION("GOOGLETRANSLATE(B6840)"),"警笛")</f>
        <v>警笛</v>
      </c>
    </row>
    <row r="6841" ht="15.75" customHeight="1">
      <c r="A6841" s="4">
        <v>8757.0</v>
      </c>
      <c r="B6841" s="4" t="s">
        <v>3959</v>
      </c>
      <c r="C6841" s="4" t="s">
        <v>9971</v>
      </c>
      <c r="D6841" s="4" t="s">
        <v>9972</v>
      </c>
      <c r="E6841" s="4">
        <v>0.0</v>
      </c>
      <c r="F6841" s="4" t="str">
        <f>IFERROR(__xludf.DUMMYFUNCTION("GOOGLETRANSLATE(D6841)"),"？ #nowplaying 塞壬之歌 - 約翰·弗魯西安特 (2009) http://t.co/00cY9vXEFF")</f>
        <v>？ #nowplaying 塞壬之歌 - 約翰·弗魯西安特 (2009) http://t.co/00cY9vXEFF</v>
      </c>
      <c r="G6841" s="4" t="str">
        <f>IFERROR(__xludf.DUMMYFUNCTION("GOOGLETRANSLATE(B6841)"),"警笛")</f>
        <v>警笛</v>
      </c>
    </row>
    <row r="6842" ht="15.75" customHeight="1">
      <c r="A6842" s="4">
        <v>8758.0</v>
      </c>
      <c r="B6842" s="4" t="s">
        <v>3959</v>
      </c>
      <c r="C6842" s="4" t="s">
        <v>9973</v>
      </c>
      <c r="D6842" s="4" t="s">
        <v>9974</v>
      </c>
      <c r="E6842" s="4">
        <v>0.0</v>
      </c>
      <c r="F6842" s="4" t="str">
        <f>IFERROR(__xludf.DUMMYFUNCTION("GOOGLETRANSLATE(D6842)"),"所以當你結婚的時候'@Foxy__Siren：哦，詹妮弗·安妮斯頓終於結婚了？？？？？？...我為她感到高興??????'")</f>
        <v>所以當你結婚的時候'@Foxy__Siren：哦，詹妮弗·安妮斯頓終於結婚了？？？？？？...我為她感到高興??????'</v>
      </c>
      <c r="G6842" s="4" t="str">
        <f>IFERROR(__xludf.DUMMYFUNCTION("GOOGLETRANSLATE(B6842)"),"警笛")</f>
        <v>警笛</v>
      </c>
    </row>
    <row r="6843" ht="15.75" customHeight="1">
      <c r="A6843" s="4">
        <v>8759.0</v>
      </c>
      <c r="B6843" s="4" t="s">
        <v>3959</v>
      </c>
      <c r="C6843" s="4" t="s">
        <v>9975</v>
      </c>
      <c r="D6843" s="4" t="s">
        <v>9976</v>
      </c>
      <c r="E6843" s="4">
        <v>0.0</v>
      </c>
      <c r="F6843" s="4" t="str">
        <f>IFERROR(__xludf.DUMMYFUNCTION("GOOGLETRANSLATE(D6843)"),"超級甜美美麗:) https://t.co/TUi9uwBvVp")</f>
        <v>超級甜美美麗:) https://t.co/TUi9uwBvVp</v>
      </c>
      <c r="G6843" s="4" t="str">
        <f>IFERROR(__xludf.DUMMYFUNCTION("GOOGLETRANSLATE(B6843)"),"警笛")</f>
        <v>警笛</v>
      </c>
    </row>
    <row r="6844" ht="15.75" customHeight="1">
      <c r="A6844" s="4">
        <v>8760.0</v>
      </c>
      <c r="B6844" s="4" t="s">
        <v>3959</v>
      </c>
      <c r="C6844" s="4" t="s">
        <v>9977</v>
      </c>
      <c r="D6844" s="4" t="s">
        <v>9978</v>
      </c>
      <c r="E6844" s="4">
        <v>0.0</v>
      </c>
      <c r="F6844" s="4" t="str">
        <f>IFERROR(__xludf.DUMMYFUNCTION("GOOGLETRANSLATE(D6844)"),"顯然他們將用二戰警報來宣布一些事情。不確定這是否有趣或乏味，因為二戰警報的聲音很單調。")</f>
        <v>顯然他們將用二戰警報來宣布一些事情。不確定這是否有趣或乏味，因為二戰警報的聲音很單調。</v>
      </c>
      <c r="G6844" s="4" t="str">
        <f>IFERROR(__xludf.DUMMYFUNCTION("GOOGLETRANSLATE(B6844)"),"警笛")</f>
        <v>警笛</v>
      </c>
    </row>
    <row r="6845" ht="15.75" customHeight="1">
      <c r="A6845" s="4">
        <v>8763.0</v>
      </c>
      <c r="B6845" s="4" t="s">
        <v>3959</v>
      </c>
      <c r="D6845" s="4" t="s">
        <v>9979</v>
      </c>
      <c r="E6845" s="4">
        <v>0.0</v>
      </c>
      <c r="F6845" s="4" t="str">
        <f>IFERROR(__xludf.DUMMYFUNCTION("GOOGLETRANSLATE(D6845)"),"網路公司將受到歐盟新網路安全規則的約束... http://t.co/lafTJ2GyLY")</f>
        <v>網路公司將受到歐盟新網路安全規則的約束... http://t.co/lafTJ2GyLY</v>
      </c>
      <c r="G6845" s="4" t="str">
        <f>IFERROR(__xludf.DUMMYFUNCTION("GOOGLETRANSLATE(B6845)"),"警笛")</f>
        <v>警笛</v>
      </c>
    </row>
    <row r="6846" ht="15.75" customHeight="1">
      <c r="A6846" s="4">
        <v>8766.0</v>
      </c>
      <c r="B6846" s="4" t="s">
        <v>3959</v>
      </c>
      <c r="C6846" s="4" t="s">
        <v>9980</v>
      </c>
      <c r="D6846" s="4" t="s">
        <v>9981</v>
      </c>
      <c r="E6846" s="4">
        <v>0.0</v>
      </c>
      <c r="F6846" s="4" t="str">
        <f>IFERROR(__xludf.DUMMYFUNCTION("GOOGLETRANSLATE(D6846)"),"我想我還沒原諒安潔莉娜裘莉呢？？？")</f>
        <v>我想我還沒原諒安潔莉娜裘莉呢？？？</v>
      </c>
      <c r="G6846" s="4" t="str">
        <f>IFERROR(__xludf.DUMMYFUNCTION("GOOGLETRANSLATE(B6846)"),"警笛")</f>
        <v>警笛</v>
      </c>
    </row>
    <row r="6847" ht="15.75" customHeight="1">
      <c r="A6847" s="4">
        <v>8767.0</v>
      </c>
      <c r="B6847" s="4" t="s">
        <v>3959</v>
      </c>
      <c r="C6847" s="4" t="s">
        <v>9980</v>
      </c>
      <c r="D6847" s="4" t="s">
        <v>9982</v>
      </c>
      <c r="E6847" s="4">
        <v>0.0</v>
      </c>
      <c r="F6847" s="4" t="str">
        <f>IFERROR(__xludf.DUMMYFUNCTION("GOOGLETRANSLATE(D6847)"),"追逐*“@WEYREY_gidi：現在他們正在導致迪瑪利亞..哈哈”")</f>
        <v>追逐*“@WEYREY_gidi：現在他們正在導致迪瑪利亞..哈哈”</v>
      </c>
      <c r="G6847" s="4" t="str">
        <f>IFERROR(__xludf.DUMMYFUNCTION("GOOGLETRANSLATE(B6847)"),"警笛")</f>
        <v>警笛</v>
      </c>
    </row>
    <row r="6848" ht="15.75" customHeight="1">
      <c r="A6848" s="4">
        <v>8768.0</v>
      </c>
      <c r="B6848" s="4" t="s">
        <v>3959</v>
      </c>
      <c r="D6848" s="4" t="s">
        <v>9983</v>
      </c>
      <c r="E6848" s="4">
        <v>0.0</v>
      </c>
      <c r="F6848" s="4" t="str">
        <f>IFERROR(__xludf.DUMMYFUNCTION("GOOGLETRANSLATE(D6848)"),"我將影片加入 @YouTube 播放清單 http://t.co/612BsbVw8K Siren 1 gamesplay/walkthrough 第 1 部分")</f>
        <v>我將影片加入 @YouTube 播放清單 http://t.co/612BsbVw8K Siren 1 gamesplay/walkthrough 第 1 部分</v>
      </c>
      <c r="G6848" s="4" t="str">
        <f>IFERROR(__xludf.DUMMYFUNCTION("GOOGLETRANSLATE(B6848)"),"警笛")</f>
        <v>警笛</v>
      </c>
    </row>
    <row r="6849" ht="15.75" customHeight="1">
      <c r="A6849" s="4">
        <v>8770.0</v>
      </c>
      <c r="B6849" s="4" t="s">
        <v>3959</v>
      </c>
      <c r="C6849" s="4" t="s">
        <v>9984</v>
      </c>
      <c r="D6849" s="4" t="s">
        <v>9985</v>
      </c>
      <c r="E6849" s="4">
        <v>0.0</v>
      </c>
      <c r="F6849" s="4" t="str">
        <f>IFERROR(__xludf.DUMMYFUNCTION("GOOGLETRANSLATE(D6849)"),"@optich3cz #askH3cz 我現在很嫉妒。 BC 我想要一台 elgato hd 來慶祝我的生日，這樣我就可以錄製視頻，但我沒有錢。")</f>
        <v>@optich3cz #askH3cz 我現在很嫉妒。 BC 我想要一台 elgato hd 來慶祝我的生日，這樣我就可以錄製視頻，但我沒有錢。</v>
      </c>
      <c r="G6849" s="4" t="str">
        <f>IFERROR(__xludf.DUMMYFUNCTION("GOOGLETRANSLATE(B6849)"),"警笛")</f>
        <v>警笛</v>
      </c>
    </row>
    <row r="6850" ht="15.75" customHeight="1">
      <c r="A6850" s="4">
        <v>8774.0</v>
      </c>
      <c r="B6850" s="4" t="s">
        <v>3959</v>
      </c>
      <c r="C6850" s="4" t="s">
        <v>9986</v>
      </c>
      <c r="D6850" s="4" t="s">
        <v>9987</v>
      </c>
      <c r="E6850" s="4">
        <v>0.0</v>
      </c>
      <c r="F6850" s="4" t="str">
        <f>IFERROR(__xludf.DUMMYFUNCTION("GOOGLETRANSLATE(D6850)"),"看看他們'@Ayhoka_：太高興了'@Foxy__Siren：哦，詹妮弗·安妮斯頓終於結婚了？？？？？...我為她感到高興？？？？？？”")</f>
        <v>看看他們'@Ayhoka_：太高興了'@Foxy__Siren：哦，詹妮弗·安妮斯頓終於結婚了？？？？？...我為她感到高興？？？？？？”</v>
      </c>
      <c r="G6850" s="4" t="str">
        <f>IFERROR(__xludf.DUMMYFUNCTION("GOOGLETRANSLATE(B6850)"),"警笛")</f>
        <v>警笛</v>
      </c>
    </row>
    <row r="6851" ht="15.75" customHeight="1">
      <c r="A6851" s="4">
        <v>8775.0</v>
      </c>
      <c r="B6851" s="4" t="s">
        <v>3959</v>
      </c>
      <c r="C6851" s="4" t="s">
        <v>913</v>
      </c>
      <c r="D6851" s="4" t="s">
        <v>9988</v>
      </c>
      <c r="E6851" s="4">
        <v>0.0</v>
      </c>
      <c r="F6851" s="4" t="str">
        <f>IFERROR(__xludf.DUMMYFUNCTION("GOOGLETRANSLATE(D6851)"),"@EnvySeven 我美麗的水瓶座女王我的懸崖海妖和假裝的序曲。請為你獨自唱這首幻歌")</f>
        <v>@EnvySeven 我美麗的水瓶座女王我的懸崖海妖和假裝的序曲。請為你獨自唱這首幻歌</v>
      </c>
      <c r="G6851" s="4" t="str">
        <f>IFERROR(__xludf.DUMMYFUNCTION("GOOGLETRANSLATE(B6851)"),"警笛")</f>
        <v>警笛</v>
      </c>
    </row>
    <row r="6852" ht="15.75" customHeight="1">
      <c r="A6852" s="4">
        <v>8776.0</v>
      </c>
      <c r="B6852" s="4" t="s">
        <v>3959</v>
      </c>
      <c r="D6852" s="4" t="s">
        <v>9989</v>
      </c>
      <c r="E6852" s="4">
        <v>0.0</v>
      </c>
      <c r="F6852" s="4" t="str">
        <f>IFERROR(__xludf.DUMMYFUNCTION("GOOGLETRANSLATE(D6852)"),"藥品超載，發出緊急警報般的大聲叫喊。
……他媽的。")</f>
        <v>藥品超載，發出緊急警報般的大聲叫喊。
……他媽的。</v>
      </c>
      <c r="G6852" s="4" t="str">
        <f>IFERROR(__xludf.DUMMYFUNCTION("GOOGLETRANSLATE(B6852)"),"警笛")</f>
        <v>警笛</v>
      </c>
    </row>
    <row r="6853" ht="15.75" customHeight="1">
      <c r="A6853" s="4">
        <v>8777.0</v>
      </c>
      <c r="B6853" s="4" t="s">
        <v>3959</v>
      </c>
      <c r="C6853" s="4" t="s">
        <v>9990</v>
      </c>
      <c r="D6853" s="4" t="s">
        <v>9991</v>
      </c>
      <c r="E6853" s="4">
        <v>0.0</v>
      </c>
      <c r="F6853" s="4" t="str">
        <f>IFERROR(__xludf.DUMMYFUNCTION("GOOGLETRANSLATE(D6853)"),"@Siren_Song21 我的電腦帳戶被駭了。有人試圖取出 1200 多美元，但並不存在。現在我有一張 nsf &amp;amp; 銀行卡。不知道是誰或為什麼")</f>
        <v>@Siren_Song21 我的電腦帳戶被駭了。有人試圖取出 1200 多美元，但並不存在。現在我有一張 nsf &amp;amp; 銀行卡。不知道是誰或為什麼</v>
      </c>
      <c r="G6853" s="4" t="str">
        <f>IFERROR(__xludf.DUMMYFUNCTION("GOOGLETRANSLATE(B6853)"),"警笛")</f>
        <v>警笛</v>
      </c>
    </row>
    <row r="6854" ht="15.75" customHeight="1">
      <c r="A6854" s="4">
        <v>8778.0</v>
      </c>
      <c r="B6854" s="4" t="s">
        <v>3959</v>
      </c>
      <c r="D6854" s="4" t="s">
        <v>9992</v>
      </c>
      <c r="E6854" s="4">
        <v>0.0</v>
      </c>
      <c r="F6854" s="4" t="str">
        <f>IFERROR(__xludf.DUMMYFUNCTION("GOOGLETRANSLATE(D6854)"),"現在就不要爭論便宜了。你比那更好。 ??")</f>
        <v>現在就不要爭論便宜了。你比那更好。 ??</v>
      </c>
      <c r="G6854" s="4" t="str">
        <f>IFERROR(__xludf.DUMMYFUNCTION("GOOGLETRANSLATE(B6854)"),"警笛")</f>
        <v>警笛</v>
      </c>
    </row>
    <row r="6855" ht="15.75" customHeight="1">
      <c r="A6855" s="4">
        <v>8781.0</v>
      </c>
      <c r="B6855" s="4" t="s">
        <v>3959</v>
      </c>
      <c r="C6855" s="4" t="s">
        <v>193</v>
      </c>
      <c r="D6855" s="4" t="s">
        <v>9993</v>
      </c>
      <c r="E6855" s="4">
        <v>0.0</v>
      </c>
      <c r="F6855" s="4" t="str">
        <f>IFERROR(__xludf.DUMMYFUNCTION("GOOGLETRANSLATE(D6855)"),"你能保存嗎
你能拯救我的嗎
你能拯救我沉重骯髒的靈魂嗎？")</f>
        <v>你能保存嗎
你能拯救我的嗎
你能拯救我沉重骯髒的靈魂嗎？</v>
      </c>
      <c r="G6855" s="4" t="str">
        <f>IFERROR(__xludf.DUMMYFUNCTION("GOOGLETRANSLATE(B6855)"),"警笛")</f>
        <v>警笛</v>
      </c>
    </row>
    <row r="6856" ht="15.75" customHeight="1">
      <c r="A6856" s="4">
        <v>8782.0</v>
      </c>
      <c r="B6856" s="4" t="s">
        <v>3959</v>
      </c>
      <c r="D6856" s="4" t="s">
        <v>9994</v>
      </c>
      <c r="E6856" s="4">
        <v>0.0</v>
      </c>
      <c r="F6856" s="4" t="str">
        <f>IFERROR(__xludf.DUMMYFUNCTION("GOOGLETRANSLATE(D6856)"),"Siren 測試完成 :: 測試已結束")</f>
        <v>Siren 測試完成 :: 測試已結束</v>
      </c>
      <c r="G6856" s="4" t="str">
        <f>IFERROR(__xludf.DUMMYFUNCTION("GOOGLETRANSLATE(B6856)"),"警笛")</f>
        <v>警笛</v>
      </c>
    </row>
    <row r="6857" ht="15.75" customHeight="1">
      <c r="A6857" s="4">
        <v>8783.0</v>
      </c>
      <c r="B6857" s="4" t="s">
        <v>3959</v>
      </c>
      <c r="C6857" s="4" t="s">
        <v>9995</v>
      </c>
      <c r="D6857" s="4" t="s">
        <v>9996</v>
      </c>
      <c r="E6857" s="4">
        <v>0.0</v>
      </c>
      <c r="F6857" s="4" t="str">
        <f>IFERROR(__xludf.DUMMYFUNCTION("GOOGLETRANSLATE(D6857)"),"海妖塞雷菲娜 &lt;3 http://t.co/k6UEtsnLHT")</f>
        <v>海妖塞雷菲娜 &lt;3 http://t.co/k6UEtsnLHT</v>
      </c>
      <c r="G6857" s="4" t="str">
        <f>IFERROR(__xludf.DUMMYFUNCTION("GOOGLETRANSLATE(B6857)"),"警笛")</f>
        <v>警笛</v>
      </c>
    </row>
    <row r="6858" ht="15.75" customHeight="1">
      <c r="A6858" s="4">
        <v>8784.0</v>
      </c>
      <c r="B6858" s="4" t="s">
        <v>3959</v>
      </c>
      <c r="C6858" s="4" t="s">
        <v>1193</v>
      </c>
      <c r="D6858" s="4" t="s">
        <v>9997</v>
      </c>
      <c r="E6858" s="4">
        <v>0.0</v>
      </c>
      <c r="F6858" s="4" t="str">
        <f>IFERROR(__xludf.DUMMYFUNCTION("GOOGLETRANSLATE(D6858)"),"@LA_Siren 感謝您加入腳部。 @VVorm")</f>
        <v>@LA_Siren 感謝您加入腳部。 @VVorm</v>
      </c>
      <c r="G6858" s="4" t="str">
        <f>IFERROR(__xludf.DUMMYFUNCTION("GOOGLETRANSLATE(B6858)"),"警笛")</f>
        <v>警笛</v>
      </c>
    </row>
    <row r="6859" ht="15.75" customHeight="1">
      <c r="A6859" s="4">
        <v>8785.0</v>
      </c>
      <c r="B6859" s="4" t="s">
        <v>3959</v>
      </c>
      <c r="D6859" s="4" t="s">
        <v>9998</v>
      </c>
      <c r="E6859" s="4">
        <v>0.0</v>
      </c>
      <c r="F6859" s="4" t="str">
        <f>IFERROR(__xludf.DUMMYFUNCTION("GOOGLETRANSLATE(D6859)"),"室外警報器測試下午 2 點 :: FGCU 警報器將於今天下午 2 點進行測試。測試結束時將發送另一則訊息。")</f>
        <v>室外警報器測試下午 2 點 :: FGCU 警報器將於今天下午 2 點進行測試。測試結束時將發送另一則訊息。</v>
      </c>
      <c r="G6859" s="4" t="str">
        <f>IFERROR(__xludf.DUMMYFUNCTION("GOOGLETRANSLATE(B6859)"),"警笛")</f>
        <v>警笛</v>
      </c>
    </row>
    <row r="6860" ht="15.75" customHeight="1">
      <c r="A6860" s="4">
        <v>8787.0</v>
      </c>
      <c r="B6860" s="4" t="s">
        <v>3959</v>
      </c>
      <c r="D6860" s="4" t="s">
        <v>9999</v>
      </c>
      <c r="E6860" s="4">
        <v>0.0</v>
      </c>
      <c r="F6860" s="4" t="str">
        <f>IFERROR(__xludf.DUMMYFUNCTION("GOOGLETRANSLATE(D6860)"),"我討厭這個該死的密爾瓦基印地節。所有的汽車聽起來就像是一個很長的龍捲風警報器響起，它把我從午睡中吵醒")</f>
        <v>我討厭這個該死的密爾瓦基印地節。所有的汽車聽起來就像是一個很長的龍捲風警報器響起，它把我從午睡中吵醒</v>
      </c>
      <c r="G6860" s="4" t="str">
        <f>IFERROR(__xludf.DUMMYFUNCTION("GOOGLETRANSLATE(B6860)"),"警笛")</f>
        <v>警笛</v>
      </c>
    </row>
    <row r="6861" ht="15.75" customHeight="1">
      <c r="A6861" s="4">
        <v>8788.0</v>
      </c>
      <c r="B6861" s="4" t="s">
        <v>3959</v>
      </c>
      <c r="D6861" s="4" t="s">
        <v>10000</v>
      </c>
      <c r="E6861" s="4">
        <v>0.0</v>
      </c>
      <c r="F6861" s="4" t="str">
        <f>IFERROR(__xludf.DUMMYFUNCTION("GOOGLETRANSLATE(D6861)"),"即將推出任何新遊戲@BreachGamingORG 嗎？")</f>
        <v>即將推出任何新遊戲@BreachGamingORG 嗎？</v>
      </c>
      <c r="G6861" s="4" t="str">
        <f>IFERROR(__xludf.DUMMYFUNCTION("GOOGLETRANSLATE(B6861)"),"警笛")</f>
        <v>警笛</v>
      </c>
    </row>
    <row r="6862" ht="15.75" customHeight="1">
      <c r="A6862" s="4">
        <v>8789.0</v>
      </c>
      <c r="B6862" s="4" t="s">
        <v>3959</v>
      </c>
      <c r="C6862" s="4" t="s">
        <v>10001</v>
      </c>
      <c r="D6862" s="4" t="s">
        <v>10002</v>
      </c>
      <c r="E6862" s="4">
        <v>0.0</v>
      </c>
      <c r="F6862" s="4" t="str">
        <f>IFERROR(__xludf.DUMMYFUNCTION("GOOGLETRANSLATE(D6862)"),"@FEVWarrior - 在他走出去之前伴隨著刺耳的警報聲。")</f>
        <v>@FEVWarrior - 在他走出去之前伴隨著刺耳的警報聲。</v>
      </c>
      <c r="G6862" s="4" t="str">
        <f>IFERROR(__xludf.DUMMYFUNCTION("GOOGLETRANSLATE(B6862)"),"警笛")</f>
        <v>警笛</v>
      </c>
    </row>
    <row r="6863" ht="15.75" customHeight="1">
      <c r="A6863" s="4">
        <v>8790.0</v>
      </c>
      <c r="B6863" s="4" t="s">
        <v>3959</v>
      </c>
      <c r="C6863" s="4" t="s">
        <v>1821</v>
      </c>
      <c r="D6863" s="4" t="s">
        <v>10003</v>
      </c>
      <c r="E6863" s="4">
        <v>0.0</v>
      </c>
      <c r="F6863" s="4" t="str">
        <f>IFERROR(__xludf.DUMMYFUNCTION("GOOGLETRANSLATE(D6863)"),"這位警察真的只是打開了警報器來通過交通，然後像WTF一樣將其關閉")</f>
        <v>這位警察真的只是打開了警報器來通過交通，然後像WTF一樣將其關閉</v>
      </c>
      <c r="G6863" s="4" t="str">
        <f>IFERROR(__xludf.DUMMYFUNCTION("GOOGLETRANSLATE(B6863)"),"警笛")</f>
        <v>警笛</v>
      </c>
    </row>
    <row r="6864" ht="15.75" customHeight="1">
      <c r="A6864" s="4">
        <v>8791.0</v>
      </c>
      <c r="B6864" s="4" t="s">
        <v>3959</v>
      </c>
      <c r="C6864" s="4" t="s">
        <v>10004</v>
      </c>
      <c r="D6864" s="4" t="s">
        <v>10005</v>
      </c>
      <c r="E6864" s="4">
        <v>0.0</v>
      </c>
      <c r="F6864" s="4" t="str">
        <f>IFERROR(__xludf.DUMMYFUNCTION("GOOGLETRANSLATE(D6864)"),"當你聽到警笛聲並感到寒意時，你就知道音樂很好聽")</f>
        <v>當你聽到警笛聲並感到寒意時，你就知道音樂很好聽</v>
      </c>
      <c r="G6864" s="4" t="str">
        <f>IFERROR(__xludf.DUMMYFUNCTION("GOOGLETRANSLATE(B6864)"),"警笛")</f>
        <v>警笛</v>
      </c>
    </row>
    <row r="6865" ht="15.75" customHeight="1">
      <c r="A6865" s="4">
        <v>8797.0</v>
      </c>
      <c r="B6865" s="4" t="s">
        <v>3969</v>
      </c>
      <c r="C6865" s="4" t="s">
        <v>10006</v>
      </c>
      <c r="D6865" s="4" t="s">
        <v>10007</v>
      </c>
      <c r="E6865" s="4">
        <v>0.0</v>
      </c>
      <c r="F6865" s="4" t="str">
        <f>IFERROR(__xludf.DUMMYFUNCTION("GOOGLETRANSLATE(D6865)"),"@RAYCHIELOVESU 在街區我們聽到警報聲&amp;amp;孩子們喝檸檬水卻發現自己的生活變得如此美好的故事。我們正在談論半付費")</f>
        <v>@RAYCHIELOVESU 在街區我們聽到警報聲&amp;amp;孩子們喝檸檬水卻發現自己的生活變得如此美好的故事。我們正在談論半付費</v>
      </c>
      <c r="G6865" s="4" t="str">
        <f>IFERROR(__xludf.DUMMYFUNCTION("GOOGLETRANSLATE(B6865)"),"警報器")</f>
        <v>警報器</v>
      </c>
    </row>
    <row r="6866" ht="15.75" customHeight="1">
      <c r="A6866" s="4">
        <v>8799.0</v>
      </c>
      <c r="B6866" s="4" t="s">
        <v>3969</v>
      </c>
      <c r="C6866" s="4" t="s">
        <v>10008</v>
      </c>
      <c r="D6866" s="4" t="s">
        <v>10009</v>
      </c>
      <c r="E6866" s="4">
        <v>0.0</v>
      </c>
      <c r="F6866" s="4" t="str">
        <f>IFERROR(__xludf.DUMMYFUNCTION("GOOGLETRANSLATE(D6866)"),"V/H/S 選集系列的一部分正在接受長片處理：... http://t.co/LqJMuAxJUU")</f>
        <v>V/H/S 選集系列的一部分正在接受長片處理：... http://t.co/LqJMuAxJUU</v>
      </c>
      <c r="G6866" s="4" t="str">
        <f>IFERROR(__xludf.DUMMYFUNCTION("GOOGLETRANSLATE(B6866)"),"警報器")</f>
        <v>警報器</v>
      </c>
    </row>
    <row r="6867" ht="15.75" customHeight="1">
      <c r="A6867" s="4">
        <v>8800.0</v>
      </c>
      <c r="B6867" s="4" t="s">
        <v>3969</v>
      </c>
      <c r="C6867" s="4" t="s">
        <v>10010</v>
      </c>
      <c r="D6867" s="4" t="s">
        <v>10011</v>
      </c>
      <c r="E6867" s="4">
        <v>0.0</v>
      </c>
      <c r="F6867" s="4" t="str">
        <f>IFERROR(__xludf.DUMMYFUNCTION("GOOGLETRANSLATE(D6867)"),"@_DANGdaddy 警笛正在告訴你準備好出現？？？？？？？？？ http://t.co/qAQqrJv9gU")</f>
        <v>@_DANGdaddy 警笛正在告訴你準備好出現？？？？？？？？？ http://t.co/qAQqrJv9gU</v>
      </c>
      <c r="G6867" s="4" t="str">
        <f>IFERROR(__xludf.DUMMYFUNCTION("GOOGLETRANSLATE(B6867)"),"警報器")</f>
        <v>警報器</v>
      </c>
    </row>
    <row r="6868" ht="15.75" customHeight="1">
      <c r="A6868" s="4">
        <v>8801.0</v>
      </c>
      <c r="B6868" s="4" t="s">
        <v>3969</v>
      </c>
      <c r="C6868" s="4" t="s">
        <v>10012</v>
      </c>
      <c r="D6868" s="4" t="s">
        <v>10013</v>
      </c>
      <c r="E6868" s="4">
        <v>0.0</v>
      </c>
      <c r="F6868" s="4" t="str">
        <f>IFERROR(__xludf.DUMMYFUNCTION("GOOGLETRANSLATE(D6868)"),"他媽的跟警報器睡在一起。")</f>
        <v>他媽的跟警報器睡在一起。</v>
      </c>
      <c r="G6868" s="4" t="str">
        <f>IFERROR(__xludf.DUMMYFUNCTION("GOOGLETRANSLATE(B6868)"),"警報器")</f>
        <v>警報器</v>
      </c>
    </row>
    <row r="6869" ht="15.75" customHeight="1">
      <c r="A6869" s="4">
        <v>8804.0</v>
      </c>
      <c r="B6869" s="4" t="s">
        <v>3969</v>
      </c>
      <c r="C6869" s="4" t="s">
        <v>10014</v>
      </c>
      <c r="D6869" s="4" t="s">
        <v>10015</v>
      </c>
      <c r="E6869" s="4">
        <v>0.0</v>
      </c>
      <c r="F6869" s="4" t="str">
        <f>IFERROR(__xludf.DUMMYFUNCTION("GOOGLETRANSLATE(D6869)"),"說唱歌手停止採樣警笛並開始採樣鯨魚之歌。？？？")</f>
        <v>說唱歌手停止採樣警笛並開始採樣鯨魚之歌。？？？</v>
      </c>
      <c r="G6869" s="4" t="str">
        <f>IFERROR(__xludf.DUMMYFUNCTION("GOOGLETRANSLATE(B6869)"),"警報器")</f>
        <v>警報器</v>
      </c>
    </row>
    <row r="6870" ht="15.75" customHeight="1">
      <c r="A6870" s="4">
        <v>8805.0</v>
      </c>
      <c r="B6870" s="4" t="s">
        <v>3969</v>
      </c>
      <c r="D6870" s="4" t="s">
        <v>10016</v>
      </c>
      <c r="E6870" s="4">
        <v>0.0</v>
      </c>
      <c r="F6870" s="4" t="str">
        <f>IFERROR(__xludf.DUMMYFUNCTION("GOOGLETRANSLATE(D6870)"),"為警報歡呼")</f>
        <v>為警報歡呼</v>
      </c>
      <c r="G6870" s="4" t="str">
        <f>IFERROR(__xludf.DUMMYFUNCTION("GOOGLETRANSLATE(B6870)"),"警報器")</f>
        <v>警報器</v>
      </c>
    </row>
    <row r="6871" ht="15.75" customHeight="1">
      <c r="A6871" s="4">
        <v>8806.0</v>
      </c>
      <c r="B6871" s="4" t="s">
        <v>3969</v>
      </c>
      <c r="C6871" s="4" t="s">
        <v>10017</v>
      </c>
      <c r="D6871" s="4" t="s">
        <v>10018</v>
      </c>
      <c r="E6871" s="4">
        <v>0.0</v>
      </c>
      <c r="F6871" s="4" t="str">
        <f>IFERROR(__xludf.DUMMYFUNCTION("GOOGLETRANSLATE(D6871)"),"到 ouvindo 與警報聲睡覺")</f>
        <v>到 ouvindo 與警報聲睡覺</v>
      </c>
      <c r="G6871" s="4" t="str">
        <f>IFERROR(__xludf.DUMMYFUNCTION("GOOGLETRANSLATE(B6871)"),"警報器")</f>
        <v>警報器</v>
      </c>
    </row>
    <row r="6872" ht="15.75" customHeight="1">
      <c r="A6872" s="4">
        <v>8808.0</v>
      </c>
      <c r="B6872" s="4" t="s">
        <v>3969</v>
      </c>
      <c r="C6872" s="4" t="s">
        <v>374</v>
      </c>
      <c r="D6872" s="4" t="s">
        <v>10019</v>
      </c>
      <c r="E6872" s="4">
        <v>0.0</v>
      </c>
      <c r="F6872" s="4" t="str">
        <f>IFERROR(__xludf.DUMMYFUNCTION("GOOGLETRANSLATE(D6872)"),"#SirensIcebreaker 您認為每個人都應該閱讀的一部關於多元化女主角的奇幻作品是什麼？ https://t.co/HplJUr0OBo")</f>
        <v>#SirensIcebreaker 您認為每個人都應該閱讀的一部關於多元化女主角的奇幻作品是什麼？ https://t.co/HplJUr0OBo</v>
      </c>
      <c r="G6872" s="4" t="str">
        <f>IFERROR(__xludf.DUMMYFUNCTION("GOOGLETRANSLATE(B6872)"),"警報器")</f>
        <v>警報器</v>
      </c>
    </row>
    <row r="6873" ht="15.75" customHeight="1">
      <c r="A6873" s="4">
        <v>8812.0</v>
      </c>
      <c r="B6873" s="4" t="s">
        <v>3969</v>
      </c>
      <c r="C6873" s="4" t="s">
        <v>3973</v>
      </c>
      <c r="D6873" s="4" t="s">
        <v>10020</v>
      </c>
      <c r="E6873" s="4">
        <v>0.0</v>
      </c>
      <c r="F6873" s="4" t="str">
        <f>IFERROR(__xludf.DUMMYFUNCTION("GOOGLETRANSLATE(D6873)"),"「當我嚐到蒔蘿泡菜時，我就知道是蒔蘿泡菜」-我")</f>
        <v>「當我嚐到蒔蘿泡菜時，我就知道是蒔蘿泡菜」-我</v>
      </c>
      <c r="G6873" s="4" t="str">
        <f>IFERROR(__xludf.DUMMYFUNCTION("GOOGLETRANSLATE(B6873)"),"警報器")</f>
        <v>警報器</v>
      </c>
    </row>
    <row r="6874" ht="15.75" customHeight="1">
      <c r="A6874" s="4">
        <v>8815.0</v>
      </c>
      <c r="B6874" s="4" t="s">
        <v>3969</v>
      </c>
      <c r="C6874" s="4" t="s">
        <v>482</v>
      </c>
      <c r="D6874" s="4" t="s">
        <v>10021</v>
      </c>
      <c r="E6874" s="4">
        <v>0.0</v>
      </c>
      <c r="F6874" s="4" t="str">
        <f>IFERROR(__xludf.DUMMYFUNCTION("GOOGLETRANSLATE(D6874)"),"Marketforce Perth 憑藉“iiNet NBN Buffering Cat Shark”廣播節目榮獲 Sirens 第 2 輪冠軍 http://t.co/GGPERGLVKi")</f>
        <v>Marketforce Perth 憑藉“iiNet NBN Buffering Cat Shark”廣播節目榮獲 Sirens 第 2 輪冠軍 http://t.co/GGPERGLVKi</v>
      </c>
      <c r="G6874" s="4" t="str">
        <f>IFERROR(__xludf.DUMMYFUNCTION("GOOGLETRANSLATE(B6874)"),"警報器")</f>
        <v>警報器</v>
      </c>
    </row>
    <row r="6875" ht="15.75" customHeight="1">
      <c r="A6875" s="4">
        <v>8817.0</v>
      </c>
      <c r="B6875" s="4" t="s">
        <v>3969</v>
      </c>
      <c r="C6875" s="4" t="s">
        <v>10022</v>
      </c>
      <c r="D6875" s="4" t="s">
        <v>10023</v>
      </c>
      <c r="E6875" s="4">
        <v>0.0</v>
      </c>
      <c r="F6875" s="4" t="str">
        <f>IFERROR(__xludf.DUMMYFUNCTION("GOOGLETRANSLATE(D6875)"),"讓我們 Gooooooooo http://t.co/fZ5eW4iHmB")</f>
        <v>讓我們 Gooooooooo http://t.co/fZ5eW4iHmB</v>
      </c>
      <c r="G6875" s="4" t="str">
        <f>IFERROR(__xludf.DUMMYFUNCTION("GOOGLETRANSLATE(B6875)"),"警報器")</f>
        <v>警報器</v>
      </c>
    </row>
    <row r="6876" ht="15.75" customHeight="1">
      <c r="A6876" s="4">
        <v>8823.0</v>
      </c>
      <c r="B6876" s="4" t="s">
        <v>3969</v>
      </c>
      <c r="C6876" s="4" t="s">
        <v>10024</v>
      </c>
      <c r="D6876" s="4" t="s">
        <v>10025</v>
      </c>
      <c r="E6876" s="4">
        <v>0.0</v>
      </c>
      <c r="F6876" s="4" t="str">
        <f>IFERROR(__xludf.DUMMYFUNCTION("GOOGLETRANSLATE(D6876)"),"新寵：Midfield General Disco Sirens House Edm Version Soni Soner by @sonisoner https://t.co/DEvffPTCVj on #SoundCloud")</f>
        <v>新寵：Midfield General Disco Sirens House Edm Version Soni Soner by @sonisoner https://t.co/DEvffPTCVj on #SoundCloud</v>
      </c>
      <c r="G6876" s="4" t="str">
        <f>IFERROR(__xludf.DUMMYFUNCTION("GOOGLETRANSLATE(B6876)"),"警報器")</f>
        <v>警報器</v>
      </c>
    </row>
    <row r="6877" ht="15.75" customHeight="1">
      <c r="A6877" s="4">
        <v>8829.0</v>
      </c>
      <c r="B6877" s="4" t="s">
        <v>3969</v>
      </c>
      <c r="D6877" s="4" t="s">
        <v>10026</v>
      </c>
      <c r="E6877" s="4">
        <v>0.0</v>
      </c>
      <c r="F6877" s="4" t="str">
        <f>IFERROR(__xludf.DUMMYFUNCTION("GOOGLETRANSLATE(D6877)"),"@iK4LEN 警報器已取消。")</f>
        <v>@iK4LEN 警報器已取消。</v>
      </c>
      <c r="G6877" s="4" t="str">
        <f>IFERROR(__xludf.DUMMYFUNCTION("GOOGLETRANSLATE(B6877)"),"警報器")</f>
        <v>警報器</v>
      </c>
    </row>
    <row r="6878" ht="15.75" customHeight="1">
      <c r="A6878" s="4">
        <v>8830.0</v>
      </c>
      <c r="B6878" s="4" t="s">
        <v>3969</v>
      </c>
      <c r="C6878" s="4" t="s">
        <v>10027</v>
      </c>
      <c r="D6878" s="4" t="s">
        <v>10028</v>
      </c>
      <c r="E6878" s="4">
        <v>0.0</v>
      </c>
      <c r="F6878" s="4" t="str">
        <f>IFERROR(__xludf.DUMMYFUNCTION("GOOGLETRANSLATE(D6878)"),"“如果你在尋找我的黑鬼，你可以跟著警報器。” ????")</f>
        <v>“如果你在尋找我的黑鬼，你可以跟著警報器。” ????</v>
      </c>
      <c r="G6878" s="4" t="str">
        <f>IFERROR(__xludf.DUMMYFUNCTION("GOOGLETRANSLATE(B6878)"),"警報器")</f>
        <v>警報器</v>
      </c>
    </row>
    <row r="6879" ht="15.75" customHeight="1">
      <c r="A6879" s="4">
        <v>8831.0</v>
      </c>
      <c r="B6879" s="4" t="s">
        <v>3969</v>
      </c>
      <c r="C6879" s="4" t="s">
        <v>10029</v>
      </c>
      <c r="D6879" s="4" t="s">
        <v>10030</v>
      </c>
      <c r="E6879" s="4">
        <v>0.0</v>
      </c>
      <c r="F6879" s="4" t="str">
        <f>IFERROR(__xludf.DUMMYFUNCTION("GOOGLETRANSLATE(D6879)"),"好萊塢發生了什麼事？ #abc7eyewitness @ABC7 直升機和警報器。 ＃家鄉的榮耀")</f>
        <v>好萊塢發生了什麼事？ #abc7eyewitness @ABC7 直升機和警報器。 ＃家鄉的榮耀</v>
      </c>
      <c r="G6879" s="4" t="str">
        <f>IFERROR(__xludf.DUMMYFUNCTION("GOOGLETRANSLATE(B6879)"),"警報器")</f>
        <v>警報器</v>
      </c>
    </row>
    <row r="6880" ht="15.75" customHeight="1">
      <c r="A6880" s="4">
        <v>8835.0</v>
      </c>
      <c r="B6880" s="4" t="s">
        <v>3969</v>
      </c>
      <c r="C6880" s="4" t="s">
        <v>10031</v>
      </c>
      <c r="D6880" s="4" t="s">
        <v>10032</v>
      </c>
      <c r="E6880" s="4">
        <v>0.0</v>
      </c>
      <c r="F6880" s="4" t="str">
        <f>IFERROR(__xludf.DUMMYFUNCTION("GOOGLETRANSLATE(D6880)"),"Gostei de um vÌ_deo @YouTube de @christinartnd http://t.co/bwe9kJCEPt 與警報器一起睡覺明信片和寶麗來原聲封面")</f>
        <v>Gostei de um vÌ_deo @YouTube de @christinartnd http://t.co/bwe9kJCEPt 與警報器一起睡覺明信片和寶麗來原聲封面</v>
      </c>
      <c r="G6880" s="4" t="str">
        <f>IFERROR(__xludf.DUMMYFUNCTION("GOOGLETRANSLATE(B6880)"),"警報器")</f>
        <v>警報器</v>
      </c>
    </row>
    <row r="6881" ht="15.75" customHeight="1">
      <c r="A6881" s="4">
        <v>8836.0</v>
      </c>
      <c r="B6881" s="4" t="s">
        <v>3969</v>
      </c>
      <c r="C6881" s="4" t="s">
        <v>852</v>
      </c>
      <c r="D6881" s="4" t="s">
        <v>10033</v>
      </c>
      <c r="E6881" s="4">
        <v>0.0</v>
      </c>
      <c r="F6881" s="4" t="str">
        <f>IFERROR(__xludf.DUMMYFUNCTION("GOOGLETRANSLATE(D6881)"),"飛往月球的火箭？與警報器共眠？飛往月球的火箭????????????")</f>
        <v>飛往月球的火箭？與警報器共眠？飛往月球的火箭????????????</v>
      </c>
      <c r="G6881" s="4" t="str">
        <f>IFERROR(__xludf.DUMMYFUNCTION("GOOGLETRANSLATE(B6881)"),"警報器")</f>
        <v>警報器</v>
      </c>
    </row>
    <row r="6882" ht="15.75" customHeight="1">
      <c r="A6882" s="4">
        <v>8837.0</v>
      </c>
      <c r="B6882" s="4" t="s">
        <v>3969</v>
      </c>
      <c r="C6882" s="4" t="s">
        <v>54</v>
      </c>
      <c r="D6882" s="4" t="s">
        <v>10034</v>
      </c>
      <c r="E6882" s="4">
        <v>0.0</v>
      </c>
      <c r="F6882" s="4" t="str">
        <f>IFERROR(__xludf.DUMMYFUNCTION("GOOGLETRANSLATE(D6882)"),"Marketforce¤Ûªs ÛÏCat SharkÛ 贏得 Sirens 第二輪 http://t.co/6F9aFQL6WP #radio #news")</f>
        <v>Marketforce¤Ûªs ÛÏCat SharkÛ 贏得 Sirens 第二輪 http://t.co/6F9aFQL6WP #radio #news</v>
      </c>
      <c r="G6882" s="4" t="str">
        <f>IFERROR(__xludf.DUMMYFUNCTION("GOOGLETRANSLATE(B6882)"),"警報器")</f>
        <v>警報器</v>
      </c>
    </row>
    <row r="6883" ht="15.75" customHeight="1">
      <c r="A6883" s="4">
        <v>8838.0</v>
      </c>
      <c r="B6883" s="4" t="s">
        <v>3969</v>
      </c>
      <c r="D6883" s="4" t="s">
        <v>10035</v>
      </c>
      <c r="E6883" s="4">
        <v>0.0</v>
      </c>
      <c r="F6883" s="4" t="str">
        <f>IFERROR(__xludf.DUMMYFUNCTION("GOOGLETRANSLATE(D6883)"),"我將影片加入 @YouTube 播放清單 http://t.co/f2TqMFh1Yb Cher Lloyd - Sirens")</f>
        <v>我將影片加入 @YouTube 播放清單 http://t.co/f2TqMFh1Yb Cher Lloyd - Sirens</v>
      </c>
      <c r="G6883" s="4" t="str">
        <f>IFERROR(__xludf.DUMMYFUNCTION("GOOGLETRANSLATE(B6883)"),"警報器")</f>
        <v>警報器</v>
      </c>
    </row>
    <row r="6884" ht="15.75" customHeight="1">
      <c r="A6884" s="4">
        <v>8839.0</v>
      </c>
      <c r="B6884" s="4" t="s">
        <v>3969</v>
      </c>
      <c r="D6884" s="4" t="s">
        <v>10036</v>
      </c>
      <c r="E6884" s="4">
        <v>0.0</v>
      </c>
      <c r="F6884" s="4" t="str">
        <f>IFERROR(__xludf.DUMMYFUNCTION("GOOGLETRANSLATE(D6884)"),"與塞壬睡覺 vai vir pra sp")</f>
        <v>與塞壬睡覺 vai vir pra sp</v>
      </c>
      <c r="G6884" s="4" t="str">
        <f>IFERROR(__xludf.DUMMYFUNCTION("GOOGLETRANSLATE(B6884)"),"警報器")</f>
        <v>警報器</v>
      </c>
    </row>
    <row r="6885" ht="15.75" customHeight="1">
      <c r="A6885" s="4">
        <v>8840.0</v>
      </c>
      <c r="B6885" s="4" t="s">
        <v>3969</v>
      </c>
      <c r="C6885" s="4" t="s">
        <v>10037</v>
      </c>
      <c r="D6885" s="4" t="s">
        <v>10038</v>
      </c>
      <c r="E6885" s="4">
        <v>0.0</v>
      </c>
      <c r="F6885" s="4" t="str">
        <f>IFERROR(__xludf.DUMMYFUNCTION("GOOGLETRANSLATE(D6885)"),"凱爾是我最不想喜歡的人之一。")</f>
        <v>凱爾是我最不想喜歡的人之一。</v>
      </c>
      <c r="G6885" s="4" t="str">
        <f>IFERROR(__xludf.DUMMYFUNCTION("GOOGLETRANSLATE(B6885)"),"警報器")</f>
        <v>警報器</v>
      </c>
    </row>
    <row r="6886" ht="15.75" customHeight="1">
      <c r="A6886" s="4">
        <v>8841.0</v>
      </c>
      <c r="B6886" s="4" t="s">
        <v>3969</v>
      </c>
      <c r="D6886" s="4" t="s">
        <v>10039</v>
      </c>
      <c r="E6886" s="4">
        <v>0.0</v>
      </c>
      <c r="F6886" s="4" t="str">
        <f>IFERROR(__xludf.DUMMYFUNCTION("GOOGLETRANSLATE(D6886)"),"這是“半小時酒店”@halfhourhotel @Edgarsgift 的“逃離警報”。 「高級促銷」優惠 http://t.co/zRN30A78ir")</f>
        <v>這是“半小時酒店”@halfhourhotel @Edgarsgift 的“逃離警報”。 「高級促銷」優惠 http://t.co/zRN30A78ir</v>
      </c>
      <c r="G6886" s="4" t="str">
        <f>IFERROR(__xludf.DUMMYFUNCTION("GOOGLETRANSLATE(B6886)"),"警報器")</f>
        <v>警報器</v>
      </c>
    </row>
    <row r="6887" ht="15.75" customHeight="1">
      <c r="A6887" s="4">
        <v>8842.0</v>
      </c>
      <c r="B6887" s="4" t="s">
        <v>3982</v>
      </c>
      <c r="D6887" s="4" t="s">
        <v>10040</v>
      </c>
      <c r="E6887" s="4">
        <v>0.0</v>
      </c>
      <c r="F6887" s="4" t="str">
        <f>IFERROR(__xludf.DUMMYFUNCTION("GOOGLETRANSLATE(D6887)"),"只是抽煙和愉快的談話有什麼問題？？？")</f>
        <v>只是抽煙和愉快的談話有什麼問題？？？</v>
      </c>
      <c r="G6887" s="4" t="str">
        <f>IFERROR(__xludf.DUMMYFUNCTION("GOOGLETRANSLATE(B6887)"),"抽煙")</f>
        <v>抽煙</v>
      </c>
    </row>
    <row r="6888" ht="15.75" customHeight="1">
      <c r="A6888" s="4">
        <v>8843.0</v>
      </c>
      <c r="B6888" s="4" t="s">
        <v>3982</v>
      </c>
      <c r="D6888" s="4" t="s">
        <v>10041</v>
      </c>
      <c r="E6888" s="4">
        <v>0.0</v>
      </c>
      <c r="F6888" s="4" t="str">
        <f>IFERROR(__xludf.DUMMYFUNCTION("GOOGLETRANSLATE(D6888)"),"@LifeAintFairKid 如果我這樣做的話，我會把你熏死的！")</f>
        <v>@LifeAintFairKid 如果我這樣做的話，我會把你熏死的！</v>
      </c>
      <c r="G6888" s="4" t="str">
        <f>IFERROR(__xludf.DUMMYFUNCTION("GOOGLETRANSLATE(B6888)"),"抽煙")</f>
        <v>抽煙</v>
      </c>
    </row>
    <row r="6889" ht="15.75" customHeight="1">
      <c r="A6889" s="4">
        <v>8844.0</v>
      </c>
      <c r="B6889" s="4" t="s">
        <v>3982</v>
      </c>
      <c r="C6889" s="4" t="s">
        <v>65</v>
      </c>
      <c r="D6889" s="4" t="s">
        <v>10042</v>
      </c>
      <c r="E6889" s="4">
        <v>0.0</v>
      </c>
      <c r="F6889" s="4" t="str">
        <f>IFERROR(__xludf.DUMMYFUNCTION("GOOGLETRANSLATE(D6889)"),"我幾乎不和人一起抽煙 我獨自一人抽煙")</f>
        <v>我幾乎不和人一起抽煙 我獨自一人抽煙</v>
      </c>
      <c r="G6889" s="4" t="str">
        <f>IFERROR(__xludf.DUMMYFUNCTION("GOOGLETRANSLATE(B6889)"),"抽煙")</f>
        <v>抽煙</v>
      </c>
    </row>
    <row r="6890" ht="15.75" customHeight="1">
      <c r="A6890" s="4">
        <v>8846.0</v>
      </c>
      <c r="B6890" s="4" t="s">
        <v>3982</v>
      </c>
      <c r="C6890" s="4" t="s">
        <v>5461</v>
      </c>
      <c r="D6890" s="4" t="s">
        <v>10043</v>
      </c>
      <c r="E6890" s="4">
        <v>0.0</v>
      </c>
      <c r="F6890" s="4" t="str">
        <f>IFERROR(__xludf.DUMMYFUNCTION("GOOGLETRANSLATE(D6890)"),"抽任何你擁有的東西")</f>
        <v>抽任何你擁有的東西</v>
      </c>
      <c r="G6890" s="4" t="str">
        <f>IFERROR(__xludf.DUMMYFUNCTION("GOOGLETRANSLATE(B6890)"),"抽煙")</f>
        <v>抽煙</v>
      </c>
    </row>
    <row r="6891" ht="15.75" customHeight="1">
      <c r="A6891" s="4">
        <v>8848.0</v>
      </c>
      <c r="B6891" s="4" t="s">
        <v>3982</v>
      </c>
      <c r="C6891" s="4" t="s">
        <v>10044</v>
      </c>
      <c r="D6891" s="4" t="s">
        <v>10045</v>
      </c>
      <c r="E6891" s="4">
        <v>0.0</v>
      </c>
      <c r="F6891" s="4" t="str">
        <f>IFERROR(__xludf.DUMMYFUNCTION("GOOGLETRANSLATE(D6891)"),"抽大麻 - 史努比獅子英尺。牧羊犬巴茲")</f>
        <v>抽大麻 - 史努比獅子英尺。牧羊犬巴茲</v>
      </c>
      <c r="G6891" s="4" t="str">
        <f>IFERROR(__xludf.DUMMYFUNCTION("GOOGLETRANSLATE(B6891)"),"抽煙")</f>
        <v>抽煙</v>
      </c>
    </row>
    <row r="6892" ht="15.75" customHeight="1">
      <c r="A6892" s="4">
        <v>8850.0</v>
      </c>
      <c r="B6892" s="4" t="s">
        <v>3982</v>
      </c>
      <c r="D6892" s="4" t="s">
        <v>10046</v>
      </c>
      <c r="E6892" s="4">
        <v>0.0</v>
      </c>
      <c r="F6892" s="4" t="str">
        <f>IFERROR(__xludf.DUMMYFUNCTION("GOOGLETRANSLATE(D6892)"),"你們所有吸煙的女孩......你們有沒有註意到自己開始失去很多體重？？？嗯嗯 不知道身材 想要不要瘦女孩tf")</f>
        <v>你們所有吸煙的女孩......你們有沒有註意到自己開始失去很多體重？？？嗯嗯 不知道身材 想要不要瘦女孩tf</v>
      </c>
      <c r="G6892" s="4" t="str">
        <f>IFERROR(__xludf.DUMMYFUNCTION("GOOGLETRANSLATE(B6892)"),"抽煙")</f>
        <v>抽煙</v>
      </c>
    </row>
    <row r="6893" ht="15.75" customHeight="1">
      <c r="A6893" s="4">
        <v>8851.0</v>
      </c>
      <c r="B6893" s="4" t="s">
        <v>3982</v>
      </c>
      <c r="D6893" s="4" t="s">
        <v>10047</v>
      </c>
      <c r="E6893" s="4">
        <v>0.0</v>
      </c>
      <c r="F6893" s="4" t="str">
        <f>IFERROR(__xludf.DUMMYFUNCTION("GOOGLETRANSLATE(D6893)"),"跟我一起抽煙，寶貝，和我一起躺著，和我一起笑，寶貝，我只想要簡單的事情")</f>
        <v>跟我一起抽煙，寶貝，和我一起躺著，和我一起笑，寶貝，我只想要簡單的事情</v>
      </c>
      <c r="G6893" s="4" t="str">
        <f>IFERROR(__xludf.DUMMYFUNCTION("GOOGLETRANSLATE(B6893)"),"抽煙")</f>
        <v>抽煙</v>
      </c>
    </row>
    <row r="6894" ht="15.75" customHeight="1">
      <c r="A6894" s="4">
        <v>8852.0</v>
      </c>
      <c r="B6894" s="4" t="s">
        <v>3982</v>
      </c>
      <c r="D6894" s="4" t="s">
        <v>10048</v>
      </c>
      <c r="E6894" s="4">
        <v>0.0</v>
      </c>
      <c r="F6894" s="4" t="str">
        <f>IFERROR(__xludf.DUMMYFUNCTION("GOOGLETRANSLATE(D6894)"),"我要脫光衣服抽煙 有人叫我 radneck 還是這裡太熱了")</f>
        <v>我要脫光衣服抽煙 有人叫我 radneck 還是這裡太熱了</v>
      </c>
      <c r="G6894" s="4" t="str">
        <f>IFERROR(__xludf.DUMMYFUNCTION("GOOGLETRANSLATE(B6894)"),"抽煙")</f>
        <v>抽煙</v>
      </c>
    </row>
    <row r="6895" ht="15.75" customHeight="1">
      <c r="A6895" s="4">
        <v>8853.0</v>
      </c>
      <c r="B6895" s="4" t="s">
        <v>3982</v>
      </c>
      <c r="C6895" s="4" t="s">
        <v>10049</v>
      </c>
      <c r="D6895" s="4" t="s">
        <v>10050</v>
      </c>
      <c r="E6895" s="4">
        <v>0.0</v>
      </c>
      <c r="F6895" s="4" t="str">
        <f>IFERROR(__xludf.DUMMYFUNCTION("GOOGLETRANSLATE(D6895)"),"吸很多大麻就像他媽的腎臟讓我體內充滿了荷蘭人")</f>
        <v>吸很多大麻就像他媽的腎臟讓我體內充滿了荷蘭人</v>
      </c>
      <c r="G6895" s="4" t="str">
        <f>IFERROR(__xludf.DUMMYFUNCTION("GOOGLETRANSLATE(B6895)"),"抽煙")</f>
        <v>抽煙</v>
      </c>
    </row>
    <row r="6896" ht="15.75" customHeight="1">
      <c r="A6896" s="4">
        <v>8854.0</v>
      </c>
      <c r="B6896" s="4" t="s">
        <v>3982</v>
      </c>
      <c r="D6896" s="4" t="s">
        <v>10051</v>
      </c>
      <c r="E6896" s="4">
        <v>0.0</v>
      </c>
      <c r="F6896" s="4" t="str">
        <f>IFERROR(__xludf.DUMMYFUNCTION("GOOGLETRANSLATE(D6896)"),"@SidelineSavage 花生醬製成的煙鬥或可以抽花生醬的煙鬥是什麼樣的？")</f>
        <v>@SidelineSavage 花生醬製成的煙鬥或可以抽花生醬的煙鬥是什麼樣的？</v>
      </c>
      <c r="G6896" s="4" t="str">
        <f>IFERROR(__xludf.DUMMYFUNCTION("GOOGLETRANSLATE(B6896)"),"抽煙")</f>
        <v>抽煙</v>
      </c>
    </row>
    <row r="6897" ht="15.75" customHeight="1">
      <c r="A6897" s="4">
        <v>8855.0</v>
      </c>
      <c r="B6897" s="4" t="s">
        <v>3982</v>
      </c>
      <c r="D6897" s="4" t="s">
        <v>10052</v>
      </c>
      <c r="E6897" s="4">
        <v>0.0</v>
      </c>
      <c r="F6897" s="4" t="str">
        <f>IFERROR(__xludf.DUMMYFUNCTION("GOOGLETRANSLATE(D6897)"),"我想要吸煙 ？？")</f>
        <v>我想要吸煙 ？？</v>
      </c>
      <c r="G6897" s="4" t="str">
        <f>IFERROR(__xludf.DUMMYFUNCTION("GOOGLETRANSLATE(B6897)"),"抽煙")</f>
        <v>抽煙</v>
      </c>
    </row>
    <row r="6898" ht="15.75" customHeight="1">
      <c r="A6898" s="4">
        <v>8856.0</v>
      </c>
      <c r="B6898" s="4" t="s">
        <v>3982</v>
      </c>
      <c r="D6898" s="4" t="s">
        <v>10053</v>
      </c>
      <c r="E6898" s="4">
        <v>0.0</v>
      </c>
      <c r="F6898" s="4" t="str">
        <f>IFERROR(__xludf.DUMMYFUNCTION("GOOGLETRANSLATE(D6898)"),"2014年，如果我成為市長，我只會抽菸。這包括 Foursquare。")</f>
        <v>2014年，如果我成為市長，我只會抽菸。這包括 Foursquare。</v>
      </c>
      <c r="G6898" s="4" t="str">
        <f>IFERROR(__xludf.DUMMYFUNCTION("GOOGLETRANSLATE(B6898)"),"抽煙")</f>
        <v>抽煙</v>
      </c>
    </row>
    <row r="6899" ht="15.75" customHeight="1">
      <c r="A6899" s="4">
        <v>8857.0</v>
      </c>
      <c r="B6899" s="4" t="s">
        <v>3982</v>
      </c>
      <c r="C6899" s="4" t="s">
        <v>1972</v>
      </c>
      <c r="D6899" s="4" t="s">
        <v>10054</v>
      </c>
      <c r="E6899" s="4">
        <v>0.0</v>
      </c>
      <c r="F6899" s="4" t="str">
        <f>IFERROR(__xludf.DUMMYFUNCTION("GOOGLETRANSLATE(D6899)"),"當你打嗝冒煙時")</f>
        <v>當你打嗝冒煙時</v>
      </c>
      <c r="G6899" s="4" t="str">
        <f>IFERROR(__xludf.DUMMYFUNCTION("GOOGLETRANSLATE(B6899)"),"抽煙")</f>
        <v>抽煙</v>
      </c>
    </row>
    <row r="6900" ht="15.75" customHeight="1">
      <c r="A6900" s="4">
        <v>8858.0</v>
      </c>
      <c r="B6900" s="4" t="s">
        <v>3982</v>
      </c>
      <c r="D6900" s="4" t="s">
        <v>10055</v>
      </c>
      <c r="E6900" s="4">
        <v>0.0</v>
      </c>
      <c r="F6900" s="4" t="str">
        <f>IFERROR(__xludf.DUMMYFUNCTION("GOOGLETRANSLATE(D6900)"),"如果您正在約會的人不讓您吸煙，請離開他們並與也吸煙的人約會。相信我。 ??")</f>
        <v>如果您正在約會的人不讓您吸煙，請離開他們並與也吸煙的人約會。相信我。 ??</v>
      </c>
      <c r="G6900" s="4" t="str">
        <f>IFERROR(__xludf.DUMMYFUNCTION("GOOGLETRANSLATE(B6900)"),"抽煙")</f>
        <v>抽煙</v>
      </c>
    </row>
    <row r="6901" ht="15.75" customHeight="1">
      <c r="A6901" s="4">
        <v>8859.0</v>
      </c>
      <c r="B6901" s="4" t="s">
        <v>3982</v>
      </c>
      <c r="C6901" s="4" t="s">
        <v>10056</v>
      </c>
      <c r="D6901" s="4" t="s">
        <v>10057</v>
      </c>
      <c r="E6901" s="4">
        <v>0.0</v>
      </c>
      <c r="F6901" s="4" t="str">
        <f>IFERROR(__xludf.DUMMYFUNCTION("GOOGLETRANSLATE(D6901)"),"黑鬼賣大麻只是為了他們可以吸煙和吸毒。繼續情緒高漲。你們黑鬼擋了..")</f>
        <v>黑鬼賣大麻只是為了他們可以吸煙和吸毒。繼續情緒高漲。你們黑鬼擋了..</v>
      </c>
      <c r="G6901" s="4" t="str">
        <f>IFERROR(__xludf.DUMMYFUNCTION("GOOGLETRANSLATE(B6901)"),"抽煙")</f>
        <v>抽煙</v>
      </c>
    </row>
    <row r="6902" ht="15.75" customHeight="1">
      <c r="A6902" s="4">
        <v>8860.0</v>
      </c>
      <c r="B6902" s="4" t="s">
        <v>3982</v>
      </c>
      <c r="D6902" s="4" t="s">
        <v>10058</v>
      </c>
      <c r="E6902" s="4">
        <v>0.0</v>
      </c>
      <c r="F6902" s="4" t="str">
        <f>IFERROR(__xludf.DUMMYFUNCTION("GOOGLETRANSLATE(D6902)"),"我想喝一點煙")</f>
        <v>我想喝一點煙</v>
      </c>
      <c r="G6902" s="4" t="str">
        <f>IFERROR(__xludf.DUMMYFUNCTION("GOOGLETRANSLATE(B6902)"),"抽煙")</f>
        <v>抽煙</v>
      </c>
    </row>
    <row r="6903" ht="15.75" customHeight="1">
      <c r="A6903" s="4">
        <v>8862.0</v>
      </c>
      <c r="B6903" s="4" t="s">
        <v>3982</v>
      </c>
      <c r="D6903" s="4" t="s">
        <v>10059</v>
      </c>
      <c r="E6903" s="4">
        <v>0.0</v>
      </c>
      <c r="F6903" s="4" t="str">
        <f>IFERROR(__xludf.DUMMYFUNCTION("GOOGLETRANSLATE(D6903)"),"煙霧大道街頭最熱門的年輕人")</f>
        <v>煙霧大道街頭最熱門的年輕人</v>
      </c>
      <c r="G6903" s="4" t="str">
        <f>IFERROR(__xludf.DUMMYFUNCTION("GOOGLETRANSLATE(B6903)"),"抽煙")</f>
        <v>抽煙</v>
      </c>
    </row>
    <row r="6904" ht="15.75" customHeight="1">
      <c r="A6904" s="4">
        <v>8864.0</v>
      </c>
      <c r="B6904" s="4" t="s">
        <v>3982</v>
      </c>
      <c r="D6904" s="4" t="s">
        <v>10060</v>
      </c>
      <c r="E6904" s="4">
        <v>0.0</v>
      </c>
      <c r="F6904" s="4" t="str">
        <f>IFERROR(__xludf.DUMMYFUNCTION("GOOGLETRANSLATE(D6904)"),"[55436] 1950 年萊昂內爾火車冒煙機車，附磁力牽引說明 http://t.co/xEZBs3sq0y http://t.co/C2x0QoKGlY")</f>
        <v>[55436] 1950 年萊昂內爾火車冒煙機車，附磁力牽引說明 http://t.co/xEZBs3sq0y http://t.co/C2x0QoKGlY</v>
      </c>
      <c r="G6904" s="4" t="str">
        <f>IFERROR(__xludf.DUMMYFUNCTION("GOOGLETRANSLATE(B6904)"),"抽煙")</f>
        <v>抽煙</v>
      </c>
    </row>
    <row r="6905" ht="15.75" customHeight="1">
      <c r="A6905" s="4">
        <v>8865.0</v>
      </c>
      <c r="B6905" s="4" t="s">
        <v>3982</v>
      </c>
      <c r="D6905" s="4" t="s">
        <v>10061</v>
      </c>
      <c r="E6905" s="4">
        <v>0.0</v>
      </c>
      <c r="F6905" s="4" t="str">
        <f>IFERROR(__xludf.DUMMYFUNCTION("GOOGLETRANSLATE(D6905)"),"@Sammysosita 抽煙鈍&amp;amp;熬過去..你不再抽煙了。")</f>
        <v>@Sammysosita 抽煙鈍&amp;amp;熬過去..你不再抽煙了。</v>
      </c>
      <c r="G6905" s="4" t="str">
        <f>IFERROR(__xludf.DUMMYFUNCTION("GOOGLETRANSLATE(B6905)"),"抽煙")</f>
        <v>抽煙</v>
      </c>
    </row>
    <row r="6906" ht="15.75" customHeight="1">
      <c r="A6906" s="4">
        <v>8866.0</v>
      </c>
      <c r="B6906" s="4" t="s">
        <v>3982</v>
      </c>
      <c r="C6906" s="4" t="s">
        <v>10062</v>
      </c>
      <c r="D6906" s="4" t="s">
        <v>10063</v>
      </c>
      <c r="E6906" s="4">
        <v>0.0</v>
      </c>
      <c r="F6906" s="4" t="str">
        <f>IFERROR(__xludf.DUMMYFUNCTION("GOOGLETRANSLATE(D6906)"),"我抽煙太多了，我很害怕給這個號碼發短信，但現在一切都有意義了，哈哈")</f>
        <v>我抽煙太多了，我很害怕給這個號碼發短信，但現在一切都有意義了，哈哈</v>
      </c>
      <c r="G6906" s="4" t="str">
        <f>IFERROR(__xludf.DUMMYFUNCTION("GOOGLETRANSLATE(B6906)"),"抽煙")</f>
        <v>抽煙</v>
      </c>
    </row>
    <row r="6907" ht="15.75" customHeight="1">
      <c r="A6907" s="4">
        <v>8869.0</v>
      </c>
      <c r="B6907" s="4" t="s">
        <v>3982</v>
      </c>
      <c r="C6907" s="4" t="s">
        <v>10064</v>
      </c>
      <c r="D6907" s="4" t="s">
        <v>10065</v>
      </c>
      <c r="E6907" s="4">
        <v>0.0</v>
      </c>
      <c r="F6907" s="4" t="str">
        <f>IFERROR(__xludf.DUMMYFUNCTION("GOOGLETRANSLATE(D6907)"),"@TheTshirtKid 我想把那個 MF 抽出來")</f>
        <v>@TheTshirtKid 我想把那個 MF 抽出來</v>
      </c>
      <c r="G6907" s="4" t="str">
        <f>IFERROR(__xludf.DUMMYFUNCTION("GOOGLETRANSLATE(B6907)"),"抽煙")</f>
        <v>抽煙</v>
      </c>
    </row>
    <row r="6908" ht="15.75" customHeight="1">
      <c r="A6908" s="4">
        <v>8871.0</v>
      </c>
      <c r="B6908" s="4" t="s">
        <v>3982</v>
      </c>
      <c r="D6908" s="4" t="s">
        <v>10066</v>
      </c>
      <c r="E6908" s="4">
        <v>0.0</v>
      </c>
      <c r="F6908" s="4" t="str">
        <f>IFERROR(__xludf.DUMMYFUNCTION("GOOGLETRANSLATE(D6908)"),"Be Trynna 燻 TJ 但他是個鋤頭")</f>
        <v>Be Trynna 燻 TJ 但他是個鋤頭</v>
      </c>
      <c r="G6908" s="4" t="str">
        <f>IFERROR(__xludf.DUMMYFUNCTION("GOOGLETRANSLATE(B6908)"),"抽煙")</f>
        <v>抽煙</v>
      </c>
    </row>
    <row r="6909" ht="15.75" customHeight="1">
      <c r="A6909" s="4">
        <v>8875.0</v>
      </c>
      <c r="B6909" s="4" t="s">
        <v>3982</v>
      </c>
      <c r="C6909" s="4" t="s">
        <v>10067</v>
      </c>
      <c r="D6909" s="4" t="s">
        <v>10068</v>
      </c>
      <c r="E6909" s="4">
        <v>0.0</v>
      </c>
      <c r="F6909" s="4" t="str">
        <f>IFERROR(__xludf.DUMMYFUNCTION("GOOGLETRANSLATE(D6909)"),"那麼奧斯汀自從同意這個名字之後也抽煙了嗎？ ÛÓ 哈哈 沒有 http://t.co/UmZKC9AzWd")</f>
        <v>那麼奧斯汀自從同意這個名字之後也抽煙了嗎？ ÛÓ 哈哈 沒有 http://t.co/UmZKC9AzWd</v>
      </c>
      <c r="G6909" s="4" t="str">
        <f>IFERROR(__xludf.DUMMYFUNCTION("GOOGLETRANSLATE(B6909)"),"抽煙")</f>
        <v>抽煙</v>
      </c>
    </row>
    <row r="6910" ht="15.75" customHeight="1">
      <c r="A6910" s="4">
        <v>8878.0</v>
      </c>
      <c r="B6910" s="4" t="s">
        <v>3982</v>
      </c>
      <c r="C6910" s="4" t="s">
        <v>10069</v>
      </c>
      <c r="D6910" s="4" t="s">
        <v>10070</v>
      </c>
      <c r="E6910" s="4">
        <v>0.0</v>
      </c>
      <c r="F6910" s="4" t="str">
        <f>IFERROR(__xludf.DUMMYFUNCTION("GOOGLETRANSLATE(D6910)"),"全部抽菸 http://t.co/79upYdCeMp")</f>
        <v>全部抽菸 http://t.co/79upYdCeMp</v>
      </c>
      <c r="G6910" s="4" t="str">
        <f>IFERROR(__xludf.DUMMYFUNCTION("GOOGLETRANSLATE(B6910)"),"抽煙")</f>
        <v>抽煙</v>
      </c>
    </row>
    <row r="6911" ht="15.75" customHeight="1">
      <c r="A6911" s="4">
        <v>8881.0</v>
      </c>
      <c r="B6911" s="4" t="s">
        <v>3982</v>
      </c>
      <c r="D6911" s="4" t="s">
        <v>10071</v>
      </c>
      <c r="E6911" s="4">
        <v>0.0</v>
      </c>
      <c r="F6911" s="4" t="str">
        <f>IFERROR(__xludf.DUMMYFUNCTION("GOOGLETRANSLATE(D6911)"),"如果你想抽煙那是你自己的問題，但是當你的呼吸聞起來像舊煙灰缸時......那真是太噁心了")</f>
        <v>如果你想抽煙那是你自己的問題，但是當你的呼吸聞起來像舊煙灰缸時......那真是太噁心了</v>
      </c>
      <c r="G6911" s="4" t="str">
        <f>IFERROR(__xludf.DUMMYFUNCTION("GOOGLETRANSLATE(B6911)"),"抽煙")</f>
        <v>抽煙</v>
      </c>
    </row>
    <row r="6912" ht="15.75" customHeight="1">
      <c r="A6912" s="4">
        <v>8883.0</v>
      </c>
      <c r="B6912" s="4" t="s">
        <v>3982</v>
      </c>
      <c r="C6912" s="4" t="s">
        <v>10072</v>
      </c>
      <c r="D6912" s="4" t="s">
        <v>10073</v>
      </c>
      <c r="E6912" s="4">
        <v>0.0</v>
      </c>
      <c r="F6912" s="4" t="str">
        <f>IFERROR(__xludf.DUMMYFUNCTION("GOOGLETRANSLATE(D6912)"),"@bre_morrow 他們都不抽煙，所以我不知道發生了什麼事，哈哈")</f>
        <v>@bre_morrow 他們都不抽煙，所以我不知道發生了什麼事，哈哈</v>
      </c>
      <c r="G6912" s="4" t="str">
        <f>IFERROR(__xludf.DUMMYFUNCTION("GOOGLETRANSLATE(B6912)"),"抽煙")</f>
        <v>抽煙</v>
      </c>
    </row>
    <row r="6913" ht="15.75" customHeight="1">
      <c r="A6913" s="4">
        <v>8885.0</v>
      </c>
      <c r="B6913" s="4" t="s">
        <v>3982</v>
      </c>
      <c r="C6913" s="4" t="s">
        <v>10074</v>
      </c>
      <c r="D6913" s="4" t="s">
        <v>10075</v>
      </c>
      <c r="E6913" s="4">
        <v>0.0</v>
      </c>
      <c r="F6913" s="4" t="str">
        <f>IFERROR(__xludf.DUMMYFUNCTION("GOOGLETRANSLATE(D6913)"),"抽煙吃飯睡覺")</f>
        <v>抽煙吃飯睡覺</v>
      </c>
      <c r="G6913" s="4" t="str">
        <f>IFERROR(__xludf.DUMMYFUNCTION("GOOGLETRANSLATE(B6913)"),"抽煙")</f>
        <v>抽煙</v>
      </c>
    </row>
    <row r="6914" ht="15.75" customHeight="1">
      <c r="A6914" s="4">
        <v>8886.0</v>
      </c>
      <c r="B6914" s="4" t="s">
        <v>3982</v>
      </c>
      <c r="D6914" s="4" t="s">
        <v>10076</v>
      </c>
      <c r="E6914" s="4">
        <v>0.0</v>
      </c>
      <c r="F6914" s="4" t="str">
        <f>IFERROR(__xludf.DUMMYFUNCTION("GOOGLETRANSLATE(D6914)"),"我想念喬西，因為我想抽大麻去塔可鐘？")</f>
        <v>我想念喬西，因為我想抽大麻去塔可鐘？</v>
      </c>
      <c r="G6914" s="4" t="str">
        <f>IFERROR(__xludf.DUMMYFUNCTION("GOOGLETRANSLATE(B6914)"),"抽煙")</f>
        <v>抽煙</v>
      </c>
    </row>
    <row r="6915" ht="15.75" customHeight="1">
      <c r="A6915" s="4">
        <v>8887.0</v>
      </c>
      <c r="B6915" s="4" t="s">
        <v>3982</v>
      </c>
      <c r="C6915" s="4" t="s">
        <v>10077</v>
      </c>
      <c r="D6915" s="4" t="s">
        <v>10078</v>
      </c>
      <c r="E6915" s="4">
        <v>0.0</v>
      </c>
      <c r="F6915" s="4" t="str">
        <f>IFERROR(__xludf.DUMMYFUNCTION("GOOGLETRANSLATE(D6915)"),"Mental/Twitter 注意：確保我的煙霧警報器電池始終處於正常狀態，否則會面臨許多關於更換電池的 Twitter 提醒。")</f>
        <v>Mental/Twitter 注意：確保我的煙霧警報器電池始終處於正常狀態，否則會面臨許多關於更換電池的 Twitter 提醒。</v>
      </c>
      <c r="G6915" s="4" t="str">
        <f>IFERROR(__xludf.DUMMYFUNCTION("GOOGLETRANSLATE(B6915)"),"抽煙")</f>
        <v>抽煙</v>
      </c>
    </row>
    <row r="6916" ht="15.75" customHeight="1">
      <c r="A6916" s="4">
        <v>8888.0</v>
      </c>
      <c r="B6916" s="4" t="s">
        <v>3982</v>
      </c>
      <c r="C6916" s="4" t="s">
        <v>112</v>
      </c>
      <c r="D6916" s="4" t="s">
        <v>10079</v>
      </c>
      <c r="E6916" s="4">
        <v>0.0</v>
      </c>
      <c r="F6916" s="4" t="str">
        <f>IFERROR(__xludf.DUMMYFUNCTION("GOOGLETRANSLATE(D6916)"),"@TeamAtoWinner 不..我的意思是米諾什麼時候說他不吸煙？你之前提到過..:))")</f>
        <v>@TeamAtoWinner 不..我的意思是米諾什麼時候說他不吸煙？你之前提到過..:))</v>
      </c>
      <c r="G6916" s="4" t="str">
        <f>IFERROR(__xludf.DUMMYFUNCTION("GOOGLETRANSLATE(B6916)"),"抽煙")</f>
        <v>抽煙</v>
      </c>
    </row>
    <row r="6917" ht="15.75" customHeight="1">
      <c r="A6917" s="4">
        <v>8890.0</v>
      </c>
      <c r="B6917" s="4" t="s">
        <v>3982</v>
      </c>
      <c r="C6917" s="4" t="s">
        <v>10080</v>
      </c>
      <c r="D6917" s="4" t="s">
        <v>10081</v>
      </c>
      <c r="E6917" s="4">
        <v>0.0</v>
      </c>
      <c r="F6917" s="4" t="str">
        <f>IFERROR(__xludf.DUMMYFUNCTION("GOOGLETRANSLATE(D6917)"),"我只是想抽點大麻然後得到一些逗號")</f>
        <v>我只是想抽點大麻然後得到一些逗號</v>
      </c>
      <c r="G6917" s="4" t="str">
        <f>IFERROR(__xludf.DUMMYFUNCTION("GOOGLETRANSLATE(B6917)"),"抽煙")</f>
        <v>抽煙</v>
      </c>
    </row>
    <row r="6918" ht="15.75" customHeight="1">
      <c r="A6918" s="4">
        <v>8892.0</v>
      </c>
      <c r="B6918" s="4" t="s">
        <v>3988</v>
      </c>
      <c r="C6918" s="4" t="s">
        <v>295</v>
      </c>
      <c r="D6918" s="4" t="s">
        <v>10082</v>
      </c>
      <c r="E6918" s="4">
        <v>0.0</v>
      </c>
      <c r="F6918" s="4" t="str">
        <f>IFERROR(__xludf.DUMMYFUNCTION("GOOGLETRANSLATE(D6918)"),"「暴風雪」36'x36' 布面油畫 (2009) http://t.co/RCZAlRU05o #art #painting")</f>
        <v>「暴風雪」36'x36' 布面油畫 (2009) http://t.co/RCZAlRU05o #art #painting</v>
      </c>
      <c r="G6918" s="4" t="str">
        <f>IFERROR(__xludf.DUMMYFUNCTION("GOOGLETRANSLATE(B6918)"),"暴風雪")</f>
        <v>暴風雪</v>
      </c>
    </row>
    <row r="6919" ht="15.75" customHeight="1">
      <c r="A6919" s="4">
        <v>8896.0</v>
      </c>
      <c r="B6919" s="4" t="s">
        <v>3988</v>
      </c>
      <c r="D6919" s="4" t="s">
        <v>10083</v>
      </c>
      <c r="E6919" s="4">
        <v>0.0</v>
      </c>
      <c r="F6919" s="4" t="str">
        <f>IFERROR(__xludf.DUMMYFUNCTION("GOOGLETRANSLATE(D6919)"),"大家好，這首詩是一首關於我們在太空相遇時的暴風雪和有一次下雨的詩。謝謝。你在看迪士尼頻道")</f>
        <v>大家好，這首詩是一首關於我們在太空相遇時的暴風雪和有一次下雨的詩。謝謝。你在看迪士尼頻道</v>
      </c>
      <c r="G6919" s="4" t="str">
        <f>IFERROR(__xludf.DUMMYFUNCTION("GOOGLETRANSLATE(B6919)"),"暴風雪")</f>
        <v>暴風雪</v>
      </c>
    </row>
    <row r="6920" ht="15.75" customHeight="1">
      <c r="A6920" s="4">
        <v>8899.0</v>
      </c>
      <c r="B6920" s="4" t="s">
        <v>3988</v>
      </c>
      <c r="C6920" s="4" t="s">
        <v>2605</v>
      </c>
      <c r="D6920" s="4" t="s">
        <v>10084</v>
      </c>
      <c r="E6920" s="4">
        <v>0.0</v>
      </c>
      <c r="F6920" s="4" t="str">
        <f>IFERROR(__xludf.DUMMYFUNCTION("GOOGLETRANSLATE(D6920)"),"出於某種原因，凌晨 3 點在暴風雪中穿著有腳睡衣敲別人的門並不是進入他們浴室的最佳方式")</f>
        <v>出於某種原因，凌晨 3 點在暴風雪中穿著有腳睡衣敲別人的門並不是進入他們浴室的最佳方式</v>
      </c>
      <c r="G6920" s="4" t="str">
        <f>IFERROR(__xludf.DUMMYFUNCTION("GOOGLETRANSLATE(B6920)"),"暴風雪")</f>
        <v>暴風雪</v>
      </c>
    </row>
    <row r="6921" ht="15.75" customHeight="1">
      <c r="A6921" s="4">
        <v>8900.0</v>
      </c>
      <c r="B6921" s="4" t="s">
        <v>3988</v>
      </c>
      <c r="C6921" s="4" t="s">
        <v>10085</v>
      </c>
      <c r="D6921" s="4" t="s">
        <v>10086</v>
      </c>
      <c r="E6921" s="4">
        <v>0.0</v>
      </c>
      <c r="F6921" s="4" t="str">
        <f>IFERROR(__xludf.DUMMYFUNCTION("GOOGLETRANSLATE(D6921)"),"抱歉——我已經在桌子旁邊生火了。 RT@irishirr
@MChapmanWSAZ @WSAZ_Brittany @kellyannwx ..請保持暴風雪直到我到達。")</f>
        <v>抱歉——我已經在桌子旁邊生火了。 RT@irishirr
@MChapmanWSAZ @WSAZ_Brittany @kellyannwx ..請保持暴風雪直到我到達。</v>
      </c>
      <c r="G6921" s="4" t="str">
        <f>IFERROR(__xludf.DUMMYFUNCTION("GOOGLETRANSLATE(B6921)"),"暴風雪")</f>
        <v>暴風雪</v>
      </c>
    </row>
    <row r="6922" ht="15.75" customHeight="1">
      <c r="A6922" s="4">
        <v>8903.0</v>
      </c>
      <c r="B6922" s="4" t="s">
        <v>3988</v>
      </c>
      <c r="C6922" s="4" t="s">
        <v>1676</v>
      </c>
      <c r="D6922" s="4" t="s">
        <v>10087</v>
      </c>
      <c r="E6922" s="4">
        <v>0.0</v>
      </c>
      <c r="F6922" s="4" t="str">
        <f>IFERROR(__xludf.DUMMYFUNCTION("GOOGLETRANSLATE(D6922)"),"@Groupon_UK 它不會讓我，因為你不關注我")</f>
        <v>@Groupon_UK 它不會讓我，因為你不關注我</v>
      </c>
      <c r="G6922" s="4" t="str">
        <f>IFERROR(__xludf.DUMMYFUNCTION("GOOGLETRANSLATE(B6922)"),"暴風雪")</f>
        <v>暴風雪</v>
      </c>
    </row>
    <row r="6923" ht="15.75" customHeight="1">
      <c r="A6923" s="4">
        <v>8906.0</v>
      </c>
      <c r="B6923" s="4" t="s">
        <v>3988</v>
      </c>
      <c r="C6923" s="4" t="s">
        <v>10088</v>
      </c>
      <c r="D6923" s="4" t="s">
        <v>10089</v>
      </c>
      <c r="E6923" s="4">
        <v>0.0</v>
      </c>
      <c r="F6923" s="4" t="str">
        <f>IFERROR(__xludf.DUMMYFUNCTION("GOOGLETRANSLATE(D6923)"),"你是我被淨化的暴風雪。蒼白月光下最黑暗的童話。")</f>
        <v>你是我被淨化的暴風雪。蒼白月光下最黑暗的童話。</v>
      </c>
      <c r="G6923" s="4" t="str">
        <f>IFERROR(__xludf.DUMMYFUNCTION("GOOGLETRANSLATE(B6923)"),"暴風雪")</f>
        <v>暴風雪</v>
      </c>
    </row>
    <row r="6924" ht="15.75" customHeight="1">
      <c r="A6924" s="4">
        <v>8907.0</v>
      </c>
      <c r="B6924" s="4" t="s">
        <v>3988</v>
      </c>
      <c r="C6924" s="4" t="s">
        <v>291</v>
      </c>
      <c r="D6924" s="4" t="s">
        <v>10090</v>
      </c>
      <c r="E6924" s="4">
        <v>0.0</v>
      </c>
      <c r="F6924" s="4" t="str">
        <f>IFERROR(__xludf.DUMMYFUNCTION("GOOGLETRANSLATE(D6924)"),"迷你拉拉樂西娃娃種子旭日六月海濱毛衣暴風雪秋季香料 - 完整 reÛ_ http://t.co/nyty7fCQo6 http://t.co/hyypsPN0yQ")</f>
        <v>迷你拉拉樂西娃娃種子旭日六月海濱毛衣暴風雪秋季香料 - 完整 reÛ_ http://t.co/nyty7fCQo6 http://t.co/hyypsPN0yQ</v>
      </c>
      <c r="G6924" s="4" t="str">
        <f>IFERROR(__xludf.DUMMYFUNCTION("GOOGLETRANSLATE(B6924)"),"暴風雪")</f>
        <v>暴風雪</v>
      </c>
    </row>
    <row r="6925" ht="15.75" customHeight="1">
      <c r="A6925" s="4">
        <v>8912.0</v>
      </c>
      <c r="B6925" s="4" t="s">
        <v>3988</v>
      </c>
      <c r="C6925" s="4" t="s">
        <v>3991</v>
      </c>
      <c r="D6925" s="4" t="s">
        <v>10091</v>
      </c>
      <c r="E6925" s="4">
        <v>0.0</v>
      </c>
      <c r="F6925" s="4" t="str">
        <f>IFERROR(__xludf.DUMMYFUNCTION("GOOGLETRANSLATE(D6925)"),"時髦的城市女孩鄉村猛男被困在大煙山暴風雪中 #AoMS http://t.co/ZDJ2hyF6RO #ibooklove #bookboost")</f>
        <v>時髦的城市女孩鄉村猛男被困在大煙山暴風雪中 #AoMS http://t.co/ZDJ2hyF6RO #ibooklove #bookboost</v>
      </c>
      <c r="G6925" s="4" t="str">
        <f>IFERROR(__xludf.DUMMYFUNCTION("GOOGLETRANSLATE(B6925)"),"暴風雪")</f>
        <v>暴風雪</v>
      </c>
    </row>
    <row r="6926" ht="15.75" customHeight="1">
      <c r="A6926" s="4">
        <v>8914.0</v>
      </c>
      <c r="B6926" s="4" t="s">
        <v>3988</v>
      </c>
      <c r="C6926" s="4" t="s">
        <v>183</v>
      </c>
      <c r="D6926" s="4" t="s">
        <v>10092</v>
      </c>
      <c r="E6926" s="4">
        <v>0.0</v>
      </c>
      <c r="F6926" s="4" t="str">
        <f>IFERROR(__xludf.DUMMYFUNCTION("GOOGLETRANSLATE(D6926)"),"您能列出倫敦 #TubeStrike 比暴風雪更好的 5 個理由嗎？閱讀這裡... http://t.co/PNaQXPrweg")</f>
        <v>您能列出倫敦 #TubeStrike 比暴風雪更好的 5 個理由嗎？閱讀這裡... http://t.co/PNaQXPrweg</v>
      </c>
      <c r="G6926" s="4" t="str">
        <f>IFERROR(__xludf.DUMMYFUNCTION("GOOGLETRANSLATE(B6926)"),"暴風雪")</f>
        <v>暴風雪</v>
      </c>
    </row>
    <row r="6927" ht="15.75" customHeight="1">
      <c r="A6927" s="4">
        <v>8920.0</v>
      </c>
      <c r="B6927" s="4" t="s">
        <v>3988</v>
      </c>
      <c r="C6927" s="4" t="s">
        <v>10093</v>
      </c>
      <c r="D6927" s="4" t="s">
        <v>10094</v>
      </c>
      <c r="E6927" s="4">
        <v>0.0</v>
      </c>
      <c r="F6927" s="4" t="str">
        <f>IFERROR(__xludf.DUMMYFUNCTION("GOOGLETRANSLATE(D6927)"),"@CacheAdvance 除了令人討厭的雷暴或暴風雪之外。不能說我有。")</f>
        <v>@CacheAdvance 除了令人討厭的雷暴或暴風雪之外。不能說我有。</v>
      </c>
      <c r="G6927" s="4" t="str">
        <f>IFERROR(__xludf.DUMMYFUNCTION("GOOGLETRANSLATE(B6927)"),"暴風雪")</f>
        <v>暴風雪</v>
      </c>
    </row>
    <row r="6928" ht="15.75" customHeight="1">
      <c r="A6928" s="4">
        <v>8921.0</v>
      </c>
      <c r="B6928" s="4" t="s">
        <v>3988</v>
      </c>
      <c r="C6928" s="4" t="s">
        <v>923</v>
      </c>
      <c r="D6928" s="4" t="s">
        <v>10095</v>
      </c>
      <c r="E6928" s="4">
        <v>0.0</v>
      </c>
      <c r="F6928" s="4" t="str">
        <f>IFERROR(__xludf.DUMMYFUNCTION("GOOGLETRANSLATE(D6928)"),"“比弗雷迪傑克遜在暴風雪中喝奶昔還要酷”")</f>
        <v>“比弗雷迪傑克遜在暴風雪中喝奶昔還要酷”</v>
      </c>
      <c r="G6928" s="4" t="str">
        <f>IFERROR(__xludf.DUMMYFUNCTION("GOOGLETRANSLATE(B6928)"),"暴風雪")</f>
        <v>暴風雪</v>
      </c>
    </row>
    <row r="6929" ht="15.75" customHeight="1">
      <c r="A6929" s="4">
        <v>8927.0</v>
      </c>
      <c r="B6929" s="4" t="s">
        <v>3988</v>
      </c>
      <c r="C6929" s="4" t="s">
        <v>10096</v>
      </c>
      <c r="D6929" s="4" t="s">
        <v>10097</v>
      </c>
      <c r="E6929" s="4">
        <v>0.0</v>
      </c>
      <c r="F6929" s="4" t="str">
        <f>IFERROR(__xludf.DUMMYFUNCTION("GOOGLETRANSLATE(D6929)"),"在酒吧搭訕一個男人就像一場暴風雪，你永遠不知道他什麼時候會來，你會走多少英寸，或者他會停留多久。")</f>
        <v>在酒吧搭訕一個男人就像一場暴風雪，你永遠不知道他什麼時候會來，你會走多少英寸，或者他會停留多久。</v>
      </c>
      <c r="G6929" s="4" t="str">
        <f>IFERROR(__xludf.DUMMYFUNCTION("GOOGLETRANSLATE(B6929)"),"暴風雪")</f>
        <v>暴風雪</v>
      </c>
    </row>
    <row r="6930" ht="15.75" customHeight="1">
      <c r="A6930" s="4">
        <v>8931.0</v>
      </c>
      <c r="B6930" s="4" t="s">
        <v>3988</v>
      </c>
      <c r="C6930" s="4" t="s">
        <v>10098</v>
      </c>
      <c r="D6930" s="4" t="s">
        <v>10099</v>
      </c>
      <c r="E6930" s="4">
        <v>0.0</v>
      </c>
      <c r="F6930" s="4" t="str">
        <f>IFERROR(__xludf.DUMMYFUNCTION("GOOGLETRANSLATE(D6930)"),"#NowPlaying 暴風雪前的最後一縷煙，作者：Benjamin Francis Leftwich - 希望新專輯即將推出:)？ http://t.co/5kjy8G0i4y")</f>
        <v>#NowPlaying 暴風雪前的最後一縷煙，作者：Benjamin Francis Leftwich - 希望新專輯即將推出:)？ http://t.co/5kjy8G0i4y</v>
      </c>
      <c r="G6930" s="4" t="str">
        <f>IFERROR(__xludf.DUMMYFUNCTION("GOOGLETRANSLATE(B6930)"),"暴風雪")</f>
        <v>暴風雪</v>
      </c>
    </row>
    <row r="6931" ht="15.75" customHeight="1">
      <c r="A6931" s="4">
        <v>8933.0</v>
      </c>
      <c r="B6931" s="4" t="s">
        <v>3988</v>
      </c>
      <c r="C6931" s="4" t="s">
        <v>10100</v>
      </c>
      <c r="D6931" s="4" t="s">
        <v>10101</v>
      </c>
      <c r="E6931" s="4">
        <v>0.0</v>
      </c>
      <c r="F6931" s="4" t="str">
        <f>IFERROR(__xludf.DUMMYFUNCTION("GOOGLETRANSLATE(D6931)"),"暴風雪中的新 #photo 橡樹 http://t.co/JhSCGDA2G8 在 #SouthDowns #Hampshire #Winter #photography #art #tree #treescape #treeporn")</f>
        <v>暴風雪中的新 #photo 橡樹 http://t.co/JhSCGDA2G8 在 #SouthDowns #Hampshire #Winter #photography #art #tree #treescape #treeporn</v>
      </c>
      <c r="G6931" s="4" t="str">
        <f>IFERROR(__xludf.DUMMYFUNCTION("GOOGLETRANSLATE(B6931)"),"暴風雪")</f>
        <v>暴風雪</v>
      </c>
    </row>
    <row r="6932" ht="15.75" customHeight="1">
      <c r="A6932" s="4">
        <v>8938.0</v>
      </c>
      <c r="B6932" s="4" t="s">
        <v>3988</v>
      </c>
      <c r="C6932" s="4" t="s">
        <v>10102</v>
      </c>
      <c r="D6932" s="4" t="s">
        <v>10103</v>
      </c>
      <c r="E6932" s="4">
        <v>0.0</v>
      </c>
      <c r="F6932" s="4" t="str">
        <f>IFERROR(__xludf.DUMMYFUNCTION("GOOGLETRANSLATE(D6932)"),"LRT 參考歌詞聽 Big Boi 解釋為什麼他像 ÛÛsippin¤Ûª a milkshake in a Snowstorm' 蹩腳的酒吧但在當時很有效")</f>
        <v>LRT 參考歌詞聽 Big Boi 解釋為什麼他像 ÛÛsippin¤Ûª a milkshake in a Snowstorm' 蹩腳的酒吧但在當時很有效</v>
      </c>
      <c r="G6932" s="4" t="str">
        <f>IFERROR(__xludf.DUMMYFUNCTION("GOOGLETRANSLATE(B6932)"),"暴風雪")</f>
        <v>暴風雪</v>
      </c>
    </row>
    <row r="6933" ht="15.75" customHeight="1">
      <c r="A6933" s="4">
        <v>8941.0</v>
      </c>
      <c r="B6933" s="4" t="s">
        <v>3988</v>
      </c>
      <c r="C6933" s="4" t="s">
        <v>3480</v>
      </c>
      <c r="D6933" s="4" t="s">
        <v>10104</v>
      </c>
      <c r="E6933" s="4">
        <v>0.0</v>
      </c>
      <c r="F6933" s="4" t="str">
        <f>IFERROR(__xludf.DUMMYFUNCTION("GOOGLETRANSLATE(D6933)"),"今晚 #Rome's St Mary Major 外計劃暴風雪 - 一年一度的人造雪，紀念公元 358 年同一地點的夏季雪。")</f>
        <v>今晚 #Rome's St Mary Major 外計劃暴風雪 - 一年一度的人造雪，紀念公元 358 年同一地點的夏季雪。</v>
      </c>
      <c r="G6933" s="4" t="str">
        <f>IFERROR(__xludf.DUMMYFUNCTION("GOOGLETRANSLATE(B6933)"),"暴風雪")</f>
        <v>暴風雪</v>
      </c>
    </row>
    <row r="6934" ht="15.75" customHeight="1">
      <c r="A6934" s="4">
        <v>8942.0</v>
      </c>
      <c r="B6934" s="4" t="s">
        <v>4009</v>
      </c>
      <c r="D6934" s="4" t="s">
        <v>10105</v>
      </c>
      <c r="E6934" s="4">
        <v>0.0</v>
      </c>
      <c r="F6934" s="4" t="str">
        <f>IFERROR(__xludf.DUMMYFUNCTION("GOOGLETRANSLATE(D6934)"),"終於迎來了一場暴風雨")</f>
        <v>終於迎來了一場暴風雨</v>
      </c>
      <c r="G6934" s="4" t="str">
        <f>IFERROR(__xludf.DUMMYFUNCTION("GOOGLETRANSLATE(B6934)"),"風暴")</f>
        <v>風暴</v>
      </c>
    </row>
    <row r="6935" ht="15.75" customHeight="1">
      <c r="A6935" s="4">
        <v>8944.0</v>
      </c>
      <c r="B6935" s="4" t="s">
        <v>4009</v>
      </c>
      <c r="D6935" s="4" t="s">
        <v>10106</v>
      </c>
      <c r="E6935" s="4">
        <v>0.0</v>
      </c>
      <c r="F6935" s="4" t="str">
        <f>IFERROR(__xludf.DUMMYFUNCTION("GOOGLETRANSLATE(D6935)"),"#gamefeed 受《魔獸爭霸 3》啟發的模式可能會衝擊《風暴英雄》：讓我們回到開頭。 http://t.co/gx1kZ3C2Tc #VideoGame")</f>
        <v>#gamefeed 受《魔獸爭霸 3》啟發的模式可能會衝擊《風暴英雄》：讓我們回到開頭。 http://t.co/gx1kZ3C2Tc #VideoGame</v>
      </c>
      <c r="G6935" s="4" t="str">
        <f>IFERROR(__xludf.DUMMYFUNCTION("GOOGLETRANSLATE(B6935)"),"風暴")</f>
        <v>風暴</v>
      </c>
    </row>
    <row r="6936" ht="15.75" customHeight="1">
      <c r="A6936" s="4">
        <v>8947.0</v>
      </c>
      <c r="B6936" s="4" t="s">
        <v>4009</v>
      </c>
      <c r="C6936" s="4" t="s">
        <v>5023</v>
      </c>
      <c r="D6936" s="4" t="s">
        <v>10107</v>
      </c>
      <c r="E6936" s="4">
        <v>0.0</v>
      </c>
      <c r="F6936" s="4" t="str">
        <f>IFERROR(__xludf.DUMMYFUNCTION("GOOGLETRANSLATE(D6936)"),"omfg……我又醒了……")</f>
        <v>omfg……我又醒了……</v>
      </c>
      <c r="G6936" s="4" t="str">
        <f>IFERROR(__xludf.DUMMYFUNCTION("GOOGLETRANSLATE(B6936)"),"風暴")</f>
        <v>風暴</v>
      </c>
    </row>
    <row r="6937" ht="15.75" customHeight="1">
      <c r="A6937" s="4">
        <v>8948.0</v>
      </c>
      <c r="B6937" s="4" t="s">
        <v>4009</v>
      </c>
      <c r="D6937" s="4" t="s">
        <v>10108</v>
      </c>
      <c r="E6937" s="4">
        <v>0.0</v>
      </c>
      <c r="F6937" s="4" t="str">
        <f>IFERROR(__xludf.DUMMYFUNCTION("GOOGLETRANSLATE(D6937)"),"eBay 新上英國星際大戰衝鋒隊流行！乙烯基搖頭公仔 POP Funko http://t.co/KJbXIeypma http://t.co/ENPjCfMa8L")</f>
        <v>eBay 新上英國星際大戰衝鋒隊流行！乙烯基搖頭公仔 POP Funko http://t.co/KJbXIeypma http://t.co/ENPjCfMa8L</v>
      </c>
      <c r="G6937" s="4" t="str">
        <f>IFERROR(__xludf.DUMMYFUNCTION("GOOGLETRANSLATE(B6937)"),"風暴")</f>
        <v>風暴</v>
      </c>
    </row>
    <row r="6938" ht="15.75" customHeight="1">
      <c r="A6938" s="4">
        <v>8955.0</v>
      </c>
      <c r="B6938" s="4" t="s">
        <v>4009</v>
      </c>
      <c r="C6938" s="4" t="s">
        <v>10109</v>
      </c>
      <c r="D6938" s="4" t="s">
        <v>10110</v>
      </c>
      <c r="E6938" s="4">
        <v>0.0</v>
      </c>
      <c r="F6938" s="4" t="str">
        <f>IFERROR(__xludf.DUMMYFUNCTION("GOOGLETRANSLATE(D6938)"),"RT @tonyhsieh：“在雨中與你共舞的人很可能會在暴風雨中與你同行。” -匿名的")</f>
        <v>RT @tonyhsieh：“在雨中與你共舞的人很可能會在暴風雨中與你同行。” -匿名的</v>
      </c>
      <c r="G6938" s="4" t="str">
        <f>IFERROR(__xludf.DUMMYFUNCTION("GOOGLETRANSLATE(B6938)"),"風暴")</f>
        <v>風暴</v>
      </c>
    </row>
    <row r="6939" ht="15.75" customHeight="1">
      <c r="A6939" s="4">
        <v>8956.0</v>
      </c>
      <c r="B6939" s="4" t="s">
        <v>4009</v>
      </c>
      <c r="D6939" s="4" t="s">
        <v>10111</v>
      </c>
      <c r="E6939" s="4">
        <v>0.0</v>
      </c>
      <c r="F6939" s="4" t="str">
        <f>IFERROR(__xludf.DUMMYFUNCTION("GOOGLETRANSLATE(D6939)"),"風暴漩渦的秘密閃電捕手書Û_：http://t.co/OIyWrzL79Z。")</f>
        <v>風暴漩渦的秘密閃電捕手書Û_：http://t.co/OIyWrzL79Z。</v>
      </c>
      <c r="G6939" s="4" t="str">
        <f>IFERROR(__xludf.DUMMYFUNCTION("GOOGLETRANSLATE(B6939)"),"風暴")</f>
        <v>風暴</v>
      </c>
    </row>
    <row r="6940" ht="15.75" customHeight="1">
      <c r="A6940" s="4">
        <v>8962.0</v>
      </c>
      <c r="B6940" s="4" t="s">
        <v>4009</v>
      </c>
      <c r="C6940" s="4" t="s">
        <v>10112</v>
      </c>
      <c r="D6940" s="4" t="s">
        <v>10113</v>
      </c>
      <c r="E6940" s="4">
        <v>0.0</v>
      </c>
      <c r="F6940" s="4" t="str">
        <f>IFERROR(__xludf.DUMMYFUNCTION("GOOGLETRANSLATE(D6940)"),"沒關係，我歡迎下雨。
給了你所有你能承受的風暴。")</f>
        <v>沒關係，我歡迎下雨。
給了你所有你能承受的風暴。</v>
      </c>
      <c r="G6940" s="4" t="str">
        <f>IFERROR(__xludf.DUMMYFUNCTION("GOOGLETRANSLATE(B6940)"),"風暴")</f>
        <v>風暴</v>
      </c>
    </row>
    <row r="6941" ht="15.75" customHeight="1">
      <c r="A6941" s="4">
        <v>8963.0</v>
      </c>
      <c r="B6941" s="4" t="s">
        <v>4009</v>
      </c>
      <c r="D6941" s="4" t="s">
        <v>10114</v>
      </c>
      <c r="E6941" s="4">
        <v>0.0</v>
      </c>
      <c r="F6941" s="4" t="str">
        <f>IFERROR(__xludf.DUMMYFUNCTION("GOOGLETRANSLATE(D6941)"),"Nike Golf Storm Fit 高爾夫外套黑色中型 http://t.co/jvAI5Vkmsy：#SportingGoods http://t.co/Nr8JjmpmoS")</f>
        <v>Nike Golf Storm Fit 高爾夫外套黑色中型 http://t.co/jvAI5Vkmsy：#SportingGoods http://t.co/Nr8JjmpmoS</v>
      </c>
      <c r="G6941" s="4" t="str">
        <f>IFERROR(__xludf.DUMMYFUNCTION("GOOGLETRANSLATE(B6941)"),"風暴")</f>
        <v>風暴</v>
      </c>
    </row>
    <row r="6942" ht="15.75" customHeight="1">
      <c r="A6942" s="4">
        <v>8965.0</v>
      </c>
      <c r="B6942" s="4" t="s">
        <v>4009</v>
      </c>
      <c r="C6942" s="4" t="s">
        <v>10115</v>
      </c>
      <c r="D6942" s="4" t="s">
        <v>10116</v>
      </c>
      <c r="E6942" s="4">
        <v>0.0</v>
      </c>
      <c r="F6942" s="4" t="str">
        <f>IFERROR(__xludf.DUMMYFUNCTION("GOOGLETRANSLATE(D6942)"),"每次我買了一個包包，我就覺得我的生命還剩下3天了。")</f>
        <v>每次我買了一個包包，我就覺得我的生命還剩下3天了。</v>
      </c>
      <c r="G6942" s="4" t="str">
        <f>IFERROR(__xludf.DUMMYFUNCTION("GOOGLETRANSLATE(B6942)"),"風暴")</f>
        <v>風暴</v>
      </c>
    </row>
    <row r="6943" ht="15.75" customHeight="1">
      <c r="A6943" s="4">
        <v>8967.0</v>
      </c>
      <c r="B6943" s="4" t="s">
        <v>4009</v>
      </c>
      <c r="C6943" s="4" t="s">
        <v>76</v>
      </c>
      <c r="D6943" s="4" t="s">
        <v>10117</v>
      </c>
      <c r="E6943" s="4">
        <v>0.0</v>
      </c>
      <c r="F6943" s="4" t="str">
        <f>IFERROR(__xludf.DUMMYFUNCTION("GOOGLETRANSLATE(D6943)"),"新產品： 枕頭套 任何尺寸 枕頭套 灰色枕頭 枕頭 Premier Prints Lulu Storm Grey by MyPillowStudio Û_ http://t.co/M4pqkKeEVC")</f>
        <v>新產品： 枕頭套 任何尺寸 枕頭套 灰色枕頭 枕頭 Premier Prints Lulu Storm Grey by MyPillowStudio Û_ http://t.co/M4pqkKeEVC</v>
      </c>
      <c r="G6943" s="4" t="str">
        <f>IFERROR(__xludf.DUMMYFUNCTION("GOOGLETRANSLATE(B6943)"),"風暴")</f>
        <v>風暴</v>
      </c>
    </row>
    <row r="6944" ht="15.75" customHeight="1">
      <c r="A6944" s="4">
        <v>8968.0</v>
      </c>
      <c r="B6944" s="4" t="s">
        <v>4009</v>
      </c>
      <c r="C6944" s="4" t="s">
        <v>10118</v>
      </c>
      <c r="D6944" s="4" t="s">
        <v>10119</v>
      </c>
      <c r="E6944" s="4">
        <v>0.0</v>
      </c>
      <c r="F6944" s="4" t="str">
        <f>IFERROR(__xludf.DUMMYFUNCTION("GOOGLETRANSLATE(D6944)"),"這場風暴？？？")</f>
        <v>這場風暴？？？</v>
      </c>
      <c r="G6944" s="4" t="str">
        <f>IFERROR(__xludf.DUMMYFUNCTION("GOOGLETRANSLATE(B6944)"),"風暴")</f>
        <v>風暴</v>
      </c>
    </row>
    <row r="6945" ht="15.75" customHeight="1">
      <c r="A6945" s="4">
        <v>8969.0</v>
      </c>
      <c r="B6945" s="4" t="s">
        <v>4009</v>
      </c>
      <c r="C6945" s="4" t="s">
        <v>10120</v>
      </c>
      <c r="D6945" s="4" t="s">
        <v>10121</v>
      </c>
      <c r="E6945" s="4">
        <v>0.0</v>
      </c>
      <c r="F6945" s="4" t="str">
        <f>IFERROR(__xludf.DUMMYFUNCTION("GOOGLETRANSLATE(D6945)"),"@johngreen 風暴與沉默 by @RobThier_EN")</f>
        <v>@johngreen 風暴與沉默 by @RobThier_EN</v>
      </c>
      <c r="G6945" s="4" t="str">
        <f>IFERROR(__xludf.DUMMYFUNCTION("GOOGLETRANSLATE(B6945)"),"風暴")</f>
        <v>風暴</v>
      </c>
    </row>
    <row r="6946" ht="15.75" customHeight="1">
      <c r="A6946" s="4">
        <v>8970.0</v>
      </c>
      <c r="B6946" s="4" t="s">
        <v>4009</v>
      </c>
      <c r="D6946" s="4" t="s">
        <v>10122</v>
      </c>
      <c r="E6946" s="4">
        <v>0.0</v>
      </c>
      <c r="F6946" s="4" t="str">
        <f>IFERROR(__xludf.DUMMYFUNCTION("GOOGLETRANSLATE(D6946)"),"《風暴英雄》可能會出現受《魔獸爭霸 3》啟發的模式 http://t.co/wz55NBYAO3 http://t.co/L7pMDmeJs1 http://t.co/mDP2nI1pQU")</f>
        <v>《風暴英雄》可能會出現受《魔獸爭霸 3》啟發的模式 http://t.co/wz55NBYAO3 http://t.co/L7pMDmeJs1 http://t.co/mDP2nI1pQU</v>
      </c>
      <c r="G6946" s="4" t="str">
        <f>IFERROR(__xludf.DUMMYFUNCTION("GOOGLETRANSLATE(B6946)"),"風暴")</f>
        <v>風暴</v>
      </c>
    </row>
    <row r="6947" ht="15.75" customHeight="1">
      <c r="A6947" s="4">
        <v>8973.0</v>
      </c>
      <c r="B6947" s="4" t="s">
        <v>4009</v>
      </c>
      <c r="C6947" s="4" t="s">
        <v>10123</v>
      </c>
      <c r="D6947" s="4" t="s">
        <v>10124</v>
      </c>
      <c r="E6947" s="4">
        <v>0.0</v>
      </c>
      <c r="F6947" s="4" t="str">
        <f>IFERROR(__xludf.DUMMYFUNCTION("GOOGLETRANSLATE(D6947)"),"芬娜風暴。他媽的我的背開始像男同工一樣痛？？？？？？")</f>
        <v>芬娜風暴。他媽的我的背開始像男同工一樣痛？？？？？？</v>
      </c>
      <c r="G6947" s="4" t="str">
        <f>IFERROR(__xludf.DUMMYFUNCTION("GOOGLETRANSLATE(B6947)"),"風暴")</f>
        <v>風暴</v>
      </c>
    </row>
    <row r="6948" ht="15.75" customHeight="1">
      <c r="A6948" s="4">
        <v>8978.0</v>
      </c>
      <c r="B6948" s="4" t="s">
        <v>4009</v>
      </c>
      <c r="C6948" s="4" t="s">
        <v>10125</v>
      </c>
      <c r="D6948" s="4" t="s">
        <v>10126</v>
      </c>
      <c r="E6948" s="4">
        <v>0.0</v>
      </c>
      <c r="F6948" s="4" t="str">
        <f>IFERROR(__xludf.DUMMYFUNCTION("GOOGLETRANSLATE(D6948)"),"冰淇淋+蛋糕大戰+風暴=內容薩拉")</f>
        <v>冰淇淋+蛋糕大戰+風暴=內容薩拉</v>
      </c>
      <c r="G6948" s="4" t="str">
        <f>IFERROR(__xludf.DUMMYFUNCTION("GOOGLETRANSLATE(B6948)"),"風暴")</f>
        <v>風暴</v>
      </c>
    </row>
    <row r="6949" ht="15.75" customHeight="1">
      <c r="A6949" s="4">
        <v>8980.0</v>
      </c>
      <c r="B6949" s="4" t="s">
        <v>4009</v>
      </c>
      <c r="C6949" s="4" t="s">
        <v>10127</v>
      </c>
      <c r="D6949" s="4" t="s">
        <v>10128</v>
      </c>
      <c r="E6949" s="4">
        <v>0.0</v>
      </c>
      <c r="F6949" s="4" t="str">
        <f>IFERROR(__xludf.DUMMYFUNCTION("GOOGLETRANSLATE(D6949)"),"天空晴朗，暴風雨已經過去，但我的腦海裡仍在下雨")</f>
        <v>天空晴朗，暴風雨已經過去，但我的腦海裡仍在下雨</v>
      </c>
      <c r="G6949" s="4" t="str">
        <f>IFERROR(__xludf.DUMMYFUNCTION("GOOGLETRANSLATE(B6949)"),"風暴")</f>
        <v>風暴</v>
      </c>
    </row>
    <row r="6950" ht="15.75" customHeight="1">
      <c r="A6950" s="4">
        <v>8983.0</v>
      </c>
      <c r="B6950" s="4" t="s">
        <v>4009</v>
      </c>
      <c r="C6950" s="4" t="s">
        <v>10129</v>
      </c>
      <c r="D6950" s="4" t="s">
        <v>10130</v>
      </c>
      <c r="E6950" s="4">
        <v>0.0</v>
      </c>
      <c r="F6950" s="4" t="str">
        <f>IFERROR(__xludf.DUMMYFUNCTION("GOOGLETRANSLATE(D6950)"),"生日快樂@lesley_mariiee ??我非常想念你&amp;amp;我希望你生日快樂！？？？？")</f>
        <v>生日快樂@lesley_mariiee ??我非常想念你&amp;amp;我希望你生日快樂！？？？？</v>
      </c>
      <c r="G6950" s="4" t="str">
        <f>IFERROR(__xludf.DUMMYFUNCTION("GOOGLETRANSLATE(B6950)"),"風暴")</f>
        <v>風暴</v>
      </c>
    </row>
    <row r="6951" ht="15.75" customHeight="1">
      <c r="A6951" s="4">
        <v>8992.0</v>
      </c>
      <c r="B6951" s="4" t="s">
        <v>4036</v>
      </c>
      <c r="C6951" s="4" t="s">
        <v>10131</v>
      </c>
      <c r="D6951" s="4" t="s">
        <v>10132</v>
      </c>
      <c r="E6951" s="4">
        <v>0.0</v>
      </c>
      <c r="F6951" s="4" t="str">
        <f>IFERROR(__xludf.DUMMYFUNCTION("GOOGLETRANSLATE(D6951)"),"快來找醫生吧，我覺得自己很窮。有人來抬擔架
在我落地之前")</f>
        <v>快來找醫生吧，我覺得自己很窮。有人來抬擔架
在我落地之前</v>
      </c>
      <c r="G6951" s="4" t="str">
        <f>IFERROR(__xludf.DUMMYFUNCTION("GOOGLETRANSLATE(B6951)"),"擔架")</f>
        <v>擔架</v>
      </c>
    </row>
    <row r="6952" ht="15.75" customHeight="1">
      <c r="A6952" s="4">
        <v>8993.0</v>
      </c>
      <c r="B6952" s="4" t="s">
        <v>4036</v>
      </c>
      <c r="D6952" s="4" t="s">
        <v>10133</v>
      </c>
      <c r="E6952" s="4">
        <v>0.0</v>
      </c>
      <c r="F6952" s="4" t="str">
        <f>IFERROR(__xludf.DUMMYFUNCTION("GOOGLETRANSLATE(D6952)"),"@Coach_Keith44 @HannoMottola @TRPreston01 @mlrydalch 不，但是擔架就更好了。")</f>
        <v>@Coach_Keith44 @HannoMottola @TRPreston01 @mlrydalch 不，但是擔架就更好了。</v>
      </c>
      <c r="G6952" s="4" t="str">
        <f>IFERROR(__xludf.DUMMYFUNCTION("GOOGLETRANSLATE(B6952)"),"擔架")</f>
        <v>擔架</v>
      </c>
    </row>
    <row r="6953" ht="15.75" customHeight="1">
      <c r="A6953" s="4">
        <v>8994.0</v>
      </c>
      <c r="B6953" s="4" t="s">
        <v>4036</v>
      </c>
      <c r="D6953" s="4" t="s">
        <v>10134</v>
      </c>
      <c r="E6953" s="4">
        <v>0.0</v>
      </c>
      <c r="F6953" s="4" t="str">
        <f>IFERROR(__xludf.DUMMYFUNCTION("GOOGLETRANSLATE(D6953)"),"免費 eBay 狙擊 RT？ http://t.co/B231Ul1O1K 腰部延長器背部擔架狀況良好！ ?請收藏&amp;分享")</f>
        <v>免費 eBay 狙擊 RT？ http://t.co/B231Ul1O1K 腰部延長器背部擔架狀況良好！ ?請收藏&amp;分享</v>
      </c>
      <c r="G6953" s="4" t="str">
        <f>IFERROR(__xludf.DUMMYFUNCTION("GOOGLETRANSLATE(B6953)"),"擔架")</f>
        <v>擔架</v>
      </c>
    </row>
    <row r="6954" ht="15.75" customHeight="1">
      <c r="A6954" s="4">
        <v>8996.0</v>
      </c>
      <c r="B6954" s="4" t="s">
        <v>4036</v>
      </c>
      <c r="C6954" s="4" t="s">
        <v>10135</v>
      </c>
      <c r="D6954" s="4" t="s">
        <v>10136</v>
      </c>
      <c r="E6954" s="4">
        <v>0.0</v>
      </c>
      <c r="F6954" s="4" t="str">
        <f>IFERROR(__xludf.DUMMYFUNCTION("GOOGLETRANSLATE(D6954)"),"@Stretcher @invalid @Grazed @Rexyy @Towel 我看到了該程式（：")</f>
        <v>@Stretcher @invalid @Grazed @Rexyy @Towel 我看到了該程式（：</v>
      </c>
      <c r="G6954" s="4" t="str">
        <f>IFERROR(__xludf.DUMMYFUNCTION("GOOGLETRANSLATE(B6954)"),"擔架")</f>
        <v>擔架</v>
      </c>
    </row>
    <row r="6955" ht="15.75" customHeight="1">
      <c r="A6955" s="4">
        <v>8998.0</v>
      </c>
      <c r="B6955" s="4" t="s">
        <v>4036</v>
      </c>
      <c r="C6955" s="4" t="s">
        <v>4366</v>
      </c>
      <c r="D6955" s="4" t="s">
        <v>10137</v>
      </c>
      <c r="E6955" s="4">
        <v>0.0</v>
      </c>
      <c r="F6955" s="4" t="str">
        <f>IFERROR(__xludf.DUMMYFUNCTION("GOOGLETRANSLATE(D6955)"),"丹妮爾羅賓遜 (Danielle Robinson) 相撞後，丹休斯 (Dan Hughes) 被擔架抬下場 @OU_WBBall 希望他們都沒事，他多年來一直在主持一些比賽")</f>
        <v>丹妮爾羅賓遜 (Danielle Robinson) 相撞後，丹休斯 (Dan Hughes) 被擔架抬下場 @OU_WBBall 希望他們都沒事，他多年來一直在主持一些比賽</v>
      </c>
      <c r="G6955" s="4" t="str">
        <f>IFERROR(__xludf.DUMMYFUNCTION("GOOGLETRANSLATE(B6955)"),"擔架")</f>
        <v>擔架</v>
      </c>
    </row>
    <row r="6956" ht="15.75" customHeight="1">
      <c r="A6956" s="4">
        <v>8999.0</v>
      </c>
      <c r="B6956" s="4" t="s">
        <v>4036</v>
      </c>
      <c r="C6956" s="4" t="s">
        <v>1529</v>
      </c>
      <c r="D6956" s="4" t="s">
        <v>10138</v>
      </c>
      <c r="E6956" s="4">
        <v>0.0</v>
      </c>
      <c r="F6956" s="4" t="str">
        <f>IFERROR(__xludf.DUMMYFUNCTION("GOOGLETRANSLATE(D6956)"),"如果 EMS 中的每個人都能重新獲得工程學位和學位，FERNO 將不勝感激。檢查所有擔架部件。 http://t.co/GTEd6LDwho")</f>
        <v>如果 EMS 中的每個人都能重新獲得工程學位和學位，FERNO 將不勝感激。檢查所有擔架部件。 http://t.co/GTEd6LDwho</v>
      </c>
      <c r="G6956" s="4" t="str">
        <f>IFERROR(__xludf.DUMMYFUNCTION("GOOGLETRANSLATE(B6956)"),"擔架")</f>
        <v>擔架</v>
      </c>
    </row>
    <row r="6957" ht="15.75" customHeight="1">
      <c r="A6957" s="4">
        <v>9000.0</v>
      </c>
      <c r="B6957" s="4" t="s">
        <v>4036</v>
      </c>
      <c r="C6957" s="4" t="s">
        <v>10139</v>
      </c>
      <c r="D6957" s="4" t="s">
        <v>10140</v>
      </c>
      <c r="E6957" s="4">
        <v>0.0</v>
      </c>
      <c r="F6957" s="4" t="str">
        <f>IFERROR(__xludf.DUMMYFUNCTION("GOOGLETRANSLATE(D6957)"),"為吸血鬼抬出擔架。切入商業廣告並不是一個好兆頭。 #UltimaLucha #LuchaUnderground")</f>
        <v>為吸血鬼抬出擔架。切入商業廣告並不是一個好兆頭。 #UltimaLucha #LuchaUnderground</v>
      </c>
      <c r="G6957" s="4" t="str">
        <f>IFERROR(__xludf.DUMMYFUNCTION("GOOGLETRANSLATE(B6957)"),"擔架")</f>
        <v>擔架</v>
      </c>
    </row>
    <row r="6958" ht="15.75" customHeight="1">
      <c r="A6958" s="4">
        <v>9001.0</v>
      </c>
      <c r="B6958" s="4" t="s">
        <v>4036</v>
      </c>
      <c r="C6958" s="4" t="s">
        <v>2145</v>
      </c>
      <c r="D6958" s="4" t="s">
        <v>10141</v>
      </c>
      <c r="E6958" s="4">
        <v>0.0</v>
      </c>
      <c r="F6958" s="4" t="str">
        <f>IFERROR(__xludf.DUMMYFUNCTION("GOOGLETRANSLATE(D6958)"),"如何恢復乙烯基壁板並使其再次煥然一新 http://t.co/MHL7Pfr7kb http://t.co/lou8lbLA1f")</f>
        <v>如何恢復乙烯基壁板並使其再次煥然一新 http://t.co/MHL7Pfr7kb http://t.co/lou8lbLA1f</v>
      </c>
      <c r="G6958" s="4" t="str">
        <f>IFERROR(__xludf.DUMMYFUNCTION("GOOGLETRANSLATE(B6958)"),"擔架")</f>
        <v>擔架</v>
      </c>
    </row>
    <row r="6959" ht="15.75" customHeight="1">
      <c r="A6959" s="4">
        <v>9002.0</v>
      </c>
      <c r="B6959" s="4" t="s">
        <v>4036</v>
      </c>
      <c r="C6959" s="4" t="s">
        <v>10135</v>
      </c>
      <c r="D6959" s="4" t="s">
        <v>10142</v>
      </c>
      <c r="E6959" s="4">
        <v>0.0</v>
      </c>
      <c r="F6959" s="4" t="str">
        <f>IFERROR(__xludf.DUMMYFUNCTION("GOOGLETRANSLATE(D6959)"),"@Stretcher @Rexyy @invalid @Towel 我們生小孩吧？？！")</f>
        <v>@Stretcher @Rexyy @invalid @Towel 我們生小孩吧？？！</v>
      </c>
      <c r="G6959" s="4" t="str">
        <f>IFERROR(__xludf.DUMMYFUNCTION("GOOGLETRANSLATE(B6959)"),"擔架")</f>
        <v>擔架</v>
      </c>
    </row>
    <row r="6960" ht="15.75" customHeight="1">
      <c r="A6960" s="4">
        <v>9005.0</v>
      </c>
      <c r="B6960" s="4" t="s">
        <v>4036</v>
      </c>
      <c r="C6960" s="4" t="s">
        <v>10143</v>
      </c>
      <c r="D6960" s="4" t="s">
        <v>10144</v>
      </c>
      <c r="E6960" s="4">
        <v>0.0</v>
      </c>
      <c r="F6960" s="4" t="str">
        <f>IFERROR(__xludf.DUMMYFUNCTION("GOOGLETRANSLATE(D6960)"),"有機天然牛角擔架擴張器耳環身體首飾與部落繪畫... http://t.co/NvZdilRfgj http://t.co/u9Cd0txE7Z")</f>
        <v>有機天然牛角擔架擴張器耳環身體首飾與部落繪畫... http://t.co/NvZdilRfgj http://t.co/u9Cd0txE7Z</v>
      </c>
      <c r="G6960" s="4" t="str">
        <f>IFERROR(__xludf.DUMMYFUNCTION("GOOGLETRANSLATE(B6960)"),"擔架")</f>
        <v>擔架</v>
      </c>
    </row>
    <row r="6961" ht="15.75" customHeight="1">
      <c r="A6961" s="4">
        <v>9006.0</v>
      </c>
      <c r="B6961" s="4" t="s">
        <v>4036</v>
      </c>
      <c r="C6961" s="4" t="s">
        <v>10145</v>
      </c>
      <c r="D6961" s="4" t="s">
        <v>10146</v>
      </c>
      <c r="E6961" s="4">
        <v>0.0</v>
      </c>
      <c r="F6961" s="4" t="str">
        <f>IFERROR(__xludf.DUMMYFUNCTION("GOOGLETRANSLATE(D6961)"),"沒辦法！！！ 「擔架」的影片？！ @Ofentse_Tsie")</f>
        <v>沒辦法！！！ 「擔架」的影片？！ @Ofentse_Tsie</v>
      </c>
      <c r="G6961" s="4" t="str">
        <f>IFERROR(__xludf.DUMMYFUNCTION("GOOGLETRANSLATE(B6961)"),"擔架")</f>
        <v>擔架</v>
      </c>
    </row>
    <row r="6962" ht="15.75" customHeight="1">
      <c r="A6962" s="4">
        <v>9007.0</v>
      </c>
      <c r="B6962" s="4" t="s">
        <v>4036</v>
      </c>
      <c r="C6962" s="4" t="s">
        <v>10147</v>
      </c>
      <c r="D6962" s="4" t="s">
        <v>10148</v>
      </c>
      <c r="E6962" s="4">
        <v>0.0</v>
      </c>
      <c r="F6962" s="4" t="str">
        <f>IFERROR(__xludf.DUMMYFUNCTION("GOOGLETRANSLATE(D6962)"),"*新！* 5 分鐘內的擔架 https://t.co/q5MDsNbCMh（藤原俊一郎 2015-08-05）[技術]")</f>
        <v>*新！* 5 分鐘內的擔架 https://t.co/q5MDsNbCMh（藤原俊一郎 2015-08-05）[技術]</v>
      </c>
      <c r="G6962" s="4" t="str">
        <f>IFERROR(__xludf.DUMMYFUNCTION("GOOGLETRANSLATE(B6962)"),"擔架")</f>
        <v>擔架</v>
      </c>
    </row>
    <row r="6963" ht="15.75" customHeight="1">
      <c r="A6963" s="4">
        <v>9008.0</v>
      </c>
      <c r="B6963" s="4" t="s">
        <v>4036</v>
      </c>
      <c r="D6963" s="4" t="s">
        <v>10149</v>
      </c>
      <c r="E6963" s="4">
        <v>0.0</v>
      </c>
      <c r="F6963" s="4" t="str">
        <f>IFERROR(__xludf.DUMMYFUNCTION("GOOGLETRANSLATE(D6963)"),"@PLlolz @Grazed @Stretcher @invalid @witter @Towel 還是很多")</f>
        <v>@PLlolz @Grazed @Stretcher @invalid @witter @Towel 還是很多</v>
      </c>
      <c r="G6963" s="4" t="str">
        <f>IFERROR(__xludf.DUMMYFUNCTION("GOOGLETRANSLATE(B6963)"),"擔架")</f>
        <v>擔架</v>
      </c>
    </row>
    <row r="6964" ht="15.75" customHeight="1">
      <c r="A6964" s="4">
        <v>9009.0</v>
      </c>
      <c r="B6964" s="4" t="s">
        <v>4036</v>
      </c>
      <c r="D6964" s="4" t="s">
        <v>10150</v>
      </c>
      <c r="E6964" s="4">
        <v>0.0</v>
      </c>
      <c r="F6964" s="4" t="str">
        <f>IFERROR(__xludf.DUMMYFUNCTION("GOOGLETRANSLATE(D6964)"),"如何冷凍水果和蔬菜
http://t.co/MET0mtpr3S")</f>
        <v>如何冷凍水果和蔬菜
http://t.co/MET0mtpr3S</v>
      </c>
      <c r="G6964" s="4" t="str">
        <f>IFERROR(__xludf.DUMMYFUNCTION("GOOGLETRANSLATE(B6964)"),"擔架")</f>
        <v>擔架</v>
      </c>
    </row>
    <row r="6965" ht="15.75" customHeight="1">
      <c r="A6965" s="4">
        <v>9012.0</v>
      </c>
      <c r="B6965" s="4" t="s">
        <v>4036</v>
      </c>
      <c r="C6965" s="4" t="s">
        <v>2145</v>
      </c>
      <c r="D6965" s="4" t="s">
        <v>10151</v>
      </c>
      <c r="E6965" s="4">
        <v>0.0</v>
      </c>
      <c r="F6965" s="4" t="str">
        <f>IFERROR(__xludf.DUMMYFUNCTION("GOOGLETRANSLATE(D6965)"),"自製冷凍優格棒棒糖？你有幸製作它們嗎？ http://t.co/YzaZF4CEOa http://t.co/X5RC5Nuamh")</f>
        <v>自製冷凍優格棒棒糖？你有幸製作它們嗎？ http://t.co/YzaZF4CEOa http://t.co/X5RC5Nuamh</v>
      </c>
      <c r="G6965" s="4" t="str">
        <f>IFERROR(__xludf.DUMMYFUNCTION("GOOGLETRANSLATE(B6965)"),"擔架")</f>
        <v>擔架</v>
      </c>
    </row>
    <row r="6966" ht="15.75" customHeight="1">
      <c r="A6966" s="4">
        <v>9016.0</v>
      </c>
      <c r="B6966" s="4" t="s">
        <v>4036</v>
      </c>
      <c r="D6966" s="4" t="s">
        <v>10152</v>
      </c>
      <c r="E6966" s="4">
        <v>0.0</v>
      </c>
      <c r="F6966" s="4" t="str">
        <f>IFERROR(__xludf.DUMMYFUNCTION("GOOGLETRANSLATE(D6966)"),"如果擔架著火，「1pack 2pack 3pack」線路將處於危險狀態。")</f>
        <v>如果擔架著火，「1pack 2pack 3pack」線路將處於危險狀態。</v>
      </c>
      <c r="G6966" s="4" t="str">
        <f>IFERROR(__xludf.DUMMYFUNCTION("GOOGLETRANSLATE(B6966)"),"擔架")</f>
        <v>擔架</v>
      </c>
    </row>
    <row r="6967" ht="15.75" customHeight="1">
      <c r="A6967" s="4">
        <v>9018.0</v>
      </c>
      <c r="B6967" s="4" t="s">
        <v>4036</v>
      </c>
      <c r="D6967" s="4" t="s">
        <v>10153</v>
      </c>
      <c r="E6967" s="4">
        <v>0.0</v>
      </c>
      <c r="F6967" s="4" t="str">
        <f>IFERROR(__xludf.DUMMYFUNCTION("GOOGLETRANSLATE(D6967)"),"毛衣擔架 http://t.co/naTz5iPV1x http://t.co/leaEBy6cR2")</f>
        <v>毛衣擔架 http://t.co/naTz5iPV1x http://t.co/leaEBy6cR2</v>
      </c>
      <c r="G6967" s="4" t="str">
        <f>IFERROR(__xludf.DUMMYFUNCTION("GOOGLETRANSLATE(B6967)"),"擔架")</f>
        <v>擔架</v>
      </c>
    </row>
    <row r="6968" ht="15.75" customHeight="1">
      <c r="A6968" s="4">
        <v>9020.0</v>
      </c>
      <c r="B6968" s="4" t="s">
        <v>4036</v>
      </c>
      <c r="C6968" s="4" t="s">
        <v>10154</v>
      </c>
      <c r="D6968" s="4" t="s">
        <v>10155</v>
      </c>
      <c r="E6968" s="4">
        <v>0.0</v>
      </c>
      <c r="F6968" s="4" t="str">
        <f>IFERROR(__xludf.DUMMYFUNCTION("GOOGLETRANSLATE(D6968)"),"ÛÏ擔架 5 分鐘 // 揚聲器甲板Û http://t.co/fBLNiFda1C")</f>
        <v>ÛÏ擔架 5 分鐘 // 揚聲器甲板Û http://t.co/fBLNiFda1C</v>
      </c>
      <c r="G6968" s="4" t="str">
        <f>IFERROR(__xludf.DUMMYFUNCTION("GOOGLETRANSLATE(B6968)"),"擔架")</f>
        <v>擔架</v>
      </c>
    </row>
    <row r="6969" ht="15.75" customHeight="1">
      <c r="A6969" s="4">
        <v>9022.0</v>
      </c>
      <c r="B6969" s="4" t="s">
        <v>4036</v>
      </c>
      <c r="D6969" s="4" t="s">
        <v>10156</v>
      </c>
      <c r="E6969" s="4">
        <v>0.0</v>
      </c>
      <c r="F6969" s="4" t="str">
        <f>IFERROR(__xludf.DUMMYFUNCTION("GOOGLETRANSLATE(D6969)"),"@invalid @Grazed @Towel @Stretcher @PLlolz @witter 我無法停止")</f>
        <v>@invalid @Grazed @Towel @Stretcher @PLlolz @witter 我無法停止</v>
      </c>
      <c r="G6969" s="4" t="str">
        <f>IFERROR(__xludf.DUMMYFUNCTION("GOOGLETRANSLATE(B6969)"),"擔架")</f>
        <v>擔架</v>
      </c>
    </row>
    <row r="6970" ht="15.75" customHeight="1">
      <c r="A6970" s="4">
        <v>9023.0</v>
      </c>
      <c r="B6970" s="4" t="s">
        <v>4036</v>
      </c>
      <c r="C6970" s="4" t="s">
        <v>2642</v>
      </c>
      <c r="D6970" s="4" t="s">
        <v>10157</v>
      </c>
      <c r="E6970" s="4">
        <v>0.0</v>
      </c>
      <c r="F6970" s="4" t="str">
        <f>IFERROR(__xludf.DUMMYFUNCTION("GOOGLETRANSLATE(D6970)"),"我早該知道，在 2 小時的卡波耶拉課程之後我不會完成任何事情。擔架員！")</f>
        <v>我早該知道，在 2 小時的卡波耶拉課程之後我不會完成任何事情。擔架員！</v>
      </c>
      <c r="G6970" s="4" t="str">
        <f>IFERROR(__xludf.DUMMYFUNCTION("GOOGLETRANSLATE(B6970)"),"擔架")</f>
        <v>擔架</v>
      </c>
    </row>
    <row r="6971" ht="15.75" customHeight="1">
      <c r="A6971" s="4">
        <v>9025.0</v>
      </c>
      <c r="B6971" s="4" t="s">
        <v>4036</v>
      </c>
      <c r="C6971" s="4" t="s">
        <v>10135</v>
      </c>
      <c r="D6971" s="4" t="s">
        <v>10158</v>
      </c>
      <c r="E6971" s="4">
        <v>0.0</v>
      </c>
      <c r="F6971" s="4" t="str">
        <f>IFERROR(__xludf.DUMMYFUNCTION("GOOGLETRANSLATE(D6971)"),"@Grazed @invalid @Stretcher @Rexyy @Towel '本最愛'")</f>
        <v>@Grazed @invalid @Stretcher @Rexyy @Towel '本最愛'</v>
      </c>
      <c r="G6971" s="4" t="str">
        <f>IFERROR(__xludf.DUMMYFUNCTION("GOOGLETRANSLATE(B6971)"),"擔架")</f>
        <v>擔架</v>
      </c>
    </row>
    <row r="6972" ht="15.75" customHeight="1">
      <c r="A6972" s="4">
        <v>9026.0</v>
      </c>
      <c r="B6972" s="4" t="s">
        <v>4036</v>
      </c>
      <c r="C6972" s="4" t="s">
        <v>10159</v>
      </c>
      <c r="D6972" s="4" t="s">
        <v>10160</v>
      </c>
      <c r="E6972" s="4">
        <v>0.0</v>
      </c>
      <c r="F6972" s="4" t="str">
        <f>IFERROR(__xludf.DUMMYFUNCTION("GOOGLETRANSLATE(D6972)"),"他被抬上了擔架？？不想看到那個。")</f>
        <v>他被抬上了擔架？？不想看到那個。</v>
      </c>
      <c r="G6972" s="4" t="str">
        <f>IFERROR(__xludf.DUMMYFUNCTION("GOOGLETRANSLATE(B6972)"),"擔架")</f>
        <v>擔架</v>
      </c>
    </row>
    <row r="6973" ht="15.75" customHeight="1">
      <c r="A6973" s="4">
        <v>9027.0</v>
      </c>
      <c r="B6973" s="4" t="s">
        <v>4036</v>
      </c>
      <c r="C6973" s="4" t="s">
        <v>10161</v>
      </c>
      <c r="D6973" s="4" t="s">
        <v>10162</v>
      </c>
      <c r="E6973" s="4">
        <v>0.0</v>
      </c>
      <c r="F6973" s="4" t="str">
        <f>IFERROR(__xludf.DUMMYFUNCTION("GOOGLETRANSLATE(D6973)"),"最近我一直在強調讓我想把他媽的黑鬼放在擔架上！")</f>
        <v>最近我一直在強調讓我想把他媽的黑鬼放在擔架上！</v>
      </c>
      <c r="G6973" s="4" t="str">
        <f>IFERROR(__xludf.DUMMYFUNCTION("GOOGLETRANSLATE(B6973)"),"擔架")</f>
        <v>擔架</v>
      </c>
    </row>
    <row r="6974" ht="15.75" customHeight="1">
      <c r="A6974" s="4">
        <v>9028.0</v>
      </c>
      <c r="B6974" s="4" t="s">
        <v>4036</v>
      </c>
      <c r="C6974" s="4" t="s">
        <v>10163</v>
      </c>
      <c r="D6974" s="4" t="s">
        <v>10164</v>
      </c>
      <c r="E6974" s="4">
        <v>0.0</v>
      </c>
      <c r="F6974" s="4" t="str">
        <f>IFERROR(__xludf.DUMMYFUNCTION("GOOGLETRANSLATE(D6974)"),"Mxaaaa 南非人就是無法欣賞努力#Stretcher 並沒有那麼糟糕停止仇恨")</f>
        <v>Mxaaaa 南非人就是無法欣賞努力#Stretcher 並沒有那麼糟糕停止仇恨</v>
      </c>
      <c r="G6974" s="4" t="str">
        <f>IFERROR(__xludf.DUMMYFUNCTION("GOOGLETRANSLATE(B6974)"),"擔架")</f>
        <v>擔架</v>
      </c>
    </row>
    <row r="6975" ht="15.75" customHeight="1">
      <c r="A6975" s="4">
        <v>9030.0</v>
      </c>
      <c r="B6975" s="4" t="s">
        <v>4036</v>
      </c>
      <c r="C6975" s="4" t="s">
        <v>569</v>
      </c>
      <c r="D6975" s="4" t="s">
        <v>10165</v>
      </c>
      <c r="E6975" s="4">
        <v>0.0</v>
      </c>
      <c r="F6975" s="4" t="str">
        <f>IFERROR(__xludf.DUMMYFUNCTION("GOOGLETRANSLATE(D6975)"),"5 分鐘內的擔架 // 揚聲器甲板 http://t.co/0YO2l38OZr")</f>
        <v>5 分鐘內的擔架 // 揚聲器甲板 http://t.co/0YO2l38OZr</v>
      </c>
      <c r="G6975" s="4" t="str">
        <f>IFERROR(__xludf.DUMMYFUNCTION("GOOGLETRANSLATE(B6975)"),"擔架")</f>
        <v>擔架</v>
      </c>
    </row>
    <row r="6976" ht="15.75" customHeight="1">
      <c r="A6976" s="4">
        <v>9031.0</v>
      </c>
      <c r="B6976" s="4" t="s">
        <v>4036</v>
      </c>
      <c r="D6976" s="4" t="s">
        <v>10166</v>
      </c>
      <c r="E6976" s="4">
        <v>0.0</v>
      </c>
      <c r="F6976" s="4" t="str">
        <f>IFERROR(__xludf.DUMMYFUNCTION("GOOGLETRANSLATE(D6976)"),"最近我一直處於壓力之下，讓我想把一個他媽的尼卡放在擔架上")</f>
        <v>最近我一直處於壓力之下，讓我想把一個他媽的尼卡放在擔架上</v>
      </c>
      <c r="G6976" s="4" t="str">
        <f>IFERROR(__xludf.DUMMYFUNCTION("GOOGLETRANSLATE(B6976)"),"擔架")</f>
        <v>擔架</v>
      </c>
    </row>
    <row r="6977" ht="15.75" customHeight="1">
      <c r="A6977" s="4">
        <v>9033.0</v>
      </c>
      <c r="B6977" s="4" t="s">
        <v>4036</v>
      </c>
      <c r="D6977" s="4" t="s">
        <v>10167</v>
      </c>
      <c r="E6977" s="4">
        <v>0.0</v>
      </c>
      <c r="F6977" s="4" t="str">
        <f>IFERROR(__xludf.DUMMYFUNCTION("GOOGLETRANSLATE(D6977)"),"擔架手是士兵，他們的工作是跟隨前進並將傷者帶回他們的... http://t.co/yeRcT4J244")</f>
        <v>擔架手是士兵，他們的工作是跟隨前進並將傷者帶回他們的... http://t.co/yeRcT4J244</v>
      </c>
      <c r="G6977" s="4" t="str">
        <f>IFERROR(__xludf.DUMMYFUNCTION("GOOGLETRANSLATE(B6977)"),"擔架")</f>
        <v>擔架</v>
      </c>
    </row>
    <row r="6978" ht="15.75" customHeight="1">
      <c r="A6978" s="4">
        <v>9038.0</v>
      </c>
      <c r="B6978" s="4" t="s">
        <v>4036</v>
      </c>
      <c r="C6978" s="4" t="s">
        <v>2145</v>
      </c>
      <c r="D6978" s="4" t="s">
        <v>10168</v>
      </c>
      <c r="E6978" s="4">
        <v>0.0</v>
      </c>
      <c r="F6978" s="4" t="str">
        <f>IFERROR(__xludf.DUMMYFUNCTION("GOOGLETRANSLATE(D6978)"),"如何恢復乙烯基壁板並使其再次煥然一新 http://t.co/rDxzsL5EAC http://t.co/QwijRRiYIf")</f>
        <v>如何恢復乙烯基壁板並使其再次煥然一新 http://t.co/rDxzsL5EAC http://t.co/QwijRRiYIf</v>
      </c>
      <c r="G6978" s="4" t="str">
        <f>IFERROR(__xludf.DUMMYFUNCTION("GOOGLETRANSLATE(B6978)"),"擔架")</f>
        <v>擔架</v>
      </c>
    </row>
    <row r="6979" ht="15.75" customHeight="1">
      <c r="A6979" s="4">
        <v>9039.0</v>
      </c>
      <c r="B6979" s="4" t="s">
        <v>4036</v>
      </c>
      <c r="D6979" s="4" t="s">
        <v>10169</v>
      </c>
      <c r="E6979" s="4">
        <v>0.0</v>
      </c>
      <c r="F6979" s="4" t="str">
        <f>IFERROR(__xludf.DUMMYFUNCTION("GOOGLETRANSLATE(D6979)"),"@DareToTaha 不，但是考慮在我的包皮中放一個擔架，你怎麼看？")</f>
        <v>@DareToTaha 不，但是考慮在我的包皮中放一個擔架，你怎麼看？</v>
      </c>
      <c r="G6979" s="4" t="str">
        <f>IFERROR(__xludf.DUMMYFUNCTION("GOOGLETRANSLATE(B6979)"),"擔架")</f>
        <v>擔架</v>
      </c>
    </row>
    <row r="6980" ht="15.75" customHeight="1">
      <c r="A6980" s="4">
        <v>9041.0</v>
      </c>
      <c r="B6980" s="4" t="s">
        <v>4036</v>
      </c>
      <c r="C6980" s="4" t="s">
        <v>10170</v>
      </c>
      <c r="D6980" s="4" t="s">
        <v>10171</v>
      </c>
      <c r="E6980" s="4">
        <v>0.0</v>
      </c>
      <c r="F6980" s="4" t="str">
        <f>IFERROR(__xludf.DUMMYFUNCTION("GOOGLETRANSLATE(D6980)"),"ÛÏ擔架 5 分鐘 // 揚聲器甲板Û http://t.co/7qPG80uD7v")</f>
        <v>ÛÏ擔架 5 分鐘 // 揚聲器甲板Û http://t.co/7qPG80uD7v</v>
      </c>
      <c r="G6980" s="4" t="str">
        <f>IFERROR(__xludf.DUMMYFUNCTION("GOOGLETRANSLATE(B6980)"),"擔架")</f>
        <v>擔架</v>
      </c>
    </row>
    <row r="6981" ht="15.75" customHeight="1">
      <c r="A6981" s="4">
        <v>9045.0</v>
      </c>
      <c r="B6981" s="4" t="s">
        <v>4042</v>
      </c>
      <c r="C6981" s="4" t="s">
        <v>351</v>
      </c>
      <c r="D6981" s="4" t="s">
        <v>10172</v>
      </c>
      <c r="E6981" s="4">
        <v>0.0</v>
      </c>
      <c r="F6981" s="4" t="str">
        <f>IFERROR(__xludf.DUMMYFUNCTION("GOOGLETRANSLATE(D6981)"),"@lizbon @KidicalMassDC 這更多的是結構性崩潰。或者他們可能缺乏耐心。")</f>
        <v>@lizbon @KidicalMassDC 這更多的是結構性崩潰。或者他們可能缺乏耐心。</v>
      </c>
      <c r="G6981" s="4" t="str">
        <f>IFERROR(__xludf.DUMMYFUNCTION("GOOGLETRANSLATE(B6981)"),"結構%20失敗")</f>
        <v>結構%20失敗</v>
      </c>
    </row>
    <row r="6982" ht="15.75" customHeight="1">
      <c r="A6982" s="4">
        <v>9054.0</v>
      </c>
      <c r="B6982" s="4" t="s">
        <v>4042</v>
      </c>
      <c r="C6982" s="4" t="s">
        <v>3068</v>
      </c>
      <c r="D6982" s="4" t="s">
        <v>10173</v>
      </c>
      <c r="E6982" s="4">
        <v>0.0</v>
      </c>
      <c r="F6982" s="4" t="str">
        <f>IFERROR(__xludf.DUMMYFUNCTION("GOOGLETRANSLATE(D6982)"),"Rightways：建構結構完整性與安全性失敗：問題檢查修復 http://t.co/vz1irH0Nmm 通過 @rightwaystan")</f>
        <v>Rightways：建構結構完整性與安全性失敗：問題檢查修復 http://t.co/vz1irH0Nmm 通過 @rightwaystan</v>
      </c>
      <c r="G6982" s="4" t="str">
        <f>IFERROR(__xludf.DUMMYFUNCTION("GOOGLETRANSLATE(B6982)"),"結構%20失敗")</f>
        <v>結構%20失敗</v>
      </c>
    </row>
    <row r="6983" ht="15.75" customHeight="1">
      <c r="A6983" s="4">
        <v>9055.0</v>
      </c>
      <c r="B6983" s="4" t="s">
        <v>4042</v>
      </c>
      <c r="D6983" s="4" t="s">
        <v>10174</v>
      </c>
      <c r="E6983" s="4">
        <v>0.0</v>
      </c>
      <c r="F6983" s="4" t="str">
        <f>IFERROR(__xludf.DUMMYFUNCTION("GOOGLETRANSLATE(D6983)"),"@SirTitan45 24 小時的情緒波動很大。結構性破壞不就是這樣發生的嗎？")</f>
        <v>@SirTitan45 24 小時的情緒波動很大。結構性破壞不就是這樣發生的嗎？</v>
      </c>
      <c r="G6983" s="4" t="str">
        <f>IFERROR(__xludf.DUMMYFUNCTION("GOOGLETRANSLATE(B6983)"),"結構%20失敗")</f>
        <v>結構%20失敗</v>
      </c>
    </row>
    <row r="6984" ht="15.75" customHeight="1">
      <c r="A6984" s="4">
        <v>9058.0</v>
      </c>
      <c r="B6984" s="4" t="s">
        <v>4042</v>
      </c>
      <c r="C6984" s="4" t="s">
        <v>2285</v>
      </c>
      <c r="D6984" s="4" t="s">
        <v>10175</v>
      </c>
      <c r="E6984" s="4">
        <v>0.0</v>
      </c>
      <c r="F6984" s="4" t="str">
        <f>IFERROR(__xludf.DUMMYFUNCTION("GOOGLETRANSLATE(D6984)"),"3.引擎故障率過高，維修顯著，結構缺陷不斷出現。唷，我就說了這麼多。")</f>
        <v>3.引擎故障率過高，維修顯著，結構缺陷不斷出現。唷，我就說了這麼多。</v>
      </c>
      <c r="G6984" s="4" t="str">
        <f>IFERROR(__xludf.DUMMYFUNCTION("GOOGLETRANSLATE(B6984)"),"結構%20失敗")</f>
        <v>結構%20失敗</v>
      </c>
    </row>
    <row r="6985" ht="15.75" customHeight="1">
      <c r="A6985" s="4">
        <v>9060.0</v>
      </c>
      <c r="B6985" s="4" t="s">
        <v>4042</v>
      </c>
      <c r="C6985" s="4" t="s">
        <v>1749</v>
      </c>
      <c r="D6985" s="4" t="s">
        <v>10176</v>
      </c>
      <c r="E6985" s="4">
        <v>0.0</v>
      </c>
      <c r="F6985" s="4" t="str">
        <f>IFERROR(__xludf.DUMMYFUNCTION("GOOGLETRANSLATE(D6985)"),"[CLIP] 自上而下的強制 - 導致政府失敗的結構性弱點 http://t.co/gNORIjnSVa")</f>
        <v>[CLIP] 自上而下的強制 - 導致政府失敗的結構性弱點 http://t.co/gNORIjnSVa</v>
      </c>
      <c r="G6985" s="4" t="str">
        <f>IFERROR(__xludf.DUMMYFUNCTION("GOOGLETRANSLATE(B6985)"),"結構%20失敗")</f>
        <v>結構%20失敗</v>
      </c>
    </row>
    <row r="6986" ht="15.75" customHeight="1">
      <c r="A6986" s="4">
        <v>9062.0</v>
      </c>
      <c r="B6986" s="4" t="s">
        <v>4042</v>
      </c>
      <c r="C6986" s="4" t="s">
        <v>10177</v>
      </c>
      <c r="D6986" s="4" t="s">
        <v>10178</v>
      </c>
      <c r="E6986" s="4">
        <v>0.0</v>
      </c>
      <c r="F6986" s="4" t="str">
        <f>IFERROR(__xludf.DUMMYFUNCTION("GOOGLETRANSLATE(D6986)"),"我們提供#preventative 服務，例如佈線和支撐，以防止樹木發生結構性故障。請致電 905-877-8591 預訂。 #CTS")</f>
        <v>我們提供#preventative 服務，例如佈線和支撐，以防止樹木發生結構性故障。請致電 905-877-8591 預訂。 #CTS</v>
      </c>
      <c r="G6986" s="4" t="str">
        <f>IFERROR(__xludf.DUMMYFUNCTION("GOOGLETRANSLATE(B6986)"),"結構%20失敗")</f>
        <v>結構%20失敗</v>
      </c>
    </row>
    <row r="6987" ht="15.75" customHeight="1">
      <c r="A6987" s="4">
        <v>9077.0</v>
      </c>
      <c r="B6987" s="4" t="s">
        <v>4042</v>
      </c>
      <c r="D6987" s="4" t="s">
        <v>10179</v>
      </c>
      <c r="E6987" s="4">
        <v>0.0</v>
      </c>
      <c r="F6987" s="4" t="str">
        <f>IFERROR(__xludf.DUMMYFUNCTION("GOOGLETRANSLATE(D6987)"),"@sirtophamhat @SCynic1 @NafeezAhmed @jeremyduns 當然，你不必融化鋼材來導致結構失效。")</f>
        <v>@sirtophamhat @SCynic1 @NafeezAhmed @jeremyduns 當然，你不必融化鋼材來導致結構失效。</v>
      </c>
      <c r="G6987" s="4" t="str">
        <f>IFERROR(__xludf.DUMMYFUNCTION("GOOGLETRANSLATE(B6987)"),"結構%20失敗")</f>
        <v>結構%20失敗</v>
      </c>
    </row>
    <row r="6988" ht="15.75" customHeight="1">
      <c r="A6988" s="4">
        <v>9078.0</v>
      </c>
      <c r="B6988" s="4" t="s">
        <v>4042</v>
      </c>
      <c r="C6988" s="4" t="s">
        <v>708</v>
      </c>
      <c r="D6988" s="4" t="s">
        <v>10180</v>
      </c>
      <c r="E6988" s="4">
        <v>0.0</v>
      </c>
      <c r="F6988" s="4" t="str">
        <f>IFERROR(__xludf.DUMMYFUNCTION("GOOGLETRANSLATE(D6988)"),"CAP：“DRIVE 法案代表參議院共和黨未能解決困擾高速公路信託基金的結構性短缺問題”")</f>
        <v>CAP：“DRIVE 法案代表參議院共和黨未能解決困擾高速公路信託基金的結構性短缺問題”</v>
      </c>
      <c r="G6988" s="4" t="str">
        <f>IFERROR(__xludf.DUMMYFUNCTION("GOOGLETRANSLATE(B6988)"),"結構%20失敗")</f>
        <v>結構%20失敗</v>
      </c>
    </row>
    <row r="6989" ht="15.75" customHeight="1">
      <c r="A6989" s="4">
        <v>9079.0</v>
      </c>
      <c r="B6989" s="4" t="s">
        <v>4042</v>
      </c>
      <c r="D6989" s="4" t="s">
        <v>10181</v>
      </c>
      <c r="E6989" s="4">
        <v>0.0</v>
      </c>
      <c r="F6989" s="4" t="str">
        <f>IFERROR(__xludf.DUMMYFUNCTION("GOOGLETRANSLATE(D6989)"),"照片：結構完整性的破壞影響著我們所有人。它是否是一個建在有缺陷的混凝土上的穀倉...... http://t.co/cDxE5VMzOj")</f>
        <v>照片：結構完整性的破壞影響著我們所有人。它是否是一個建在有缺陷的混凝土上的穀倉...... http://t.co/cDxE5VMzOj</v>
      </c>
      <c r="G6989" s="4" t="str">
        <f>IFERROR(__xludf.DUMMYFUNCTION("GOOGLETRANSLATE(B6989)"),"結構%20失敗")</f>
        <v>結構%20失敗</v>
      </c>
    </row>
    <row r="6990" ht="15.75" customHeight="1">
      <c r="A6990" s="4">
        <v>9080.0</v>
      </c>
      <c r="B6990" s="4" t="s">
        <v>4042</v>
      </c>
      <c r="C6990" s="4" t="s">
        <v>10182</v>
      </c>
      <c r="D6990" s="4" t="s">
        <v>10183</v>
      </c>
      <c r="E6990" s="4">
        <v>0.0</v>
      </c>
      <c r="F6990" s="4" t="str">
        <f>IFERROR(__xludf.DUMMYFUNCTION("GOOGLETRANSLATE(D6990)"),"@sabcnewsroom 破壞！我排除結構性故障的可能性")</f>
        <v>@sabcnewsroom 破壞！我排除結構性故障的可能性</v>
      </c>
      <c r="G6990" s="4" t="str">
        <f>IFERROR(__xludf.DUMMYFUNCTION("GOOGLETRANSLATE(B6990)"),"結構%20失敗")</f>
        <v>結構%20失敗</v>
      </c>
    </row>
    <row r="6991" ht="15.75" customHeight="1">
      <c r="A6991" s="4">
        <v>9081.0</v>
      </c>
      <c r="B6991" s="4" t="s">
        <v>4042</v>
      </c>
      <c r="C6991" s="4" t="s">
        <v>10184</v>
      </c>
      <c r="D6991" s="4" t="s">
        <v>10185</v>
      </c>
      <c r="E6991" s="4">
        <v>0.0</v>
      </c>
      <c r="F6991" s="4" t="str">
        <f>IFERROR(__xludf.DUMMYFUNCTION("GOOGLETRANSLATE(D6991)"),"'@CatoInstitute：聯邦失敗的原因是深刻的結構性原因，它們不會輕易解決：http://t.co/H2XcaX4jbU'")</f>
        <v>'@CatoInstitute：聯邦失敗的原因是深刻的結構性原因，它們不會輕易解決：http://t.co/H2XcaX4jbU'</v>
      </c>
      <c r="G6991" s="4" t="str">
        <f>IFERROR(__xludf.DUMMYFUNCTION("GOOGLETRANSLATE(B6991)"),"結構%20失敗")</f>
        <v>結構%20失敗</v>
      </c>
    </row>
    <row r="6992" ht="15.75" customHeight="1">
      <c r="A6992" s="4">
        <v>9084.0</v>
      </c>
      <c r="B6992" s="4" t="s">
        <v>4042</v>
      </c>
      <c r="C6992" s="4" t="s">
        <v>10186</v>
      </c>
      <c r="D6992" s="4" t="s">
        <v>10187</v>
      </c>
      <c r="E6992" s="4">
        <v>0.0</v>
      </c>
      <c r="F6992" s="4" t="str">
        <f>IFERROR(__xludf.DUMMYFUNCTION("GOOGLETRANSLATE(D6992)"),"@whvholst @leashless 這是一個結構性問題，而不僅僅是傳統社會民主黨能力的失敗。")</f>
        <v>@whvholst @leashless 這是一個結構性問題，而不僅僅是傳統社會民主黨能力的失敗。</v>
      </c>
      <c r="G6992" s="4" t="str">
        <f>IFERROR(__xludf.DUMMYFUNCTION("GOOGLETRANSLATE(B6992)"),"結構%20失敗")</f>
        <v>結構%20失敗</v>
      </c>
    </row>
    <row r="6993" ht="15.75" customHeight="1">
      <c r="A6993" s="4">
        <v>9093.0</v>
      </c>
      <c r="B6993" s="4" t="s">
        <v>4071</v>
      </c>
      <c r="D6993" s="4" t="s">
        <v>10188</v>
      </c>
      <c r="E6993" s="4">
        <v>0.0</v>
      </c>
      <c r="F6993" s="4" t="str">
        <f>IFERROR(__xludf.DUMMYFUNCTION("GOOGLETRANSLATE(D6993)"),"@FoxNewsInsider 奧巴馬所做的只是給出了伊朗測試第一顆炸彈的虛假時間表 Bomb = Nuclear Suicide Vest")</f>
        <v>@FoxNewsInsider 奧巴馬所做的只是給出了伊朗測試第一顆炸彈的虛假時間表 Bomb = Nuclear Suicide Vest</v>
      </c>
      <c r="G6993" s="4" t="str">
        <f>IFERROR(__xludf.DUMMYFUNCTION("GOOGLETRANSLATE(B6993)"),"自殺%20炸彈")</f>
        <v>自殺%20炸彈</v>
      </c>
    </row>
    <row r="6994" ht="15.75" customHeight="1">
      <c r="A6994" s="4">
        <v>9094.0</v>
      </c>
      <c r="B6994" s="4" t="s">
        <v>4071</v>
      </c>
      <c r="C6994" s="4" t="s">
        <v>10189</v>
      </c>
      <c r="D6994" s="4" t="s">
        <v>10190</v>
      </c>
      <c r="E6994" s="4">
        <v>0.0</v>
      </c>
      <c r="F6994" s="4" t="str">
        <f>IFERROR(__xludf.DUMMYFUNCTION("GOOGLETRANSLATE(D6994)"),"如果你曾經認為你的生活已經沒有選擇了，記得那個孩子別無選擇，只能穿上自殺炸彈背心")</f>
        <v>如果你曾經認為你的生活已經沒有選擇了，記得那個孩子別無選擇，只能穿上自殺炸彈背心</v>
      </c>
      <c r="G6994" s="4" t="str">
        <f>IFERROR(__xludf.DUMMYFUNCTION("GOOGLETRANSLATE(B6994)"),"自殺%20炸彈")</f>
        <v>自殺%20炸彈</v>
      </c>
    </row>
    <row r="6995" ht="15.75" customHeight="1">
      <c r="A6995" s="4">
        <v>9106.0</v>
      </c>
      <c r="B6995" s="4" t="s">
        <v>4071</v>
      </c>
      <c r="C6995" s="4" t="s">
        <v>10191</v>
      </c>
      <c r="D6995" s="4" t="s">
        <v>10192</v>
      </c>
      <c r="E6995" s="4">
        <v>0.0</v>
      </c>
      <c r="F6995" s="4" t="str">
        <f>IFERROR(__xludf.DUMMYFUNCTION("GOOGLETRANSLATE(D6995)"),"她是個自殺炸彈")</f>
        <v>她是個自殺炸彈</v>
      </c>
      <c r="G6995" s="4" t="str">
        <f>IFERROR(__xludf.DUMMYFUNCTION("GOOGLETRANSLATE(B6995)"),"自殺%20炸彈")</f>
        <v>自殺%20炸彈</v>
      </c>
    </row>
    <row r="6996" ht="15.75" customHeight="1">
      <c r="A6996" s="4">
        <v>9182.0</v>
      </c>
      <c r="B6996" s="4" t="s">
        <v>4108</v>
      </c>
      <c r="D6996" s="4" t="s">
        <v>10193</v>
      </c>
      <c r="E6996" s="4">
        <v>0.0</v>
      </c>
      <c r="F6996" s="4" t="str">
        <f>IFERROR(__xludf.DUMMYFUNCTION("GOOGLETRANSLATE(D6996)"),"我喜歡來自 @noahj456 的 @YouTube 影片 http://t.co/xntO3jMMTS GTA 5 - SUICIDE STICKY BOMBER（GTA 5 Online 搞笑時刻）")</f>
        <v>我喜歡來自 @noahj456 的 @YouTube 影片 http://t.co/xntO3jMMTS GTA 5 - SUICIDE STICKY BOMBER（GTA 5 Online 搞笑時刻）</v>
      </c>
      <c r="G6996" s="4" t="str">
        <f>IFERROR(__xludf.DUMMYFUNCTION("GOOGLETRANSLATE(B6996)"),"自殺%20轟炸機")</f>
        <v>自殺%20轟炸機</v>
      </c>
    </row>
    <row r="6997" ht="15.75" customHeight="1">
      <c r="A6997" s="4">
        <v>9232.0</v>
      </c>
      <c r="B6997" s="4" t="s">
        <v>4146</v>
      </c>
      <c r="D6997" s="4" t="s">
        <v>10194</v>
      </c>
      <c r="E6997" s="4">
        <v>0.0</v>
      </c>
      <c r="F6997" s="4" t="str">
        <f>IFERROR(__xludf.DUMMYFUNCTION("GOOGLETRANSLATE(D6997)"),"米克·米爾應該加入伊斯蘭國，因為他無緣無故地喜歡自殺式炸彈襲擊他的職業生涯")</f>
        <v>米克·米爾應該加入伊斯蘭國，因為他無緣無故地喜歡自殺式炸彈襲擊他的職業生涯</v>
      </c>
      <c r="G6997" s="4" t="str">
        <f>IFERROR(__xludf.DUMMYFUNCTION("GOOGLETRANSLATE(B6997)"),"自殺%20爆炸")</f>
        <v>自殺%20爆炸</v>
      </c>
    </row>
    <row r="6998" ht="15.75" customHeight="1">
      <c r="A6998" s="4">
        <v>9244.0</v>
      </c>
      <c r="B6998" s="4" t="s">
        <v>4189</v>
      </c>
      <c r="D6998" s="4" t="s">
        <v>10195</v>
      </c>
      <c r="E6998" s="4">
        <v>0.0</v>
      </c>
      <c r="F6998" s="4" t="str">
        <f>IFERROR(__xludf.DUMMYFUNCTION("GOOGLETRANSLATE(D6998)"),"從字面上看，我們一週後就回到學校了:S :S :s")</f>
        <v>從字面上看，我們一週後就回到學校了:S :S :s</v>
      </c>
      <c r="G6998" s="4" t="str">
        <f>IFERROR(__xludf.DUMMYFUNCTION("GOOGLETRANSLATE(B6998)"),"沉沒")</f>
        <v>沉沒</v>
      </c>
    </row>
    <row r="6999" ht="15.75" customHeight="1">
      <c r="A6999" s="4">
        <v>9246.0</v>
      </c>
      <c r="B6999" s="4" t="s">
        <v>4189</v>
      </c>
      <c r="C6999" s="4" t="s">
        <v>10196</v>
      </c>
      <c r="D6999" s="4" t="s">
        <v>10197</v>
      </c>
      <c r="E6999" s="4">
        <v>0.0</v>
      </c>
      <c r="F6999" s="4" t="str">
        <f>IFERROR(__xludf.DUMMYFUNCTION("GOOGLETRANSLATE(D6999)"),"我在吉普車裡偷看你，我的座位陷進了熱浪的撞擊聲中。")</f>
        <v>我在吉普車裡偷看你，我的座位陷進了熱浪的撞擊聲中。</v>
      </c>
      <c r="G6999" s="4" t="str">
        <f>IFERROR(__xludf.DUMMYFUNCTION("GOOGLETRANSLATE(B6999)"),"沉沒")</f>
        <v>沉沒</v>
      </c>
    </row>
    <row r="7000" ht="15.75" customHeight="1">
      <c r="A7000" s="4">
        <v>9250.0</v>
      </c>
      <c r="B7000" s="4" t="s">
        <v>4189</v>
      </c>
      <c r="D7000" s="4" t="s">
        <v>10198</v>
      </c>
      <c r="E7000" s="4">
        <v>0.0</v>
      </c>
      <c r="F7000" s="4" t="str">
        <f>IFERROR(__xludf.DUMMYFUNCTION("GOOGLETRANSLATE(D7000)"),"@aphyr 我已經關注你這麼久了 沉沒成本謬誤什麼的")</f>
        <v>@aphyr 我已經關注你這麼久了 沉沒成本謬誤什麼的</v>
      </c>
      <c r="G7000" s="4" t="str">
        <f>IFERROR(__xludf.DUMMYFUNCTION("GOOGLETRANSLATE(B7000)"),"沉沒")</f>
        <v>沉沒</v>
      </c>
    </row>
    <row r="7001" ht="15.75" customHeight="1">
      <c r="A7001" s="4">
        <v>9251.0</v>
      </c>
      <c r="B7001" s="4" t="s">
        <v>4189</v>
      </c>
      <c r="D7001" s="4" t="s">
        <v>10199</v>
      </c>
      <c r="E7001" s="4">
        <v>0.0</v>
      </c>
      <c r="F7001" s="4" t="str">
        <f>IFERROR(__xludf.DUMMYFUNCTION("GOOGLETRANSLATE(D7001)"),"不管怎樣，它已經下降或沉沒到了陰影之地，那是一條引人注目的眼鏡蛇猛烈地落在他背上的頂部；火炬和")</f>
        <v>不管怎樣，它已經下降或沉沒到了陰影之地，那是一條引人注目的眼鏡蛇猛烈地落在他背上的頂部；火炬和</v>
      </c>
      <c r="G7001" s="4" t="str">
        <f>IFERROR(__xludf.DUMMYFUNCTION("GOOGLETRANSLATE(B7001)"),"沉沒")</f>
        <v>沉沒</v>
      </c>
    </row>
    <row r="7002" ht="15.75" customHeight="1">
      <c r="A7002" s="4">
        <v>9252.0</v>
      </c>
      <c r="B7002" s="4" t="s">
        <v>4189</v>
      </c>
      <c r="C7002" s="4" t="s">
        <v>10200</v>
      </c>
      <c r="D7002" s="4" t="s">
        <v>10201</v>
      </c>
      <c r="E7002" s="4">
        <v>0.0</v>
      </c>
      <c r="F7002" s="4" t="str">
        <f>IFERROR(__xludf.DUMMYFUNCTION("GOOGLETRANSLATE(D7002)"),"所以如果我在漲潮時在你的大腿上翻船 B-5 你就會擊沉我的戰艦
&gt;")</f>
        <v>所以如果我在漲潮時在你的大腿上翻船 B-5 你就會擊沉我的戰艦
&gt;</v>
      </c>
      <c r="G7002" s="4" t="str">
        <f>IFERROR(__xludf.DUMMYFUNCTION("GOOGLETRANSLATE(B7002)"),"沉沒")</f>
        <v>沉沒</v>
      </c>
    </row>
    <row r="7003" ht="15.75" customHeight="1">
      <c r="A7003" s="4">
        <v>9253.0</v>
      </c>
      <c r="B7003" s="4" t="s">
        <v>4189</v>
      </c>
      <c r="D7003" s="4" t="s">
        <v>10202</v>
      </c>
      <c r="E7003" s="4">
        <v>0.0</v>
      </c>
      <c r="F7003" s="4" t="str">
        <f>IFERROR(__xludf.DUMMYFUNCTION("GOOGLETRANSLATE(D7003)"),"還沒意識到我一個月後就要離開學校")</f>
        <v>還沒意識到我一個月後就要離開學校</v>
      </c>
      <c r="G7003" s="4" t="str">
        <f>IFERROR(__xludf.DUMMYFUNCTION("GOOGLETRANSLATE(B7003)"),"沉沒")</f>
        <v>沉沒</v>
      </c>
    </row>
    <row r="7004" ht="15.75" customHeight="1">
      <c r="A7004" s="4">
        <v>9254.0</v>
      </c>
      <c r="B7004" s="4" t="s">
        <v>4189</v>
      </c>
      <c r="C7004" s="4" t="s">
        <v>10203</v>
      </c>
      <c r="D7004" s="4" t="s">
        <v>10204</v>
      </c>
      <c r="E7004" s="4">
        <v>0.0</v>
      </c>
      <c r="F7004" s="4" t="str">
        <f>IFERROR(__xludf.DUMMYFUNCTION("GOOGLETRANSLATE(D7004)"),"我仍然沒有意識到我再也見不到我的奶奶了，已經兩個月了怎麼辦？")</f>
        <v>我仍然沒有意識到我再也見不到我的奶奶了，已經兩個月了怎麼辦？</v>
      </c>
      <c r="G7004" s="4" t="str">
        <f>IFERROR(__xludf.DUMMYFUNCTION("GOOGLETRANSLATE(B7004)"),"沉沒")</f>
        <v>沉沒</v>
      </c>
    </row>
    <row r="7005" ht="15.75" customHeight="1">
      <c r="A7005" s="4">
        <v>9257.0</v>
      </c>
      <c r="B7005" s="4" t="s">
        <v>4189</v>
      </c>
      <c r="C7005" s="4" t="s">
        <v>10205</v>
      </c>
      <c r="D7005" s="4" t="s">
        <v>10206</v>
      </c>
      <c r="E7005" s="4">
        <v>0.0</v>
      </c>
      <c r="F7005" s="4" t="str">
        <f>IFERROR(__xludf.DUMMYFUNCTION("GOOGLETRANSLATE(D7005)"),"「Blaaaaaaa」他邊說邊把臉埋進你的肚子裡，讓它振動@ResoluteVanity")</f>
        <v>「Blaaaaaaa」他邊說邊把臉埋進你的肚子裡，讓它振動@ResoluteVanity</v>
      </c>
      <c r="G7005" s="4" t="str">
        <f>IFERROR(__xludf.DUMMYFUNCTION("GOOGLETRANSLATE(B7005)"),"沉沒")</f>
        <v>沉沒</v>
      </c>
    </row>
    <row r="7006" ht="15.75" customHeight="1">
      <c r="A7006" s="4">
        <v>9259.0</v>
      </c>
      <c r="B7006" s="4" t="s">
        <v>4189</v>
      </c>
      <c r="C7006" s="4" t="s">
        <v>8207</v>
      </c>
      <c r="D7006" s="4" t="s">
        <v>10207</v>
      </c>
      <c r="E7006" s="4">
        <v>0.0</v>
      </c>
      <c r="F7006" s="4" t="str">
        <f>IFERROR(__xludf.DUMMYFUNCTION("GOOGLETRANSLATE(D7006)"),"還沒有完全沉浸在周日的幾個小時內我看到了約翰尼·馬爾和原始尖叫")</f>
        <v>還沒有完全沉浸在周日的幾個小時內我看到了約翰尼·馬爾和原始尖叫</v>
      </c>
      <c r="G7006" s="4" t="str">
        <f>IFERROR(__xludf.DUMMYFUNCTION("GOOGLETRANSLATE(B7006)"),"沉沒")</f>
        <v>沉沒</v>
      </c>
    </row>
    <row r="7007" ht="15.75" customHeight="1">
      <c r="A7007" s="4">
        <v>9260.0</v>
      </c>
      <c r="B7007" s="4" t="s">
        <v>4189</v>
      </c>
      <c r="C7007" s="4" t="s">
        <v>10208</v>
      </c>
      <c r="D7007" s="4" t="s">
        <v>10209</v>
      </c>
      <c r="E7007" s="4">
        <v>0.0</v>
      </c>
      <c r="F7007" s="4" t="str">
        <f>IFERROR(__xludf.DUMMYFUNCTION("GOOGLETRANSLATE(D7007)"),"@CodeMeW 你打開的是普通包還是主包？ RT：所以，在光面投入了 100 萬積分，但沒有拉出一個，你確定這些賠率嗎？")</f>
        <v>@CodeMeW 你打開的是普通包還是主包？ RT：所以，在光面投入了 100 萬積分，但沒有拉出一個，你確定這些賠率嗎？</v>
      </c>
      <c r="G7007" s="4" t="str">
        <f>IFERROR(__xludf.DUMMYFUNCTION("GOOGLETRANSLATE(B7007)"),"沉沒")</f>
        <v>沉沒</v>
      </c>
    </row>
    <row r="7008" ht="15.75" customHeight="1">
      <c r="A7008" s="4">
        <v>9262.0</v>
      </c>
      <c r="B7008" s="4" t="s">
        <v>4189</v>
      </c>
      <c r="C7008" s="4" t="s">
        <v>10210</v>
      </c>
      <c r="D7008" s="4" t="s">
        <v>10211</v>
      </c>
      <c r="E7008" s="4">
        <v>0.0</v>
      </c>
      <c r="F7008" s="4" t="str">
        <f>IFERROR(__xludf.DUMMYFUNCTION("GOOGLETRANSLATE(D7008)"),"是的。還沒沉下去。？ https://t.co/Ii2SpVP89b")</f>
        <v>是的。還沒沉下去。？ https://t.co/Ii2SpVP89b</v>
      </c>
      <c r="G7008" s="4" t="str">
        <f>IFERROR(__xludf.DUMMYFUNCTION("GOOGLETRANSLATE(B7008)"),"沉沒")</f>
        <v>沉沒</v>
      </c>
    </row>
    <row r="7009" ht="15.75" customHeight="1">
      <c r="A7009" s="4">
        <v>9264.0</v>
      </c>
      <c r="B7009" s="4" t="s">
        <v>4189</v>
      </c>
      <c r="C7009" s="4" t="s">
        <v>3292</v>
      </c>
      <c r="D7009" s="4" t="s">
        <v>10212</v>
      </c>
      <c r="E7009" s="4">
        <v>0.0</v>
      </c>
      <c r="F7009" s="4" t="str">
        <f>IFERROR(__xludf.DUMMYFUNCTION("GOOGLETRANSLATE(D7009)"),"我還沒意識到我真的遇到我的偶像了？？？")</f>
        <v>我還沒意識到我真的遇到我的偶像了？？？</v>
      </c>
      <c r="G7009" s="4" t="str">
        <f>IFERROR(__xludf.DUMMYFUNCTION("GOOGLETRANSLATE(B7009)"),"沉沒")</f>
        <v>沉沒</v>
      </c>
    </row>
    <row r="7010" ht="15.75" customHeight="1">
      <c r="A7010" s="4">
        <v>9265.0</v>
      </c>
      <c r="B7010" s="4" t="s">
        <v>4189</v>
      </c>
      <c r="C7010" s="4" t="s">
        <v>10213</v>
      </c>
      <c r="D7010" s="4" t="s">
        <v>10214</v>
      </c>
      <c r="E7010" s="4">
        <v>0.0</v>
      </c>
      <c r="F7010" s="4" t="str">
        <f>IFERROR(__xludf.DUMMYFUNCTION("GOOGLETRANSLATE(D7010)"),"@UntamedDirewolf '我......哇。好吧。'珊莎搖搖頭，快速眨眼，了解新的資訊。「我真的不知道是什麼——")</f>
        <v>@UntamedDirewolf '我......哇。好吧。'珊莎搖搖頭，快速眨眼，了解新的資訊。「我真的不知道是什麼——</v>
      </c>
      <c r="G7010" s="4" t="str">
        <f>IFERROR(__xludf.DUMMYFUNCTION("GOOGLETRANSLATE(B7010)"),"沉沒")</f>
        <v>沉沒</v>
      </c>
    </row>
    <row r="7011" ht="15.75" customHeight="1">
      <c r="A7011" s="4">
        <v>9266.0</v>
      </c>
      <c r="B7011" s="4" t="s">
        <v>4189</v>
      </c>
      <c r="C7011" s="4" t="s">
        <v>10215</v>
      </c>
      <c r="D7011" s="4" t="s">
        <v>10216</v>
      </c>
      <c r="E7011" s="4">
        <v>0.0</v>
      </c>
      <c r="F7011" s="4" t="str">
        <f>IFERROR(__xludf.DUMMYFUNCTION("GOOGLETRANSLATE(D7011)"),"@BenAffleck 我尊重你並喜歡你的才華。我想我仍然這樣做，但作為一個人，你已經墮落了阿弗萊克先生！")</f>
        <v>@BenAffleck 我尊重你並喜歡你的才華。我想我仍然這樣做，但作為一個人，你已經墮落了阿弗萊克先生！</v>
      </c>
      <c r="G7011" s="4" t="str">
        <f>IFERROR(__xludf.DUMMYFUNCTION("GOOGLETRANSLATE(B7011)"),"沉沒")</f>
        <v>沉沒</v>
      </c>
    </row>
    <row r="7012" ht="15.75" customHeight="1">
      <c r="A7012" s="4">
        <v>9267.0</v>
      </c>
      <c r="B7012" s="4" t="s">
        <v>4189</v>
      </c>
      <c r="D7012" s="4" t="s">
        <v>10217</v>
      </c>
      <c r="E7012" s="4">
        <v>0.0</v>
      </c>
      <c r="F7012" s="4" t="str">
        <f>IFERROR(__xludf.DUMMYFUNCTION("GOOGLETRANSLATE(D7012)"),"曾幾何時，我決定去7小時路程外的大學的事實實際上已經深入人心")</f>
        <v>曾幾何時，我決定去7小時路程外的大學的事實實際上已經深入人心</v>
      </c>
      <c r="G7012" s="4" t="str">
        <f>IFERROR(__xludf.DUMMYFUNCTION("GOOGLETRANSLATE(B7012)"),"沉沒")</f>
        <v>沉沒</v>
      </c>
    </row>
    <row r="7013" ht="15.75" customHeight="1">
      <c r="A7013" s="4">
        <v>9268.0</v>
      </c>
      <c r="B7013" s="4" t="s">
        <v>4189</v>
      </c>
      <c r="C7013" s="4" t="s">
        <v>10218</v>
      </c>
      <c r="D7013" s="4" t="s">
        <v>10219</v>
      </c>
      <c r="E7013" s="4">
        <v>0.0</v>
      </c>
      <c r="F7013" s="4" t="str">
        <f>IFERROR(__xludf.DUMMYFUNCTION("GOOGLETRANSLATE(D7013)"),"#ArrestpastorNganga 太令人擔憂了 2 看看肯亞的一些警察如何墮落到與扒手合作的地步")</f>
        <v>#ArrestpastorNganga 太令人擔憂了 2 看看肯亞的一些警察如何墮落到與扒手合作的地步</v>
      </c>
      <c r="G7013" s="4" t="str">
        <f>IFERROR(__xludf.DUMMYFUNCTION("GOOGLETRANSLATE(B7013)"),"沉沒")</f>
        <v>沉沒</v>
      </c>
    </row>
    <row r="7014" ht="15.75" customHeight="1">
      <c r="A7014" s="4">
        <v>9269.0</v>
      </c>
      <c r="B7014" s="4" t="s">
        <v>4189</v>
      </c>
      <c r="D7014" s="4" t="s">
        <v>10220</v>
      </c>
      <c r="E7014" s="4">
        <v>0.0</v>
      </c>
      <c r="F7014" s="4" t="str">
        <f>IFERROR(__xludf.DUMMYFUNCTION("GOOGLETRANSLATE(D7014)"),"@time4me_sews 我知道！還沒完全沉浸其中 :D")</f>
        <v>@time4me_sews 我知道！還沒完全沉浸其中 :D</v>
      </c>
      <c r="G7014" s="4" t="str">
        <f>IFERROR(__xludf.DUMMYFUNCTION("GOOGLETRANSLATE(B7014)"),"沉沒")</f>
        <v>沉沒</v>
      </c>
    </row>
    <row r="7015" ht="15.75" customHeight="1">
      <c r="A7015" s="4">
        <v>9270.0</v>
      </c>
      <c r="B7015" s="4" t="s">
        <v>4189</v>
      </c>
      <c r="C7015" s="4" t="s">
        <v>10221</v>
      </c>
      <c r="D7015" s="4" t="s">
        <v>10222</v>
      </c>
      <c r="E7015" s="4">
        <v>0.0</v>
      </c>
      <c r="F7015" s="4" t="str">
        <f>IFERROR(__xludf.DUMMYFUNCTION("GOOGLETRANSLATE(D7015)"),"孤獨的感覺讓我陷入了一種奇怪的壓抑感。")</f>
        <v>孤獨的感覺讓我陷入了一種奇怪的壓抑感。</v>
      </c>
      <c r="G7015" s="4" t="str">
        <f>IFERROR(__xludf.DUMMYFUNCTION("GOOGLETRANSLATE(B7015)"),"沉沒")</f>
        <v>沉沒</v>
      </c>
    </row>
    <row r="7016" ht="15.75" customHeight="1">
      <c r="A7016" s="4">
        <v>9271.0</v>
      </c>
      <c r="B7016" s="4" t="s">
        <v>4189</v>
      </c>
      <c r="D7016" s="4" t="s">
        <v>10223</v>
      </c>
      <c r="E7016" s="4">
        <v>0.0</v>
      </c>
      <c r="F7016" s="4" t="str">
        <f>IFERROR(__xludf.DUMMYFUNCTION("GOOGLETRANSLATE(D7016)"),"我們可能距離學校只有一周了，但我認為我作為高年級學生的想法還沒有真正深入人心")</f>
        <v>我們可能距離學校只有一周了，但我認為我作為高年級學生的想法還沒有真正深入人心</v>
      </c>
      <c r="G7016" s="4" t="str">
        <f>IFERROR(__xludf.DUMMYFUNCTION("GOOGLETRANSLATE(B7016)"),"沉沒")</f>
        <v>沉沒</v>
      </c>
    </row>
    <row r="7017" ht="15.75" customHeight="1">
      <c r="A7017" s="4">
        <v>9272.0</v>
      </c>
      <c r="B7017" s="4" t="s">
        <v>4189</v>
      </c>
      <c r="C7017" s="4" t="s">
        <v>907</v>
      </c>
      <c r="D7017" s="4" t="s">
        <v>10224</v>
      </c>
      <c r="E7017" s="4">
        <v>0.0</v>
      </c>
      <c r="F7017" s="4" t="str">
        <f>IFERROR(__xludf.DUMMYFUNCTION("GOOGLETRANSLATE(D7017)"),"我買了一輛車哇它還沒有沉沒")</f>
        <v>我買了一輛車哇它還沒有沉沒</v>
      </c>
      <c r="G7017" s="4" t="str">
        <f>IFERROR(__xludf.DUMMYFUNCTION("GOOGLETRANSLATE(B7017)"),"沉沒")</f>
        <v>沉沒</v>
      </c>
    </row>
    <row r="7018" ht="15.75" customHeight="1">
      <c r="A7018" s="4">
        <v>9273.0</v>
      </c>
      <c r="B7018" s="4" t="s">
        <v>4189</v>
      </c>
      <c r="C7018" s="4" t="s">
        <v>10225</v>
      </c>
      <c r="D7018" s="4" t="s">
        <v>10226</v>
      </c>
      <c r="E7018" s="4">
        <v>0.0</v>
      </c>
      <c r="F7018" s="4" t="str">
        <f>IFERROR(__xludf.DUMMYFUNCTION("GOOGLETRANSLATE(D7018)"),"足球這個週末回來了，只是陷入了困境??????")</f>
        <v>足球這個週末回來了，只是陷入了困境??????</v>
      </c>
      <c r="G7018" s="4" t="str">
        <f>IFERROR(__xludf.DUMMYFUNCTION("GOOGLETRANSLATE(B7018)"),"沉沒")</f>
        <v>沉沒</v>
      </c>
    </row>
    <row r="7019" ht="15.75" customHeight="1">
      <c r="A7019" s="4">
        <v>9275.0</v>
      </c>
      <c r="B7019" s="4" t="s">
        <v>4189</v>
      </c>
      <c r="C7019" s="4" t="s">
        <v>10227</v>
      </c>
      <c r="D7019" s="4" t="s">
        <v>10228</v>
      </c>
      <c r="E7019" s="4">
        <v>0.0</v>
      </c>
      <c r="F7019" s="4" t="str">
        <f>IFERROR(__xludf.DUMMYFUNCTION("GOOGLETRANSLATE(D7019)"),"One Direction 在下一張專輯之後將休息一下。我的心已經沉下去了，很痛，我很難過。他們應該休息一下。我心痛")</f>
        <v>One Direction 在下一張專輯之後將休息一下。我的心已經沉下去了，很痛，我很難過。他們應該休息一下。我心痛</v>
      </c>
      <c r="G7019" s="4" t="str">
        <f>IFERROR(__xludf.DUMMYFUNCTION("GOOGLETRANSLATE(B7019)"),"沉沒")</f>
        <v>沉沒</v>
      </c>
    </row>
    <row r="7020" ht="15.75" customHeight="1">
      <c r="A7020" s="4">
        <v>9277.0</v>
      </c>
      <c r="B7020" s="4" t="s">
        <v>4189</v>
      </c>
      <c r="C7020" s="4" t="s">
        <v>5404</v>
      </c>
      <c r="D7020" s="4" t="s">
        <v>10229</v>
      </c>
      <c r="E7020" s="4">
        <v>0.0</v>
      </c>
      <c r="F7020" s="4" t="str">
        <f>IFERROR(__xludf.DUMMYFUNCTION("GOOGLETRANSLATE(D7020)"),"法院的聲譽和威望越來越低，自 1998 年以來在法院任職的普羅瑟已經... http://t.co/H09nYdbzoV")</f>
        <v>法院的聲譽和威望越來越低，自 1998 年以來在法院任職的普羅瑟已經... http://t.co/H09nYdbzoV</v>
      </c>
      <c r="G7020" s="4" t="str">
        <f>IFERROR(__xludf.DUMMYFUNCTION("GOOGLETRANSLATE(B7020)"),"沉沒")</f>
        <v>沉沒</v>
      </c>
    </row>
    <row r="7021" ht="15.75" customHeight="1">
      <c r="A7021" s="4">
        <v>9278.0</v>
      </c>
      <c r="B7021" s="4" t="s">
        <v>4189</v>
      </c>
      <c r="C7021" s="4" t="s">
        <v>1529</v>
      </c>
      <c r="D7021" s="4" t="s">
        <v>10230</v>
      </c>
      <c r="E7021" s="4">
        <v>0.0</v>
      </c>
      <c r="F7021" s="4" t="str">
        <f>IFERROR(__xludf.DUMMYFUNCTION("GOOGLETRANSLATE(D7021)"),"&lt;&lt;當他陷入床上時，他嘴唇交叉，雙臂交叉在腦後，看著他的隊長在他的身上做著數。 @堅決盾")</f>
        <v>&lt;&lt;當他陷入床上時，他嘴唇交叉，雙臂交叉在腦後，看著他的隊長在他的身上做著數。 @堅決盾</v>
      </c>
      <c r="G7021" s="4" t="str">
        <f>IFERROR(__xludf.DUMMYFUNCTION("GOOGLETRANSLATE(B7021)"),"沉沒")</f>
        <v>沉沒</v>
      </c>
    </row>
    <row r="7022" ht="15.75" customHeight="1">
      <c r="A7022" s="4">
        <v>9280.0</v>
      </c>
      <c r="B7022" s="4" t="s">
        <v>4189</v>
      </c>
      <c r="D7022" s="4" t="s">
        <v>10231</v>
      </c>
      <c r="E7022" s="4">
        <v>0.0</v>
      </c>
      <c r="F7022" s="4" t="str">
        <f>IFERROR(__xludf.DUMMYFUNCTION("GOOGLETRANSLATE(D7022)"),"@ShekharGupta @mihirssharma 高時間電視頻道意識到他們在 TRP 和廣告方面已經陷入了怎樣的水平。它已經成為一種嘲笑")</f>
        <v>@ShekharGupta @mihirssharma 高時間電視頻道意識到他們在 TRP 和廣告方面已經陷入了怎樣的水平。它已經成為一種嘲笑</v>
      </c>
      <c r="G7022" s="4" t="str">
        <f>IFERROR(__xludf.DUMMYFUNCTION("GOOGLETRANSLATE(B7022)"),"沉沒")</f>
        <v>沉沒</v>
      </c>
    </row>
    <row r="7023" ht="15.75" customHeight="1">
      <c r="A7023" s="4">
        <v>9281.0</v>
      </c>
      <c r="B7023" s="4" t="s">
        <v>4189</v>
      </c>
      <c r="C7023" s="4" t="s">
        <v>10232</v>
      </c>
      <c r="D7023" s="4" t="s">
        <v>10233</v>
      </c>
      <c r="E7023" s="4">
        <v>0.0</v>
      </c>
      <c r="F7023" s="4" t="str">
        <f>IFERROR(__xludf.DUMMYFUNCTION("GOOGLETRANSLATE(D7023)"),"@bonhomme37 這不會讓潛水艇沉沒嗎？")</f>
        <v>@bonhomme37 這不會讓潛水艇沉沒嗎？</v>
      </c>
      <c r="G7023" s="4" t="str">
        <f>IFERROR(__xludf.DUMMYFUNCTION("GOOGLETRANSLATE(B7023)"),"沉沒")</f>
        <v>沉沒</v>
      </c>
    </row>
    <row r="7024" ht="15.75" customHeight="1">
      <c r="A7024" s="4">
        <v>9283.0</v>
      </c>
      <c r="B7024" s="4" t="s">
        <v>4189</v>
      </c>
      <c r="C7024" s="4" t="s">
        <v>1290</v>
      </c>
      <c r="D7024" s="4" t="s">
        <v>10234</v>
      </c>
      <c r="E7024" s="4">
        <v>0.0</v>
      </c>
      <c r="F7024" s="4" t="str">
        <f>IFERROR(__xludf.DUMMYFUNCTION("GOOGLETRANSLATE(D7024)"),"就像我從未離開過一樣。我只是沉入背景")</f>
        <v>就像我從未離開過一樣。我只是沉入背景</v>
      </c>
      <c r="G7024" s="4" t="str">
        <f>IFERROR(__xludf.DUMMYFUNCTION("GOOGLETRANSLATE(B7024)"),"沉沒")</f>
        <v>沉沒</v>
      </c>
    </row>
    <row r="7025" ht="15.75" customHeight="1">
      <c r="A7025" s="4">
        <v>9287.0</v>
      </c>
      <c r="B7025" s="4" t="s">
        <v>4189</v>
      </c>
      <c r="D7025" s="4" t="s">
        <v>10235</v>
      </c>
      <c r="E7025" s="4">
        <v>0.0</v>
      </c>
      <c r="F7025" s="4" t="str">
        <f>IFERROR(__xludf.DUMMYFUNCTION("GOOGLETRANSLATE(D7025)"),"@silverstar58200 我為羅梅羅感到難過。他很關心，但精神問題毀了他的職業生涯。我擔心同樣的事情也會發生在哈奇身上。 ＃藍鳥")</f>
        <v>@silverstar58200 我為羅梅羅感到難過。他很關心，但精神問題毀了他的職業生涯。我擔心同樣的事情也會發生在哈奇身上。 ＃藍鳥</v>
      </c>
      <c r="G7025" s="4" t="str">
        <f>IFERROR(__xludf.DUMMYFUNCTION("GOOGLETRANSLATE(B7025)"),"沉沒")</f>
        <v>沉沒</v>
      </c>
    </row>
    <row r="7026" ht="15.75" customHeight="1">
      <c r="A7026" s="4">
        <v>9288.0</v>
      </c>
      <c r="B7026" s="4" t="s">
        <v>4189</v>
      </c>
      <c r="D7026" s="4" t="s">
        <v>10236</v>
      </c>
      <c r="E7026" s="4">
        <v>0.0</v>
      </c>
      <c r="F7026" s="4" t="str">
        <f>IFERROR(__xludf.DUMMYFUNCTION("GOOGLETRANSLATE(D7026)"),"除了明天我實際上要搬到科羅拉多州之外，一切都已經塵埃落定。從小就夢想過。？")</f>
        <v>除了明天我實際上要搬到科羅拉多州之外，一切都已經塵埃落定。從小就夢想過。？</v>
      </c>
      <c r="G7026" s="4" t="str">
        <f>IFERROR(__xludf.DUMMYFUNCTION("GOOGLETRANSLATE(B7026)"),"沉沒")</f>
        <v>沉沒</v>
      </c>
    </row>
    <row r="7027" ht="15.75" customHeight="1">
      <c r="A7027" s="4">
        <v>9289.0</v>
      </c>
      <c r="B7027" s="4" t="s">
        <v>4189</v>
      </c>
      <c r="C7027" s="4" t="s">
        <v>8890</v>
      </c>
      <c r="D7027" s="4" t="s">
        <v>10237</v>
      </c>
      <c r="E7027" s="4">
        <v>0.0</v>
      </c>
      <c r="F7027" s="4" t="str">
        <f>IFERROR(__xludf.DUMMYFUNCTION("GOOGLETRANSLATE(D7027)"),"媽的，真的沒有一個 MLK 中心還沒沉的")</f>
        <v>媽的，真的沒有一個 MLK 中心還沒沉的</v>
      </c>
      <c r="G7027" s="4" t="str">
        <f>IFERROR(__xludf.DUMMYFUNCTION("GOOGLETRANSLATE(B7027)"),"沉沒")</f>
        <v>沉沒</v>
      </c>
    </row>
    <row r="7028" ht="15.75" customHeight="1">
      <c r="A7028" s="4">
        <v>9292.0</v>
      </c>
      <c r="B7028" s="4" t="s">
        <v>4203</v>
      </c>
      <c r="C7028" s="4" t="s">
        <v>10238</v>
      </c>
      <c r="D7028" s="4" t="s">
        <v>10239</v>
      </c>
      <c r="E7028" s="4">
        <v>0.0</v>
      </c>
      <c r="F7028" s="4" t="str">
        <f>IFERROR(__xludf.DUMMYFUNCTION("GOOGLETRANSLATE(D7028)"),"Hank Williams Jr. - 'Country Boys Can Survive'（官方音樂錄影帶）https://t.co/YOu7wn9xVs 來自 @YouTube")</f>
        <v>Hank Williams Jr. - 'Country Boys Can Survive'（官方音樂錄影帶）https://t.co/YOu7wn9xVs 來自 @YouTube</v>
      </c>
      <c r="G7028" s="4" t="str">
        <f>IFERROR(__xludf.DUMMYFUNCTION("GOOGLETRANSLATE(B7028)"),"存活")</f>
        <v>存活</v>
      </c>
    </row>
    <row r="7029" ht="15.75" customHeight="1">
      <c r="A7029" s="4">
        <v>9293.0</v>
      </c>
      <c r="B7029" s="4" t="s">
        <v>4203</v>
      </c>
      <c r="C7029" s="4" t="s">
        <v>10240</v>
      </c>
      <c r="D7029" s="4" t="s">
        <v>10241</v>
      </c>
      <c r="E7029" s="4">
        <v>0.0</v>
      </c>
      <c r="F7029" s="4" t="str">
        <f>IFERROR(__xludf.DUMMYFUNCTION("GOOGLETRANSLATE(D7029)"),"親代經驗可能有助於珊瑚後代在氣候變遷中生存：預處理成年珊瑚以增加... http://t.co/N9c3i9v8gO")</f>
        <v>親代經驗可能有助於珊瑚後代在氣候變遷中生存：預處理成年珊瑚以增加... http://t.co/N9c3i9v8gO</v>
      </c>
      <c r="G7029" s="4" t="str">
        <f>IFERROR(__xludf.DUMMYFUNCTION("GOOGLETRANSLATE(B7029)"),"存活")</f>
        <v>存活</v>
      </c>
    </row>
    <row r="7030" ht="15.75" customHeight="1">
      <c r="A7030" s="4">
        <v>9294.0</v>
      </c>
      <c r="B7030" s="4" t="s">
        <v>4203</v>
      </c>
      <c r="D7030" s="4" t="s">
        <v>10242</v>
      </c>
      <c r="E7030" s="4">
        <v>0.0</v>
      </c>
      <c r="F7030" s="4" t="str">
        <f>IFERROR(__xludf.DUMMYFUNCTION("GOOGLETRANSLATE(D7030)"),"@lucypalladino 和我沒有一起上任何課，我不確定我是否能夠生存")</f>
        <v>@lucypalladino 和我沒有一起上任何課，我不確定我是否能夠生存</v>
      </c>
      <c r="G7030" s="4" t="str">
        <f>IFERROR(__xludf.DUMMYFUNCTION("GOOGLETRANSLATE(B7030)"),"存活")</f>
        <v>存活</v>
      </c>
    </row>
    <row r="7031" ht="15.75" customHeight="1">
      <c r="A7031" s="4">
        <v>9296.0</v>
      </c>
      <c r="B7031" s="4" t="s">
        <v>4203</v>
      </c>
      <c r="D7031" s="4" t="s">
        <v>10243</v>
      </c>
      <c r="E7031" s="4">
        <v>0.0</v>
      </c>
      <c r="F7031" s="4" t="str">
        <f>IFERROR(__xludf.DUMMYFUNCTION("GOOGLETRANSLATE(D7031)"),"明天我就要期末考了？？？？？？ 。 Ish 壓力很大，但我會活下去")</f>
        <v>明天我就要期末考了？？？？？？ 。 Ish 壓力很大，但我會活下去</v>
      </c>
      <c r="G7031" s="4" t="str">
        <f>IFERROR(__xludf.DUMMYFUNCTION("GOOGLETRANSLATE(B7031)"),"存活")</f>
        <v>存活</v>
      </c>
    </row>
    <row r="7032" ht="15.75" customHeight="1">
      <c r="A7032" s="4">
        <v>9297.0</v>
      </c>
      <c r="B7032" s="4" t="s">
        <v>4203</v>
      </c>
      <c r="C7032" s="4" t="s">
        <v>627</v>
      </c>
      <c r="D7032" s="4" t="s">
        <v>10244</v>
      </c>
      <c r="E7032" s="4">
        <v>0.0</v>
      </c>
      <c r="F7032" s="4" t="str">
        <f>IFERROR(__xludf.DUMMYFUNCTION("GOOGLETRANSLATE(D7032)"),"啊啊忘記帶耳機了，沒有音樂的一天我該怎麼度過啊啊啊啊啊HDJJFJRJJRDJJEKS")</f>
        <v>啊啊忘記帶耳機了，沒有音樂的一天我該怎麼度過啊啊啊啊啊HDJJFJRJJRDJJEKS</v>
      </c>
      <c r="G7032" s="4" t="str">
        <f>IFERROR(__xludf.DUMMYFUNCTION("GOOGLETRANSLATE(B7032)"),"存活")</f>
        <v>存活</v>
      </c>
    </row>
    <row r="7033" ht="15.75" customHeight="1">
      <c r="A7033" s="4">
        <v>9298.0</v>
      </c>
      <c r="B7033" s="4" t="s">
        <v>4203</v>
      </c>
      <c r="C7033" s="4" t="s">
        <v>10245</v>
      </c>
      <c r="D7033" s="4" t="s">
        <v>10246</v>
      </c>
      <c r="E7033" s="4">
        <v>0.0</v>
      </c>
      <c r="F7033" s="4" t="str">
        <f>IFERROR(__xludf.DUMMYFUNCTION("GOOGLETRANSLATE(D7033)"),"10 種生存與逃脫戒嚴的方法 |世界 http://t.co/BiuEY7bUtS http://t.co/JWQYbe4ep1")</f>
        <v>10 種生存與逃脫戒嚴的方法 |世界 http://t.co/BiuEY7bUtS http://t.co/JWQYbe4ep1</v>
      </c>
      <c r="G7033" s="4" t="str">
        <f>IFERROR(__xludf.DUMMYFUNCTION("GOOGLETRANSLATE(B7033)"),"存活")</f>
        <v>存活</v>
      </c>
    </row>
    <row r="7034" ht="15.75" customHeight="1">
      <c r="A7034" s="4">
        <v>9300.0</v>
      </c>
      <c r="B7034" s="4" t="s">
        <v>4203</v>
      </c>
      <c r="D7034" s="4" t="s">
        <v>10247</v>
      </c>
      <c r="E7034" s="4">
        <v>0.0</v>
      </c>
      <c r="F7034" s="4" t="str">
        <f>IFERROR(__xludf.DUMMYFUNCTION("GOOGLETRANSLATE(D7034)"),"如何在市場中生存 http://t.co/LnzI7o166Y #oil #investing #money #trading #forex #gold #silver #business http://t.co/TmpFWjPI6I")</f>
        <v>如何在市場中生存 http://t.co/LnzI7o166Y #oil #investing #money #trading #forex #gold #silver #business http://t.co/TmpFWjPI6I</v>
      </c>
      <c r="G7034" s="4" t="str">
        <f>IFERROR(__xludf.DUMMYFUNCTION("GOOGLETRANSLATE(B7034)"),"存活")</f>
        <v>存活</v>
      </c>
    </row>
    <row r="7035" ht="15.75" customHeight="1">
      <c r="A7035" s="4">
        <v>9303.0</v>
      </c>
      <c r="B7035" s="4" t="s">
        <v>4203</v>
      </c>
      <c r="C7035" s="4" t="s">
        <v>10248</v>
      </c>
      <c r="D7035" s="4" t="s">
        <v>10249</v>
      </c>
      <c r="E7035" s="4">
        <v>0.0</v>
      </c>
      <c r="F7035" s="4" t="str">
        <f>IFERROR(__xludf.DUMMYFUNCTION("GOOGLETRANSLATE(D7035)"),"今天的員工會議以老師版的「我會生存」結束#tootrue http://t.co/mCWD37IOF9")</f>
        <v>今天的員工會議以老師版的「我會生存」結束#tootrue http://t.co/mCWD37IOF9</v>
      </c>
      <c r="G7035" s="4" t="str">
        <f>IFERROR(__xludf.DUMMYFUNCTION("GOOGLETRANSLATE(B7035)"),"存活")</f>
        <v>存活</v>
      </c>
    </row>
    <row r="7036" ht="15.75" customHeight="1">
      <c r="A7036" s="4">
        <v>9307.0</v>
      </c>
      <c r="B7036" s="4" t="s">
        <v>4203</v>
      </c>
      <c r="C7036" s="4" t="s">
        <v>10250</v>
      </c>
      <c r="D7036" s="4" t="s">
        <v>10251</v>
      </c>
      <c r="E7036" s="4">
        <v>0.0</v>
      </c>
      <c r="F7036" s="4" t="str">
        <f>IFERROR(__xludf.DUMMYFUNCTION("GOOGLETRANSLATE(D7036)"),"沒有多里安我該如何生存")</f>
        <v>沒有多里安我該如何生存</v>
      </c>
      <c r="G7036" s="4" t="str">
        <f>IFERROR(__xludf.DUMMYFUNCTION("GOOGLETRANSLATE(B7036)"),"存活")</f>
        <v>存活</v>
      </c>
    </row>
    <row r="7037" ht="15.75" customHeight="1">
      <c r="A7037" s="4">
        <v>9308.0</v>
      </c>
      <c r="B7037" s="4" t="s">
        <v>4203</v>
      </c>
      <c r="D7037" s="4" t="s">
        <v>10252</v>
      </c>
      <c r="E7037" s="4">
        <v>0.0</v>
      </c>
      <c r="F7037" s="4" t="str">
        <f>IFERROR(__xludf.DUMMYFUNCTION("GOOGLETRANSLATE(D7037)"),"如果我今晚能活下來的話。我不會改變一件事。 ??")</f>
        <v>如果我今晚能活下來的話。我不會改變一件事。 ??</v>
      </c>
      <c r="G7037" s="4" t="str">
        <f>IFERROR(__xludf.DUMMYFUNCTION("GOOGLETRANSLATE(B7037)"),"存活")</f>
        <v>存活</v>
      </c>
    </row>
    <row r="7038" ht="15.75" customHeight="1">
      <c r="A7038" s="4">
        <v>9309.0</v>
      </c>
      <c r="B7038" s="4" t="s">
        <v>4203</v>
      </c>
      <c r="D7038" s="4" t="s">
        <v>10253</v>
      </c>
      <c r="E7038" s="4">
        <v>0.0</v>
      </c>
      <c r="F7038" s="4" t="str">
        <f>IFERROR(__xludf.DUMMYFUNCTION("GOOGLETRANSLATE(D7038)"),"所有聯盟行銷人員在線生存所需的三件事 - 每個聯盟行銷人員始終... http://t.co/kPMYqUJSUE")</f>
        <v>所有聯盟行銷人員在線生存所需的三件事 - 每個聯盟行銷人員始終... http://t.co/kPMYqUJSUE</v>
      </c>
      <c r="G7038" s="4" t="str">
        <f>IFERROR(__xludf.DUMMYFUNCTION("GOOGLETRANSLATE(B7038)"),"存活")</f>
        <v>存活</v>
      </c>
    </row>
    <row r="7039" ht="15.75" customHeight="1">
      <c r="A7039" s="4">
        <v>9311.0</v>
      </c>
      <c r="B7039" s="4" t="s">
        <v>4203</v>
      </c>
      <c r="C7039" s="4" t="s">
        <v>10254</v>
      </c>
      <c r="D7039" s="4" t="s">
        <v>10255</v>
      </c>
      <c r="E7039" s="4">
        <v>0.0</v>
      </c>
      <c r="F7039" s="4" t="str">
        <f>IFERROR(__xludf.DUMMYFUNCTION("GOOGLETRANSLATE(D7039)"),"不要因為他們的嘗試而取笑他們
在這樣一個種族主義精英國家生存")</f>
        <v>不要因為他們的嘗試而取笑他們
在這樣一個種族主義精英國家生存</v>
      </c>
      <c r="G7039" s="4" t="str">
        <f>IFERROR(__xludf.DUMMYFUNCTION("GOOGLETRANSLATE(B7039)"),"存活")</f>
        <v>存活</v>
      </c>
    </row>
    <row r="7040" ht="15.75" customHeight="1">
      <c r="A7040" s="4">
        <v>9313.0</v>
      </c>
      <c r="B7040" s="4" t="s">
        <v>4203</v>
      </c>
      <c r="C7040" s="4" t="s">
        <v>627</v>
      </c>
      <c r="D7040" s="4" t="s">
        <v>10256</v>
      </c>
      <c r="E7040" s="4">
        <v>0.0</v>
      </c>
      <c r="F7040" s="4" t="str">
        <f>IFERROR(__xludf.DUMMYFUNCTION("GOOGLETRANSLATE(D7040)"),"當我們面對並度過必須經歷的考驗時，我們會學習、成長、變得更堅強。 #ThomasSMonson #LDS #Mormon")</f>
        <v>當我們面對並度過必須經歷的考驗時，我們會學習、成長、變得更堅強。 #ThomasSMonson #LDS #Mormon</v>
      </c>
      <c r="G7040" s="4" t="str">
        <f>IFERROR(__xludf.DUMMYFUNCTION("GOOGLETRANSLATE(B7040)"),"存活")</f>
        <v>存活</v>
      </c>
    </row>
    <row r="7041" ht="15.75" customHeight="1">
      <c r="A7041" s="4">
        <v>9319.0</v>
      </c>
      <c r="B7041" s="4" t="s">
        <v>4203</v>
      </c>
      <c r="C7041" s="4" t="s">
        <v>10257</v>
      </c>
      <c r="D7041" s="4" t="s">
        <v>10258</v>
      </c>
      <c r="E7041" s="4">
        <v>0.0</v>
      </c>
      <c r="F7041" s="4" t="str">
        <f>IFERROR(__xludf.DUMMYFUNCTION("GOOGLETRANSLATE(D7041)"),"在夢中，你看到了生存的方法，你充滿了喜悅。")</f>
        <v>在夢中，你看到了生存的方法，你充滿了喜悅。</v>
      </c>
      <c r="G7041" s="4" t="str">
        <f>IFERROR(__xludf.DUMMYFUNCTION("GOOGLETRANSLATE(B7041)"),"存活")</f>
        <v>存活</v>
      </c>
    </row>
    <row r="7042" ht="15.75" customHeight="1">
      <c r="A7042" s="4">
        <v>9320.0</v>
      </c>
      <c r="B7042" s="4" t="s">
        <v>4203</v>
      </c>
      <c r="D7042" s="4" t="s">
        <v>10259</v>
      </c>
      <c r="E7042" s="4">
        <v>0.0</v>
      </c>
      <c r="F7042" s="4" t="str">
        <f>IFERROR(__xludf.DUMMYFUNCTION("GOOGLETRANSLATE(D7042)"),"16 座時尚獨特的房子可能會幫助你在殭屍啟示錄中生存http://t.co/AU3DBCI7nf http://t.co/BOvJRF62T7")</f>
        <v>16 座時尚獨特的房子可能會幫助你在殭屍啟示錄中生存http://t.co/AU3DBCI7nf http://t.co/BOvJRF62T7</v>
      </c>
      <c r="G7042" s="4" t="str">
        <f>IFERROR(__xludf.DUMMYFUNCTION("GOOGLETRANSLATE(B7042)"),"存活")</f>
        <v>存活</v>
      </c>
    </row>
    <row r="7043" ht="15.75" customHeight="1">
      <c r="A7043" s="4">
        <v>9321.0</v>
      </c>
      <c r="B7043" s="4" t="s">
        <v>4203</v>
      </c>
      <c r="C7043" s="4" t="s">
        <v>10260</v>
      </c>
      <c r="D7043" s="4" t="s">
        <v>10261</v>
      </c>
      <c r="E7043" s="4">
        <v>0.0</v>
      </c>
      <c r="F7043" s="4" t="str">
        <f>IFERROR(__xludf.DUMMYFUNCTION("GOOGLETRANSLATE(D7043)"),"我們分開已經三年了。有時候你必須讓一個男人知道你會離開他。 &amp;amp;沒有你也能生存")</f>
        <v>我們分開已經三年了。有時候你必須讓一個男人知道你會離開他。 &amp;amp;沒有你也能生存</v>
      </c>
      <c r="G7043" s="4" t="str">
        <f>IFERROR(__xludf.DUMMYFUNCTION("GOOGLETRANSLATE(B7043)"),"存活")</f>
        <v>存活</v>
      </c>
    </row>
    <row r="7044" ht="15.75" customHeight="1">
      <c r="A7044" s="4">
        <v>9322.0</v>
      </c>
      <c r="B7044" s="4" t="s">
        <v>4203</v>
      </c>
      <c r="C7044" s="4" t="s">
        <v>4592</v>
      </c>
      <c r="D7044" s="4" t="s">
        <v>10262</v>
      </c>
      <c r="E7044" s="4">
        <v>0.0</v>
      </c>
      <c r="F7044" s="4" t="str">
        <f>IFERROR(__xludf.DUMMYFUNCTION("GOOGLETRANSLATE(D7044)"),"現在意識到沒有這些眼鏡我真的無法生存，哈哈")</f>
        <v>現在意識到沒有這些眼鏡我真的無法生存，哈哈</v>
      </c>
      <c r="G7044" s="4" t="str">
        <f>IFERROR(__xludf.DUMMYFUNCTION("GOOGLETRANSLATE(B7044)"),"存活")</f>
        <v>存活</v>
      </c>
    </row>
    <row r="7045" ht="15.75" customHeight="1">
      <c r="A7045" s="4">
        <v>9324.0</v>
      </c>
      <c r="B7045" s="4" t="s">
        <v>4203</v>
      </c>
      <c r="C7045" s="4" t="s">
        <v>10263</v>
      </c>
      <c r="D7045" s="4" t="s">
        <v>10264</v>
      </c>
      <c r="E7045" s="4">
        <v>0.0</v>
      </c>
      <c r="F7045" s="4" t="str">
        <f>IFERROR(__xludf.DUMMYFUNCTION("GOOGLETRANSLATE(D7045)"),"11 月 15 日，在殭屍歡樂跑中幫助我在殭屍末日中生存。 https://t.co/kgSwhSr7Mn #teamsurvivors #zombiefunrun2014")</f>
        <v>11 月 15 日，在殭屍歡樂跑中幫助我在殭屍末日中生存。 https://t.co/kgSwhSr7Mn #teamsurvivors #zombiefunrun2014</v>
      </c>
      <c r="G7045" s="4" t="str">
        <f>IFERROR(__xludf.DUMMYFUNCTION("GOOGLETRANSLATE(B7045)"),"存活")</f>
        <v>存活</v>
      </c>
    </row>
    <row r="7046" ht="15.75" customHeight="1">
      <c r="A7046" s="4">
        <v>9325.0</v>
      </c>
      <c r="B7046" s="4" t="s">
        <v>4203</v>
      </c>
      <c r="C7046" s="4" t="s">
        <v>10265</v>
      </c>
      <c r="D7046" s="4" t="s">
        <v>10266</v>
      </c>
      <c r="E7046" s="4">
        <v>0.0</v>
      </c>
      <c r="F7046" s="4" t="str">
        <f>IFERROR(__xludf.DUMMYFUNCTION("GOOGLETRANSLATE(D7046)"),"@mochichiiiii @hikagezero 這對我來說也是不可能的 WW 就像我一天不吃肉就活不下去一樣 wew")</f>
        <v>@mochichiiiii @hikagezero 這對我來說也是不可能的 WW 就像我一天不吃肉就活不下去一樣 wew</v>
      </c>
      <c r="G7046" s="4" t="str">
        <f>IFERROR(__xludf.DUMMYFUNCTION("GOOGLETRANSLATE(B7046)"),"存活")</f>
        <v>存活</v>
      </c>
    </row>
    <row r="7047" ht="15.75" customHeight="1">
      <c r="A7047" s="4">
        <v>9329.0</v>
      </c>
      <c r="B7047" s="4" t="s">
        <v>4203</v>
      </c>
      <c r="C7047" s="4" t="s">
        <v>10267</v>
      </c>
      <c r="D7047" s="4" t="s">
        <v>10268</v>
      </c>
      <c r="E7047" s="4">
        <v>0.0</v>
      </c>
      <c r="F7047" s="4" t="str">
        <f>IFERROR(__xludf.DUMMYFUNCTION("GOOGLETRANSLATE(D7047)"),"：： 存活？？")</f>
        <v>：： 存活？？</v>
      </c>
      <c r="G7047" s="4" t="str">
        <f>IFERROR(__xludf.DUMMYFUNCTION("GOOGLETRANSLATE(B7047)"),"存活")</f>
        <v>存活</v>
      </c>
    </row>
    <row r="7048" ht="15.75" customHeight="1">
      <c r="A7048" s="4">
        <v>9330.0</v>
      </c>
      <c r="B7048" s="4" t="s">
        <v>4203</v>
      </c>
      <c r="C7048" s="4" t="s">
        <v>2751</v>
      </c>
      <c r="D7048" s="4" t="s">
        <v>10269</v>
      </c>
      <c r="E7048" s="4">
        <v>0.0</v>
      </c>
      <c r="F7048" s="4" t="str">
        <f>IFERROR(__xludf.DUMMYFUNCTION("GOOGLETRANSLATE(D7048)"),"你無法對抗命運，也無法獨自生存……我不禁注意到，這幾乎像是對我是誰的定義……")</f>
        <v>你無法對抗命運，也無法獨自生存……我不禁注意到，這幾乎像是對我是誰的定義……</v>
      </c>
      <c r="G7048" s="4" t="str">
        <f>IFERROR(__xludf.DUMMYFUNCTION("GOOGLETRANSLATE(B7048)"),"存活")</f>
        <v>存活</v>
      </c>
    </row>
    <row r="7049" ht="15.75" customHeight="1">
      <c r="A7049" s="4">
        <v>9332.0</v>
      </c>
      <c r="B7049" s="4" t="s">
        <v>4203</v>
      </c>
      <c r="D7049" s="4" t="s">
        <v>10270</v>
      </c>
      <c r="E7049" s="4">
        <v>0.0</v>
      </c>
      <c r="F7049" s="4" t="str">
        <f>IFERROR(__xludf.DUMMYFUNCTION("GOOGLETRANSLATE(D7049)"),"@DDNewsLive @NitishKumar 和 @ArvindKejriwal 如果不引用 @@narendramodi 就無法生存。沒有莫迪先生，他們就是大零")</f>
        <v>@DDNewsLive @NitishKumar 和 @ArvindKejriwal 如果不引用 @@narendramodi 就無法生存。沒有莫迪先生，他們就是大零</v>
      </c>
      <c r="G7049" s="4" t="str">
        <f>IFERROR(__xludf.DUMMYFUNCTION("GOOGLETRANSLATE(B7049)"),"存活")</f>
        <v>存活</v>
      </c>
    </row>
    <row r="7050" ht="15.75" customHeight="1">
      <c r="A7050" s="4">
        <v>9333.0</v>
      </c>
      <c r="B7050" s="4" t="s">
        <v>4203</v>
      </c>
      <c r="D7050" s="4" t="s">
        <v>10271</v>
      </c>
      <c r="E7050" s="4">
        <v>0.0</v>
      </c>
      <c r="F7050" s="4" t="str">
        <f>IFERROR(__xludf.DUMMYFUNCTION("GOOGLETRANSLATE(D7050)"),"@adriennetomah 人們是怎麼這樣生存的？！")</f>
        <v>@adriennetomah 人們是怎麼這樣生存的？！</v>
      </c>
      <c r="G7050" s="4" t="str">
        <f>IFERROR(__xludf.DUMMYFUNCTION("GOOGLETRANSLATE(B7050)"),"存活")</f>
        <v>存活</v>
      </c>
    </row>
    <row r="7051" ht="15.75" customHeight="1">
      <c r="A7051" s="4">
        <v>9334.0</v>
      </c>
      <c r="B7051" s="4" t="s">
        <v>4203</v>
      </c>
      <c r="C7051" s="4" t="s">
        <v>10272</v>
      </c>
      <c r="D7051" s="4" t="s">
        <v>10273</v>
      </c>
      <c r="E7051" s="4">
        <v>0.0</v>
      </c>
      <c r="F7051" s="4" t="str">
        <f>IFERROR(__xludf.DUMMYFUNCTION("GOOGLETRANSLATE(D7051)"),"就像它影響到生活的各個層面一樣，你期望我買所有東西，但仍然用我有限的零用錢生存")</f>
        <v>就像它影響到生活的各個層面一樣，你期望我買所有東西，但仍然用我有限的零用錢生存</v>
      </c>
      <c r="G7051" s="4" t="str">
        <f>IFERROR(__xludf.DUMMYFUNCTION("GOOGLETRANSLATE(B7051)"),"存活")</f>
        <v>存活</v>
      </c>
    </row>
    <row r="7052" ht="15.75" customHeight="1">
      <c r="A7052" s="4">
        <v>9338.0</v>
      </c>
      <c r="B7052" s="4" t="s">
        <v>4203</v>
      </c>
      <c r="C7052" s="4" t="s">
        <v>10274</v>
      </c>
      <c r="D7052" s="4" t="s">
        <v>10275</v>
      </c>
      <c r="E7052" s="4">
        <v>0.0</v>
      </c>
      <c r="F7052" s="4" t="str">
        <f>IFERROR(__xludf.DUMMYFUNCTION("GOOGLETRANSLATE(D7052)"),"如果我還活著，明天就會見到你")</f>
        <v>如果我還活著，明天就會見到你</v>
      </c>
      <c r="G7052" s="4" t="str">
        <f>IFERROR(__xludf.DUMMYFUNCTION("GOOGLETRANSLATE(B7052)"),"存活")</f>
        <v>存活</v>
      </c>
    </row>
    <row r="7053" ht="15.75" customHeight="1">
      <c r="A7053" s="4">
        <v>9339.0</v>
      </c>
      <c r="B7053" s="4" t="s">
        <v>4203</v>
      </c>
      <c r="D7053" s="4" t="s">
        <v>10276</v>
      </c>
      <c r="E7053" s="4">
        <v>0.0</v>
      </c>
      <c r="F7053" s="4" t="str">
        <f>IFERROR(__xludf.DUMMYFUNCTION("GOOGLETRANSLATE(D7053)"),"#汽車保險業對 #driverlesscars 毫無頭緒：#Markets：#Money Times http://t.co/YdEtWgRibk")</f>
        <v>#汽車保險業對 #driverlesscars 毫無頭緒：#Markets：#Money Times http://t.co/YdEtWgRibk</v>
      </c>
      <c r="G7053" s="4" t="str">
        <f>IFERROR(__xludf.DUMMYFUNCTION("GOOGLETRANSLATE(B7053)"),"存活")</f>
        <v>存活</v>
      </c>
    </row>
    <row r="7054" ht="15.75" customHeight="1">
      <c r="A7054" s="4">
        <v>9341.0</v>
      </c>
      <c r="B7054" s="4" t="s">
        <v>4203</v>
      </c>
      <c r="D7054" s="4" t="s">
        <v>10277</v>
      </c>
      <c r="E7054" s="4">
        <v>0.0</v>
      </c>
      <c r="F7054" s="4" t="str">
        <f>IFERROR(__xludf.DUMMYFUNCTION("GOOGLETRANSLATE(D7054)"),"超級大國的自殺：美國能活到2025年嗎？作者：Patrick J. Buchana... http://t.co/eMTwirknyq http://t.co/M9K08OaZve")</f>
        <v>超級大國的自殺：美國能活到2025年嗎？作者：Patrick J. Buchana... http://t.co/eMTwirknyq http://t.co/M9K08OaZve</v>
      </c>
      <c r="G7054" s="4" t="str">
        <f>IFERROR(__xludf.DUMMYFUNCTION("GOOGLETRANSLATE(B7054)"),"存活")</f>
        <v>存活</v>
      </c>
    </row>
    <row r="7055" ht="15.75" customHeight="1">
      <c r="A7055" s="4">
        <v>9342.0</v>
      </c>
      <c r="B7055" s="4" t="s">
        <v>4211</v>
      </c>
      <c r="C7055" s="4" t="s">
        <v>183</v>
      </c>
      <c r="D7055" s="4" t="s">
        <v>10278</v>
      </c>
      <c r="E7055" s="4">
        <v>0.0</v>
      </c>
      <c r="F7055" s="4" t="str">
        <f>IFERROR(__xludf.DUMMYFUNCTION("GOOGLETRANSLATE(D7055)"),"在另一次地鐵罷工中倖存下來，辦公室裡最後一個人回到家。我們在應對罷工方面做得越來越好！")</f>
        <v>在另一次地鐵罷工中倖存下來，辦公室裡最後一個人回到家。我們在應對罷工方面做得越來越好！</v>
      </c>
      <c r="G7055" s="4" t="str">
        <f>IFERROR(__xludf.DUMMYFUNCTION("GOOGLETRANSLATE(B7055)"),"倖存下來")</f>
        <v>倖存下來</v>
      </c>
    </row>
    <row r="7056" ht="15.75" customHeight="1">
      <c r="A7056" s="4">
        <v>9344.0</v>
      </c>
      <c r="B7056" s="4" t="s">
        <v>4211</v>
      </c>
      <c r="D7056" s="4" t="s">
        <v>10279</v>
      </c>
      <c r="E7056" s="4">
        <v>0.0</v>
      </c>
      <c r="F7056" s="4" t="str">
        <f>IFERROR(__xludf.DUMMYFUNCTION("GOOGLETRANSLATE(D7056)"),"@TheDailyShow Mahalo nui loa 讓我二十幾歲了。如果沒有你們，我們這一代不可能在（W.）布希時代倖存下來。 #JonVoyage #holomoa")</f>
        <v>@TheDailyShow Mahalo nui loa 讓我二十幾歲了。如果沒有你們，我們這一代不可能在（W.）布希時代倖存下來。 #JonVoyage #holomoa</v>
      </c>
      <c r="G7056" s="4" t="str">
        <f>IFERROR(__xludf.DUMMYFUNCTION("GOOGLETRANSLATE(B7056)"),"倖存下來")</f>
        <v>倖存下來</v>
      </c>
    </row>
    <row r="7057" ht="15.75" customHeight="1">
      <c r="A7057" s="4">
        <v>9345.0</v>
      </c>
      <c r="B7057" s="4" t="s">
        <v>4211</v>
      </c>
      <c r="C7057" s="4" t="s">
        <v>5328</v>
      </c>
      <c r="D7057" s="4" t="s">
        <v>10280</v>
      </c>
      <c r="E7057" s="4">
        <v>0.0</v>
      </c>
      <c r="F7057" s="4" t="str">
        <f>IFERROR(__xludf.DUMMYFUNCTION("GOOGLETRANSLATE(D7057)"),"@thoutaylorbrown 我覺得你只會吸引事故，但我很高興你能從所有事故中倖存下來。希望你沒事！！！")</f>
        <v>@thoutaylorbrown 我覺得你只會吸引事故，但我很高興你能從所有事故中倖存下來。希望你沒事！！！</v>
      </c>
      <c r="G7057" s="4" t="str">
        <f>IFERROR(__xludf.DUMMYFUNCTION("GOOGLETRANSLATE(B7057)"),"倖存下來")</f>
        <v>倖存下來</v>
      </c>
    </row>
    <row r="7058" ht="15.75" customHeight="1">
      <c r="A7058" s="4">
        <v>9346.0</v>
      </c>
      <c r="B7058" s="4" t="s">
        <v>4211</v>
      </c>
      <c r="C7058" s="4" t="s">
        <v>10281</v>
      </c>
      <c r="D7058" s="4" t="s">
        <v>10282</v>
      </c>
      <c r="E7058" s="4">
        <v>0.0</v>
      </c>
      <c r="F7058" s="4" t="str">
        <f>IFERROR(__xludf.DUMMYFUNCTION("GOOGLETRANSLATE(D7058)"),"即使當我還是個孩子的時候，哈哈，超級晚了，但人們常常因為那件事而抨擊我，我知道他從癌症中倖存下來，但他仍然作弊")</f>
        <v>即使當我還是個孩子的時候，哈哈，超級晚了，但人們常常因為那件事而抨擊我，我知道他從癌症中倖存下來，但他仍然作弊</v>
      </c>
      <c r="G7058" s="4" t="str">
        <f>IFERROR(__xludf.DUMMYFUNCTION("GOOGLETRANSLATE(B7058)"),"倖存下來")</f>
        <v>倖存下來</v>
      </c>
    </row>
    <row r="7059" ht="15.75" customHeight="1">
      <c r="A7059" s="4">
        <v>9347.0</v>
      </c>
      <c r="B7059" s="4" t="s">
        <v>4211</v>
      </c>
      <c r="C7059" s="4" t="s">
        <v>10283</v>
      </c>
      <c r="D7059" s="4" t="s">
        <v>10284</v>
      </c>
      <c r="E7059" s="4">
        <v>0.0</v>
      </c>
      <c r="F7059" s="4" t="str">
        <f>IFERROR(__xludf.DUMMYFUNCTION("GOOGLETRANSLATE(D7059)"),"@taaylordarr 謝謝！我活了下來？？？？")</f>
        <v>@taaylordarr 謝謝！我活了下來？？？？</v>
      </c>
      <c r="G7059" s="4" t="str">
        <f>IFERROR(__xludf.DUMMYFUNCTION("GOOGLETRANSLATE(B7059)"),"倖存下來")</f>
        <v>倖存下來</v>
      </c>
    </row>
    <row r="7060" ht="15.75" customHeight="1">
      <c r="A7060" s="4">
        <v>9350.0</v>
      </c>
      <c r="B7060" s="4" t="s">
        <v>4211</v>
      </c>
      <c r="C7060" s="4" t="s">
        <v>10285</v>
      </c>
      <c r="D7060" s="4" t="s">
        <v>10286</v>
      </c>
      <c r="E7060" s="4">
        <v>0.0</v>
      </c>
      <c r="F7060" s="4" t="str">
        <f>IFERROR(__xludf.DUMMYFUNCTION("GOOGLETRANSLATE(D7060)"),"電力無法阻止斯科菲爾德。黑鬼在 SONA 的熱箱中倖存下來")</f>
        <v>電力無法阻止斯科菲爾德。黑鬼在 SONA 的熱箱中倖存下來</v>
      </c>
      <c r="G7060" s="4" t="str">
        <f>IFERROR(__xludf.DUMMYFUNCTION("GOOGLETRANSLATE(B7060)"),"倖存下來")</f>
        <v>倖存下來</v>
      </c>
    </row>
    <row r="7061" ht="15.75" customHeight="1">
      <c r="A7061" s="4">
        <v>9360.0</v>
      </c>
      <c r="B7061" s="4" t="s">
        <v>4211</v>
      </c>
      <c r="D7061" s="4" t="s">
        <v>10287</v>
      </c>
      <c r="E7061" s="4">
        <v>0.0</v>
      </c>
      <c r="F7061" s="4" t="str">
        <f>IFERROR(__xludf.DUMMYFUNCTION("GOOGLETRANSLATE(D7061)"),"就連柏林圍牆也沒有在 80 年代倖存下來，我懷疑他們會成為像 80 年代那樣的一代 @ChubyChux：... http://t.co/71VdjHJnwV")</f>
        <v>就連柏林圍牆也沒有在 80 年代倖存下來，我懷疑他們會成為像 80 年代那樣的一代 @ChubyChux：... http://t.co/71VdjHJnwV</v>
      </c>
      <c r="G7061" s="4" t="str">
        <f>IFERROR(__xludf.DUMMYFUNCTION("GOOGLETRANSLATE(B7061)"),"倖存下來")</f>
        <v>倖存下來</v>
      </c>
    </row>
    <row r="7062" ht="15.75" customHeight="1">
      <c r="A7062" s="4">
        <v>9362.0</v>
      </c>
      <c r="B7062" s="4" t="s">
        <v>4211</v>
      </c>
      <c r="D7062" s="4" t="s">
        <v>10288</v>
      </c>
      <c r="E7062" s="4">
        <v>0.0</v>
      </c>
      <c r="F7062" s="4" t="str">
        <f>IFERROR(__xludf.DUMMYFUNCTION("GOOGLETRANSLATE(D7062)"),"最終目的地系列中沒有一個角色存活下來？")</f>
        <v>最終目的地系列中沒有一個角色存活下來？</v>
      </c>
      <c r="G7062" s="4" t="str">
        <f>IFERROR(__xludf.DUMMYFUNCTION("GOOGLETRANSLATE(B7062)"),"倖存下來")</f>
        <v>倖存下來</v>
      </c>
    </row>
    <row r="7063" ht="15.75" customHeight="1">
      <c r="A7063" s="4">
        <v>9363.0</v>
      </c>
      <c r="B7063" s="4" t="s">
        <v>4211</v>
      </c>
      <c r="D7063" s="4" t="s">
        <v>10289</v>
      </c>
      <c r="E7063" s="4">
        <v>0.0</v>
      </c>
      <c r="F7063" s="4" t="str">
        <f>IFERROR(__xludf.DUMMYFUNCTION("GOOGLETRANSLATE(D7063)"),"@Michael5SOS 他媽的住在這裡我很驚訝我能活這麼久")</f>
        <v>@Michael5SOS 他媽的住在這裡我很驚訝我能活這麼久</v>
      </c>
      <c r="G7063" s="4" t="str">
        <f>IFERROR(__xludf.DUMMYFUNCTION("GOOGLETRANSLATE(B7063)"),"倖存下來")</f>
        <v>倖存下來</v>
      </c>
    </row>
    <row r="7064" ht="15.75" customHeight="1">
      <c r="A7064" s="4">
        <v>9365.0</v>
      </c>
      <c r="B7064" s="4" t="s">
        <v>4211</v>
      </c>
      <c r="C7064" s="4" t="s">
        <v>10290</v>
      </c>
      <c r="D7064" s="4" t="s">
        <v>10291</v>
      </c>
      <c r="E7064" s="4">
        <v>0.0</v>
      </c>
      <c r="F7064" s="4" t="str">
        <f>IFERROR(__xludf.DUMMYFUNCTION("GOOGLETRANSLATE(D7064)"),"當該隱倖存下來時，剛剛爆發出真正的喜悅之淚#SummerFate @emmerdale")</f>
        <v>當該隱倖存下來時，剛剛爆發出真正的喜悅之淚#SummerFate @emmerdale</v>
      </c>
      <c r="G7064" s="4" t="str">
        <f>IFERROR(__xludf.DUMMYFUNCTION("GOOGLETRANSLATE(B7064)"),"倖存下來")</f>
        <v>倖存下來</v>
      </c>
    </row>
    <row r="7065" ht="15.75" customHeight="1">
      <c r="A7065" s="4">
        <v>9367.0</v>
      </c>
      <c r="B7065" s="4" t="s">
        <v>4211</v>
      </c>
      <c r="C7065" s="4" t="s">
        <v>1441</v>
      </c>
      <c r="D7065" s="4" t="s">
        <v>10292</v>
      </c>
      <c r="E7065" s="4">
        <v>0.0</v>
      </c>
      <c r="F7065" s="4" t="str">
        <f>IFERROR(__xludf.DUMMYFUNCTION("GOOGLETRANSLATE(D7065)"),"尼日利亞拳擊手？在與 Klitschko 的比賽中倖存下來，在 YouTube 上出名 http://t.co/JSZZQsT3XS")</f>
        <v>尼日利亞拳擊手？在與 Klitschko 的比賽中倖存下來，在 YouTube 上出名 http://t.co/JSZZQsT3XS</v>
      </c>
      <c r="G7065" s="4" t="str">
        <f>IFERROR(__xludf.DUMMYFUNCTION("GOOGLETRANSLATE(B7065)"),"倖存下來")</f>
        <v>倖存下來</v>
      </c>
    </row>
    <row r="7066" ht="15.75" customHeight="1">
      <c r="A7066" s="4">
        <v>9368.0</v>
      </c>
      <c r="B7066" s="4" t="s">
        <v>4211</v>
      </c>
      <c r="C7066" s="4" t="s">
        <v>10293</v>
      </c>
      <c r="D7066" s="4" t="s">
        <v>10294</v>
      </c>
      <c r="E7066" s="4">
        <v>0.0</v>
      </c>
      <c r="F7066" s="4" t="str">
        <f>IFERROR(__xludf.DUMMYFUNCTION("GOOGLETRANSLATE(D7066)"),"[+]
如此孤獨的一天
這是我的
這一天我很高興我活了下來......
??")</f>
        <v>[+]
如此孤獨的一天
這是我的
這一天我很高興我活了下來......
??</v>
      </c>
      <c r="G7066" s="4" t="str">
        <f>IFERROR(__xludf.DUMMYFUNCTION("GOOGLETRANSLATE(B7066)"),"倖存下來")</f>
        <v>倖存下來</v>
      </c>
    </row>
    <row r="7067" ht="15.75" customHeight="1">
      <c r="A7067" s="4">
        <v>9371.0</v>
      </c>
      <c r="B7067" s="4" t="s">
        <v>4211</v>
      </c>
      <c r="C7067" s="4" t="s">
        <v>1073</v>
      </c>
      <c r="D7067" s="4" t="s">
        <v>10295</v>
      </c>
      <c r="E7067" s="4">
        <v>0.0</v>
      </c>
      <c r="F7067" s="4" t="str">
        <f>IFERROR(__xludf.DUMMYFUNCTION("GOOGLETRANSLATE(D7067)"),"如果沒有 Whatsapp 上的靜音選項，我該如何生存！")</f>
        <v>如果沒有 Whatsapp 上的靜音選項，我該如何生存！</v>
      </c>
      <c r="G7067" s="4" t="str">
        <f>IFERROR(__xludf.DUMMYFUNCTION("GOOGLETRANSLATE(B7067)"),"倖存下來")</f>
        <v>倖存下來</v>
      </c>
    </row>
    <row r="7068" ht="15.75" customHeight="1">
      <c r="A7068" s="4">
        <v>9372.0</v>
      </c>
      <c r="B7068" s="4" t="s">
        <v>4211</v>
      </c>
      <c r="C7068" s="4" t="s">
        <v>10296</v>
      </c>
      <c r="D7068" s="4" t="s">
        <v>10297</v>
      </c>
      <c r="E7068" s="4">
        <v>0.0</v>
      </c>
      <c r="F7068" s="4" t="str">
        <f>IFERROR(__xludf.DUMMYFUNCTION("GOOGLETRANSLATE(D7068)"),"「雙胞胎」度過了高中第一天！他們將會度過美好的一年！！ #makinmemories 2015 http://t.co/gM8p0Bd8Mt")</f>
        <v>「雙胞胎」度過了高中第一天！他們將會度過美好的一年！！ #makinmemories 2015 http://t.co/gM8p0Bd8Mt</v>
      </c>
      <c r="G7068" s="4" t="str">
        <f>IFERROR(__xludf.DUMMYFUNCTION("GOOGLETRANSLATE(B7068)"),"倖存下來")</f>
        <v>倖存下來</v>
      </c>
    </row>
    <row r="7069" ht="15.75" customHeight="1">
      <c r="A7069" s="4">
        <v>9373.0</v>
      </c>
      <c r="B7069" s="4" t="s">
        <v>4211</v>
      </c>
      <c r="D7069" s="4" t="s">
        <v>10298</v>
      </c>
      <c r="E7069" s="4">
        <v>0.0</v>
      </c>
      <c r="F7069" s="4" t="str">
        <f>IFERROR(__xludf.DUMMYFUNCTION("GOOGLETRANSLATE(D7069)"),"好吧，我和爸爸在我的駕駛中倖存下來了？？？？？？")</f>
        <v>好吧，我和爸爸在我的駕駛中倖存下來了？？？？？？</v>
      </c>
      <c r="G7069" s="4" t="str">
        <f>IFERROR(__xludf.DUMMYFUNCTION("GOOGLETRANSLATE(B7069)"),"倖存下來")</f>
        <v>倖存下來</v>
      </c>
    </row>
    <row r="7070" ht="15.75" customHeight="1">
      <c r="A7070" s="4">
        <v>9374.0</v>
      </c>
      <c r="B7070" s="4" t="s">
        <v>4211</v>
      </c>
      <c r="D7070" s="4" t="s">
        <v>10299</v>
      </c>
      <c r="E7070" s="4">
        <v>0.0</v>
      </c>
      <c r="F7070" s="4" t="str">
        <f>IFERROR(__xludf.DUMMYFUNCTION("GOOGLETRANSLATE(D7070)"),"感謝上帝的恩典，我熬過了凌晨 2 點的輪班，而且我並沒有那麼累。")</f>
        <v>感謝上帝的恩典，我熬過了凌晨 2 點的輪班，而且我並沒有那麼累。</v>
      </c>
      <c r="G7070" s="4" t="str">
        <f>IFERROR(__xludf.DUMMYFUNCTION("GOOGLETRANSLATE(B7070)"),"倖存下來")</f>
        <v>倖存下來</v>
      </c>
    </row>
    <row r="7071" ht="15.75" customHeight="1">
      <c r="A7071" s="4">
        <v>9377.0</v>
      </c>
      <c r="B7071" s="4" t="s">
        <v>4211</v>
      </c>
      <c r="C7071" s="4" t="s">
        <v>10300</v>
      </c>
      <c r="D7071" s="4" t="s">
        <v>10301</v>
      </c>
      <c r="E7071" s="4">
        <v>0.0</v>
      </c>
      <c r="F7071" s="4" t="str">
        <f>IFERROR(__xludf.DUMMYFUNCTION("GOOGLETRANSLATE(D7071)"),"我從性癮 12 步驟計畫中倖存 - http://t.co/xsX26oo16s")</f>
        <v>我從性癮 12 步驟計畫中倖存 - http://t.co/xsX26oo16s</v>
      </c>
      <c r="G7071" s="4" t="str">
        <f>IFERROR(__xludf.DUMMYFUNCTION("GOOGLETRANSLATE(B7071)"),"倖存下來")</f>
        <v>倖存下來</v>
      </c>
    </row>
    <row r="7072" ht="15.75" customHeight="1">
      <c r="A7072" s="4">
        <v>9378.0</v>
      </c>
      <c r="B7072" s="4" t="s">
        <v>4211</v>
      </c>
      <c r="C7072" s="4" t="s">
        <v>5783</v>
      </c>
      <c r="D7072" s="4" t="s">
        <v>10302</v>
      </c>
      <c r="E7072" s="4">
        <v>0.0</v>
      </c>
      <c r="F7072" s="4" t="str">
        <f>IFERROR(__xludf.DUMMYFUNCTION("GOOGLETRANSLATE(D7072)"),"今天你的生活可能會永遠改變 - #Chronicillness 無法避免 - 它可以倖存
加入#MyLifeStory &gt;&gt;&gt; http://t.co/FYJWjDkM5I")</f>
        <v>今天你的生活可能會永遠改變 - #Chronicillness 無法避免 - 它可以倖存
加入#MyLifeStory &gt;&gt;&gt; http://t.co/FYJWjDkM5I</v>
      </c>
      <c r="G7072" s="4" t="str">
        <f>IFERROR(__xludf.DUMMYFUNCTION("GOOGLETRANSLATE(B7072)"),"倖存下來")</f>
        <v>倖存下來</v>
      </c>
    </row>
    <row r="7073" ht="15.75" customHeight="1">
      <c r="A7073" s="4">
        <v>9380.0</v>
      </c>
      <c r="B7073" s="4" t="s">
        <v>4211</v>
      </c>
      <c r="C7073" s="4" t="s">
        <v>10303</v>
      </c>
      <c r="D7073" s="4" t="s">
        <v>10304</v>
      </c>
      <c r="E7073" s="4">
        <v>0.0</v>
      </c>
      <c r="F7073" s="4" t="str">
        <f>IFERROR(__xludf.DUMMYFUNCTION("GOOGLETRANSLATE(D7073)"),"可愛&amp;amp;所有人都過著這樣的生活，然後你放大一個人的臉，你就準備好了一個模因：“我見過地獄之門並倖存下來”")</f>
        <v>可愛&amp;amp;所有人都過著這樣的生活，然後你放大一個人的臉，你就準備好了一個模因：“我見過地獄之門並倖存下來”</v>
      </c>
      <c r="G7073" s="4" t="str">
        <f>IFERROR(__xludf.DUMMYFUNCTION("GOOGLETRANSLATE(B7073)"),"倖存下來")</f>
        <v>倖存下來</v>
      </c>
    </row>
    <row r="7074" ht="15.75" customHeight="1">
      <c r="A7074" s="4">
        <v>9384.0</v>
      </c>
      <c r="B7074" s="4" t="s">
        <v>4211</v>
      </c>
      <c r="C7074" s="4" t="s">
        <v>1002</v>
      </c>
      <c r="D7074" s="4" t="s">
        <v>10305</v>
      </c>
      <c r="E7074" s="4">
        <v>0.0</v>
      </c>
      <c r="F7074" s="4" t="str">
        <f>IFERROR(__xludf.DUMMYFUNCTION("GOOGLETRANSLATE(D7074)"),"@PixelJanosz @Angelheartnight 我現在想起來了。有一名英國男子也在兩起事故中倖存下來。雖然不記得他的名字了。")</f>
        <v>@PixelJanosz @Angelheartnight 我現在想起來了。有一名英國男子也在兩起事故中倖存下來。雖然不記得他的名字了。</v>
      </c>
      <c r="G7074" s="4" t="str">
        <f>IFERROR(__xludf.DUMMYFUNCTION("GOOGLETRANSLATE(B7074)"),"倖存下來")</f>
        <v>倖存下來</v>
      </c>
    </row>
    <row r="7075" ht="15.75" customHeight="1">
      <c r="A7075" s="4">
        <v>9386.0</v>
      </c>
      <c r="B7075" s="4" t="s">
        <v>4211</v>
      </c>
      <c r="C7075" s="4" t="s">
        <v>612</v>
      </c>
      <c r="D7075" s="4" t="s">
        <v>10306</v>
      </c>
      <c r="E7075" s="4">
        <v>0.0</v>
      </c>
      <c r="F7075" s="4" t="str">
        <f>IFERROR(__xludf.DUMMYFUNCTION("GOOGLETRANSLATE(D7075)"),"@duchovbutt @Starbuck_Scully @MadMakNY @davidduchovny 是的，我們熬過了 9 季和 2 部電影。讓我們滿懷希望。還有希望嗎？？？？？？")</f>
        <v>@duchovbutt @Starbuck_Scully @MadMakNY @davidduchovny 是的，我們熬過了 9 季和 2 部電影。讓我們滿懷希望。還有希望嗎？？？？？？</v>
      </c>
      <c r="G7075" s="4" t="str">
        <f>IFERROR(__xludf.DUMMYFUNCTION("GOOGLETRANSLATE(B7075)"),"倖存下來")</f>
        <v>倖存下來</v>
      </c>
    </row>
    <row r="7076" ht="15.75" customHeight="1">
      <c r="A7076" s="4">
        <v>9387.0</v>
      </c>
      <c r="B7076" s="4" t="s">
        <v>4211</v>
      </c>
      <c r="D7076" s="4" t="s">
        <v>10307</v>
      </c>
      <c r="E7076" s="4">
        <v>0.0</v>
      </c>
      <c r="F7076" s="4" t="str">
        <f>IFERROR(__xludf.DUMMYFUNCTION("GOOGLETRANSLATE(D7076)"),"有些人暗算我，他們仍然想知道我是怎麼活下來的")</f>
        <v>有些人暗算我，他們仍然想知道我是怎麼活下來的</v>
      </c>
      <c r="G7076" s="4" t="str">
        <f>IFERROR(__xludf.DUMMYFUNCTION("GOOGLETRANSLATE(B7076)"),"倖存下來")</f>
        <v>倖存下來</v>
      </c>
    </row>
    <row r="7077" ht="15.75" customHeight="1">
      <c r="A7077" s="4">
        <v>9388.0</v>
      </c>
      <c r="B7077" s="4" t="s">
        <v>4211</v>
      </c>
      <c r="C7077" s="4" t="s">
        <v>215</v>
      </c>
      <c r="D7077" s="4" t="s">
        <v>10308</v>
      </c>
      <c r="E7077" s="4">
        <v>0.0</v>
      </c>
      <c r="F7077" s="4" t="str">
        <f>IFERROR(__xludf.DUMMYFUNCTION("GOOGLETRANSLATE(D7077)"),"西班牙人倖存！！ @甜蜜儀式 https://t.co/inIqzfyioi")</f>
        <v>西班牙人倖存！！ @甜蜜儀式 https://t.co/inIqzfyioi</v>
      </c>
      <c r="G7077" s="4" t="str">
        <f>IFERROR(__xludf.DUMMYFUNCTION("GOOGLETRANSLATE(B7077)"),"倖存下來")</f>
        <v>倖存下來</v>
      </c>
    </row>
    <row r="7078" ht="15.75" customHeight="1">
      <c r="A7078" s="4">
        <v>9395.0</v>
      </c>
      <c r="B7078" s="4" t="s">
        <v>4225</v>
      </c>
      <c r="D7078" s="4" t="s">
        <v>10309</v>
      </c>
      <c r="E7078" s="4">
        <v>0.0</v>
      </c>
      <c r="F7078" s="4" t="str">
        <f>IFERROR(__xludf.DUMMYFUNCTION("GOOGLETRANSLATE(D7078)"),"對倖存者來說，負債累累而死可能代價高昂")</f>
        <v>對倖存者來說，負債累累而死可能代價高昂</v>
      </c>
      <c r="G7078" s="4" t="str">
        <f>IFERROR(__xludf.DUMMYFUNCTION("GOOGLETRANSLATE(B7078)"),"倖存者")</f>
        <v>倖存者</v>
      </c>
    </row>
    <row r="7079" ht="15.75" customHeight="1">
      <c r="A7079" s="4">
        <v>9408.0</v>
      </c>
      <c r="B7079" s="4" t="s">
        <v>4225</v>
      </c>
      <c r="D7079" s="4" t="s">
        <v>10310</v>
      </c>
      <c r="E7079" s="4">
        <v>0.0</v>
      </c>
      <c r="F7079" s="4" t="str">
        <f>IFERROR(__xludf.DUMMYFUNCTION("GOOGLETRANSLATE(D7079)"),"倖存者的悔恨是好事")</f>
        <v>倖存者的悔恨是好事</v>
      </c>
      <c r="G7079" s="4" t="str">
        <f>IFERROR(__xludf.DUMMYFUNCTION("GOOGLETRANSLATE(B7079)"),"倖存者")</f>
        <v>倖存者</v>
      </c>
    </row>
    <row r="7080" ht="15.75" customHeight="1">
      <c r="A7080" s="4">
        <v>9411.0</v>
      </c>
      <c r="B7080" s="4" t="s">
        <v>4225</v>
      </c>
      <c r="D7080" s="4" t="s">
        <v>10311</v>
      </c>
      <c r="E7080" s="4">
        <v>0.0</v>
      </c>
      <c r="F7080" s="4" t="str">
        <f>IFERROR(__xludf.DUMMYFUNCTION("GOOGLETRANSLATE(D7080)"),"@MithiTennis @CrackedGem 這就是為什麼我希望她變得更好 - 這意味著死亡在等待她。我們大多數人不是英雄，我們只是倖存者")</f>
        <v>@MithiTennis @CrackedGem 這就是為什麼我希望她變得更好 - 這意味著死亡在等待她。我們大多數人不是英雄，我們只是倖存者</v>
      </c>
      <c r="G7080" s="4" t="str">
        <f>IFERROR(__xludf.DUMMYFUNCTION("GOOGLETRANSLATE(B7080)"),"倖存者")</f>
        <v>倖存者</v>
      </c>
    </row>
    <row r="7081" ht="15.75" customHeight="1">
      <c r="A7081" s="4">
        <v>9414.0</v>
      </c>
      <c r="B7081" s="4" t="s">
        <v>4225</v>
      </c>
      <c r="C7081" s="4" t="s">
        <v>10312</v>
      </c>
      <c r="D7081" s="4" t="s">
        <v>10313</v>
      </c>
      <c r="E7081" s="4">
        <v>0.0</v>
      </c>
      <c r="F7081" s="4" t="str">
        <f>IFERROR(__xludf.DUMMYFUNCTION("GOOGLETRANSLATE(D7081)"),"4 那些關心兄弟姊妹受虐倖存者的人加入了新的家譜：http://t.co/LQD1WEfpQd http://t.co/GgnbVZoHWu")</f>
        <v>4 那些關心兄弟姊妹受虐倖存者的人加入了新的家譜：http://t.co/LQD1WEfpQd http://t.co/GgnbVZoHWu</v>
      </c>
      <c r="G7081" s="4" t="str">
        <f>IFERROR(__xludf.DUMMYFUNCTION("GOOGLETRANSLATE(B7081)"),"倖存者")</f>
        <v>倖存者</v>
      </c>
    </row>
    <row r="7082" ht="15.75" customHeight="1">
      <c r="A7082" s="4">
        <v>9417.0</v>
      </c>
      <c r="B7082" s="4" t="s">
        <v>4225</v>
      </c>
      <c r="C7082" s="4" t="s">
        <v>10314</v>
      </c>
      <c r="D7082" s="4" t="s">
        <v>10315</v>
      </c>
      <c r="E7082" s="4">
        <v>0.0</v>
      </c>
      <c r="F7082" s="4" t="str">
        <f>IFERROR(__xludf.DUMMYFUNCTION("GOOGLETRANSLATE(D7082)"),"針對 #LungCancer 的分子標靶癌症治療讓 Rocky 重獲新生。 http://t.co/TwI3pYm7Us http://t.co/qT8JMD9pI1")</f>
        <v>針對 #LungCancer 的分子標靶癌症治療讓 Rocky 重獲新生。 http://t.co/TwI3pYm7Us http://t.co/qT8JMD9pI1</v>
      </c>
      <c r="G7082" s="4" t="str">
        <f>IFERROR(__xludf.DUMMYFUNCTION("GOOGLETRANSLATE(B7082)"),"倖存者")</f>
        <v>倖存者</v>
      </c>
    </row>
    <row r="7083" ht="15.75" customHeight="1">
      <c r="A7083" s="4">
        <v>9418.0</v>
      </c>
      <c r="B7083" s="4" t="s">
        <v>4225</v>
      </c>
      <c r="C7083" s="4" t="s">
        <v>1248</v>
      </c>
      <c r="D7083" s="4" t="s">
        <v>10316</v>
      </c>
      <c r="E7083" s="4">
        <v>0.0</v>
      </c>
      <c r="F7083" s="4" t="str">
        <f>IFERROR(__xludf.DUMMYFUNCTION("GOOGLETRANSLATE(D7083)"),"違反新改進的 Reddit 的人將被射入陽光下。倖存者將被扔進黑洞，然後被炸死。")</f>
        <v>違反新改進的 Reddit 的人將被射入陽光下。倖存者將被扔進黑洞，然後被炸死。</v>
      </c>
      <c r="G7083" s="4" t="str">
        <f>IFERROR(__xludf.DUMMYFUNCTION("GOOGLETRANSLATE(B7083)"),"倖存者")</f>
        <v>倖存者</v>
      </c>
    </row>
    <row r="7084" ht="15.75" customHeight="1">
      <c r="A7084" s="4">
        <v>9432.0</v>
      </c>
      <c r="B7084" s="4" t="s">
        <v>4225</v>
      </c>
      <c r="C7084" s="4" t="s">
        <v>10317</v>
      </c>
      <c r="D7084" s="4" t="s">
        <v>10318</v>
      </c>
      <c r="E7084" s="4">
        <v>0.0</v>
      </c>
      <c r="F7084" s="4" t="str">
        <f>IFERROR(__xludf.DUMMYFUNCTION("GOOGLETRANSLATE(D7084)"),"上海貧民窟倖存者 70 年後重聚 - http://t.co/1Ki8LgVAy4 #上海 #中國 #??")</f>
        <v>上海貧民窟倖存者 70 年後重聚 - http://t.co/1Ki8LgVAy4 #上海 #中國 #??</v>
      </c>
      <c r="G7084" s="4" t="str">
        <f>IFERROR(__xludf.DUMMYFUNCTION("GOOGLETRANSLATE(B7084)"),"倖存者")</f>
        <v>倖存者</v>
      </c>
    </row>
    <row r="7085" ht="15.75" customHeight="1">
      <c r="A7085" s="4">
        <v>9434.0</v>
      </c>
      <c r="B7085" s="4" t="s">
        <v>4225</v>
      </c>
      <c r="C7085" s="4" t="s">
        <v>3398</v>
      </c>
      <c r="D7085" s="4" t="s">
        <v>10319</v>
      </c>
      <c r="E7085" s="4">
        <v>0.0</v>
      </c>
      <c r="F7085" s="4" t="str">
        <f>IFERROR(__xludf.DUMMYFUNCTION("GOOGLETRANSLATE(D7085)"),"Netflix 有一部關於廣島的非常好的紀錄片，由約翰赫特擔任旁白。 2 訪問飛行員和倖存者的夥伴。")</f>
        <v>Netflix 有一部關於廣島的非常好的紀錄片，由約翰赫特擔任旁白。 2 訪問飛行員和倖存者的夥伴。</v>
      </c>
      <c r="G7085" s="4" t="str">
        <f>IFERROR(__xludf.DUMMYFUNCTION("GOOGLETRANSLATE(B7085)"),"倖存者")</f>
        <v>倖存者</v>
      </c>
    </row>
    <row r="7086" ht="15.75" customHeight="1">
      <c r="A7086" s="4">
        <v>9439.0</v>
      </c>
      <c r="B7086" s="4" t="s">
        <v>4225</v>
      </c>
      <c r="C7086" s="4" t="s">
        <v>10320</v>
      </c>
      <c r="D7086" s="4" t="s">
        <v>10321</v>
      </c>
      <c r="E7086" s="4">
        <v>0.0</v>
      </c>
      <c r="F7086" s="4" t="str">
        <f>IFERROR(__xludf.DUMMYFUNCTION("GOOGLETRANSLATE(D7086)"),"海莉·露·理查森在《最後的生還者》中為水而戰（評論）http://t.co/oObSCFOKtQ")</f>
        <v>海莉·露·理查森在《最後的生還者》中為水而戰（評論）http://t.co/oObSCFOKtQ</v>
      </c>
      <c r="G7086" s="4" t="str">
        <f>IFERROR(__xludf.DUMMYFUNCTION("GOOGLETRANSLATE(B7086)"),"倖存者")</f>
        <v>倖存者</v>
      </c>
    </row>
    <row r="7087" ht="15.75" customHeight="1">
      <c r="A7087" s="4">
        <v>9445.0</v>
      </c>
      <c r="B7087" s="4" t="s">
        <v>4258</v>
      </c>
      <c r="D7087" s="4" t="s">
        <v>10322</v>
      </c>
      <c r="E7087" s="4">
        <v>0.0</v>
      </c>
      <c r="F7087" s="4" t="str">
        <f>IFERROR(__xludf.DUMMYFUNCTION("GOOGLETRANSLATE(D7087)"),"真相...
https://t.co/h6amECX5K7
＃消息
#英國廣播公司
#CNN
＃伊斯蘭教
＃真相
＃上帝
＃伊斯蘭國
＃恐怖主義
#古蘭經
#謊言http://t.co/B8iWRdxcm0")</f>
        <v>真相...
https://t.co/h6amECX5K7
＃消息
#英國廣播公司
#CNN
＃伊斯蘭教
＃真相
＃上帝
＃伊斯蘭國
＃恐怖主義
#古蘭經
#謊言http://t.co/B8iWRdxcm0</v>
      </c>
      <c r="G7087" s="4" t="str">
        <f>IFERROR(__xludf.DUMMYFUNCTION("GOOGLETRANSLATE(B7087)"),"恐怖主義")</f>
        <v>恐怖主義</v>
      </c>
    </row>
    <row r="7088" ht="15.75" customHeight="1">
      <c r="A7088" s="4">
        <v>9454.0</v>
      </c>
      <c r="B7088" s="4" t="s">
        <v>4258</v>
      </c>
      <c r="D7088" s="4" t="s">
        <v>10323</v>
      </c>
      <c r="E7088" s="4">
        <v>0.0</v>
      </c>
      <c r="F7088" s="4" t="str">
        <f>IFERROR(__xludf.DUMMYFUNCTION("GOOGLETRANSLATE(D7088)"),"真相...
https://t.co/beJfTYgJIL
＃消息
#英國廣播公司
#CNN
＃伊斯蘭教
＃真相
＃上帝
＃伊斯蘭國
＃恐怖主義
#古蘭經
#謊言http://t.co/jlCZiDZ7Vu")</f>
        <v>真相...
https://t.co/beJfTYgJIL
＃消息
#英國廣播公司
#CNN
＃伊斯蘭教
＃真相
＃上帝
＃伊斯蘭國
＃恐怖主義
#古蘭經
#謊言http://t.co/jlCZiDZ7Vu</v>
      </c>
      <c r="G7088" s="4" t="str">
        <f>IFERROR(__xludf.DUMMYFUNCTION("GOOGLETRANSLATE(B7088)"),"恐怖主義")</f>
        <v>恐怖主義</v>
      </c>
    </row>
    <row r="7089" ht="15.75" customHeight="1">
      <c r="A7089" s="4">
        <v>9455.0</v>
      </c>
      <c r="B7089" s="4" t="s">
        <v>4258</v>
      </c>
      <c r="C7089" s="4" t="s">
        <v>10324</v>
      </c>
      <c r="D7089" s="4" t="s">
        <v>10325</v>
      </c>
      <c r="E7089" s="4">
        <v>0.0</v>
      </c>
      <c r="F7089" s="4" t="str">
        <f>IFERROR(__xludf.DUMMYFUNCTION("GOOGLETRANSLATE(D7089)"),"OMEGA MEN 作家在“史詩般的凱爾·雷納故事”中探索恐怖主義宗教 https://t.co/utc7pdIdfo 來自 @Newsarama")</f>
        <v>OMEGA MEN 作家在“史詩般的凱爾·雷納故事”中探索恐怖主義宗教 https://t.co/utc7pdIdfo 來自 @Newsarama</v>
      </c>
      <c r="G7089" s="4" t="str">
        <f>IFERROR(__xludf.DUMMYFUNCTION("GOOGLETRANSLATE(B7089)"),"恐怖主義")</f>
        <v>恐怖主義</v>
      </c>
    </row>
    <row r="7090" ht="15.75" customHeight="1">
      <c r="A7090" s="4">
        <v>9463.0</v>
      </c>
      <c r="B7090" s="4" t="s">
        <v>4258</v>
      </c>
      <c r="D7090" s="4" t="s">
        <v>10326</v>
      </c>
      <c r="E7090" s="4">
        <v>0.0</v>
      </c>
      <c r="F7090" s="4" t="str">
        <f>IFERROR(__xludf.DUMMYFUNCTION("GOOGLETRANSLATE(D7090)"),"這適用於穆斯林/恐怖主義嗎？
或天主教/恐同症？")</f>
        <v>這適用於穆斯林/恐怖主義嗎？
或天主教/恐同症？</v>
      </c>
      <c r="G7090" s="4" t="str">
        <f>IFERROR(__xludf.DUMMYFUNCTION("GOOGLETRANSLATE(B7090)"),"恐怖主義")</f>
        <v>恐怖主義</v>
      </c>
    </row>
    <row r="7091" ht="15.75" customHeight="1">
      <c r="A7091" s="4">
        <v>9468.0</v>
      </c>
      <c r="B7091" s="4" t="s">
        <v>4258</v>
      </c>
      <c r="C7091" s="4" t="s">
        <v>947</v>
      </c>
      <c r="D7091" s="4" t="s">
        <v>10327</v>
      </c>
      <c r="E7091" s="4">
        <v>0.0</v>
      </c>
      <c r="F7091" s="4" t="str">
        <f>IFERROR(__xludf.DUMMYFUNCTION("GOOGLETRANSLATE(D7091)"),"國內恐怖主義。沒有如果和或但是。你創造了這個@GOP http://t.co/hFgjgFGfeL")</f>
        <v>國內恐怖主義。沒有如果和或但是。你創造了這個@GOP http://t.co/hFgjgFGfeL</v>
      </c>
      <c r="G7091" s="4" t="str">
        <f>IFERROR(__xludf.DUMMYFUNCTION("GOOGLETRANSLATE(B7091)"),"恐怖主義")</f>
        <v>恐怖主義</v>
      </c>
    </row>
    <row r="7092" ht="15.75" customHeight="1">
      <c r="A7092" s="4">
        <v>9470.0</v>
      </c>
      <c r="B7092" s="4" t="s">
        <v>4258</v>
      </c>
      <c r="C7092" s="4" t="s">
        <v>10328</v>
      </c>
      <c r="D7092" s="4" t="s">
        <v>4281</v>
      </c>
      <c r="E7092" s="4">
        <v>0.0</v>
      </c>
      <c r="F7092" s="4" t="str">
        <f>IFERROR(__xludf.DUMMYFUNCTION("GOOGLETRANSLATE(D7092)"),"在#islam 中，拯救一個人與拯救全人類的回報是相等的！伊斯蘭教是恐怖主義的對立面！")</f>
        <v>在#islam 中，拯救一個人與拯救全人類的回報是相等的！伊斯蘭教是恐怖主義的對立面！</v>
      </c>
      <c r="G7092" s="4" t="str">
        <f>IFERROR(__xludf.DUMMYFUNCTION("GOOGLETRANSLATE(B7092)"),"恐怖主義")</f>
        <v>恐怖主義</v>
      </c>
    </row>
    <row r="7093" ht="15.75" customHeight="1">
      <c r="A7093" s="4">
        <v>9471.0</v>
      </c>
      <c r="B7093" s="4" t="s">
        <v>4258</v>
      </c>
      <c r="C7093" s="4" t="s">
        <v>1406</v>
      </c>
      <c r="D7093" s="4" t="s">
        <v>10329</v>
      </c>
      <c r="E7093" s="4">
        <v>0.0</v>
      </c>
      <c r="F7093" s="4" t="str">
        <f>IFERROR(__xludf.DUMMYFUNCTION("GOOGLETRANSLATE(D7093)"),"OMEGA MEN 作家在「凱爾雷納史詩故事」中探討恐怖主義宗教 http://t.co/Hr88CWxPGz #Newsarama")</f>
        <v>OMEGA MEN 作家在「凱爾雷納史詩故事」中探討恐怖主義宗教 http://t.co/Hr88CWxPGz #Newsarama</v>
      </c>
      <c r="G7093" s="4" t="str">
        <f>IFERROR(__xludf.DUMMYFUNCTION("GOOGLETRANSLATE(B7093)"),"恐怖主義")</f>
        <v>恐怖主義</v>
      </c>
    </row>
    <row r="7094" ht="15.75" customHeight="1">
      <c r="A7094" s="4">
        <v>9485.0</v>
      </c>
      <c r="B7094" s="4" t="s">
        <v>4258</v>
      </c>
      <c r="D7094" s="4" t="s">
        <v>10330</v>
      </c>
      <c r="E7094" s="4">
        <v>0.0</v>
      </c>
      <c r="F7094" s="4" t="str">
        <f>IFERROR(__xludf.DUMMYFUNCTION("GOOGLETRANSLATE(D7094)"),"http://t.co/EQjCpWILVn：沙烏地阿拉伯媒體文章拒絕俄羅斯與阿薩德政權建立區域聯盟打擊恐怖主義的倡議")</f>
        <v>http://t.co/EQjCpWILVn：沙烏地阿拉伯媒體文章拒絕俄羅斯與阿薩德政權建立區域聯盟打擊恐怖主義的倡議</v>
      </c>
      <c r="G7094" s="4" t="str">
        <f>IFERROR(__xludf.DUMMYFUNCTION("GOOGLETRANSLATE(B7094)"),"恐怖主義")</f>
        <v>恐怖主義</v>
      </c>
    </row>
    <row r="7095" ht="15.75" customHeight="1">
      <c r="A7095" s="4">
        <v>9486.0</v>
      </c>
      <c r="B7095" s="4" t="s">
        <v>4258</v>
      </c>
      <c r="D7095" s="4" t="s">
        <v>10331</v>
      </c>
      <c r="E7095" s="4">
        <v>0.0</v>
      </c>
      <c r="F7095" s="4" t="str">
        <f>IFERROR(__xludf.DUMMYFUNCTION("GOOGLETRANSLATE(D7095)"),"真相...
https://t.co/k44tL3rfMy
＃消息
#英國廣播公司
#CNN
＃伊斯蘭教
＃真相
＃上帝
＃伊斯蘭國
＃恐怖主義
#古蘭經
#謊言http://t.co/ipT0hoNoTI")</f>
        <v>真相...
https://t.co/k44tL3rfMy
＃消息
#英國廣播公司
#CNN
＃伊斯蘭教
＃真相
＃上帝
＃伊斯蘭國
＃恐怖主義
#古蘭經
#謊言http://t.co/ipT0hoNoTI</v>
      </c>
      <c r="G7095" s="4" t="str">
        <f>IFERROR(__xludf.DUMMYFUNCTION("GOOGLETRANSLATE(B7095)"),"恐怖主義")</f>
        <v>恐怖主義</v>
      </c>
    </row>
    <row r="7096" ht="15.75" customHeight="1">
      <c r="A7096" s="4">
        <v>9489.0</v>
      </c>
      <c r="B7096" s="4" t="s">
        <v>4258</v>
      </c>
      <c r="D7096" s="4" t="s">
        <v>10332</v>
      </c>
      <c r="E7096" s="4">
        <v>0.0</v>
      </c>
      <c r="F7096" s="4" t="str">
        <f>IFERROR(__xludf.DUMMYFUNCTION("GOOGLETRANSLATE(D7096)"),"線上國土安全：對#PakistanÛªs #Anti-Terrorism #Act 的評估 https://t.co/mRoSPd9878")</f>
        <v>線上國土安全：對#PakistanÛªs #Anti-Terrorism #Act 的評估 https://t.co/mRoSPd9878</v>
      </c>
      <c r="G7096" s="4" t="str">
        <f>IFERROR(__xludf.DUMMYFUNCTION("GOOGLETRANSLATE(B7096)"),"恐怖主義")</f>
        <v>恐怖主義</v>
      </c>
    </row>
    <row r="7097" ht="15.75" customHeight="1">
      <c r="A7097" s="4">
        <v>9493.0</v>
      </c>
      <c r="B7097" s="4" t="s">
        <v>4292</v>
      </c>
      <c r="C7097" s="4" t="s">
        <v>10333</v>
      </c>
      <c r="D7097" s="4" t="s">
        <v>10334</v>
      </c>
      <c r="E7097" s="4">
        <v>0.0</v>
      </c>
      <c r="F7097" s="4" t="str">
        <f>IFERROR(__xludf.DUMMYFUNCTION("GOOGLETRANSLATE(D7097)"),"自然潤滑!!!!!!!!!!!!#MetroFmTalk")</f>
        <v>自然潤滑!!!!!!!!!!!!#MetroFmTalk</v>
      </c>
      <c r="G7097" s="4" t="str">
        <f>IFERROR(__xludf.DUMMYFUNCTION("GOOGLETRANSLATE(B7097)"),"恐怖分子")</f>
        <v>恐怖分子</v>
      </c>
    </row>
    <row r="7098" ht="15.75" customHeight="1">
      <c r="A7098" s="4">
        <v>9495.0</v>
      </c>
      <c r="B7098" s="4" t="s">
        <v>4292</v>
      </c>
      <c r="C7098" s="4" t="s">
        <v>10335</v>
      </c>
      <c r="D7098" s="4" t="s">
        <v>10336</v>
      </c>
      <c r="E7098" s="4">
        <v>0.0</v>
      </c>
      <c r="F7098" s="4" t="str">
        <f>IFERROR(__xludf.DUMMYFUNCTION("GOOGLETRANSLATE(D7098)"),"@OfficialMqm 你是恐怖份子")</f>
        <v>@OfficialMqm 你是恐怖份子</v>
      </c>
      <c r="G7098" s="4" t="str">
        <f>IFERROR(__xludf.DUMMYFUNCTION("GOOGLETRANSLATE(B7098)"),"恐怖分子")</f>
        <v>恐怖分子</v>
      </c>
    </row>
    <row r="7099" ht="15.75" customHeight="1">
      <c r="A7099" s="4">
        <v>9501.0</v>
      </c>
      <c r="B7099" s="4" t="s">
        <v>4292</v>
      </c>
      <c r="D7099" s="4" t="s">
        <v>10337</v>
      </c>
      <c r="E7099" s="4">
        <v>0.0</v>
      </c>
      <c r="F7099" s="4" t="str">
        <f>IFERROR(__xludf.DUMMYFUNCTION("GOOGLETRANSLATE(D7099)"),"以下是巴基斯坦媒體如何報導恐怖分子穆罕默德·納維德被捕的情況 http://t.co/f7WqpCEkg2")</f>
        <v>以下是巴基斯坦媒體如何報導恐怖分子穆罕默德·納維德被捕的情況 http://t.co/f7WqpCEkg2</v>
      </c>
      <c r="G7099" s="4" t="str">
        <f>IFERROR(__xludf.DUMMYFUNCTION("GOOGLETRANSLATE(B7099)"),"恐怖分子")</f>
        <v>恐怖分子</v>
      </c>
    </row>
    <row r="7100" ht="15.75" customHeight="1">
      <c r="A7100" s="4">
        <v>9508.0</v>
      </c>
      <c r="B7100" s="4" t="s">
        <v>4292</v>
      </c>
      <c r="C7100" s="4" t="s">
        <v>10333</v>
      </c>
      <c r="D7100" s="4" t="s">
        <v>10338</v>
      </c>
      <c r="E7100" s="4">
        <v>0.0</v>
      </c>
      <c r="F7100" s="4" t="str">
        <f>IFERROR(__xludf.DUMMYFUNCTION("GOOGLETRANSLATE(D7100)"),"從#MetroFmTalk 尋求協助")</f>
        <v>從#MetroFmTalk 尋求協助</v>
      </c>
      <c r="G7100" s="4" t="str">
        <f>IFERROR(__xludf.DUMMYFUNCTION("GOOGLETRANSLATE(B7100)"),"恐怖分子")</f>
        <v>恐怖分子</v>
      </c>
    </row>
    <row r="7101" ht="15.75" customHeight="1">
      <c r="A7101" s="4">
        <v>9519.0</v>
      </c>
      <c r="B7101" s="4" t="s">
        <v>4292</v>
      </c>
      <c r="C7101" s="4" t="s">
        <v>10339</v>
      </c>
      <c r="D7101" s="4" t="s">
        <v>10340</v>
      </c>
      <c r="E7101" s="4">
        <v>0.0</v>
      </c>
      <c r="F7101" s="4" t="str">
        <f>IFERROR(__xludf.DUMMYFUNCTION("GOOGLETRANSLATE(D7101)"),"@ShipsXAnchors IDEK 怎麼會有人真的認為他是恐怖分子")</f>
        <v>@ShipsXAnchors IDEK 怎麼會有人真的認為他是恐怖分子</v>
      </c>
      <c r="G7101" s="4" t="str">
        <f>IFERROR(__xludf.DUMMYFUNCTION("GOOGLETRANSLATE(B7101)"),"恐怖分子")</f>
        <v>恐怖分子</v>
      </c>
    </row>
    <row r="7102" ht="15.75" customHeight="1">
      <c r="A7102" s="4">
        <v>9520.0</v>
      </c>
      <c r="B7102" s="4" t="s">
        <v>4292</v>
      </c>
      <c r="C7102" s="4" t="s">
        <v>126</v>
      </c>
      <c r="D7102" s="4" t="s">
        <v>10341</v>
      </c>
      <c r="E7102" s="4">
        <v>0.0</v>
      </c>
      <c r="F7102" s="4" t="str">
        <f>IFERROR(__xludf.DUMMYFUNCTION("GOOGLETRANSLATE(D7102)"),"你可能透過恐怖分子 #4 等角色認識我 http://t.co/xImPncZXtH")</f>
        <v>你可能透過恐怖分子 #4 等角色認識我 http://t.co/xImPncZXtH</v>
      </c>
      <c r="G7102" s="4" t="str">
        <f>IFERROR(__xludf.DUMMYFUNCTION("GOOGLETRANSLATE(B7102)"),"恐怖分子")</f>
        <v>恐怖分子</v>
      </c>
    </row>
    <row r="7103" ht="15.75" customHeight="1">
      <c r="A7103" s="4">
        <v>9524.0</v>
      </c>
      <c r="B7103" s="4" t="s">
        <v>4292</v>
      </c>
      <c r="D7103" s="4" t="s">
        <v>10342</v>
      </c>
      <c r="E7103" s="4">
        <v>0.0</v>
      </c>
      <c r="F7103" s="4" t="str">
        <f>IFERROR(__xludf.DUMMYFUNCTION("GOOGLETRANSLATE(D7103)"),"@BarackObama 參議員 John McCain 的吶喊時刻：與 ISIS 一起拍攝令人不寒而慄的照片 http://t.co/JNrOMsE1Z2 @acmilan http://t.co/w6Yu7Qs4CV")</f>
        <v>@BarackObama 參議員 John McCain 的吶喊時刻：與 ISIS 一起拍攝令人不寒而慄的照片 http://t.co/JNrOMsE1Z2 @acmilan http://t.co/w6Yu7Qs4CV</v>
      </c>
      <c r="G7103" s="4" t="str">
        <f>IFERROR(__xludf.DUMMYFUNCTION("GOOGLETRANSLATE(B7103)"),"恐怖分子")</f>
        <v>恐怖分子</v>
      </c>
    </row>
    <row r="7104" ht="15.75" customHeight="1">
      <c r="A7104" s="4">
        <v>9541.0</v>
      </c>
      <c r="B7104" s="4" t="s">
        <v>4292</v>
      </c>
      <c r="C7104" s="4" t="s">
        <v>10333</v>
      </c>
      <c r="D7104" s="4" t="s">
        <v>10343</v>
      </c>
      <c r="E7104" s="4">
        <v>0.0</v>
      </c>
      <c r="F7104" s="4" t="str">
        <f>IFERROR(__xludf.DUMMYFUNCTION("GOOGLETRANSLATE(D7104)"),"不要說@ALIPAPER：女性遇到問題，這#keepingtheviginaclean 事情非常有趣，而且更便宜#metrofmtalk'")</f>
        <v>不要說@ALIPAPER：女性遇到問題，這#keepingtheviginaclean 事情非常有趣，而且更便宜#metrofmtalk'</v>
      </c>
      <c r="G7104" s="4" t="str">
        <f>IFERROR(__xludf.DUMMYFUNCTION("GOOGLETRANSLATE(B7104)"),"恐怖分子")</f>
        <v>恐怖分子</v>
      </c>
    </row>
    <row r="7105" ht="15.75" customHeight="1">
      <c r="A7105" s="4">
        <v>9542.0</v>
      </c>
      <c r="B7105" s="4" t="s">
        <v>4324</v>
      </c>
      <c r="C7105" s="4" t="s">
        <v>1193</v>
      </c>
      <c r="D7105" s="4" t="s">
        <v>10344</v>
      </c>
      <c r="E7105" s="4">
        <v>0.0</v>
      </c>
      <c r="F7105" s="4" t="str">
        <f>IFERROR(__xludf.DUMMYFUNCTION("GOOGLETRANSLATE(D7105)"),"在 @ThreatConnect 和 TC Exchange 中建置和共用您自己的自訂應用程式 http://t.co/hRL4XNJ9K7 #infosec #DFIR #ThreatIntel")</f>
        <v>在 @ThreatConnect 和 TC Exchange 中建置和共用您自己的自訂應用程式 http://t.co/hRL4XNJ9K7 #infosec #DFIR #ThreatIntel</v>
      </c>
      <c r="G7105" s="4" t="str">
        <f>IFERROR(__xludf.DUMMYFUNCTION("GOOGLETRANSLATE(B7105)"),"威脅")</f>
        <v>威脅</v>
      </c>
    </row>
    <row r="7106" ht="15.75" customHeight="1">
      <c r="A7106" s="4">
        <v>9547.0</v>
      </c>
      <c r="B7106" s="4" t="s">
        <v>4324</v>
      </c>
      <c r="D7106" s="4" t="s">
        <v>10345</v>
      </c>
      <c r="E7106" s="4">
        <v>0.0</v>
      </c>
      <c r="F7106" s="4" t="str">
        <f>IFERROR(__xludf.DUMMYFUNCTION("GOOGLETRANSLATE(D7106)"),"澳洲最好的漢堡就這樣結束了嗎？ http://t.co/te5tDLyIMN 來自 @newscomauHQ")</f>
        <v>澳洲最好的漢堡就這樣結束了嗎？ http://t.co/te5tDLyIMN 來自 @newscomauHQ</v>
      </c>
      <c r="G7106" s="4" t="str">
        <f>IFERROR(__xludf.DUMMYFUNCTION("GOOGLETRANSLATE(B7106)"),"威脅")</f>
        <v>威脅</v>
      </c>
    </row>
    <row r="7107" ht="15.75" customHeight="1">
      <c r="A7107" s="4">
        <v>9548.0</v>
      </c>
      <c r="B7107" s="4" t="s">
        <v>4324</v>
      </c>
      <c r="C7107" s="4" t="s">
        <v>10346</v>
      </c>
      <c r="D7107" s="4" t="s">
        <v>10347</v>
      </c>
      <c r="E7107" s="4">
        <v>0.0</v>
      </c>
      <c r="F7107" s="4" t="str">
        <f>IFERROR(__xludf.DUMMYFUNCTION("GOOGLETRANSLATE(D7107)"),"@KingGerudo_到最大的莫布林，他會把最大的留給紅色並被解僱。一擊已經減少了威脅——&amp;gt;")</f>
        <v>@KingGerudo_到最大的莫布林，他會把最大的留給紅色並被解僱。一擊已經減少了威脅——&amp;gt;</v>
      </c>
      <c r="G7107" s="4" t="str">
        <f>IFERROR(__xludf.DUMMYFUNCTION("GOOGLETRANSLATE(B7107)"),"威脅")</f>
        <v>威脅</v>
      </c>
    </row>
    <row r="7108" ht="15.75" customHeight="1">
      <c r="A7108" s="4">
        <v>9550.0</v>
      </c>
      <c r="B7108" s="4" t="s">
        <v>4324</v>
      </c>
      <c r="C7108" s="4" t="s">
        <v>10348</v>
      </c>
      <c r="D7108" s="4" t="s">
        <v>10349</v>
      </c>
      <c r="E7108" s="4">
        <v>0.0</v>
      </c>
      <c r="F7108" s="4" t="str">
        <f>IFERROR(__xludf.DUMMYFUNCTION("GOOGLETRANSLATE(D7108)"),"美國白人是世界上最大的威脅。呃 https://t.co/7PaOvYzTtw")</f>
        <v>美國白人是世界上最大的威脅。呃 https://t.co/7PaOvYzTtw</v>
      </c>
      <c r="G7108" s="4" t="str">
        <f>IFERROR(__xludf.DUMMYFUNCTION("GOOGLETRANSLATE(B7108)"),"威脅")</f>
        <v>威脅</v>
      </c>
    </row>
    <row r="7109" ht="15.75" customHeight="1">
      <c r="A7109" s="4">
        <v>9551.0</v>
      </c>
      <c r="B7109" s="4" t="s">
        <v>4324</v>
      </c>
      <c r="C7109" s="4" t="s">
        <v>9546</v>
      </c>
      <c r="D7109" s="4" t="s">
        <v>10350</v>
      </c>
      <c r="E7109" s="4">
        <v>0.0</v>
      </c>
      <c r="F7109" s="4" t="str">
        <f>IFERROR(__xludf.DUMMYFUNCTION("GOOGLETRANSLATE(D7109)"),"我警告過的少數人..正如我所預料的那樣..他們對他的靈魂構成威脅")</f>
        <v>我警告過的少數人..正如我所預料的那樣..他們對他的靈魂構成威脅</v>
      </c>
      <c r="G7109" s="4" t="str">
        <f>IFERROR(__xludf.DUMMYFUNCTION("GOOGLETRANSLATE(B7109)"),"威脅")</f>
        <v>威脅</v>
      </c>
    </row>
    <row r="7110" ht="15.75" customHeight="1">
      <c r="A7110" s="4">
        <v>9552.0</v>
      </c>
      <c r="B7110" s="4" t="s">
        <v>4324</v>
      </c>
      <c r="C7110" s="4" t="s">
        <v>1445</v>
      </c>
      <c r="D7110" s="4" t="s">
        <v>10351</v>
      </c>
      <c r="E7110" s="4">
        <v>0.0</v>
      </c>
      <c r="F7110" s="4" t="str">
        <f>IFERROR(__xludf.DUMMYFUNCTION("GOOGLETRANSLATE(D7110)"),"英國因無人機隱私威脅而產生的代間分裂 http://t.co/dqtMTPqmBR
  #drones #privacy http://t.co/dMsnYPtscY")</f>
        <v>英國因無人機隱私威脅而產生的代間分裂 http://t.co/dqtMTPqmBR
  #drones #privacy http://t.co/dMsnYPtscY</v>
      </c>
      <c r="G7110" s="4" t="str">
        <f>IFERROR(__xludf.DUMMYFUNCTION("GOOGLETRANSLATE(B7110)"),"威脅")</f>
        <v>威脅</v>
      </c>
    </row>
    <row r="7111" ht="15.75" customHeight="1">
      <c r="A7111" s="4">
        <v>9553.0</v>
      </c>
      <c r="B7111" s="4" t="s">
        <v>4324</v>
      </c>
      <c r="C7111" s="4" t="s">
        <v>10352</v>
      </c>
      <c r="D7111" s="4" t="s">
        <v>10353</v>
      </c>
      <c r="E7111" s="4">
        <v>0.0</v>
      </c>
      <c r="F7111" s="4" t="str">
        <f>IFERROR(__xludf.DUMMYFUNCTION("GOOGLETRANSLATE(D7111)"),"立即取得最廣泛的威脅資訊來源。然後輕鬆添加您自己的內部智慧。 #BHUSA")</f>
        <v>立即取得最廣泛的威脅資訊來源。然後輕鬆添加您自己的內部智慧。 #BHUSA</v>
      </c>
      <c r="G7111" s="4" t="str">
        <f>IFERROR(__xludf.DUMMYFUNCTION("GOOGLETRANSLATE(B7111)"),"威脅")</f>
        <v>威脅</v>
      </c>
    </row>
    <row r="7112" ht="15.75" customHeight="1">
      <c r="A7112" s="4">
        <v>9554.0</v>
      </c>
      <c r="B7112" s="4" t="s">
        <v>4324</v>
      </c>
      <c r="C7112" s="4" t="s">
        <v>10354</v>
      </c>
      <c r="D7112" s="4" t="s">
        <v>10355</v>
      </c>
      <c r="E7112" s="4">
        <v>0.0</v>
      </c>
      <c r="F7112" s="4" t="str">
        <f>IFERROR(__xludf.DUMMYFUNCTION("GOOGLETRANSLATE(D7112)"),"如果一個黑鬼是一個威脅，那麼那個男孩就可以通過？？？")</f>
        <v>如果一個黑鬼是一個威脅，那麼那個男孩就可以通過？？？</v>
      </c>
      <c r="G7112" s="4" t="str">
        <f>IFERROR(__xludf.DUMMYFUNCTION("GOOGLETRANSLATE(B7112)"),"威脅")</f>
        <v>威脅</v>
      </c>
    </row>
    <row r="7113" ht="15.75" customHeight="1">
      <c r="A7113" s="4">
        <v>9555.0</v>
      </c>
      <c r="B7113" s="4" t="s">
        <v>4324</v>
      </c>
      <c r="C7113" s="4" t="s">
        <v>1193</v>
      </c>
      <c r="D7113" s="4" t="s">
        <v>10356</v>
      </c>
      <c r="E7113" s="4">
        <v>0.0</v>
      </c>
      <c r="F7113" s="4" t="str">
        <f>IFERROR(__xludf.DUMMYFUNCTION("GOOGLETRANSLATE(D7113)"),"紫心勳章獸醫在商場的車上發現聖戰威脅：ÛÏ所有伊斯蘭恐懼症獸醫...... http://t.co/hWnyXXKczz")</f>
        <v>紫心勳章獸醫在商場的車上發現聖戰威脅：ÛÏ所有伊斯蘭恐懼症獸醫...... http://t.co/hWnyXXKczz</v>
      </c>
      <c r="G7113" s="4" t="str">
        <f>IFERROR(__xludf.DUMMYFUNCTION("GOOGLETRANSLATE(B7113)"),"威脅")</f>
        <v>威脅</v>
      </c>
    </row>
    <row r="7114" ht="15.75" customHeight="1">
      <c r="A7114" s="4">
        <v>9559.0</v>
      </c>
      <c r="B7114" s="4" t="s">
        <v>4329</v>
      </c>
      <c r="C7114" s="4" t="s">
        <v>10357</v>
      </c>
      <c r="D7114" s="4" t="s">
        <v>10358</v>
      </c>
      <c r="E7114" s="4">
        <v>0.0</v>
      </c>
      <c r="F7114" s="4" t="str">
        <f>IFERROR(__xludf.DUMMYFUNCTION("GOOGLETRANSLATE(D7114)"),"Illusoria Icarus 正在播放請查看 http://t.co/E2WgREIcmZ")</f>
        <v>Illusoria Icarus 正在播放請查看 http://t.co/E2WgREIcmZ</v>
      </c>
      <c r="G7114" s="4" t="str">
        <f>IFERROR(__xludf.DUMMYFUNCTION("GOOGLETRANSLATE(B7114)"),"雷")</f>
        <v>雷</v>
      </c>
    </row>
    <row r="7115" ht="15.75" customHeight="1">
      <c r="A7115" s="4">
        <v>9562.0</v>
      </c>
      <c r="B7115" s="4" t="s">
        <v>4329</v>
      </c>
      <c r="C7115" s="4" t="s">
        <v>407</v>
      </c>
      <c r="D7115" s="4" t="s">
        <v>10359</v>
      </c>
      <c r="E7115" s="4">
        <v>0.0</v>
      </c>
      <c r="F7115" s="4" t="str">
        <f>IFERROR(__xludf.DUMMYFUNCTION("GOOGLETRANSLATE(D7115)"),"我聽到雷聲或卡車聲嗎？")</f>
        <v>我聽到雷聲或卡車聲嗎？</v>
      </c>
      <c r="G7115" s="4" t="str">
        <f>IFERROR(__xludf.DUMMYFUNCTION("GOOGLETRANSLATE(B7115)"),"雷")</f>
        <v>雷</v>
      </c>
    </row>
    <row r="7116" ht="15.75" customHeight="1">
      <c r="A7116" s="4">
        <v>9563.0</v>
      </c>
      <c r="B7116" s="4" t="s">
        <v>4329</v>
      </c>
      <c r="C7116" s="4" t="s">
        <v>10360</v>
      </c>
      <c r="D7116" s="4" t="s">
        <v>10361</v>
      </c>
      <c r="E7116" s="4">
        <v>0.0</v>
      </c>
      <c r="F7116" s="4" t="str">
        <f>IFERROR(__xludf.DUMMYFUNCTION("GOOGLETRANSLATE(D7116)"),"最糟糕的部分是看到閃電並試圖猜測雷聲何時會響起")</f>
        <v>最糟糕的部分是看到閃電並試圖猜測雷聲何時會響起</v>
      </c>
      <c r="G7116" s="4" t="str">
        <f>IFERROR(__xludf.DUMMYFUNCTION("GOOGLETRANSLATE(B7116)"),"雷")</f>
        <v>雷</v>
      </c>
    </row>
    <row r="7117" ht="15.75" customHeight="1">
      <c r="A7117" s="4">
        <v>9564.0</v>
      </c>
      <c r="B7117" s="4" t="s">
        <v>4329</v>
      </c>
      <c r="D7117" s="4" t="s">
        <v>10362</v>
      </c>
      <c r="E7117" s="4">
        <v>0.0</v>
      </c>
      <c r="F7117" s="4" t="str">
        <f>IFERROR(__xludf.DUMMYFUNCTION("GOOGLETRANSLATE(D7117)"),"這雷聲真美")</f>
        <v>這雷聲真美</v>
      </c>
      <c r="G7117" s="4" t="str">
        <f>IFERROR(__xludf.DUMMYFUNCTION("GOOGLETRANSLATE(B7117)"),"雷")</f>
        <v>雷</v>
      </c>
    </row>
    <row r="7118" ht="15.75" customHeight="1">
      <c r="A7118" s="4">
        <v>9565.0</v>
      </c>
      <c r="B7118" s="4" t="s">
        <v>4329</v>
      </c>
      <c r="C7118" s="4" t="s">
        <v>10357</v>
      </c>
      <c r="D7118" s="4" t="s">
        <v>10363</v>
      </c>
      <c r="E7118" s="4">
        <v>0.0</v>
      </c>
      <c r="F7118" s="4" t="str">
        <f>IFERROR(__xludf.DUMMYFUNCTION("GOOGLETRANSLATE(D7118)"),"#PlayingNow #BLOODBOUND 七天使媒體串流 http://t.co/dlY6rUuSqK")</f>
        <v>#PlayingNow #BLOODBOUND 七天使媒體串流 http://t.co/dlY6rUuSqK</v>
      </c>
      <c r="G7118" s="4" t="str">
        <f>IFERROR(__xludf.DUMMYFUNCTION("GOOGLETRANSLATE(B7118)"),"雷")</f>
        <v>雷</v>
      </c>
    </row>
    <row r="7119" ht="15.75" customHeight="1">
      <c r="A7119" s="4">
        <v>9566.0</v>
      </c>
      <c r="B7119" s="4" t="s">
        <v>4329</v>
      </c>
      <c r="C7119" s="4" t="s">
        <v>10027</v>
      </c>
      <c r="D7119" s="4" t="s">
        <v>10364</v>
      </c>
      <c r="E7119" s="4">
        <v>0.0</v>
      </c>
      <c r="F7119" s="4" t="str">
        <f>IFERROR(__xludf.DUMMYFUNCTION("GOOGLETRANSLATE(D7119)"),"@KristyLeeMusic 將於 9 月 26 日將她阿拉巴馬州的風采帶回閣樓！門票：https://t.co/B7ZwEVsrGO")</f>
        <v>@KristyLeeMusic 將於 9 月 26 日將她阿拉巴馬州的風采帶回閣樓！門票：https://t.co/B7ZwEVsrGO</v>
      </c>
      <c r="G7119" s="4" t="str">
        <f>IFERROR(__xludf.DUMMYFUNCTION("GOOGLETRANSLATE(B7119)"),"雷")</f>
        <v>雷</v>
      </c>
    </row>
    <row r="7120" ht="15.75" customHeight="1">
      <c r="A7120" s="4">
        <v>9567.0</v>
      </c>
      <c r="B7120" s="4" t="s">
        <v>4329</v>
      </c>
      <c r="D7120" s="4" t="s">
        <v>10365</v>
      </c>
      <c r="E7120" s="4">
        <v>0.0</v>
      </c>
      <c r="F7120" s="4" t="str">
        <f>IFERROR(__xludf.DUMMYFUNCTION("GOOGLETRANSLATE(D7120)"),"@DevinJoslyn 閃電？？？")</f>
        <v>@DevinJoslyn 閃電？？？</v>
      </c>
      <c r="G7120" s="4" t="str">
        <f>IFERROR(__xludf.DUMMYFUNCTION("GOOGLETRANSLATE(B7120)"),"雷")</f>
        <v>雷</v>
      </c>
    </row>
    <row r="7121" ht="15.75" customHeight="1">
      <c r="A7121" s="4">
        <v>9568.0</v>
      </c>
      <c r="B7121" s="4" t="s">
        <v>4329</v>
      </c>
      <c r="C7121" s="4" t="s">
        <v>183</v>
      </c>
      <c r="D7121" s="4" t="s">
        <v>10366</v>
      </c>
      <c r="E7121" s="4">
        <v>0.0</v>
      </c>
      <c r="F7121" s="4" t="str">
        <f>IFERROR(__xludf.DUMMYFUNCTION("GOOGLETRANSLATE(D7121)"),"好吧，也許不像雷電那麼極端，但幾乎所有其他類型！ #FIFA16 https://t.co/ETuuYISLHw")</f>
        <v>好吧，也許不像雷電那麼極端，但幾乎所有其他類型！ #FIFA16 https://t.co/ETuuYISLHw</v>
      </c>
      <c r="G7121" s="4" t="str">
        <f>IFERROR(__xludf.DUMMYFUNCTION("GOOGLETRANSLATE(B7121)"),"雷")</f>
        <v>雷</v>
      </c>
    </row>
    <row r="7122" ht="15.75" customHeight="1">
      <c r="A7122" s="4">
        <v>9569.0</v>
      </c>
      <c r="B7122" s="4" t="s">
        <v>4329</v>
      </c>
      <c r="C7122" s="4" t="s">
        <v>10367</v>
      </c>
      <c r="D7122" s="4" t="s">
        <v>10368</v>
      </c>
      <c r="E7122" s="4">
        <v>0.0</v>
      </c>
      <c r="F7122" s="4" t="str">
        <f>IFERROR(__xludf.DUMMYFUNCTION("GOOGLETRANSLATE(D7122)"),"@ATL_Events 和雷聲:-o")</f>
        <v>@ATL_Events 和雷聲:-o</v>
      </c>
      <c r="G7122" s="4" t="str">
        <f>IFERROR(__xludf.DUMMYFUNCTION("GOOGLETRANSLATE(B7122)"),"雷")</f>
        <v>雷</v>
      </c>
    </row>
    <row r="7123" ht="15.75" customHeight="1">
      <c r="A7123" s="4">
        <v>9572.0</v>
      </c>
      <c r="B7123" s="4" t="s">
        <v>4329</v>
      </c>
      <c r="C7123" s="4" t="s">
        <v>6044</v>
      </c>
      <c r="D7123" s="4" t="s">
        <v>10369</v>
      </c>
      <c r="E7123" s="4">
        <v>0.0</v>
      </c>
      <c r="F7123" s="4" t="str">
        <f>IFERROR(__xludf.DUMMYFUNCTION("GOOGLETRANSLATE(D7123)"),"@LightUmUpBeast 從來沒看過 pres 認為他是個像雷霆一樣的傢伙")</f>
        <v>@LightUmUpBeast 從來沒看過 pres 認為他是個像雷霆一樣的傢伙</v>
      </c>
      <c r="G7123" s="4" t="str">
        <f>IFERROR(__xludf.DUMMYFUNCTION("GOOGLETRANSLATE(B7123)"),"雷")</f>
        <v>雷</v>
      </c>
    </row>
    <row r="7124" ht="15.75" customHeight="1">
      <c r="A7124" s="4">
        <v>9575.0</v>
      </c>
      <c r="B7124" s="4" t="s">
        <v>4329</v>
      </c>
      <c r="D7124" s="4" t="s">
        <v>10370</v>
      </c>
      <c r="E7124" s="4">
        <v>0.0</v>
      </c>
      <c r="F7124" s="4" t="str">
        <f>IFERROR(__xludf.DUMMYFUNCTION("GOOGLETRANSLATE(D7124)"),"@OriginalFunko @Spencers 雷霆好友！")</f>
        <v>@OriginalFunko @Spencers 雷霆好友！</v>
      </c>
      <c r="G7124" s="4" t="str">
        <f>IFERROR(__xludf.DUMMYFUNCTION("GOOGLETRANSLATE(B7124)"),"雷")</f>
        <v>雷</v>
      </c>
    </row>
    <row r="7125" ht="15.75" customHeight="1">
      <c r="A7125" s="4">
        <v>9576.0</v>
      </c>
      <c r="B7125" s="4" t="s">
        <v>4329</v>
      </c>
      <c r="C7125" s="4" t="s">
        <v>2294</v>
      </c>
      <c r="D7125" s="4" t="s">
        <v>10371</v>
      </c>
      <c r="E7125" s="4">
        <v>0.0</v>
      </c>
      <c r="F7125" s="4" t="str">
        <f>IFERROR(__xludf.DUMMYFUNCTION("GOOGLETRANSLATE(D7125)"),"Waldo Thunder 12U 庫柏斯敦夢想公園 2015 獻給 #JoeStrong #GoKitGo http://t.co/eSK4yvzvaP")</f>
        <v>Waldo Thunder 12U 庫柏斯敦夢想公園 2015 獻給 #JoeStrong #GoKitGo http://t.co/eSK4yvzvaP</v>
      </c>
      <c r="G7125" s="4" t="str">
        <f>IFERROR(__xludf.DUMMYFUNCTION("GOOGLETRANSLATE(B7125)"),"雷")</f>
        <v>雷</v>
      </c>
    </row>
    <row r="7126" ht="15.75" customHeight="1">
      <c r="A7126" s="4">
        <v>9577.0</v>
      </c>
      <c r="B7126" s="4" t="s">
        <v>4329</v>
      </c>
      <c r="D7126" s="4" t="s">
        <v>10372</v>
      </c>
      <c r="E7126" s="4">
        <v>0.0</v>
      </c>
      <c r="F7126" s="4" t="str">
        <f>IFERROR(__xludf.DUMMYFUNCTION("GOOGLETRANSLATE(D7126)"),"我喜歡這裡的一件事是雷聲..呵呵")</f>
        <v>我喜歡這裡的一件事是雷聲..呵呵</v>
      </c>
      <c r="G7126" s="4" t="str">
        <f>IFERROR(__xludf.DUMMYFUNCTION("GOOGLETRANSLATE(B7126)"),"雷")</f>
        <v>雷</v>
      </c>
    </row>
    <row r="7127" ht="15.75" customHeight="1">
      <c r="A7127" s="4">
        <v>9579.0</v>
      </c>
      <c r="B7127" s="4" t="s">
        <v>4329</v>
      </c>
      <c r="C7127" s="4" t="s">
        <v>10373</v>
      </c>
      <c r="D7127" s="4" t="s">
        <v>10374</v>
      </c>
      <c r="E7127" s="4">
        <v>0.0</v>
      </c>
      <c r="F7127" s="4" t="str">
        <f>IFERROR(__xludf.DUMMYFUNCTION("GOOGLETRANSLATE(D7127)"),"超響亮的雷聲把我從美美的午睡中吵醒")</f>
        <v>超響亮的雷聲把我從美美的午睡中吵醒</v>
      </c>
      <c r="G7127" s="4" t="str">
        <f>IFERROR(__xludf.DUMMYFUNCTION("GOOGLETRANSLATE(B7127)"),"雷")</f>
        <v>雷</v>
      </c>
    </row>
    <row r="7128" ht="15.75" customHeight="1">
      <c r="A7128" s="4">
        <v>9581.0</v>
      </c>
      <c r="B7128" s="4" t="s">
        <v>4329</v>
      </c>
      <c r="D7128" s="4" t="s">
        <v>10375</v>
      </c>
      <c r="E7128" s="4">
        <v>0.0</v>
      </c>
      <c r="F7128" s="4" t="str">
        <f>IFERROR(__xludf.DUMMYFUNCTION("GOOGLETRANSLATE(D7128)"),"易趣 狙擊 RT？ http://t.co/SlQnph34Nt 樂高動力礦工套裝 8960 Thunder Driller 盒裝。 ?請收藏&amp;分享")</f>
        <v>易趣 狙擊 RT？ http://t.co/SlQnph34Nt 樂高動力礦工套裝 8960 Thunder Driller 盒裝。 ?請收藏&amp;分享</v>
      </c>
      <c r="G7128" s="4" t="str">
        <f>IFERROR(__xludf.DUMMYFUNCTION("GOOGLETRANSLATE(B7128)"),"雷")</f>
        <v>雷</v>
      </c>
    </row>
    <row r="7129" ht="15.75" customHeight="1">
      <c r="A7129" s="4">
        <v>9583.0</v>
      </c>
      <c r="B7129" s="4" t="s">
        <v>4329</v>
      </c>
      <c r="D7129" s="4" t="s">
        <v>10376</v>
      </c>
      <c r="E7129" s="4">
        <v>0.0</v>
      </c>
      <c r="F7129" s="4" t="str">
        <f>IFERROR(__xludf.DUMMYFUNCTION("GOOGLETRANSLATE(D7129)"),"這很放鬆！ #thunder #SoothMySlumber #WATERMELOANN #populardemand w/@Soak...（Vine by @thewebbeffect19）https://t.co/F0QIRS5lJA")</f>
        <v>這很放鬆！ #thunder #SoothMySlumber #WATERMELOANN #populardemand w/@Soak...（Vine by @thewebbeffect19）https://t.co/F0QIRS5lJA</v>
      </c>
      <c r="G7129" s="4" t="str">
        <f>IFERROR(__xludf.DUMMYFUNCTION("GOOGLETRANSLATE(B7129)"),"雷")</f>
        <v>雷</v>
      </c>
    </row>
    <row r="7130" ht="15.75" customHeight="1">
      <c r="A7130" s="4">
        <v>9585.0</v>
      </c>
      <c r="B7130" s="4" t="s">
        <v>4329</v>
      </c>
      <c r="C7130" s="4" t="s">
        <v>10377</v>
      </c>
      <c r="D7130" s="4" t="s">
        <v>10378</v>
      </c>
      <c r="E7130" s="4">
        <v>0.0</v>
      </c>
      <c r="F7130" s="4" t="str">
        <f>IFERROR(__xludf.DUMMYFUNCTION("GOOGLETRANSLATE(D7130)"),"《閃電俠與雷霆》由 WC Quick 在 Amazon Kindle 上出版，很快將透過 Create 在 Amazon Books 上印刷... http://t.co/oS1WjRvx5c 來自 @weebly")</f>
        <v>《閃電俠與雷霆》由 WC Quick 在 Amazon Kindle 上出版，很快將透過 Create 在 Amazon Books 上印刷... http://t.co/oS1WjRvx5c 來自 @weebly</v>
      </c>
      <c r="G7130" s="4" t="str">
        <f>IFERROR(__xludf.DUMMYFUNCTION("GOOGLETRANSLATE(B7130)"),"雷")</f>
        <v>雷</v>
      </c>
    </row>
    <row r="7131" ht="15.75" customHeight="1">
      <c r="A7131" s="4">
        <v>9591.0</v>
      </c>
      <c r="B7131" s="4" t="s">
        <v>4329</v>
      </c>
      <c r="D7131" s="4" t="s">
        <v>10379</v>
      </c>
      <c r="E7131" s="4">
        <v>0.0</v>
      </c>
      <c r="F7131" s="4" t="str">
        <f>IFERROR(__xludf.DUMMYFUNCTION("GOOGLETRANSLATE(D7131)"),"我弟弟因為打雷而哭了 lmao")</f>
        <v>我弟弟因為打雷而哭了 lmao</v>
      </c>
      <c r="G7131" s="4" t="str">
        <f>IFERROR(__xludf.DUMMYFUNCTION("GOOGLETRANSLATE(B7131)"),"雷")</f>
        <v>雷</v>
      </c>
    </row>
    <row r="7132" ht="15.75" customHeight="1">
      <c r="A7132" s="4">
        <v>9592.0</v>
      </c>
      <c r="B7132" s="4" t="s">
        <v>4329</v>
      </c>
      <c r="D7132" s="4" t="s">
        <v>10380</v>
      </c>
      <c r="E7132" s="4">
        <v>0.0</v>
      </c>
      <c r="F7132" s="4" t="str">
        <f>IFERROR(__xludf.DUMMYFUNCTION("GOOGLETRANSLATE(D7132)"),"這是我聽過最響亮的雷聲")</f>
        <v>這是我聽過最響亮的雷聲</v>
      </c>
      <c r="G7132" s="4" t="str">
        <f>IFERROR(__xludf.DUMMYFUNCTION("GOOGLETRANSLATE(B7132)"),"雷")</f>
        <v>雷</v>
      </c>
    </row>
    <row r="7133" ht="15.75" customHeight="1">
      <c r="A7133" s="4">
        <v>9594.0</v>
      </c>
      <c r="B7133" s="4" t="s">
        <v>4329</v>
      </c>
      <c r="D7133" s="4" t="s">
        <v>10381</v>
      </c>
      <c r="E7133" s="4">
        <v>0.0</v>
      </c>
      <c r="F7133" s="4" t="str">
        <f>IFERROR(__xludf.DUMMYFUNCTION("GOOGLETRANSLATE(D7133)"),"雷霆是合法的")</f>
        <v>雷霆是合法的</v>
      </c>
      <c r="G7133" s="4" t="str">
        <f>IFERROR(__xludf.DUMMYFUNCTION("GOOGLETRANSLATE(B7133)"),"雷")</f>
        <v>雷</v>
      </c>
    </row>
    <row r="7134" ht="15.75" customHeight="1">
      <c r="A7134" s="4">
        <v>9596.0</v>
      </c>
      <c r="B7134" s="4" t="s">
        <v>4329</v>
      </c>
      <c r="C7134" s="4" t="s">
        <v>10382</v>
      </c>
      <c r="D7134" s="4" t="s">
        <v>10383</v>
      </c>
      <c r="E7134" s="4">
        <v>0.0</v>
      </c>
      <c r="F7134" s="4" t="str">
        <f>IFERROR(__xludf.DUMMYFUNCTION("GOOGLETRANSLATE(D7134)"),"我媽怕打雷？？？")</f>
        <v>我媽怕打雷？？？</v>
      </c>
      <c r="G7134" s="4" t="str">
        <f>IFERROR(__xludf.DUMMYFUNCTION("GOOGLETRANSLATE(B7134)"),"雷")</f>
        <v>雷</v>
      </c>
    </row>
    <row r="7135" ht="15.75" customHeight="1">
      <c r="A7135" s="4">
        <v>9597.0</v>
      </c>
      <c r="B7135" s="4" t="s">
        <v>4329</v>
      </c>
      <c r="C7135" s="4" t="s">
        <v>9635</v>
      </c>
      <c r="D7135" s="4" t="s">
        <v>10384</v>
      </c>
      <c r="E7135" s="4">
        <v>0.0</v>
      </c>
      <c r="F7135" s="4" t="str">
        <f>IFERROR(__xludf.DUMMYFUNCTION("GOOGLETRANSLATE(D7135)"),"拜託拜託你一定要聽@leonalewis#essentialOfMe 和雷霆這是主要的
＃她回來了？？？？？？？？")</f>
        <v>拜託拜託你一定要聽@leonalewis#essentialOfMe 和雷霆這是主要的
＃她回來了？？？？？？？？</v>
      </c>
      <c r="G7135" s="4" t="str">
        <f>IFERROR(__xludf.DUMMYFUNCTION("GOOGLETRANSLATE(B7135)"),"雷")</f>
        <v>雷</v>
      </c>
    </row>
    <row r="7136" ht="15.75" customHeight="1">
      <c r="A7136" s="4">
        <v>9602.0</v>
      </c>
      <c r="B7136" s="4" t="s">
        <v>4329</v>
      </c>
      <c r="D7136" s="4" t="s">
        <v>10385</v>
      </c>
      <c r="E7136" s="4">
        <v>0.0</v>
      </c>
      <c r="F7136" s="4" t="str">
        <f>IFERROR(__xludf.DUMMYFUNCTION("GOOGLETRANSLATE(D7136)"),"L B #Oklahoma #Thunder DURANT NBA 阿迪達斯俄克拉荷馬城雷霆青年大號球迷版球衣零售 75 美元 #NBA #Durant http://t.co/T81oayjoWC")</f>
        <v>L B #Oklahoma #Thunder DURANT NBA 阿迪達斯俄克拉荷馬城雷霆青年大號球迷版球衣零售 75 美元 #NBA #Durant http://t.co/T81oayjoWC</v>
      </c>
      <c r="G7136" s="4" t="str">
        <f>IFERROR(__xludf.DUMMYFUNCTION("GOOGLETRANSLATE(B7136)"),"雷")</f>
        <v>雷</v>
      </c>
    </row>
    <row r="7137" ht="15.75" customHeight="1">
      <c r="A7137" s="4">
        <v>9603.0</v>
      </c>
      <c r="B7137" s="4" t="s">
        <v>4329</v>
      </c>
      <c r="D7137" s="4" t="s">
        <v>10386</v>
      </c>
      <c r="E7137" s="4">
        <v>0.0</v>
      </c>
      <c r="F7137" s="4" t="str">
        <f>IFERROR(__xludf.DUMMYFUNCTION("GOOGLETRANSLATE(D7137)"),"我剛剛是不是​​聽到雷聲了？ ????")</f>
        <v>我剛剛是不是​​聽到雷聲了？ ????</v>
      </c>
      <c r="G7137" s="4" t="str">
        <f>IFERROR(__xludf.DUMMYFUNCTION("GOOGLETRANSLATE(B7137)"),"雷")</f>
        <v>雷</v>
      </c>
    </row>
    <row r="7138" ht="15.75" customHeight="1">
      <c r="A7138" s="4">
        <v>9605.0</v>
      </c>
      <c r="B7138" s="4" t="s">
        <v>4329</v>
      </c>
      <c r="D7138" s="4" t="s">
        <v>10387</v>
      </c>
      <c r="E7138" s="4">
        <v>0.0</v>
      </c>
      <c r="F7138" s="4" t="str">
        <f>IFERROR(__xludf.DUMMYFUNCTION("GOOGLETRANSLATE(D7138)"),"雷？？？")</f>
        <v>雷？？？</v>
      </c>
      <c r="G7138" s="4" t="str">
        <f>IFERROR(__xludf.DUMMYFUNCTION("GOOGLETRANSLATE(B7138)"),"雷")</f>
        <v>雷</v>
      </c>
    </row>
    <row r="7139" ht="15.75" customHeight="1">
      <c r="A7139" s="4">
        <v>9606.0</v>
      </c>
      <c r="B7139" s="4" t="s">
        <v>4329</v>
      </c>
      <c r="D7139" s="4" t="s">
        <v>10388</v>
      </c>
      <c r="E7139" s="4">
        <v>0.0</v>
      </c>
      <c r="F7139" s="4" t="str">
        <f>IFERROR(__xludf.DUMMYFUNCTION("GOOGLETRANSLATE(D7139)"),"我喜歡雷聲隆隆劃過山巒的聲音。")</f>
        <v>我喜歡雷聲隆隆劃過山巒的聲音。</v>
      </c>
      <c r="G7139" s="4" t="str">
        <f>IFERROR(__xludf.DUMMYFUNCTION("GOOGLETRANSLATE(B7139)"),"雷")</f>
        <v>雷</v>
      </c>
    </row>
    <row r="7140" ht="15.75" customHeight="1">
      <c r="A7140" s="4">
        <v>9610.0</v>
      </c>
      <c r="B7140" s="4" t="s">
        <v>4347</v>
      </c>
      <c r="D7140" s="4" t="s">
        <v>10389</v>
      </c>
      <c r="E7140" s="4">
        <v>0.0</v>
      </c>
      <c r="F7140" s="4" t="str">
        <f>IFERROR(__xludf.DUMMYFUNCTION("GOOGLETRANSLATE(D7140)"),"諾亞的建議：不要在雷雨天跑步")</f>
        <v>諾亞的建議：不要在雷雨天跑步</v>
      </c>
      <c r="G7140" s="4" t="str">
        <f>IFERROR(__xludf.DUMMYFUNCTION("GOOGLETRANSLATE(B7140)"),"雷雨")</f>
        <v>雷雨</v>
      </c>
    </row>
    <row r="7141" ht="15.75" customHeight="1">
      <c r="A7141" s="4">
        <v>9618.0</v>
      </c>
      <c r="B7141" s="4" t="s">
        <v>4347</v>
      </c>
      <c r="D7141" s="4" t="s">
        <v>10390</v>
      </c>
      <c r="E7141" s="4">
        <v>0.0</v>
      </c>
      <c r="F7141" s="4" t="str">
        <f>IFERROR(__xludf.DUMMYFUNCTION("GOOGLETRANSLATE(D7141)"),"@RachelRofe 累了' 凌晨 5:36。一覺醒來，雷雨交加，電閃雷鳴。你好嗎？")</f>
        <v>@RachelRofe 累了' 凌晨 5:36。一覺醒來，雷雨交加，電閃雷鳴。你好嗎？</v>
      </c>
      <c r="G7141" s="4" t="str">
        <f>IFERROR(__xludf.DUMMYFUNCTION("GOOGLETRANSLATE(B7141)"),"雷雨")</f>
        <v>雷雨</v>
      </c>
    </row>
    <row r="7142" ht="15.75" customHeight="1">
      <c r="A7142" s="4">
        <v>9619.0</v>
      </c>
      <c r="B7142" s="4" t="s">
        <v>4347</v>
      </c>
      <c r="C7142" s="4" t="s">
        <v>482</v>
      </c>
      <c r="D7142" s="4" t="s">
        <v>10391</v>
      </c>
      <c r="E7142" s="4">
        <v>0.0</v>
      </c>
      <c r="F7142" s="4" t="str">
        <f>IFERROR(__xludf.DUMMYFUNCTION("GOOGLETRANSLATE(D7142)"),"從飛機窗口看到的美麗閃電 http://t.co/5CwUyLnFUm http://t.co/1tyYqFz13D")</f>
        <v>從飛機窗口看到的美麗閃電 http://t.co/5CwUyLnFUm http://t.co/1tyYqFz13D</v>
      </c>
      <c r="G7142" s="4" t="str">
        <f>IFERROR(__xludf.DUMMYFUNCTION("GOOGLETRANSLATE(B7142)"),"雷雨")</f>
        <v>雷雨</v>
      </c>
    </row>
    <row r="7143" ht="15.75" customHeight="1">
      <c r="A7143" s="4">
        <v>9632.0</v>
      </c>
      <c r="B7143" s="4" t="s">
        <v>4347</v>
      </c>
      <c r="C7143" s="4" t="s">
        <v>10392</v>
      </c>
      <c r="D7143" s="4" t="s">
        <v>10393</v>
      </c>
      <c r="E7143" s="4">
        <v>0.0</v>
      </c>
      <c r="F7143" s="4" t="str">
        <f>IFERROR(__xludf.DUMMYFUNCTION("GOOGLETRANSLATE(D7143)"),"法國巴黎中部夏令時間凌晨 4:00 的情況： 目前情況：
Fair 68 F預測：
週四 - 晴。高：87 低：61
週五至下午雷陣雨...")</f>
        <v>法國巴黎中部夏令時間凌晨 4:00 的情況： 目前情況：
Fair 68 F預測：
週四 - 晴。高：87 低：61
週五至下午雷陣雨...</v>
      </c>
      <c r="G7143" s="4" t="str">
        <f>IFERROR(__xludf.DUMMYFUNCTION("GOOGLETRANSLATE(B7143)"),"雷雨")</f>
        <v>雷雨</v>
      </c>
    </row>
    <row r="7144" ht="15.75" customHeight="1">
      <c r="A7144" s="4">
        <v>9640.0</v>
      </c>
      <c r="B7144" s="4" t="s">
        <v>4347</v>
      </c>
      <c r="D7144" s="4" t="s">
        <v>10394</v>
      </c>
      <c r="E7144" s="4">
        <v>0.0</v>
      </c>
      <c r="F7144" s="4" t="str">
        <f>IFERROR(__xludf.DUMMYFUNCTION("GOOGLETRANSLATE(D7144)"),"在體育場內數千名河床球迷的聲音和雷雨聲中入睡。 #阿根廷萬歲")</f>
        <v>在體育場內數千名河床球迷的聲音和雷雨聲中入睡。 #阿根廷萬歲</v>
      </c>
      <c r="G7144" s="4" t="str">
        <f>IFERROR(__xludf.DUMMYFUNCTION("GOOGLETRANSLATE(B7144)"),"雷雨")</f>
        <v>雷雨</v>
      </c>
    </row>
    <row r="7145" ht="15.75" customHeight="1">
      <c r="A7145" s="4">
        <v>9654.0</v>
      </c>
      <c r="B7145" s="4" t="s">
        <v>4347</v>
      </c>
      <c r="C7145" s="4" t="s">
        <v>10395</v>
      </c>
      <c r="D7145" s="4" t="s">
        <v>10396</v>
      </c>
      <c r="E7145" s="4">
        <v>0.0</v>
      </c>
      <c r="F7145" s="4" t="str">
        <f>IFERROR(__xludf.DUMMYFUNCTION("GOOGLETRANSLATE(D7145)"),"週三 20:30：以多雲為主。今晚有 60% 的可能性有陣雨，並有雷暴的風險。低 10。")</f>
        <v>週三 20:30：以多雲為主。今晚有 60% 的可能性有陣雨，並有雷暴的風險。低 10。</v>
      </c>
      <c r="G7145" s="4" t="str">
        <f>IFERROR(__xludf.DUMMYFUNCTION("GOOGLETRANSLATE(B7145)"),"雷雨")</f>
        <v>雷雨</v>
      </c>
    </row>
    <row r="7146" ht="15.75" customHeight="1">
      <c r="A7146" s="4">
        <v>9656.0</v>
      </c>
      <c r="B7146" s="4" t="s">
        <v>4347</v>
      </c>
      <c r="C7146" s="4" t="s">
        <v>5414</v>
      </c>
      <c r="D7146" s="4" t="s">
        <v>10397</v>
      </c>
      <c r="E7146" s="4">
        <v>0.0</v>
      </c>
      <c r="F7146" s="4" t="str">
        <f>IFERROR(__xludf.DUMMYFUNCTION("GOOGLETRANSLATE(D7146)"),"我需要一場雷雨！")</f>
        <v>我需要一場雷雨！</v>
      </c>
      <c r="G7146" s="4" t="str">
        <f>IFERROR(__xludf.DUMMYFUNCTION("GOOGLETRANSLATE(B7146)"),"雷雨")</f>
        <v>雷雨</v>
      </c>
    </row>
    <row r="7147" ht="15.75" customHeight="1">
      <c r="A7147" s="4">
        <v>9659.0</v>
      </c>
      <c r="B7147" s="4" t="s">
        <v>4384</v>
      </c>
      <c r="C7147" s="4" t="s">
        <v>10398</v>
      </c>
      <c r="D7147" s="4" t="s">
        <v>10399</v>
      </c>
      <c r="E7147" s="4">
        <v>0.0</v>
      </c>
      <c r="F7147" s="4" t="str">
        <f>IFERROR(__xludf.DUMMYFUNCTION("GOOGLETRANSLATE(D7147)"),"我的房間看起來就像龍捲風穿過一樣，而我的強迫症卻沒有。")</f>
        <v>我的房間看起來就像龍捲風穿過一樣，而我的強迫症卻沒有。</v>
      </c>
      <c r="G7147" s="4" t="str">
        <f>IFERROR(__xludf.DUMMYFUNCTION("GOOGLETRANSLATE(B7147)"),"龍捲風")</f>
        <v>龍捲風</v>
      </c>
    </row>
    <row r="7148" ht="15.75" customHeight="1">
      <c r="A7148" s="4">
        <v>9660.0</v>
      </c>
      <c r="B7148" s="4" t="s">
        <v>4384</v>
      </c>
      <c r="C7148" s="4" t="s">
        <v>10400</v>
      </c>
      <c r="D7148" s="4" t="s">
        <v>10401</v>
      </c>
      <c r="E7148" s="4">
        <v>0.0</v>
      </c>
      <c r="F7148" s="4" t="str">
        <f>IFERROR(__xludf.DUMMYFUNCTION("GOOGLETRANSLATE(D7148)"),"@soonergrunt 比龍捲風更好！")</f>
        <v>@soonergrunt 比龍捲風更好！</v>
      </c>
      <c r="G7148" s="4" t="str">
        <f>IFERROR(__xludf.DUMMYFUNCTION("GOOGLETRANSLATE(B7148)"),"龍捲風")</f>
        <v>龍捲風</v>
      </c>
    </row>
    <row r="7149" ht="15.75" customHeight="1">
      <c r="A7149" s="4">
        <v>9661.0</v>
      </c>
      <c r="B7149" s="4" t="s">
        <v>4384</v>
      </c>
      <c r="C7149" s="4" t="s">
        <v>10402</v>
      </c>
      <c r="D7149" s="4" t="s">
        <v>10403</v>
      </c>
      <c r="E7149" s="4">
        <v>0.0</v>
      </c>
      <c r="F7149" s="4" t="str">
        <f>IFERROR(__xludf.DUMMYFUNCTION("GOOGLETRANSLATE(D7149)"),"@BrrookkllyynnR 像龍捲風一樣襲來，摧毀了我。如此美麗的話語")</f>
        <v>@BrrookkllyynnR 像龍捲風一樣襲來，摧毀了我。如此美麗的話語</v>
      </c>
      <c r="G7149" s="4" t="str">
        <f>IFERROR(__xludf.DUMMYFUNCTION("GOOGLETRANSLATE(B7149)"),"龍捲風")</f>
        <v>龍捲風</v>
      </c>
    </row>
    <row r="7150" ht="15.75" customHeight="1">
      <c r="A7150" s="4">
        <v>9663.0</v>
      </c>
      <c r="B7150" s="4" t="s">
        <v>4384</v>
      </c>
      <c r="C7150" s="4" t="s">
        <v>10404</v>
      </c>
      <c r="D7150" s="4" t="s">
        <v>10405</v>
      </c>
      <c r="E7150" s="4">
        <v>0.0</v>
      </c>
      <c r="F7150" s="4" t="str">
        <f>IFERROR(__xludf.DUMMYFUNCTION("GOOGLETRANSLATE(D7150)"),"#TornadoGiveaway åÊ #thebookclub åÊ 加入！ http://t.co/LjOMCTUZFy https://t.co/2zGVSLOX5p")</f>
        <v>#TornadoGiveaway åÊ #thebookclub åÊ 加入！ http://t.co/LjOMCTUZFy https://t.co/2zGVSLOX5p</v>
      </c>
      <c r="G7150" s="4" t="str">
        <f>IFERROR(__xludf.DUMMYFUNCTION("GOOGLETRANSLATE(B7150)"),"龍捲風")</f>
        <v>龍捲風</v>
      </c>
    </row>
    <row r="7151" ht="15.75" customHeight="1">
      <c r="A7151" s="4">
        <v>9664.0</v>
      </c>
      <c r="B7151" s="4" t="s">
        <v>4384</v>
      </c>
      <c r="C7151" s="4" t="s">
        <v>10406</v>
      </c>
      <c r="D7151" s="4" t="s">
        <v>10407</v>
      </c>
      <c r="E7151" s="4">
        <v>0.0</v>
      </c>
      <c r="F7151" s="4" t="str">
        <f>IFERROR(__xludf.DUMMYFUNCTION("GOOGLETRANSLATE(D7151)"),"@ticklemeshawn @evebrigid 我敢打賭我會的")</f>
        <v>@ticklemeshawn @evebrigid 我敢打賭我會的</v>
      </c>
      <c r="G7151" s="4" t="str">
        <f>IFERROR(__xludf.DUMMYFUNCTION("GOOGLETRANSLATE(B7151)"),"龍捲風")</f>
        <v>龍捲風</v>
      </c>
    </row>
    <row r="7152" ht="15.75" customHeight="1">
      <c r="A7152" s="4">
        <v>9665.0</v>
      </c>
      <c r="B7152" s="4" t="s">
        <v>4384</v>
      </c>
      <c r="D7152" s="4" t="s">
        <v>10408</v>
      </c>
      <c r="E7152" s="4">
        <v>0.0</v>
      </c>
      <c r="F7152" s="4" t="str">
        <f>IFERROR(__xludf.DUMMYFUNCTION("GOOGLETRANSLATE(D7152)"),"Lily Xo 是一位性感的女牛仔 http://t.co/qew4c5M1xd 觀看和下載視頻")</f>
        <v>Lily Xo 是一位性感的女牛仔 http://t.co/qew4c5M1xd 觀看和下載視頻</v>
      </c>
      <c r="G7152" s="4" t="str">
        <f>IFERROR(__xludf.DUMMYFUNCTION("GOOGLETRANSLATE(B7152)"),"龍捲風")</f>
        <v>龍捲風</v>
      </c>
    </row>
    <row r="7153" ht="15.75" customHeight="1">
      <c r="A7153" s="4">
        <v>9666.0</v>
      </c>
      <c r="B7153" s="4" t="s">
        <v>4384</v>
      </c>
      <c r="D7153" s="4" t="s">
        <v>10409</v>
      </c>
      <c r="E7153" s="4">
        <v>0.0</v>
      </c>
      <c r="F7153" s="4" t="str">
        <f>IFERROR(__xludf.DUMMYFUNCTION("GOOGLETRANSLATE(D7153)"),"金髮女孩 Courtney Laudner 內褲中挑逗 http://t.co/qew4c5M1xd 觀看和下載視頻")</f>
        <v>金髮女孩 Courtney Laudner 內褲中挑逗 http://t.co/qew4c5M1xd 觀看和下載視頻</v>
      </c>
      <c r="G7153" s="4" t="str">
        <f>IFERROR(__xludf.DUMMYFUNCTION("GOOGLETRANSLATE(B7153)"),"龍捲風")</f>
        <v>龍捲風</v>
      </c>
    </row>
    <row r="7154" ht="15.75" customHeight="1">
      <c r="A7154" s="4">
        <v>9672.0</v>
      </c>
      <c r="B7154" s="4" t="s">
        <v>4384</v>
      </c>
      <c r="D7154" s="4" t="s">
        <v>10410</v>
      </c>
      <c r="E7154" s="4">
        <v>0.0</v>
      </c>
      <c r="F7154" s="4" t="str">
        <f>IFERROR(__xludf.DUMMYFUNCTION("GOOGLETRANSLATE(D7154)"),"達科塔·斯凱 (Dakota Skye) 對一些色情片感到飢渴，然後被她多汁的陰部搗碎 http://t.co/qew4c5M1xd 查看和下載視頻")</f>
        <v>達科塔·斯凱 (Dakota Skye) 對一些色情片感到飢渴，然後被她多汁的陰部搗碎 http://t.co/qew4c5M1xd 查看和下載視頻</v>
      </c>
      <c r="G7154" s="4" t="str">
        <f>IFERROR(__xludf.DUMMYFUNCTION("GOOGLETRANSLATE(B7154)"),"龍捲風")</f>
        <v>龍捲風</v>
      </c>
    </row>
    <row r="7155" ht="15.75" customHeight="1">
      <c r="A7155" s="4">
        <v>9678.0</v>
      </c>
      <c r="B7155" s="4" t="s">
        <v>4384</v>
      </c>
      <c r="C7155" s="4" t="s">
        <v>512</v>
      </c>
      <c r="D7155" s="4" t="s">
        <v>10411</v>
      </c>
      <c r="E7155" s="4">
        <v>0.0</v>
      </c>
      <c r="F7155" s="4" t="str">
        <f>IFERROR(__xludf.DUMMYFUNCTION("GOOGLETRANSLATE(D7155)"),"夥計們，他跑得如此之快，以至於不費吹灰之力就能製造出龍捲風。他讓超人看起來像個慢吞吞的人。他可以成為一名 POC。")</f>
        <v>夥計們，他跑得如此之快，以至於不費吹灰之力就能製造出龍捲風。他讓超人看起來像個慢吞吞的人。他可以成為一名 POC。</v>
      </c>
      <c r="G7155" s="4" t="str">
        <f>IFERROR(__xludf.DUMMYFUNCTION("GOOGLETRANSLATE(B7155)"),"龍捲風")</f>
        <v>龍捲風</v>
      </c>
    </row>
    <row r="7156" ht="15.75" customHeight="1">
      <c r="A7156" s="4">
        <v>9680.0</v>
      </c>
      <c r="B7156" s="4" t="s">
        <v>4384</v>
      </c>
      <c r="C7156" s="4" t="s">
        <v>10412</v>
      </c>
      <c r="D7156" s="4" t="s">
        <v>10413</v>
      </c>
      <c r="E7156" s="4">
        <v>0.0</v>
      </c>
      <c r="F7156" s="4" t="str">
        <f>IFERROR(__xludf.DUMMYFUNCTION("GOOGLETRANSLATE(D7156)"),"我是一場龍捲風，正在尋找靈魂")</f>
        <v>我是一場龍捲風，正在尋找靈魂</v>
      </c>
      <c r="G7156" s="4" t="str">
        <f>IFERROR(__xludf.DUMMYFUNCTION("GOOGLETRANSLATE(B7156)"),"龍捲風")</f>
        <v>龍捲風</v>
      </c>
    </row>
    <row r="7157" ht="15.75" customHeight="1">
      <c r="A7157" s="4">
        <v>9687.0</v>
      </c>
      <c r="B7157" s="4" t="s">
        <v>4384</v>
      </c>
      <c r="D7157" s="4" t="s">
        <v>10414</v>
      </c>
      <c r="E7157" s="4">
        <v>0.0</v>
      </c>
      <c r="F7157" s="4" t="str">
        <f>IFERROR(__xludf.DUMMYFUNCTION("GOOGLETRANSLATE(D7157)"),"Heather Night 和 Ava Sparxxx 享受狂野的青少年三人行 http://t.co/qew4c5M1xd 觀看和下載視頻")</f>
        <v>Heather Night 和 Ava Sparxxx 享受狂野的青少年三人行 http://t.co/qew4c5M1xd 觀看和下載視頻</v>
      </c>
      <c r="G7157" s="4" t="str">
        <f>IFERROR(__xludf.DUMMYFUNCTION("GOOGLETRANSLATE(B7157)"),"龍捲風")</f>
        <v>龍捲風</v>
      </c>
    </row>
    <row r="7158" ht="15.75" customHeight="1">
      <c r="A7158" s="4">
        <v>9688.0</v>
      </c>
      <c r="B7158" s="4" t="s">
        <v>4384</v>
      </c>
      <c r="D7158" s="4" t="s">
        <v>10415</v>
      </c>
      <c r="E7158" s="4">
        <v>0.0</v>
      </c>
      <c r="F7158" s="4" t="str">
        <f>IFERROR(__xludf.DUMMYFUNCTION("GOOGLETRANSLATE(D7158)"),"黑髮美女 Night A 在維多利亞風格的沙發上伸展身體 http://t.co/qew4c5M1xd 觀看和下載視頻")</f>
        <v>黑髮美女 Night A 在維多利亞風格的沙發上伸展身體 http://t.co/qew4c5M1xd 觀看和下載視頻</v>
      </c>
      <c r="G7158" s="4" t="str">
        <f>IFERROR(__xludf.DUMMYFUNCTION("GOOGLETRANSLATE(B7158)"),"龍捲風")</f>
        <v>龍捲風</v>
      </c>
    </row>
    <row r="7159" ht="15.75" customHeight="1">
      <c r="A7159" s="4">
        <v>9691.0</v>
      </c>
      <c r="B7159" s="4" t="s">
        <v>4384</v>
      </c>
      <c r="D7159" s="4" t="s">
        <v>10416</v>
      </c>
      <c r="E7159" s="4">
        <v>0.0</v>
      </c>
      <c r="F7159" s="4" t="str">
        <f>IFERROR(__xludf.DUMMYFUNCTION("GOOGLETRANSLATE(D7159)"),"Marley Brinx 表演脫衣舞，然後張開雙腿進行陰部撞擊 http://t.co/qew4c5M1xd 觀看和下載視頻")</f>
        <v>Marley Brinx 表演脫衣舞，然後張開雙腿進行陰部撞擊 http://t.co/qew4c5M1xd 觀看和下載視頻</v>
      </c>
      <c r="G7159" s="4" t="str">
        <f>IFERROR(__xludf.DUMMYFUNCTION("GOOGLETRANSLATE(B7159)"),"龍捲風")</f>
        <v>龍捲風</v>
      </c>
    </row>
    <row r="7160" ht="15.75" customHeight="1">
      <c r="A7160" s="4">
        <v>9697.0</v>
      </c>
      <c r="B7160" s="4" t="s">
        <v>4384</v>
      </c>
      <c r="D7160" s="4" t="s">
        <v>10417</v>
      </c>
      <c r="E7160" s="4">
        <v>0.0</v>
      </c>
      <c r="F7160" s="4" t="str">
        <f>IFERROR(__xludf.DUMMYFUNCTION("GOOGLETRANSLATE(D7160)"),"@Ayshun_Tornado 那就不要")</f>
        <v>@Ayshun_Tornado 那就不要</v>
      </c>
      <c r="G7160" s="4" t="str">
        <f>IFERROR(__xludf.DUMMYFUNCTION("GOOGLETRANSLATE(B7160)"),"龍捲風")</f>
        <v>龍捲風</v>
      </c>
    </row>
    <row r="7161" ht="15.75" customHeight="1">
      <c r="A7161" s="4">
        <v>9698.0</v>
      </c>
      <c r="B7161" s="4" t="s">
        <v>4384</v>
      </c>
      <c r="D7161" s="4" t="s">
        <v>10418</v>
      </c>
      <c r="E7161" s="4">
        <v>0.0</v>
      </c>
      <c r="F7161" s="4" t="str">
        <f>IFERROR(__xludf.DUMMYFUNCTION("GOOGLETRANSLATE(D7161)"),"黑髮少女 Giselle Locke 在家裡挑逗 http://t.co/qew4c5M1xd 觀看和下載視頻")</f>
        <v>黑髮少女 Giselle Locke 在家裡挑逗 http://t.co/qew4c5M1xd 觀看和下載視頻</v>
      </c>
      <c r="G7161" s="4" t="str">
        <f>IFERROR(__xludf.DUMMYFUNCTION("GOOGLETRANSLATE(B7161)"),"龍捲風")</f>
        <v>龍捲風</v>
      </c>
    </row>
    <row r="7162" ht="15.75" customHeight="1">
      <c r="A7162" s="4">
        <v>9701.0</v>
      </c>
      <c r="B7162" s="4" t="s">
        <v>4384</v>
      </c>
      <c r="C7162" s="4" t="s">
        <v>10419</v>
      </c>
      <c r="D7162" s="4" t="s">
        <v>10420</v>
      </c>
      <c r="E7162" s="4">
        <v>0.0</v>
      </c>
      <c r="F7162" s="4" t="str">
        <f>IFERROR(__xludf.DUMMYFUNCTION("GOOGLETRANSLATE(D7162)"),"你來之前龍捲風在我的房間周圍飛過")</f>
        <v>你來之前龍捲風在我的房間周圍飛過</v>
      </c>
      <c r="G7162" s="4" t="str">
        <f>IFERROR(__xludf.DUMMYFUNCTION("GOOGLETRANSLATE(B7162)"),"龍捲風")</f>
        <v>龍捲風</v>
      </c>
    </row>
    <row r="7163" ht="15.75" customHeight="1">
      <c r="A7163" s="4">
        <v>9705.0</v>
      </c>
      <c r="B7163" s="4" t="s">
        <v>4384</v>
      </c>
      <c r="D7163" s="4" t="s">
        <v>10421</v>
      </c>
      <c r="E7163" s="4">
        <v>0.0</v>
      </c>
      <c r="F7163" s="4" t="str">
        <f>IFERROR(__xludf.DUMMYFUNCTION("GOOGLETRANSLATE(D7163)"),"@Toocodtodd 嘿@wyattb23 讓我們挑戰龍捲風標籤 tlc 比賽。贏者全拿。")</f>
        <v>@Toocodtodd 嘿@wyattb23 讓我們挑戰龍捲風標籤 tlc 比賽。贏者全拿。</v>
      </c>
      <c r="G7163" s="4" t="str">
        <f>IFERROR(__xludf.DUMMYFUNCTION("GOOGLETRANSLATE(B7163)"),"龍捲風")</f>
        <v>龍捲風</v>
      </c>
    </row>
    <row r="7164" ht="15.75" customHeight="1">
      <c r="A7164" s="4">
        <v>9706.0</v>
      </c>
      <c r="B7164" s="4" t="s">
        <v>4384</v>
      </c>
      <c r="C7164" s="4" t="s">
        <v>10422</v>
      </c>
      <c r="D7164" s="4" t="s">
        <v>10423</v>
      </c>
      <c r="E7164" s="4">
        <v>0.0</v>
      </c>
      <c r="F7164" s="4" t="str">
        <f>IFERROR(__xludf.DUMMYFUNCTION("GOOGLETRANSLATE(D7164)"),"龍捲風必須進入季後賽。他們已經有 3 名打出 20+ 本壘打的球員了，他們剛剛增加了圖洛維茨基和普萊斯")</f>
        <v>龍捲風必須進入季後賽。他們已經有 3 名打出 20+ 本壘打的球員了，他們剛剛增加了圖洛維茨基和普萊斯</v>
      </c>
      <c r="G7164" s="4" t="str">
        <f>IFERROR(__xludf.DUMMYFUNCTION("GOOGLETRANSLATE(B7164)"),"龍捲風")</f>
        <v>龍捲風</v>
      </c>
    </row>
    <row r="7165" ht="15.75" customHeight="1">
      <c r="A7165" s="4">
        <v>9707.0</v>
      </c>
      <c r="B7165" s="4" t="s">
        <v>4384</v>
      </c>
      <c r="D7165" s="4" t="s">
        <v>10424</v>
      </c>
      <c r="E7165" s="4">
        <v>0.0</v>
      </c>
      <c r="F7165" s="4" t="str">
        <f>IFERROR(__xludf.DUMMYFUNCTION("GOOGLETRANSLATE(D7165)"),"漂亮女孩 Hayden Ryan 擺出姿勢並脫下她的紫色上衣 http://t.co/qew4c5M1xd 觀看和下載視頻")</f>
        <v>漂亮女孩 Hayden Ryan 擺出姿勢並脫下她的紫色上衣 http://t.co/qew4c5M1xd 觀看和下載視頻</v>
      </c>
      <c r="G7165" s="4" t="str">
        <f>IFERROR(__xludf.DUMMYFUNCTION("GOOGLETRANSLATE(B7165)"),"龍捲風")</f>
        <v>龍捲風</v>
      </c>
    </row>
    <row r="7166" ht="15.75" customHeight="1">
      <c r="A7166" s="4">
        <v>9710.0</v>
      </c>
      <c r="B7166" s="4" t="s">
        <v>4407</v>
      </c>
      <c r="D7166" s="4" t="s">
        <v>10425</v>
      </c>
      <c r="E7166" s="4">
        <v>0.0</v>
      </c>
      <c r="F7166" s="4" t="str">
        <f>IFERROR(__xludf.DUMMYFUNCTION("GOOGLETRANSLATE(D7166)"),"Maaaaan 我喜歡 @rihanna 的 Love Without Tragedy 我希望她能創作整首歌")</f>
        <v>Maaaaan 我喜歡 @rihanna 的 Love Without Tragedy 我希望她能創作整首歌</v>
      </c>
      <c r="G7166" s="4" t="str">
        <f>IFERROR(__xludf.DUMMYFUNCTION("GOOGLETRANSLATE(B7166)"),"悲劇")</f>
        <v>悲劇</v>
      </c>
    </row>
    <row r="7167" ht="15.75" customHeight="1">
      <c r="A7167" s="4">
        <v>9712.0</v>
      </c>
      <c r="B7167" s="4" t="s">
        <v>4407</v>
      </c>
      <c r="C7167" s="4" t="s">
        <v>10426</v>
      </c>
      <c r="D7167" s="4" t="s">
        <v>10427</v>
      </c>
      <c r="E7167" s="4">
        <v>0.0</v>
      </c>
      <c r="F7167" s="4" t="str">
        <f>IFERROR(__xludf.DUMMYFUNCTION("GOOGLETRANSLATE(D7167)"),"沒有比對自己的生活現狀感到自在更大的悲劇了。")</f>
        <v>沒有比對自己的生活現狀感到自在更大的悲劇了。</v>
      </c>
      <c r="G7167" s="4" t="str">
        <f>IFERROR(__xludf.DUMMYFUNCTION("GOOGLETRANSLATE(B7167)"),"悲劇")</f>
        <v>悲劇</v>
      </c>
    </row>
    <row r="7168" ht="15.75" customHeight="1">
      <c r="A7168" s="4">
        <v>9714.0</v>
      </c>
      <c r="B7168" s="4" t="s">
        <v>4407</v>
      </c>
      <c r="C7168" s="4" t="s">
        <v>10428</v>
      </c>
      <c r="D7168" s="4" t="s">
        <v>10429</v>
      </c>
      <c r="E7168" s="4">
        <v>0.0</v>
      </c>
      <c r="F7168" s="4" t="str">
        <f>IFERROR(__xludf.DUMMYFUNCTION("GOOGLETRANSLATE(D7168)"),"別忘了悲劇？？？？？？？？？？？？？ https://t.co/GaJTUGAUi7")</f>
        <v>別忘了悲劇？？？？？？？？？？？？？ https://t.co/GaJTUGAUi7</v>
      </c>
      <c r="G7168" s="4" t="str">
        <f>IFERROR(__xludf.DUMMYFUNCTION("GOOGLETRANSLATE(B7168)"),"悲劇")</f>
        <v>悲劇</v>
      </c>
    </row>
    <row r="7169" ht="15.75" customHeight="1">
      <c r="A7169" s="4">
        <v>9715.0</v>
      </c>
      <c r="B7169" s="4" t="s">
        <v>4407</v>
      </c>
      <c r="D7169" s="4" t="s">
        <v>10430</v>
      </c>
      <c r="E7169" s="4">
        <v>0.0</v>
      </c>
      <c r="F7169" s="4" t="str">
        <f>IFERROR(__xludf.DUMMYFUNCTION("GOOGLETRANSLATE(D7169)"),"「你不能研究集體記憶」寫作多元化的第一條規則應該是不要觸及另一個群體的悲劇 https://t.co/PHFoEozYPS")</f>
        <v>「你不能研究集體記憶」寫作多元化的第一條規則應該是不要觸及另一個群體的悲劇 https://t.co/PHFoEozYPS</v>
      </c>
      <c r="G7169" s="4" t="str">
        <f>IFERROR(__xludf.DUMMYFUNCTION("GOOGLETRANSLATE(B7169)"),"悲劇")</f>
        <v>悲劇</v>
      </c>
    </row>
    <row r="7170" ht="15.75" customHeight="1">
      <c r="A7170" s="4">
        <v>9717.0</v>
      </c>
      <c r="B7170" s="4" t="s">
        <v>4407</v>
      </c>
      <c r="C7170" s="4" t="s">
        <v>10431</v>
      </c>
      <c r="D7170" s="4" t="s">
        <v>10432</v>
      </c>
      <c r="E7170" s="4">
        <v>0.0</v>
      </c>
      <c r="F7170" s="4" t="str">
        <f>IFERROR(__xludf.DUMMYFUNCTION("GOOGLETRANSLATE(D7170)"),"“有時上帝會用悲傷的悲劇來為榮耀的救贖奠定基礎。” -大衛普拉特競選Û_ https://t.co/86V81dv00E")</f>
        <v>“有時上帝會用悲傷的悲劇來為榮耀的救贖奠定基礎。” -大衛普拉特競選Û_ https://t.co/86V81dv00E</v>
      </c>
      <c r="G7170" s="4" t="str">
        <f>IFERROR(__xludf.DUMMYFUNCTION("GOOGLETRANSLATE(B7170)"),"悲劇")</f>
        <v>悲劇</v>
      </c>
    </row>
    <row r="7171" ht="15.75" customHeight="1">
      <c r="A7171" s="4">
        <v>9719.0</v>
      </c>
      <c r="B7171" s="4" t="s">
        <v>4407</v>
      </c>
      <c r="C7171" s="4" t="s">
        <v>6433</v>
      </c>
      <c r="D7171" s="4" t="s">
        <v>10433</v>
      </c>
      <c r="E7171" s="4">
        <v>0.0</v>
      </c>
      <c r="F7171" s="4" t="str">
        <f>IFERROR(__xludf.DUMMYFUNCTION("GOOGLETRANSLATE(D7171)"),"@HomeworldGym @thisisperidot D：什麼？那是一場悲劇。你有一個美妙的鼻子")</f>
        <v>@HomeworldGym @thisisperidot D：什麼？那是一場悲劇。你有一個美妙的鼻子</v>
      </c>
      <c r="G7171" s="4" t="str">
        <f>IFERROR(__xludf.DUMMYFUNCTION("GOOGLETRANSLATE(B7171)"),"悲劇")</f>
        <v>悲劇</v>
      </c>
    </row>
    <row r="7172" ht="15.75" customHeight="1">
      <c r="A7172" s="4">
        <v>9722.0</v>
      </c>
      <c r="B7172" s="4" t="s">
        <v>4407</v>
      </c>
      <c r="C7172" s="4" t="s">
        <v>10434</v>
      </c>
      <c r="D7172" s="4" t="s">
        <v>10435</v>
      </c>
      <c r="E7172" s="4">
        <v>0.0</v>
      </c>
      <c r="F7172" s="4" t="str">
        <f>IFERROR(__xludf.DUMMYFUNCTION("GOOGLETRANSLATE(D7172)"),"現實生活中的悲劇：
《老友記》任何一季中莫妮卡的頭髮")</f>
        <v>現實生活中的悲劇：
《老友記》任何一季中莫妮卡的頭髮</v>
      </c>
      <c r="G7172" s="4" t="str">
        <f>IFERROR(__xludf.DUMMYFUNCTION("GOOGLETRANSLATE(B7172)"),"悲劇")</f>
        <v>悲劇</v>
      </c>
    </row>
    <row r="7173" ht="15.75" customHeight="1">
      <c r="A7173" s="4">
        <v>9724.0</v>
      </c>
      <c r="B7173" s="4" t="s">
        <v>4407</v>
      </c>
      <c r="C7173" s="4" t="s">
        <v>3871</v>
      </c>
      <c r="D7173" s="4" t="s">
        <v>10436</v>
      </c>
      <c r="E7173" s="4">
        <v>0.0</v>
      </c>
      <c r="F7173" s="4" t="str">
        <f>IFERROR(__xludf.DUMMYFUNCTION("GOOGLETRANSLATE(D7173)"),"生命的悲劇不在於它結束得太快，而在於我們等了太久才開始。 〜W.M.路易斯#quotes")</f>
        <v>生命的悲劇不在於它結束得太快，而在於我們等了太久才開始。 〜W.M.路易斯#quotes</v>
      </c>
      <c r="G7173" s="4" t="str">
        <f>IFERROR(__xludf.DUMMYFUNCTION("GOOGLETRANSLATE(B7173)"),"悲劇")</f>
        <v>悲劇</v>
      </c>
    </row>
    <row r="7174" ht="15.75" customHeight="1">
      <c r="A7174" s="4">
        <v>9732.0</v>
      </c>
      <c r="B7174" s="4" t="s">
        <v>4407</v>
      </c>
      <c r="C7174" s="4" t="s">
        <v>10437</v>
      </c>
      <c r="D7174" s="4" t="s">
        <v>10438</v>
      </c>
      <c r="E7174" s="4">
        <v>0.0</v>
      </c>
      <c r="F7174" s="4" t="str">
        <f>IFERROR(__xludf.DUMMYFUNCTION("GOOGLETRANSLATE(D7174)"),"@tanehisicoates 甚至下半場都有查理茲那段偉大的希臘悲劇的獨白。還可以有更多。")</f>
        <v>@tanehisicoates 甚至下半場都有查理茲那段偉大的希臘悲劇的獨白。還可以有更多。</v>
      </c>
      <c r="G7174" s="4" t="str">
        <f>IFERROR(__xludf.DUMMYFUNCTION("GOOGLETRANSLATE(B7174)"),"悲劇")</f>
        <v>悲劇</v>
      </c>
    </row>
    <row r="7175" ht="15.75" customHeight="1">
      <c r="A7175" s="4">
        <v>9733.0</v>
      </c>
      <c r="B7175" s="4" t="s">
        <v>4407</v>
      </c>
      <c r="D7175" s="4" t="s">
        <v>10439</v>
      </c>
      <c r="E7175" s="4">
        <v>0.0</v>
      </c>
      <c r="F7175" s="4" t="str">
        <f>IFERROR(__xludf.DUMMYFUNCTION("GOOGLETRANSLATE(D7175)"),"這是一場悲劇：我在 TBR 清單中添加了錯誤的書，現在卻找不到合適的書了。這就是瀏覽 gr 主頁的結果。")</f>
        <v>這是一場悲劇：我在 TBR 清單中添加了錯誤的書，現在卻找不到合適的書了。這就是瀏覽 gr 主頁的結果。</v>
      </c>
      <c r="G7175" s="4" t="str">
        <f>IFERROR(__xludf.DUMMYFUNCTION("GOOGLETRANSLATE(B7175)"),"悲劇")</f>
        <v>悲劇</v>
      </c>
    </row>
    <row r="7176" ht="15.75" customHeight="1">
      <c r="A7176" s="4">
        <v>9736.0</v>
      </c>
      <c r="B7176" s="4" t="s">
        <v>4407</v>
      </c>
      <c r="C7176" s="4" t="s">
        <v>616</v>
      </c>
      <c r="D7176" s="4" t="s">
        <v>10440</v>
      </c>
      <c r="E7176" s="4">
        <v>0.0</v>
      </c>
      <c r="F7176" s="4" t="str">
        <f>IFERROR(__xludf.DUMMYFUNCTION("GOOGLETRANSLATE(D7176)"),"@sriramk @DLin71 @pmarca 公地悲劇與公有製有關。不是基於產權的市場。和你說的相反。")</f>
        <v>@sriramk @DLin71 @pmarca 公地悲劇與公有製有關。不是基於產權的市場。和你說的相反。</v>
      </c>
      <c r="G7176" s="4" t="str">
        <f>IFERROR(__xludf.DUMMYFUNCTION("GOOGLETRANSLATE(B7176)"),"悲劇")</f>
        <v>悲劇</v>
      </c>
    </row>
    <row r="7177" ht="15.75" customHeight="1">
      <c r="A7177" s="4">
        <v>9741.0</v>
      </c>
      <c r="B7177" s="4" t="s">
        <v>4407</v>
      </c>
      <c r="C7177" s="4" t="s">
        <v>10441</v>
      </c>
      <c r="D7177" s="4" t="s">
        <v>10442</v>
      </c>
      <c r="E7177" s="4">
        <v>0.0</v>
      </c>
      <c r="F7177" s="4" t="str">
        <f>IFERROR(__xludf.DUMMYFUNCTION("GOOGLETRANSLATE(D7177)"),"回到家裡他們很生氣，因為我和白人男孩在一起很冷淡。")</f>
        <v>回到家裡他們很生氣，因為我和白人男孩在一起很冷淡。</v>
      </c>
      <c r="G7177" s="4" t="str">
        <f>IFERROR(__xludf.DUMMYFUNCTION("GOOGLETRANSLATE(B7177)"),"悲劇")</f>
        <v>悲劇</v>
      </c>
    </row>
    <row r="7178" ht="15.75" customHeight="1">
      <c r="A7178" s="4">
        <v>9749.0</v>
      </c>
      <c r="B7178" s="4" t="s">
        <v>4407</v>
      </c>
      <c r="C7178" s="4" t="s">
        <v>10443</v>
      </c>
      <c r="D7178" s="4" t="s">
        <v>10444</v>
      </c>
      <c r="E7178" s="4">
        <v>0.0</v>
      </c>
      <c r="F7178" s="4" t="str">
        <f>IFERROR(__xludf.DUMMYFUNCTION("GOOGLETRANSLATE(D7178)"),"我要射殺浪漫
它從來沒有為我做任何事
但心痛和痛苦
只不過是一場悲劇http://t.co/jhUPOgbvs8")</f>
        <v>我要射殺浪漫
它從來沒有為我做任何事
但心痛和痛苦
只不過是一場悲劇http://t.co/jhUPOgbvs8</v>
      </c>
      <c r="G7178" s="4" t="str">
        <f>IFERROR(__xludf.DUMMYFUNCTION("GOOGLETRANSLATE(B7178)"),"悲劇")</f>
        <v>悲劇</v>
      </c>
    </row>
    <row r="7179" ht="15.75" customHeight="1">
      <c r="A7179" s="4">
        <v>9756.0</v>
      </c>
      <c r="B7179" s="4" t="s">
        <v>4407</v>
      </c>
      <c r="C7179" s="4" t="s">
        <v>1118</v>
      </c>
      <c r="D7179" s="4" t="s">
        <v>10445</v>
      </c>
      <c r="E7179" s="4">
        <v>0.0</v>
      </c>
      <c r="F7179" s="4" t="str">
        <f>IFERROR(__xludf.DUMMYFUNCTION("GOOGLETRANSLATE(D7179)"),"找不到我的阿麗安娜·格蘭德襯衫，這真是一場悲劇")</f>
        <v>找不到我的阿麗安娜·格蘭德襯衫，這真是一場悲劇</v>
      </c>
      <c r="G7179" s="4" t="str">
        <f>IFERROR(__xludf.DUMMYFUNCTION("GOOGLETRANSLATE(B7179)"),"悲劇")</f>
        <v>悲劇</v>
      </c>
    </row>
    <row r="7180" ht="15.75" customHeight="1">
      <c r="A7180" s="4">
        <v>9760.0</v>
      </c>
      <c r="B7180" s="4" t="s">
        <v>4434</v>
      </c>
      <c r="C7180" s="4" t="s">
        <v>3292</v>
      </c>
      <c r="D7180" s="4" t="s">
        <v>10446</v>
      </c>
      <c r="E7180" s="4">
        <v>0.0</v>
      </c>
      <c r="F7180" s="4" t="str">
        <f>IFERROR(__xludf.DUMMYFUNCTION("GOOGLETRANSLATE(D7180)"),"@almusafirah_ 你覺得自己被困住了嗎？")</f>
        <v>@almusafirah_ 你覺得自己被困住了嗎？</v>
      </c>
      <c r="G7180" s="4" t="str">
        <f>IFERROR(__xludf.DUMMYFUNCTION("GOOGLETRANSLATE(B7180)"),"被困")</f>
        <v>被困</v>
      </c>
    </row>
    <row r="7181" ht="15.75" customHeight="1">
      <c r="A7181" s="4">
        <v>9761.0</v>
      </c>
      <c r="B7181" s="4" t="s">
        <v>4434</v>
      </c>
      <c r="C7181" s="4" t="s">
        <v>10447</v>
      </c>
      <c r="D7181" s="4" t="s">
        <v>10448</v>
      </c>
      <c r="E7181" s="4">
        <v>0.0</v>
      </c>
      <c r="F7181" s="4" t="str">
        <f>IFERROR(__xludf.DUMMYFUNCTION("GOOGLETRANSLATE(D7181)"),"我被困在該死的加油站裡，兩邊都有兩輛SUV，操你們這些白痴")</f>
        <v>我被困在該死的加油站裡，兩邊都有兩輛SUV，操你們這些白痴</v>
      </c>
      <c r="G7181" s="4" t="str">
        <f>IFERROR(__xludf.DUMMYFUNCTION("GOOGLETRANSLATE(B7181)"),"被困")</f>
        <v>被困</v>
      </c>
    </row>
    <row r="7182" ht="15.75" customHeight="1">
      <c r="A7182" s="4">
        <v>9762.0</v>
      </c>
      <c r="B7182" s="4" t="s">
        <v>4434</v>
      </c>
      <c r="C7182" s="4" t="s">
        <v>10449</v>
      </c>
      <c r="D7182" s="4" t="s">
        <v>10450</v>
      </c>
      <c r="E7182" s="4">
        <v>0.0</v>
      </c>
      <c r="F7182" s="4" t="str">
        <f>IFERROR(__xludf.DUMMYFUNCTION("GOOGLETRANSLATE(D7182)"),"照片：prettyboyshyflizzy：哈哈，她把他們困在如此美麗的地方http://t.co/FKXCsztezB")</f>
        <v>照片：prettyboyshyflizzy：哈哈，她把他們困在如此美麗的地方http://t.co/FKXCsztezB</v>
      </c>
      <c r="G7182" s="4" t="str">
        <f>IFERROR(__xludf.DUMMYFUNCTION("GOOGLETRANSLATE(B7182)"),"被困")</f>
        <v>被困</v>
      </c>
    </row>
    <row r="7183" ht="15.75" customHeight="1">
      <c r="A7183" s="4">
        <v>9763.0</v>
      </c>
      <c r="B7183" s="4" t="s">
        <v>4434</v>
      </c>
      <c r="C7183" s="4" t="s">
        <v>10451</v>
      </c>
      <c r="D7183" s="4" t="s">
        <v>10452</v>
      </c>
      <c r="E7183" s="4">
        <v>0.0</v>
      </c>
      <c r="F7183" s="4" t="str">
        <f>IFERROR(__xludf.DUMMYFUNCTION("GOOGLETRANSLATE(D7183)"),"關於被困礦工的好萊塢電影在智利上映：《33》關於被困礦工的好萊塢電影主演... http://t.co/KK8cnppZMk")</f>
        <v>關於被困礦工的好萊塢電影在智利上映：《33》關於被困礦工的好萊塢電影主演... http://t.co/KK8cnppZMk</v>
      </c>
      <c r="G7183" s="4" t="str">
        <f>IFERROR(__xludf.DUMMYFUNCTION("GOOGLETRANSLATE(B7183)"),"被困")</f>
        <v>被困</v>
      </c>
    </row>
    <row r="7184" ht="15.75" customHeight="1">
      <c r="A7184" s="4">
        <v>9766.0</v>
      </c>
      <c r="B7184" s="4" t="s">
        <v>4434</v>
      </c>
      <c r="C7184" s="4" t="s">
        <v>10453</v>
      </c>
      <c r="D7184" s="4" t="s">
        <v>10454</v>
      </c>
      <c r="E7184" s="4">
        <v>0.0</v>
      </c>
      <c r="F7184" s="4" t="str">
        <f>IFERROR(__xludf.DUMMYFUNCTION("GOOGLETRANSLATE(D7184)"),"向所有仍被困在成人身體裡的孩子致敬。")</f>
        <v>向所有仍被困在成人身體裡的孩子致敬。</v>
      </c>
      <c r="G7184" s="4" t="str">
        <f>IFERROR(__xludf.DUMMYFUNCTION("GOOGLETRANSLATE(B7184)"),"被困")</f>
        <v>被困</v>
      </c>
    </row>
    <row r="7185" ht="15.75" customHeight="1">
      <c r="A7185" s="4">
        <v>9769.0</v>
      </c>
      <c r="B7185" s="4" t="s">
        <v>4434</v>
      </c>
      <c r="D7185" s="4" t="s">
        <v>10455</v>
      </c>
      <c r="E7185" s="4">
        <v>0.0</v>
      </c>
      <c r="F7185" s="4" t="str">
        <f>IFERROR(__xludf.DUMMYFUNCTION("GOOGLETRANSLATE(D7185)"),"@BattleRoyaleMod 當他們死時，他們只會被傳送到海洋中部的某個地方並被困在那裡，除非他們決定 2/6")</f>
        <v>@BattleRoyaleMod 當他們死時，他們只會被傳送到海洋中部的某個地方並被困在那裡，除非他們決定 2/6</v>
      </c>
      <c r="G7185" s="4" t="str">
        <f>IFERROR(__xludf.DUMMYFUNCTION("GOOGLETRANSLATE(B7185)"),"被困")</f>
        <v>被困</v>
      </c>
    </row>
    <row r="7186" ht="15.75" customHeight="1">
      <c r="A7186" s="4">
        <v>9770.0</v>
      </c>
      <c r="B7186" s="4" t="s">
        <v>4434</v>
      </c>
      <c r="D7186" s="4" t="s">
        <v>10456</v>
      </c>
      <c r="E7186" s="4">
        <v>0.0</v>
      </c>
      <c r="F7186" s="4" t="str">
        <f>IFERROR(__xludf.DUMMYFUNCTION("GOOGLETRANSLATE(D7186)"),"關於被困礦工的好萊塢電影在智利上映 http://t.co/YeLJPQHmEd")</f>
        <v>關於被困礦工的好萊塢電影在智利上映 http://t.co/YeLJPQHmEd</v>
      </c>
      <c r="G7186" s="4" t="str">
        <f>IFERROR(__xludf.DUMMYFUNCTION("GOOGLETRANSLATE(B7186)"),"被困")</f>
        <v>被困</v>
      </c>
    </row>
    <row r="7187" ht="15.75" customHeight="1">
      <c r="A7187" s="4">
        <v>9771.0</v>
      </c>
      <c r="B7187" s="4" t="s">
        <v>4434</v>
      </c>
      <c r="D7187" s="4" t="s">
        <v>10457</v>
      </c>
      <c r="E7187" s="4">
        <v>0.0</v>
      </c>
      <c r="F7187" s="4" t="str">
        <f>IFERROR(__xludf.DUMMYFUNCTION("GOOGLETRANSLATE(D7187)"),"關於被困礦工的好萊塢電影在 #Chile 上映 http://t.co/r18aUtnLSd #ZippedNews http://t.co/CNqaE9foj6")</f>
        <v>關於被困礦工的好萊塢電影在 #Chile 上映 http://t.co/r18aUtnLSd #ZippedNews http://t.co/CNqaE9foj6</v>
      </c>
      <c r="G7187" s="4" t="str">
        <f>IFERROR(__xludf.DUMMYFUNCTION("GOOGLETRANSLATE(B7187)"),"被困")</f>
        <v>被困</v>
      </c>
    </row>
    <row r="7188" ht="15.75" customHeight="1">
      <c r="A7188" s="4">
        <v>9772.0</v>
      </c>
      <c r="B7188" s="4" t="s">
        <v>4434</v>
      </c>
      <c r="C7188" s="4" t="s">
        <v>434</v>
      </c>
      <c r="D7188" s="4" t="s">
        <v>10458</v>
      </c>
      <c r="E7188" s="4">
        <v>0.0</v>
      </c>
      <c r="F7188" s="4" t="str">
        <f>IFERROR(__xludf.DUMMYFUNCTION("GOOGLETRANSLATE(D7188)"),"@BlakeSchmidt 報道稱，億萬富翁們計劃釋放被困委內瑞拉兩年的 5 億美元。
http://t.co/gbqTc7Sp9C")</f>
        <v>@BlakeSchmidt 報道稱，億萬富翁們計劃釋放被困委內瑞拉兩年的 5 億美元。
http://t.co/gbqTc7Sp9C</v>
      </c>
      <c r="G7188" s="4" t="str">
        <f>IFERROR(__xludf.DUMMYFUNCTION("GOOGLETRANSLATE(B7188)"),"被困")</f>
        <v>被困</v>
      </c>
    </row>
    <row r="7189" ht="15.75" customHeight="1">
      <c r="A7189" s="4">
        <v>9774.0</v>
      </c>
      <c r="B7189" s="4" t="s">
        <v>4434</v>
      </c>
      <c r="C7189" s="4" t="s">
        <v>5402</v>
      </c>
      <c r="D7189" s="4" t="s">
        <v>10459</v>
      </c>
      <c r="E7189" s="4">
        <v>0.0</v>
      </c>
      <c r="F7189" s="4" t="str">
        <f>IFERROR(__xludf.DUMMYFUNCTION("GOOGLETRANSLATE(D7189)"),"關於被困礦工的好萊塢電影在智利上映")</f>
        <v>關於被困礦工的好萊塢電影在智利上映</v>
      </c>
      <c r="G7189" s="4" t="str">
        <f>IFERROR(__xludf.DUMMYFUNCTION("GOOGLETRANSLATE(B7189)"),"被困")</f>
        <v>被困</v>
      </c>
    </row>
    <row r="7190" ht="15.75" customHeight="1">
      <c r="A7190" s="4">
        <v>9776.0</v>
      </c>
      <c r="B7190" s="4" t="s">
        <v>4434</v>
      </c>
      <c r="C7190" s="4" t="s">
        <v>10460</v>
      </c>
      <c r="D7190" s="4" t="s">
        <v>10461</v>
      </c>
      <c r="E7190" s="4">
        <v>0.0</v>
      </c>
      <c r="F7190" s="4" t="str">
        <f>IFERROR(__xludf.DUMMYFUNCTION("GOOGLETRANSLATE(D7190)"),"我感覺就像勝利的那一集，當時他們都被困在房車裡，幾乎死於中暑#MTVHottest One Direction")</f>
        <v>我感覺就像勝利的那一集，當時他們都被困在房車裡，幾乎死於中暑#MTVHottest One Direction</v>
      </c>
      <c r="G7190" s="4" t="str">
        <f>IFERROR(__xludf.DUMMYFUNCTION("GOOGLETRANSLATE(B7190)"),"被困")</f>
        <v>被困</v>
      </c>
    </row>
    <row r="7191" ht="15.75" customHeight="1">
      <c r="A7191" s="4">
        <v>9778.0</v>
      </c>
      <c r="B7191" s="4" t="s">
        <v>4434</v>
      </c>
      <c r="D7191" s="4" t="s">
        <v>10462</v>
      </c>
      <c r="E7191" s="4">
        <v>0.0</v>
      </c>
      <c r="F7191" s="4" t="str">
        <f>IFERROR(__xludf.DUMMYFUNCTION("GOOGLETRANSLATE(D7191)"),"#entertainment 關於被困礦工的好萊塢電影在智利上映：智利聖地亞哥 (美聯社) ÛÓ Hollyw... http://t.co/C22ecVl4Hw #news")</f>
        <v>#entertainment 關於被困礦工的好萊塢電影在智利上映：智利聖地亞哥 (美聯社) ÛÓ Hollyw... http://t.co/C22ecVl4Hw #news</v>
      </c>
      <c r="G7191" s="4" t="str">
        <f>IFERROR(__xludf.DUMMYFUNCTION("GOOGLETRANSLATE(B7191)"),"被困")</f>
        <v>被困</v>
      </c>
    </row>
    <row r="7192" ht="15.75" customHeight="1">
      <c r="A7192" s="4">
        <v>9779.0</v>
      </c>
      <c r="B7192" s="4" t="s">
        <v>4434</v>
      </c>
      <c r="C7192" s="4" t="s">
        <v>2881</v>
      </c>
      <c r="D7192" s="4" t="s">
        <v>10463</v>
      </c>
      <c r="E7192" s="4">
        <v>0.0</v>
      </c>
      <c r="F7192" s="4" t="str">
        <f>IFERROR(__xludf.DUMMYFUNCTION("GOOGLETRANSLATE(D7192)"),"關於被困礦工的好萊塢電影在智利上映 http://t.co/EXQKmlg4NJ")</f>
        <v>關於被困礦工的好萊塢電影在智利上映 http://t.co/EXQKmlg4NJ</v>
      </c>
      <c r="G7192" s="4" t="str">
        <f>IFERROR(__xludf.DUMMYFUNCTION("GOOGLETRANSLATE(B7192)"),"被困")</f>
        <v>被困</v>
      </c>
    </row>
    <row r="7193" ht="15.75" customHeight="1">
      <c r="A7193" s="4">
        <v>9782.0</v>
      </c>
      <c r="B7193" s="4" t="s">
        <v>4434</v>
      </c>
      <c r="D7193" s="4" t="s">
        <v>10464</v>
      </c>
      <c r="E7193" s="4">
        <v>0.0</v>
      </c>
      <c r="F7193" s="4" t="str">
        <f>IFERROR(__xludf.DUMMYFUNCTION("GOOGLETRANSLATE(D7193)"),"@dramaa_llama，否則我將被困為有史以來最糟糕的 lilourry 斯坦，沒有 zarry 我還剩下什麼？納裡。不，謝謝。")</f>
        <v>@dramaa_llama，否則我將被困為有史以來最糟糕的 lilourry 斯坦，沒有 zarry 我還剩下什麼？納裡。不，謝謝。</v>
      </c>
      <c r="G7193" s="4" t="str">
        <f>IFERROR(__xludf.DUMMYFUNCTION("GOOGLETRANSLATE(B7193)"),"被困")</f>
        <v>被困</v>
      </c>
    </row>
    <row r="7194" ht="15.75" customHeight="1">
      <c r="A7194" s="4">
        <v>9785.0</v>
      </c>
      <c r="B7194" s="4" t="s">
        <v>4434</v>
      </c>
      <c r="D7194" s="4" t="s">
        <v>10465</v>
      </c>
      <c r="E7194" s="4">
        <v>0.0</v>
      </c>
      <c r="F7194" s="4" t="str">
        <f>IFERROR(__xludf.DUMMYFUNCTION("GOOGLETRANSLATE(D7194)"),"被困在它的消失中")</f>
        <v>被困在它的消失中</v>
      </c>
      <c r="G7194" s="4" t="str">
        <f>IFERROR(__xludf.DUMMYFUNCTION("GOOGLETRANSLATE(B7194)"),"被困")</f>
        <v>被困</v>
      </c>
    </row>
    <row r="7195" ht="15.75" customHeight="1">
      <c r="A7195" s="4">
        <v>9787.0</v>
      </c>
      <c r="B7195" s="4" t="s">
        <v>4434</v>
      </c>
      <c r="C7195" s="4" t="s">
        <v>7225</v>
      </c>
      <c r="D7195" s="4" t="s">
        <v>10466</v>
      </c>
      <c r="E7195" s="4">
        <v>0.0</v>
      </c>
      <c r="F7195" s="4" t="str">
        <f>IFERROR(__xludf.DUMMYFUNCTION("GOOGLETRANSLATE(D7195)"),"我把這隻貓困在我的房間裡，它快瘋了，但它不離開，它太漂亮了！ http://t.co/gRLxUrko8D")</f>
        <v>我把這隻貓困在我的房間裡，它快瘋了，但它不離開，它太漂亮了！ http://t.co/gRLxUrko8D</v>
      </c>
      <c r="G7195" s="4" t="str">
        <f>IFERROR(__xludf.DUMMYFUNCTION("GOOGLETRANSLATE(B7195)"),"被困")</f>
        <v>被困</v>
      </c>
    </row>
    <row r="7196" ht="15.75" customHeight="1">
      <c r="A7196" s="4">
        <v>9788.0</v>
      </c>
      <c r="B7196" s="4" t="s">
        <v>4434</v>
      </c>
      <c r="C7196" s="4" t="s">
        <v>10467</v>
      </c>
      <c r="D7196" s="4" t="s">
        <v>10468</v>
      </c>
      <c r="E7196" s="4">
        <v>0.0</v>
      </c>
      <c r="F7196" s="4" t="str">
        <f>IFERROR(__xludf.DUMMYFUNCTION("GOOGLETRANSLATE(D7196)"),"關於被困礦工的好萊塢電影在智利上映：「The 33」關於被困礦工的好萊塢電影主演...http://t.co/x8moYeVjsJ")</f>
        <v>關於被困礦工的好萊塢電影在智利上映：「The 33」關於被困礦工的好萊塢電影主演...http://t.co/x8moYeVjsJ</v>
      </c>
      <c r="G7196" s="4" t="str">
        <f>IFERROR(__xludf.DUMMYFUNCTION("GOOGLETRANSLATE(B7196)"),"被困")</f>
        <v>被困</v>
      </c>
    </row>
    <row r="7197" ht="15.75" customHeight="1">
      <c r="A7197" s="4">
        <v>9790.0</v>
      </c>
      <c r="B7197" s="4" t="s">
        <v>4434</v>
      </c>
      <c r="D7197" s="4" t="s">
        <v>10469</v>
      </c>
      <c r="E7197" s="4">
        <v>0.0</v>
      </c>
      <c r="F7197" s="4" t="str">
        <f>IFERROR(__xludf.DUMMYFUNCTION("GOOGLETRANSLATE(D7197)"),"關於被困礦工的好萊塢電影在智利上映 http://t.co/Fk1vyh5QLk #newsdict #news #Chile")</f>
        <v>關於被困礦工的好萊塢電影在智利上映 http://t.co/Fk1vyh5QLk #newsdict #news #Chile</v>
      </c>
      <c r="G7197" s="4" t="str">
        <f>IFERROR(__xludf.DUMMYFUNCTION("GOOGLETRANSLATE(B7197)"),"被困")</f>
        <v>被困</v>
      </c>
    </row>
    <row r="7198" ht="15.75" customHeight="1">
      <c r="A7198" s="4">
        <v>9795.0</v>
      </c>
      <c r="B7198" s="4" t="s">
        <v>4434</v>
      </c>
      <c r="C7198" s="4" t="s">
        <v>10470</v>
      </c>
      <c r="D7198" s="4" t="s">
        <v>10471</v>
      </c>
      <c r="E7198" s="4">
        <v>0.0</v>
      </c>
      <c r="F7198" s="4" t="str">
        <f>IFERROR(__xludf.DUMMYFUNCTION("GOOGLETRANSLATE(D7198)"),"#NZ 關於被困礦工的好萊塢電影在智利上映 http://t.co/0aJIsA5531 #HugoMatz")</f>
        <v>#NZ 關於被困礦工的好萊塢電影在智利上映 http://t.co/0aJIsA5531 #HugoMatz</v>
      </c>
      <c r="G7198" s="4" t="str">
        <f>IFERROR(__xludf.DUMMYFUNCTION("GOOGLETRANSLATE(B7198)"),"被困")</f>
        <v>被困</v>
      </c>
    </row>
    <row r="7199" ht="15.75" customHeight="1">
      <c r="A7199" s="4">
        <v>9796.0</v>
      </c>
      <c r="B7199" s="4" t="s">
        <v>4434</v>
      </c>
      <c r="C7199" s="4" t="s">
        <v>10472</v>
      </c>
      <c r="D7199" s="4" t="s">
        <v>10473</v>
      </c>
      <c r="E7199" s="4">
        <v>0.0</v>
      </c>
      <c r="F7199" s="4" t="str">
        <f>IFERROR(__xludf.DUMMYFUNCTION("GOOGLETRANSLATE(D7199)"),"您知道@lilithsaintcrow 本週發布了新版本嗎？血呼喚「遠古邪惡已被困住...」http://t.co/eSwNSetFtf Û_")</f>
        <v>您知道@lilithsaintcrow 本週發布了新版本嗎？血呼喚「遠古邪惡已被困住...」http://t.co/eSwNSetFtf Û_</v>
      </c>
      <c r="G7199" s="4" t="str">
        <f>IFERROR(__xludf.DUMMYFUNCTION("GOOGLETRANSLATE(B7199)"),"被困")</f>
        <v>被困</v>
      </c>
    </row>
    <row r="7200" ht="15.75" customHeight="1">
      <c r="A7200" s="4">
        <v>9800.0</v>
      </c>
      <c r="B7200" s="4" t="s">
        <v>4434</v>
      </c>
      <c r="C7200" s="4" t="s">
        <v>10474</v>
      </c>
      <c r="D7200" s="4" t="s">
        <v>10475</v>
      </c>
      <c r="E7200" s="4">
        <v>0.0</v>
      </c>
      <c r="F7200" s="4" t="str">
        <f>IFERROR(__xludf.DUMMYFUNCTION("GOOGLETRANSLATE(D7200)"),"關於被困礦工的好萊塢電影在智利上映：《33》關於被困礦工的好萊塢電影主演...http://t.co/3Yu26V19zh")</f>
        <v>關於被困礦工的好萊塢電影在智利上映：《33》關於被困礦工的好萊塢電影主演...http://t.co/3Yu26V19zh</v>
      </c>
      <c r="G7200" s="4" t="str">
        <f>IFERROR(__xludf.DUMMYFUNCTION("GOOGLETRANSLATE(B7200)"),"被困")</f>
        <v>被困</v>
      </c>
    </row>
    <row r="7201" ht="15.75" customHeight="1">
      <c r="A7201" s="4">
        <v>9801.0</v>
      </c>
      <c r="B7201" s="4" t="s">
        <v>4434</v>
      </c>
      <c r="D7201" s="4" t="s">
        <v>10476</v>
      </c>
      <c r="E7201" s="4">
        <v>0.0</v>
      </c>
      <c r="F7201" s="4" t="str">
        <f>IFERROR(__xludf.DUMMYFUNCTION("GOOGLETRANSLATE(D7201)"),"關於被困礦工的好萊塢電影在智利上映 http://t.co/JJL89F9O3V")</f>
        <v>關於被困礦工的好萊塢電影在智利上映 http://t.co/JJL89F9O3V</v>
      </c>
      <c r="G7201" s="4" t="str">
        <f>IFERROR(__xludf.DUMMYFUNCTION("GOOGLETRANSLATE(B7201)"),"被困")</f>
        <v>被困</v>
      </c>
    </row>
    <row r="7202" ht="15.75" customHeight="1">
      <c r="A7202" s="4">
        <v>9806.0</v>
      </c>
      <c r="B7202" s="4" t="s">
        <v>4434</v>
      </c>
      <c r="C7202" s="4" t="s">
        <v>2145</v>
      </c>
      <c r="D7202" s="4" t="s">
        <v>10477</v>
      </c>
      <c r="E7202" s="4">
        <v>0.0</v>
      </c>
      <c r="F7202" s="4" t="str">
        <f>IFERROR(__xludf.DUMMYFUNCTION("GOOGLETRANSLATE(D7202)"),"關於被困礦工的好萊塢電影在智利上映 http://t.co/xe0EE1Fzfh")</f>
        <v>關於被困礦工的好萊塢電影在智利上映 http://t.co/xe0EE1Fzfh</v>
      </c>
      <c r="G7202" s="4" t="str">
        <f>IFERROR(__xludf.DUMMYFUNCTION("GOOGLETRANSLATE(B7202)"),"被困")</f>
        <v>被困</v>
      </c>
    </row>
    <row r="7203" ht="15.75" customHeight="1">
      <c r="A7203" s="4">
        <v>9810.0</v>
      </c>
      <c r="B7203" s="4" t="s">
        <v>4450</v>
      </c>
      <c r="C7203" s="4" t="s">
        <v>10478</v>
      </c>
      <c r="D7203" s="4" t="s">
        <v>10479</v>
      </c>
      <c r="E7203" s="4">
        <v>0.0</v>
      </c>
      <c r="F7203" s="4" t="str">
        <f>IFERROR(__xludf.DUMMYFUNCTION("GOOGLETRANSLATE(D7203)"),"為了應對創傷，成癮者的孩子會形成一種防禦性的自我──一種減少脆弱的自我防禦性。 (3")</f>
        <v>為了應對創傷，成癮者的孩子會形成一種防禦性的自我──一種減少脆弱的自我防禦性。 (3</v>
      </c>
      <c r="G7203" s="4" t="str">
        <f>IFERROR(__xludf.DUMMYFUNCTION("GOOGLETRANSLATE(B7203)"),"創傷")</f>
        <v>創傷</v>
      </c>
    </row>
    <row r="7204" ht="15.75" customHeight="1">
      <c r="A7204" s="4">
        <v>9812.0</v>
      </c>
      <c r="B7204" s="4" t="s">
        <v>4450</v>
      </c>
      <c r="C7204" s="4" t="s">
        <v>10480</v>
      </c>
      <c r="D7204" s="4" t="s">
        <v>10481</v>
      </c>
      <c r="E7204" s="4">
        <v>0.0</v>
      </c>
      <c r="F7204" s="4" t="str">
        <f>IFERROR(__xludf.DUMMYFUNCTION("GOOGLETRANSLATE(D7204)"),"你的大腦在兩個不同的年齡特別容易受到創傷http://t.co/KnBv2YtNWc @qz @TaraSwart @vivian_giang")</f>
        <v>你的大腦在兩個不同的年齡特別容易受到創傷http://t.co/KnBv2YtNWc @qz @TaraSwart @vivian_giang</v>
      </c>
      <c r="G7204" s="4" t="str">
        <f>IFERROR(__xludf.DUMMYFUNCTION("GOOGLETRANSLATE(B7204)"),"創傷")</f>
        <v>創傷</v>
      </c>
    </row>
    <row r="7205" ht="15.75" customHeight="1">
      <c r="A7205" s="4">
        <v>9815.0</v>
      </c>
      <c r="B7205" s="4" t="s">
        <v>4450</v>
      </c>
      <c r="C7205" s="4" t="s">
        <v>10482</v>
      </c>
      <c r="D7205" s="4" t="s">
        <v>10483</v>
      </c>
      <c r="E7205" s="4">
        <v>0.0</v>
      </c>
      <c r="F7205" s="4" t="str">
        <f>IFERROR(__xludf.DUMMYFUNCTION("GOOGLETRANSLATE(D7205)"),"@RaabChar_28 @DrPhil @MorganLawGrp 你如何在你的側面自傷和鈍器創傷與墜落尺寸不符？！")</f>
        <v>@RaabChar_28 @DrPhil @MorganLawGrp 你如何在你的側面自傷和鈍器創傷與墜落尺寸不符？！</v>
      </c>
      <c r="G7205" s="4" t="str">
        <f>IFERROR(__xludf.DUMMYFUNCTION("GOOGLETRANSLATE(B7205)"),"創傷")</f>
        <v>創傷</v>
      </c>
    </row>
    <row r="7206" ht="15.75" customHeight="1">
      <c r="A7206" s="4">
        <v>9816.0</v>
      </c>
      <c r="B7206" s="4" t="s">
        <v>4450</v>
      </c>
      <c r="C7206" s="4" t="s">
        <v>10484</v>
      </c>
      <c r="D7206" s="4" t="s">
        <v>10485</v>
      </c>
      <c r="E7206" s="4">
        <v>0.0</v>
      </c>
      <c r="F7206" s="4" t="str">
        <f>IFERROR(__xludf.DUMMYFUNCTION("GOOGLETRANSLATE(D7206)"),"我真正希望在 AGDQ 中看到的遊戲： Trauma Center Second Opinion Kororinpa Marble Mania TLoZ Oracle of Ages Metroid II")</f>
        <v>我真正希望在 AGDQ 中看到的遊戲： Trauma Center Second Opinion Kororinpa Marble Mania TLoZ Oracle of Ages Metroid II</v>
      </c>
      <c r="G7206" s="4" t="str">
        <f>IFERROR(__xludf.DUMMYFUNCTION("GOOGLETRANSLATE(B7206)"),"創傷")</f>
        <v>創傷</v>
      </c>
    </row>
    <row r="7207" ht="15.75" customHeight="1">
      <c r="A7207" s="4">
        <v>9818.0</v>
      </c>
      <c r="B7207" s="4" t="s">
        <v>4450</v>
      </c>
      <c r="D7207" s="4" t="s">
        <v>10486</v>
      </c>
      <c r="E7207" s="4">
        <v>0.0</v>
      </c>
      <c r="F7207" s="4" t="str">
        <f>IFERROR(__xludf.DUMMYFUNCTION("GOOGLETRANSLATE(D7207)"),"@crazyindapeg @VETS78734 考慮創傷#ptsdchat，完全可以理解")</f>
        <v>@crazyindapeg @VETS78734 考慮創傷#ptsdchat，完全可以理解</v>
      </c>
      <c r="G7207" s="4" t="str">
        <f>IFERROR(__xludf.DUMMYFUNCTION("GOOGLETRANSLATE(B7207)"),"創傷")</f>
        <v>創傷</v>
      </c>
    </row>
    <row r="7208" ht="15.75" customHeight="1">
      <c r="A7208" s="4">
        <v>9819.0</v>
      </c>
      <c r="B7208" s="4" t="s">
        <v>4450</v>
      </c>
      <c r="C7208" s="4" t="s">
        <v>10487</v>
      </c>
      <c r="D7208" s="4" t="s">
        <v>10488</v>
      </c>
      <c r="E7208" s="4">
        <v>0.0</v>
      </c>
      <c r="F7208" s="4" t="str">
        <f>IFERROR(__xludf.DUMMYFUNCTION("GOOGLETRANSLATE(D7208)"),"創傷小組需要來到美國電子商店。")</f>
        <v>創傷小組需要來到美國電子商店。</v>
      </c>
      <c r="G7208" s="4" t="str">
        <f>IFERROR(__xludf.DUMMYFUNCTION("GOOGLETRANSLATE(B7208)"),"創傷")</f>
        <v>創傷</v>
      </c>
    </row>
    <row r="7209" ht="15.75" customHeight="1">
      <c r="A7209" s="4">
        <v>9829.0</v>
      </c>
      <c r="B7209" s="4" t="s">
        <v>4450</v>
      </c>
      <c r="C7209" s="4" t="s">
        <v>10489</v>
      </c>
      <c r="D7209" s="4" t="s">
        <v>10490</v>
      </c>
      <c r="E7209" s="4">
        <v>0.0</v>
      </c>
      <c r="F7209" s="4" t="str">
        <f>IFERROR(__xludf.DUMMYFUNCTION("GOOGLETRANSLATE(D7209)"),"作者訪談米歇爾‧羅森塔爾（Michele Rosenthal）－《創傷後的生活》一書的作者。")</f>
        <v>作者訪談米歇爾‧羅森塔爾（Michele Rosenthal）－《創傷後的生活》一書的作者。</v>
      </c>
      <c r="G7209" s="4" t="str">
        <f>IFERROR(__xludf.DUMMYFUNCTION("GOOGLETRANSLATE(B7209)"),"創傷")</f>
        <v>創傷</v>
      </c>
    </row>
    <row r="7210" ht="15.75" customHeight="1">
      <c r="A7210" s="4">
        <v>9830.0</v>
      </c>
      <c r="B7210" s="4" t="s">
        <v>4450</v>
      </c>
      <c r="C7210" s="4" t="s">
        <v>10491</v>
      </c>
      <c r="D7210" s="4" t="s">
        <v>10492</v>
      </c>
      <c r="E7210" s="4">
        <v>0.0</v>
      </c>
      <c r="F7210" s="4" t="str">
        <f>IFERROR(__xludf.DUMMYFUNCTION("GOOGLETRANSLATE(D7210)"),"A1：當我無法談論治療中的創傷時，我開始寫作，這是我交流的唯一方式#gravitychat")</f>
        <v>A1：當我無法談論治療中的創傷時，我開始寫作，這是我交流的唯一方式#gravitychat</v>
      </c>
      <c r="G7210" s="4" t="str">
        <f>IFERROR(__xludf.DUMMYFUNCTION("GOOGLETRANSLATE(B7210)"),"創傷")</f>
        <v>創傷</v>
      </c>
    </row>
    <row r="7211" ht="15.75" customHeight="1">
      <c r="A7211" s="4">
        <v>9831.0</v>
      </c>
      <c r="B7211" s="4" t="s">
        <v>4450</v>
      </c>
      <c r="D7211" s="4" t="s">
        <v>10493</v>
      </c>
      <c r="E7211" s="4">
        <v>0.0</v>
      </c>
      <c r="F7211" s="4" t="str">
        <f>IFERROR(__xludf.DUMMYFUNCTION("GOOGLETRANSLATE(D7211)"),"@AshGhebranious 公民權利在 60 年代繼續存在。那麼跨代創傷又如何呢？如果有什麼的話，我們應該聽美國人的。")</f>
        <v>@AshGhebranious 公民權利在 60 年代繼續存在。那麼跨代創傷又如何呢？如果有什麼的話，我們應該聽美國人的。</v>
      </c>
      <c r="G7211" s="4" t="str">
        <f>IFERROR(__xludf.DUMMYFUNCTION("GOOGLETRANSLATE(B7211)"),"創傷")</f>
        <v>創傷</v>
      </c>
    </row>
    <row r="7212" ht="15.75" customHeight="1">
      <c r="A7212" s="4">
        <v>9832.0</v>
      </c>
      <c r="B7212" s="4" t="s">
        <v>4450</v>
      </c>
      <c r="C7212" s="4" t="s">
        <v>10494</v>
      </c>
      <c r="D7212" s="4" t="s">
        <v>10495</v>
      </c>
      <c r="E7212" s="4">
        <v>0.0</v>
      </c>
      <c r="F7212" s="4" t="str">
        <f>IFERROR(__xludf.DUMMYFUNCTION("GOOGLETRANSLATE(D7212)"),"@thetimepast @saalon 我的童年創傷比他們的更能解決。實際創傷。受驚的寶貝們。")</f>
        <v>@thetimepast @saalon 我的童年創傷比他們的更能解決。實際創傷。受驚的寶貝們。</v>
      </c>
      <c r="G7212" s="4" t="str">
        <f>IFERROR(__xludf.DUMMYFUNCTION("GOOGLETRANSLATE(B7212)"),"創傷")</f>
        <v>創傷</v>
      </c>
    </row>
    <row r="7213" ht="15.75" customHeight="1">
      <c r="A7213" s="4">
        <v>9833.0</v>
      </c>
      <c r="B7213" s="4" t="s">
        <v>4450</v>
      </c>
      <c r="C7213" s="4" t="s">
        <v>10496</v>
      </c>
      <c r="D7213" s="4" t="s">
        <v>10497</v>
      </c>
      <c r="E7213" s="4">
        <v>0.0</v>
      </c>
      <c r="F7213" s="4" t="str">
        <f>IFERROR(__xludf.DUMMYFUNCTION("GOOGLETRANSLATE(D7213)"),"為什麼#大麻對於治療#PTSD 的研究至關重要
http://t.co/T6fuAhFp7p
#hempoil #cannabis #marijuanaÛ_ http://t.co/RhE7dXM7Ey")</f>
        <v>為什麼#大麻對於治療#PTSD 的研究至關重要
http://t.co/T6fuAhFp7p
#hempoil #cannabis #marijuanaÛ_ http://t.co/RhE7dXM7Ey</v>
      </c>
      <c r="G7213" s="4" t="str">
        <f>IFERROR(__xludf.DUMMYFUNCTION("GOOGLETRANSLATE(B7213)"),"創傷")</f>
        <v>創傷</v>
      </c>
    </row>
    <row r="7214" ht="15.75" customHeight="1">
      <c r="A7214" s="4">
        <v>9835.0</v>
      </c>
      <c r="B7214" s="4" t="s">
        <v>4450</v>
      </c>
      <c r="C7214" s="4" t="s">
        <v>10498</v>
      </c>
      <c r="D7214" s="4" t="s">
        <v>10499</v>
      </c>
      <c r="E7214" s="4">
        <v>0.0</v>
      </c>
      <c r="F7214" s="4" t="str">
        <f>IFERROR(__xludf.DUMMYFUNCTION("GOOGLETRANSLATE(D7214)"),"兩個孩子都得到了理髮，創傷最小。顯然這需要葡萄酒")</f>
        <v>兩個孩子都得到了理髮，創傷最小。顯然這需要葡萄酒</v>
      </c>
      <c r="G7214" s="4" t="str">
        <f>IFERROR(__xludf.DUMMYFUNCTION("GOOGLETRANSLATE(B7214)"),"創傷")</f>
        <v>創傷</v>
      </c>
    </row>
    <row r="7215" ht="15.75" customHeight="1">
      <c r="A7215" s="4">
        <v>9836.0</v>
      </c>
      <c r="B7215" s="4" t="s">
        <v>4450</v>
      </c>
      <c r="C7215" s="4" t="s">
        <v>10500</v>
      </c>
      <c r="D7215" s="4" t="s">
        <v>10501</v>
      </c>
      <c r="E7215" s="4">
        <v>0.0</v>
      </c>
      <c r="F7215" s="4" t="str">
        <f>IFERROR(__xludf.DUMMYFUNCTION("GOOGLETRANSLATE(D7215)"),"@ARobotLegion 就這樣吧。你無法告訴一群受壓迫的人如何面對創傷。那將是愚蠢和無知的。")</f>
        <v>@ARobotLegion 就這樣吧。你無法告訴一群受壓迫的人如何面對創傷。那將是愚蠢和無知的。</v>
      </c>
      <c r="G7215" s="4" t="str">
        <f>IFERROR(__xludf.DUMMYFUNCTION("GOOGLETRANSLATE(B7215)"),"創傷")</f>
        <v>創傷</v>
      </c>
    </row>
    <row r="7216" ht="15.75" customHeight="1">
      <c r="A7216" s="4">
        <v>9837.0</v>
      </c>
      <c r="B7216" s="4" t="s">
        <v>4450</v>
      </c>
      <c r="D7216" s="4" t="s">
        <v>10502</v>
      </c>
      <c r="E7216" s="4">
        <v>0.0</v>
      </c>
      <c r="F7216" s="4" t="str">
        <f>IFERROR(__xludf.DUMMYFUNCTION("GOOGLETRANSLATE(D7216)"),"我需要盡快計劃去克利夫蘭旅行！ ??")</f>
        <v>我需要盡快計劃去克利夫蘭旅行！ ??</v>
      </c>
      <c r="G7216" s="4" t="str">
        <f>IFERROR(__xludf.DUMMYFUNCTION("GOOGLETRANSLATE(B7216)"),"創傷")</f>
        <v>創傷</v>
      </c>
    </row>
    <row r="7217" ht="15.75" customHeight="1">
      <c r="A7217" s="4">
        <v>9842.0</v>
      </c>
      <c r="B7217" s="4" t="s">
        <v>4450</v>
      </c>
      <c r="D7217" s="4" t="s">
        <v>10503</v>
      </c>
      <c r="E7217" s="4">
        <v>0.0</v>
      </c>
      <c r="F7217" s="4" t="str">
        <f>IFERROR(__xludf.DUMMYFUNCTION("GOOGLETRANSLATE(D7217)"),"USG在PAEDS重大創傷影像決策工具中的作用是什麼？ #FOAMed #FOAMcc")</f>
        <v>USG在PAEDS重大創傷影像決策工具中的作用是什麼？ #FOAMed #FOAMcc</v>
      </c>
      <c r="G7217" s="4" t="str">
        <f>IFERROR(__xludf.DUMMYFUNCTION("GOOGLETRANSLATE(B7217)"),"創傷")</f>
        <v>創傷</v>
      </c>
    </row>
    <row r="7218" ht="15.75" customHeight="1">
      <c r="A7218" s="4">
        <v>9846.0</v>
      </c>
      <c r="B7218" s="4" t="s">
        <v>4450</v>
      </c>
      <c r="C7218" s="4" t="s">
        <v>10504</v>
      </c>
      <c r="D7218" s="4" t="s">
        <v>10505</v>
      </c>
      <c r="E7218" s="4">
        <v>0.0</v>
      </c>
      <c r="F7218" s="4" t="str">
        <f>IFERROR(__xludf.DUMMYFUNCTION("GOOGLETRANSLATE(D7218)"),"這也部分與我的創傷有關。但這是一個很長的故事，老實說我不想談論它。")</f>
        <v>這也部分與我的創傷有關。但這是一個很長的故事，老實說我不想談論它。</v>
      </c>
      <c r="G7218" s="4" t="str">
        <f>IFERROR(__xludf.DUMMYFUNCTION("GOOGLETRANSLATE(B7218)"),"創傷")</f>
        <v>創傷</v>
      </c>
    </row>
    <row r="7219" ht="15.75" customHeight="1">
      <c r="A7219" s="4">
        <v>9849.0</v>
      </c>
      <c r="B7219" s="4" t="s">
        <v>4450</v>
      </c>
      <c r="C7219" s="4" t="s">
        <v>5328</v>
      </c>
      <c r="D7219" s="4" t="s">
        <v>10506</v>
      </c>
      <c r="E7219" s="4">
        <v>0.0</v>
      </c>
      <c r="F7219" s="4" t="str">
        <f>IFERROR(__xludf.DUMMYFUNCTION("GOOGLETRANSLATE(D7219)"),"@mustachemurse @dateswhitecoats 真相。我抽出了16。顯然是一個22歲的成年人的瘋狂創傷。他們還嘲笑我的22號。")</f>
        <v>@mustachemurse @dateswhitecoats 真相。我抽出了16。顯然是一個22歲的成年人的瘋狂創傷。他們還嘲笑我的22號。</v>
      </c>
      <c r="G7219" s="4" t="str">
        <f>IFERROR(__xludf.DUMMYFUNCTION("GOOGLETRANSLATE(B7219)"),"創傷")</f>
        <v>創傷</v>
      </c>
    </row>
    <row r="7220" ht="15.75" customHeight="1">
      <c r="A7220" s="4">
        <v>9850.0</v>
      </c>
      <c r="B7220" s="4" t="s">
        <v>4450</v>
      </c>
      <c r="C7220" s="4" t="s">
        <v>10507</v>
      </c>
      <c r="D7220" s="4" t="s">
        <v>10508</v>
      </c>
      <c r="E7220" s="4">
        <v>0.0</v>
      </c>
      <c r="F7220" s="4" t="str">
        <f>IFERROR(__xludf.DUMMYFUNCTION("GOOGLETRANSLATE(D7220)"),"#NHL 美好時光下醞釀著聯盟自身的腦震盪問題@PioneerPress
http://t.co/zl7FhUCxHL")</f>
        <v>#NHL 美好時光下醞釀著聯盟自身的腦震盪問題@PioneerPress
http://t.co/zl7FhUCxHL</v>
      </c>
      <c r="G7220" s="4" t="str">
        <f>IFERROR(__xludf.DUMMYFUNCTION("GOOGLETRANSLATE(B7220)"),"創傷")</f>
        <v>創傷</v>
      </c>
    </row>
    <row r="7221" ht="15.75" customHeight="1">
      <c r="A7221" s="4">
        <v>9853.0</v>
      </c>
      <c r="B7221" s="4" t="s">
        <v>4450</v>
      </c>
      <c r="D7221" s="4" t="s">
        <v>10509</v>
      </c>
      <c r="E7221" s="4">
        <v>0.0</v>
      </c>
      <c r="F7221" s="4" t="str">
        <f>IFERROR(__xludf.DUMMYFUNCTION("GOOGLETRANSLATE(D7221)"),"今天在里士滿經歷了一次又一次的創傷，所以我知道接下來兩天的工作將會變得瘋狂")</f>
        <v>今天在里士滿經歷了一次又一次的創傷，所以我知道接下來兩天的工作將會變得瘋狂</v>
      </c>
      <c r="G7221" s="4" t="str">
        <f>IFERROR(__xludf.DUMMYFUNCTION("GOOGLETRANSLATE(B7221)"),"創傷")</f>
        <v>創傷</v>
      </c>
    </row>
    <row r="7222" ht="15.75" customHeight="1">
      <c r="A7222" s="4">
        <v>9857.0</v>
      </c>
      <c r="B7222" s="4" t="s">
        <v>4450</v>
      </c>
      <c r="C7222" s="4" t="s">
        <v>1125</v>
      </c>
      <c r="D7222" s="4" t="s">
        <v>10510</v>
      </c>
      <c r="E7222" s="4">
        <v>0.0</v>
      </c>
      <c r="F7222" s="4" t="str">
        <f>IFERROR(__xludf.DUMMYFUNCTION("GOOGLETRANSLATE(D7222)"),"發生在我們身上的性創傷#倖存者定義了我們，就像我們同意傷害我們的肇事者一樣。")</f>
        <v>發生在我們身上的性創傷#倖存者定義了我們，就像我們同意傷害我們的肇事者一樣。</v>
      </c>
      <c r="G7222" s="4" t="str">
        <f>IFERROR(__xludf.DUMMYFUNCTION("GOOGLETRANSLATE(B7222)"),"創傷")</f>
        <v>創傷</v>
      </c>
    </row>
    <row r="7223" ht="15.75" customHeight="1">
      <c r="A7223" s="4">
        <v>9858.0</v>
      </c>
      <c r="B7223" s="4" t="s">
        <v>4465</v>
      </c>
      <c r="C7223" s="4" t="s">
        <v>183</v>
      </c>
      <c r="D7223" s="4" t="s">
        <v>10511</v>
      </c>
      <c r="E7223" s="4">
        <v>0.0</v>
      </c>
      <c r="F7223" s="4" t="str">
        <f>IFERROR(__xludf.DUMMYFUNCTION("GOOGLETRANSLATE(D7223)"),"看到嬰兒從那位女士身上掉下來後受到了創傷。她只是為了一個小小的收穫！ #oneborn")</f>
        <v>看到嬰兒從那位女士身上掉下來後受到了創傷。她只是為了一個小小的收穫！ #oneborn</v>
      </c>
      <c r="G7223" s="4" t="str">
        <f>IFERROR(__xludf.DUMMYFUNCTION("GOOGLETRANSLATE(B7223)"),"受過創傷的")</f>
        <v>受過創傷的</v>
      </c>
    </row>
    <row r="7224" ht="15.75" customHeight="1">
      <c r="A7224" s="4">
        <v>9859.0</v>
      </c>
      <c r="B7224" s="4" t="s">
        <v>4465</v>
      </c>
      <c r="C7224" s="4" t="s">
        <v>542</v>
      </c>
      <c r="D7224" s="4" t="s">
        <v>10512</v>
      </c>
      <c r="E7224" s="4">
        <v>0.0</v>
      </c>
      <c r="F7224" s="4" t="str">
        <f>IFERROR(__xludf.DUMMYFUNCTION("GOOGLETRANSLATE(D7224)"),"回到愛爾蘭訴悲傷/創傷，因為已經習慣了寒冷且不美麗的巴黎夏天。")</f>
        <v>回到愛爾蘭訴悲傷/創傷，因為已經習慣了寒冷且不美麗的巴黎夏天。</v>
      </c>
      <c r="G7224" s="4" t="str">
        <f>IFERROR(__xludf.DUMMYFUNCTION("GOOGLETRANSLATE(B7224)"),"受過創傷的")</f>
        <v>受過創傷的</v>
      </c>
    </row>
    <row r="7225" ht="15.75" customHeight="1">
      <c r="A7225" s="4">
        <v>9860.0</v>
      </c>
      <c r="B7225" s="4" t="s">
        <v>4465</v>
      </c>
      <c r="C7225" s="4" t="s">
        <v>10513</v>
      </c>
      <c r="D7225" s="4" t="s">
        <v>10514</v>
      </c>
      <c r="E7225" s="4">
        <v>0.0</v>
      </c>
      <c r="F7225" s="4" t="str">
        <f>IFERROR(__xludf.DUMMYFUNCTION("GOOGLETRANSLATE(D7225)"),"為什麼是深路哈哈哈哈哈哈我被深路傷​​害了哈哈")</f>
        <v>為什麼是深路哈哈哈哈哈哈我被深路傷​​害了哈哈</v>
      </c>
      <c r="G7225" s="4" t="str">
        <f>IFERROR(__xludf.DUMMYFUNCTION("GOOGLETRANSLATE(B7225)"),"受過創傷的")</f>
        <v>受過創傷的</v>
      </c>
    </row>
    <row r="7226" ht="15.75" customHeight="1">
      <c r="A7226" s="4">
        <v>9861.0</v>
      </c>
      <c r="B7226" s="4" t="s">
        <v>4465</v>
      </c>
      <c r="D7226" s="4" t="s">
        <v>10515</v>
      </c>
      <c r="E7226" s="4">
        <v>0.0</v>
      </c>
      <c r="F7226" s="4" t="str">
        <f>IFERROR(__xludf.DUMMYFUNCTION("GOOGLETRANSLATE(D7226)"),"我很受創傷。")</f>
        <v>我很受創傷。</v>
      </c>
      <c r="G7226" s="4" t="str">
        <f>IFERROR(__xludf.DUMMYFUNCTION("GOOGLETRANSLATE(B7226)"),"受過創傷的")</f>
        <v>受過創傷的</v>
      </c>
    </row>
    <row r="7227" ht="15.75" customHeight="1">
      <c r="A7227" s="4">
        <v>9862.0</v>
      </c>
      <c r="B7227" s="4" t="s">
        <v>4465</v>
      </c>
      <c r="C7227" s="4" t="s">
        <v>4900</v>
      </c>
      <c r="D7227" s="4" t="s">
        <v>10516</v>
      </c>
      <c r="E7227" s="4">
        <v>0.0</v>
      </c>
      <c r="F7227" s="4" t="str">
        <f>IFERROR(__xludf.DUMMYFUNCTION("GOOGLETRANSLATE(D7227)"),"對她的保羅寬容點吧，可憐的女人被蛋糕傷害了#GBBO")</f>
        <v>對她的保羅寬容點吧，可憐的女人被蛋糕傷害了#GBBO</v>
      </c>
      <c r="G7227" s="4" t="str">
        <f>IFERROR(__xludf.DUMMYFUNCTION("GOOGLETRANSLATE(B7227)"),"受過創傷的")</f>
        <v>受過創傷的</v>
      </c>
    </row>
    <row r="7228" ht="15.75" customHeight="1">
      <c r="A7228" s="4">
        <v>9864.0</v>
      </c>
      <c r="B7228" s="4" t="s">
        <v>4465</v>
      </c>
      <c r="C7228" s="4" t="s">
        <v>733</v>
      </c>
      <c r="D7228" s="4" t="s">
        <v>10517</v>
      </c>
      <c r="E7228" s="4">
        <v>0.0</v>
      </c>
      <c r="F7228" s="4" t="str">
        <f>IFERROR(__xludf.DUMMYFUNCTION("GOOGLETRANSLATE(D7228)"),"@Ruddyyyyyy @JamieGriff97 Jamie 受到了太大的創傷，無法回答 http://t.co/VzgslEPkkH")</f>
        <v>@Ruddyyyyyy @JamieGriff97 Jamie 受到了太大的創傷，無法回答 http://t.co/VzgslEPkkH</v>
      </c>
      <c r="G7228" s="4" t="str">
        <f>IFERROR(__xludf.DUMMYFUNCTION("GOOGLETRANSLATE(B7228)"),"受過創傷的")</f>
        <v>受過創傷的</v>
      </c>
    </row>
    <row r="7229" ht="15.75" customHeight="1">
      <c r="A7229" s="4">
        <v>9865.0</v>
      </c>
      <c r="B7229" s="4" t="s">
        <v>4465</v>
      </c>
      <c r="C7229" s="4" t="s">
        <v>10518</v>
      </c>
      <c r="D7229" s="4" t="s">
        <v>10519</v>
      </c>
      <c r="E7229" s="4">
        <v>0.0</v>
      </c>
      <c r="F7229" s="4" t="str">
        <f>IFERROR(__xludf.DUMMYFUNCTION("GOOGLETRANSLATE(D7229)"),"我受了很大的創傷，甚至無法正確拼寫！請原諒錯字！")</f>
        <v>我受了很大的創傷，甚至無法正確拼寫！請原諒錯字！</v>
      </c>
      <c r="G7229" s="4" t="str">
        <f>IFERROR(__xludf.DUMMYFUNCTION("GOOGLETRANSLATE(B7229)"),"受過創傷的")</f>
        <v>受過創傷的</v>
      </c>
    </row>
    <row r="7230" ht="15.75" customHeight="1">
      <c r="A7230" s="4">
        <v>9866.0</v>
      </c>
      <c r="B7230" s="4" t="s">
        <v>4465</v>
      </c>
      <c r="C7230" s="4" t="s">
        <v>10520</v>
      </c>
      <c r="D7230" s="4" t="s">
        <v>10521</v>
      </c>
      <c r="E7230" s="4">
        <v>0.0</v>
      </c>
      <c r="F7230" s="4" t="str">
        <f>IFERROR(__xludf.DUMMYFUNCTION("GOOGLETRANSLATE(D7230)"),"@AnnmarieRonan @niamhosullivanx 我看不下去，這對我來說就像一部恐怖電影，我會看到一切閃回#traumatized")</f>
        <v>@AnnmarieRonan @niamhosullivanx 我看不下去，這對我來說就像一部恐怖電影，我會看到一切閃回#traumatized</v>
      </c>
      <c r="G7230" s="4" t="str">
        <f>IFERROR(__xludf.DUMMYFUNCTION("GOOGLETRANSLATE(B7230)"),"受過創傷的")</f>
        <v>受過創傷的</v>
      </c>
    </row>
    <row r="7231" ht="15.75" customHeight="1">
      <c r="A7231" s="4">
        <v>9869.0</v>
      </c>
      <c r="B7231" s="4" t="s">
        <v>4465</v>
      </c>
      <c r="C7231" s="4" t="s">
        <v>10522</v>
      </c>
      <c r="D7231" s="4" t="s">
        <v>10523</v>
      </c>
      <c r="E7231" s="4">
        <v>0.0</v>
      </c>
      <c r="F7231" s="4" t="str">
        <f>IFERROR(__xludf.DUMMYFUNCTION("GOOGLETRANSLATE(D7231)"),"@ianokavo96 他仍然受到創傷")</f>
        <v>@ianokavo96 他仍然受到創傷</v>
      </c>
      <c r="G7231" s="4" t="str">
        <f>IFERROR(__xludf.DUMMYFUNCTION("GOOGLETRANSLATE(B7231)"),"受過創傷的")</f>
        <v>受過創傷的</v>
      </c>
    </row>
    <row r="7232" ht="15.75" customHeight="1">
      <c r="A7232" s="4">
        <v>9870.0</v>
      </c>
      <c r="B7232" s="4" t="s">
        <v>4465</v>
      </c>
      <c r="C7232" s="4" t="s">
        <v>10524</v>
      </c>
      <c r="D7232" s="4" t="s">
        <v>10525</v>
      </c>
      <c r="E7232" s="4">
        <v>0.0</v>
      </c>
      <c r="F7232" s="4" t="str">
        <f>IFERROR(__xludf.DUMMYFUNCTION("GOOGLETRANSLATE(D7232)"),"認為我一生都受創傷")</f>
        <v>認為我一生都受創傷</v>
      </c>
      <c r="G7232" s="4" t="str">
        <f>IFERROR(__xludf.DUMMYFUNCTION("GOOGLETRANSLATE(B7232)"),"受過創傷的")</f>
        <v>受過創傷的</v>
      </c>
    </row>
    <row r="7233" ht="15.75" customHeight="1">
      <c r="A7233" s="4">
        <v>9872.0</v>
      </c>
      <c r="B7233" s="4" t="s">
        <v>4465</v>
      </c>
      <c r="C7233" s="4" t="s">
        <v>7753</v>
      </c>
      <c r="D7233" s="4" t="s">
        <v>10526</v>
      </c>
      <c r="E7233" s="4">
        <v>0.0</v>
      </c>
      <c r="F7233" s="4" t="str">
        <f>IFERROR(__xludf.DUMMYFUNCTION("GOOGLETRANSLATE(D7233)"),"美國和南非一樣，都是一個飽受創傷的病態國家——當然以不同的方式——但仍然一團糟。")</f>
        <v>美國和南非一樣，都是一個飽受創傷的病態國家——當然以不同的方式——但仍然一團糟。</v>
      </c>
      <c r="G7233" s="4" t="str">
        <f>IFERROR(__xludf.DUMMYFUNCTION("GOOGLETRANSLATE(B7233)"),"受過創傷的")</f>
        <v>受過創傷的</v>
      </c>
    </row>
    <row r="7234" ht="15.75" customHeight="1">
      <c r="A7234" s="4">
        <v>9873.0</v>
      </c>
      <c r="B7234" s="4" t="s">
        <v>4465</v>
      </c>
      <c r="D7234" s="4" t="s">
        <v>10527</v>
      </c>
      <c r="E7234" s="4">
        <v>0.0</v>
      </c>
      <c r="F7234" s="4" t="str">
        <f>IFERROR(__xludf.DUMMYFUNCTION("GOOGLETRANSLATE(D7234)"),"……孤兒院的孩子們顯然沒有受到太大的創傷。 http://t.co/DjA4relcnS")</f>
        <v>……孤兒院的孩子們顯然沒有受到太大的創傷。 http://t.co/DjA4relcnS</v>
      </c>
      <c r="G7234" s="4" t="str">
        <f>IFERROR(__xludf.DUMMYFUNCTION("GOOGLETRANSLATE(B7234)"),"受過創傷的")</f>
        <v>受過創傷的</v>
      </c>
    </row>
    <row r="7235" ht="15.75" customHeight="1">
      <c r="A7235" s="4">
        <v>9874.0</v>
      </c>
      <c r="B7235" s="4" t="s">
        <v>4465</v>
      </c>
      <c r="D7235" s="4" t="s">
        <v>10528</v>
      </c>
      <c r="E7235" s="4">
        <v>0.0</v>
      </c>
      <c r="F7235" s="4" t="str">
        <f>IFERROR(__xludf.DUMMYFUNCTION("GOOGLETRANSLATE(D7235)"),"@MPRnews 600！！！哇！！！這麼多受過創傷的孩子！！！！！！")</f>
        <v>@MPRnews 600！！！哇！！！這麼多受過創傷的孩子！！！！！！</v>
      </c>
      <c r="G7235" s="4" t="str">
        <f>IFERROR(__xludf.DUMMYFUNCTION("GOOGLETRANSLATE(B7235)"),"受過創傷的")</f>
        <v>受過創傷的</v>
      </c>
    </row>
    <row r="7236" ht="15.75" customHeight="1">
      <c r="A7236" s="4">
        <v>9875.0</v>
      </c>
      <c r="B7236" s="4" t="s">
        <v>4465</v>
      </c>
      <c r="C7236" s="4" t="s">
        <v>40</v>
      </c>
      <c r="D7236" s="4" t="s">
        <v>10529</v>
      </c>
      <c r="E7236" s="4">
        <v>0.0</v>
      </c>
      <c r="F7236" s="4" t="str">
        <f>IFERROR(__xludf.DUMMYFUNCTION("GOOGLETRANSLATE(D7236)"),"是的，我受了創傷？")</f>
        <v>是的，我受了創傷？</v>
      </c>
      <c r="G7236" s="4" t="str">
        <f>IFERROR(__xludf.DUMMYFUNCTION("GOOGLETRANSLATE(B7236)"),"受過創傷的")</f>
        <v>受過創傷的</v>
      </c>
    </row>
    <row r="7237" ht="15.75" customHeight="1">
      <c r="A7237" s="4">
        <v>9877.0</v>
      </c>
      <c r="B7237" s="4" t="s">
        <v>4465</v>
      </c>
      <c r="C7237" s="4" t="s">
        <v>10530</v>
      </c>
      <c r="D7237" s="4" t="s">
        <v>10531</v>
      </c>
      <c r="E7237" s="4">
        <v>0.0</v>
      </c>
      <c r="F7237" s="4" t="str">
        <f>IFERROR(__xludf.DUMMYFUNCTION("GOOGLETRANSLATE(D7237)"),"@PerkPearl 那隻是沒有。我會受傷，你還好嗎？車子已經開走了，現在#GBBO，放鬆一下...")</f>
        <v>@PerkPearl 那隻是沒有。我會受傷，你還好嗎？車子已經開走了，現在#GBBO，放鬆一下...</v>
      </c>
      <c r="G7237" s="4" t="str">
        <f>IFERROR(__xludf.DUMMYFUNCTION("GOOGLETRANSLATE(B7237)"),"受過創傷的")</f>
        <v>受過創傷的</v>
      </c>
    </row>
    <row r="7238" ht="15.75" customHeight="1">
      <c r="A7238" s="4">
        <v>9878.0</v>
      </c>
      <c r="B7238" s="4" t="s">
        <v>4465</v>
      </c>
      <c r="C7238" s="4" t="s">
        <v>10532</v>
      </c>
      <c r="D7238" s="4" t="s">
        <v>10533</v>
      </c>
      <c r="E7238" s="4">
        <v>0.0</v>
      </c>
      <c r="F7238" s="4" t="str">
        <f>IFERROR(__xludf.DUMMYFUNCTION("GOOGLETRANSLATE(D7238)"),"@vienna_butcher 我受傷了，這並不好笑")</f>
        <v>@vienna_butcher 我受傷了，這並不好笑</v>
      </c>
      <c r="G7238" s="4" t="str">
        <f>IFERROR(__xludf.DUMMYFUNCTION("GOOGLETRANSLATE(B7238)"),"受過創傷的")</f>
        <v>受過創傷的</v>
      </c>
    </row>
    <row r="7239" ht="15.75" customHeight="1">
      <c r="A7239" s="4">
        <v>9880.0</v>
      </c>
      <c r="B7239" s="4" t="s">
        <v>4465</v>
      </c>
      <c r="D7239" s="4" t="s">
        <v>10534</v>
      </c>
      <c r="E7239" s="4">
        <v>0.0</v>
      </c>
      <c r="F7239" s="4" t="str">
        <f>IFERROR(__xludf.DUMMYFUNCTION("GOOGLETRANSLATE(D7239)"),"@wrongdejavu 我受到了創傷")</f>
        <v>@wrongdejavu 我受到了創傷</v>
      </c>
      <c r="G7239" s="4" t="str">
        <f>IFERROR(__xludf.DUMMYFUNCTION("GOOGLETRANSLATE(B7239)"),"受過創傷的")</f>
        <v>受過創傷的</v>
      </c>
    </row>
    <row r="7240" ht="15.75" customHeight="1">
      <c r="A7240" s="4">
        <v>9881.0</v>
      </c>
      <c r="B7240" s="4" t="s">
        <v>4465</v>
      </c>
      <c r="D7240" s="4" t="s">
        <v>10535</v>
      </c>
      <c r="E7240" s="4">
        <v>0.0</v>
      </c>
      <c r="F7240" s="4" t="str">
        <f>IFERROR(__xludf.DUMMYFUNCTION("GOOGLETRANSLATE(D7240)"),"@malabamiandsons 她因為胡椒“死了”而受到了嚴重的創傷，我迫不及待地想看看她的臉")</f>
        <v>@malabamiandsons 她因為胡椒“死了”而受到了嚴重的創傷，我迫不及待地想看看她的臉</v>
      </c>
      <c r="G7240" s="4" t="str">
        <f>IFERROR(__xludf.DUMMYFUNCTION("GOOGLETRANSLATE(B7240)"),"受過創傷的")</f>
        <v>受過創傷的</v>
      </c>
    </row>
    <row r="7241" ht="15.75" customHeight="1">
      <c r="A7241" s="4">
        <v>9884.0</v>
      </c>
      <c r="B7241" s="4" t="s">
        <v>4465</v>
      </c>
      <c r="C7241" s="4" t="s">
        <v>10536</v>
      </c>
      <c r="D7241" s="4" t="s">
        <v>10537</v>
      </c>
      <c r="E7241" s="4">
        <v>0.0</v>
      </c>
      <c r="F7241" s="4" t="str">
        <f>IFERROR(__xludf.DUMMYFUNCTION("GOOGLETRANSLATE(D7241)"),"向錯誤的人而不是你的兄弟發送關於廁所的 Snapchat？ ?? ???? #snapchatselfie #wrongperson #traumatized")</f>
        <v>向錯誤的人而不是你的兄弟發送關於廁所的 Snapchat？ ?? ???? #snapchatselfie #wrongperson #traumatized</v>
      </c>
      <c r="G7241" s="4" t="str">
        <f>IFERROR(__xludf.DUMMYFUNCTION("GOOGLETRANSLATE(B7241)"),"受過創傷的")</f>
        <v>受過創傷的</v>
      </c>
    </row>
    <row r="7242" ht="15.75" customHeight="1">
      <c r="A7242" s="4">
        <v>9885.0</v>
      </c>
      <c r="B7242" s="4" t="s">
        <v>4465</v>
      </c>
      <c r="D7242" s="4" t="s">
        <v>10538</v>
      </c>
      <c r="E7242" s="4">
        <v>0.0</v>
      </c>
      <c r="F7242" s="4" t="str">
        <f>IFERROR(__xludf.DUMMYFUNCTION("GOOGLETRANSLATE(D7242)"),"@EMILY4EVEREVER 哈哈，沒關係…但超過兩次就太愚蠢了；）他受了創傷？？？")</f>
        <v>@EMILY4EVEREVER 哈哈，沒關係…但超過兩次就太愚蠢了；）他受了創傷？？？</v>
      </c>
      <c r="G7242" s="4" t="str">
        <f>IFERROR(__xludf.DUMMYFUNCTION("GOOGLETRANSLATE(B7242)"),"受過創傷的")</f>
        <v>受過創傷的</v>
      </c>
    </row>
    <row r="7243" ht="15.75" customHeight="1">
      <c r="A7243" s="4">
        <v>9886.0</v>
      </c>
      <c r="B7243" s="4" t="s">
        <v>4465</v>
      </c>
      <c r="C7243" s="4" t="s">
        <v>183</v>
      </c>
      <c r="D7243" s="4" t="s">
        <v>10539</v>
      </c>
      <c r="E7243" s="4">
        <v>0.0</v>
      </c>
      <c r="F7243" s="4" t="str">
        <f>IFERROR(__xludf.DUMMYFUNCTION("GOOGLETRANSLATE(D7243)"),"我很傷心兒童公司關門了。畢竟，成千上萬遭受創傷的年輕人將遭受痛苦。但是... http://t.co/efg8RtH9Rb")</f>
        <v>我很傷心兒童公司關門了。畢竟，成千上萬遭受創傷的年輕人將遭受痛苦。但是... http://t.co/efg8RtH9Rb</v>
      </c>
      <c r="G7243" s="4" t="str">
        <f>IFERROR(__xludf.DUMMYFUNCTION("GOOGLETRANSLATE(B7243)"),"受過創傷的")</f>
        <v>受過創傷的</v>
      </c>
    </row>
    <row r="7244" ht="15.75" customHeight="1">
      <c r="A7244" s="4">
        <v>9887.0</v>
      </c>
      <c r="B7244" s="4" t="s">
        <v>4465</v>
      </c>
      <c r="D7244" s="4" t="s">
        <v>10540</v>
      </c>
      <c r="E7244" s="4">
        <v>0.0</v>
      </c>
      <c r="F7244" s="4" t="str">
        <f>IFERROR(__xludf.DUMMYFUNCTION("GOOGLETRANSLATE(D7244)"),"@Jude_Mugabi 並不是所有墮胎都會讓你受到創傷。有時，由於強姦等原因，您可以接受這個決定")</f>
        <v>@Jude_Mugabi 並不是所有墮胎都會讓你受到創傷。有時，由於強姦等原因，您可以接受這個決定</v>
      </c>
      <c r="G7244" s="4" t="str">
        <f>IFERROR(__xludf.DUMMYFUNCTION("GOOGLETRANSLATE(B7244)"),"受過創傷的")</f>
        <v>受過創傷的</v>
      </c>
    </row>
    <row r="7245" ht="15.75" customHeight="1">
      <c r="A7245" s="4">
        <v>9888.0</v>
      </c>
      <c r="B7245" s="4" t="s">
        <v>4465</v>
      </c>
      <c r="C7245" s="4" t="s">
        <v>10541</v>
      </c>
      <c r="D7245" s="4" t="s">
        <v>10542</v>
      </c>
      <c r="E7245" s="4">
        <v>0.0</v>
      </c>
      <c r="F7245" s="4" t="str">
        <f>IFERROR(__xludf.DUMMYFUNCTION("GOOGLETRANSLATE(D7245)"),"ÛÏ@_keits：@LIVA_GOTTA 得到一條金鍊，你會明白Û
一個男孩給了我一個，我的脖子變綠了，這讓我受到了創傷")</f>
        <v>ÛÏ@_keits：@LIVA_GOTTA 得到一條金鍊，你會明白Û
一個男孩給了我一個，我的脖子變綠了，這讓我受到了創傷</v>
      </c>
      <c r="G7245" s="4" t="str">
        <f>IFERROR(__xludf.DUMMYFUNCTION("GOOGLETRANSLATE(B7245)"),"受過創傷的")</f>
        <v>受過創傷的</v>
      </c>
    </row>
    <row r="7246" ht="15.75" customHeight="1">
      <c r="A7246" s="4">
        <v>9889.0</v>
      </c>
      <c r="B7246" s="4" t="s">
        <v>4465</v>
      </c>
      <c r="D7246" s="4" t="s">
        <v>10543</v>
      </c>
      <c r="E7246" s="4">
        <v>0.0</v>
      </c>
      <c r="F7246" s="4" t="str">
        <f>IFERROR(__xludf.DUMMYFUNCTION("GOOGLETRANSLATE(D7246)"),"@CiaraMcKendry 我的數據是在本月更新數據後的第二天，我受到了創傷")</f>
        <v>@CiaraMcKendry 我的數據是在本月更新數據後的第二天，我受到了創傷</v>
      </c>
      <c r="G7246" s="4" t="str">
        <f>IFERROR(__xludf.DUMMYFUNCTION("GOOGLETRANSLATE(B7246)"),"受過創傷的")</f>
        <v>受過創傷的</v>
      </c>
    </row>
    <row r="7247" ht="15.75" customHeight="1">
      <c r="A7247" s="4">
        <v>9890.0</v>
      </c>
      <c r="B7247" s="4" t="s">
        <v>4465</v>
      </c>
      <c r="C7247" s="4" t="s">
        <v>10544</v>
      </c>
      <c r="D7247" s="4" t="s">
        <v>10545</v>
      </c>
      <c r="E7247" s="4">
        <v>0.0</v>
      </c>
      <c r="F7247" s="4" t="str">
        <f>IFERROR(__xludf.DUMMYFUNCTION("GOOGLETRANSLATE(D7247)"),"在法國發現的一隻受了創傷的狗，其頭部被埋在泥土中，目前已被安全照顧。這是這樣的... http://t.co/AGQo1479xM")</f>
        <v>在法國發現的一隻受了創傷的狗，其頭部被埋在泥土中，目前已被安全照顧。這是這樣的... http://t.co/AGQo1479xM</v>
      </c>
      <c r="G7247" s="4" t="str">
        <f>IFERROR(__xludf.DUMMYFUNCTION("GOOGLETRANSLATE(B7247)"),"受過創傷的")</f>
        <v>受過創傷的</v>
      </c>
    </row>
    <row r="7248" ht="15.75" customHeight="1">
      <c r="A7248" s="4">
        <v>9894.0</v>
      </c>
      <c r="B7248" s="4" t="s">
        <v>4465</v>
      </c>
      <c r="C7248" s="4" t="s">
        <v>10546</v>
      </c>
      <c r="D7248" s="4" t="s">
        <v>10547</v>
      </c>
      <c r="E7248" s="4">
        <v>0.0</v>
      </c>
      <c r="F7248" s="4" t="str">
        <f>IFERROR(__xludf.DUMMYFUNCTION("GOOGLETRANSLATE(D7248)"),"一隻蜘蛛剛剛跑過我的胸口。受過創傷。為了。生活。")</f>
        <v>一隻蜘蛛剛剛跑過我的胸口。受過創傷。為了。生活。</v>
      </c>
      <c r="G7248" s="4" t="str">
        <f>IFERROR(__xludf.DUMMYFUNCTION("GOOGLETRANSLATE(B7248)"),"受過創傷的")</f>
        <v>受過創傷的</v>
      </c>
    </row>
    <row r="7249" ht="15.75" customHeight="1">
      <c r="A7249" s="4">
        <v>9896.0</v>
      </c>
      <c r="B7249" s="4" t="s">
        <v>4465</v>
      </c>
      <c r="D7249" s="4" t="s">
        <v>10548</v>
      </c>
      <c r="E7249" s="4">
        <v>0.0</v>
      </c>
      <c r="F7249" s="4" t="str">
        <f>IFERROR(__xludf.DUMMYFUNCTION("GOOGLETRANSLATE(D7249)"),"@VickyBrush 哈哈！我是一個受創傷的孩子。週三@jimmyfallon 發布了周四標籤遊戲的主題。這是這幾週。 XOXO")</f>
        <v>@VickyBrush 哈哈！我是一個受創傷的孩子。週三@jimmyfallon 發布了周四標籤遊戲的主題。這是這幾週。 XOXO</v>
      </c>
      <c r="G7249" s="4" t="str">
        <f>IFERROR(__xludf.DUMMYFUNCTION("GOOGLETRANSLATE(B7249)"),"受過創傷的")</f>
        <v>受過創傷的</v>
      </c>
    </row>
    <row r="7250" ht="15.75" customHeight="1">
      <c r="A7250" s="4">
        <v>9897.0</v>
      </c>
      <c r="B7250" s="4" t="s">
        <v>4465</v>
      </c>
      <c r="D7250" s="4" t="s">
        <v>10549</v>
      </c>
      <c r="E7250" s="4">
        <v>0.0</v>
      </c>
      <c r="F7250" s="4" t="str">
        <f>IFERROR(__xludf.DUMMYFUNCTION("GOOGLETRANSLATE(D7250)"),"這週孩子出生後我有點受創！")</f>
        <v>這週孩子出生後我有點受創！</v>
      </c>
      <c r="G7250" s="4" t="str">
        <f>IFERROR(__xludf.DUMMYFUNCTION("GOOGLETRANSLATE(B7250)"),"受過創傷的")</f>
        <v>受過創傷的</v>
      </c>
    </row>
    <row r="7251" ht="15.75" customHeight="1">
      <c r="A7251" s="4">
        <v>9898.0</v>
      </c>
      <c r="B7251" s="4" t="s">
        <v>4465</v>
      </c>
      <c r="C7251" s="4" t="s">
        <v>10550</v>
      </c>
      <c r="D7251" s="4" t="s">
        <v>10551</v>
      </c>
      <c r="E7251" s="4">
        <v>0.0</v>
      </c>
      <c r="F7251" s="4" t="str">
        <f>IFERROR(__xludf.DUMMYFUNCTION("GOOGLETRANSLATE(D7251)"),"@KushWush 我仍然因你的駕駛而受到創傷。有搶先車道的回憶嗎？")</f>
        <v>@KushWush 我仍然因你的駕駛而受到創傷。有搶先車道的回憶嗎？</v>
      </c>
      <c r="G7251" s="4" t="str">
        <f>IFERROR(__xludf.DUMMYFUNCTION("GOOGLETRANSLATE(B7251)"),"受過創傷的")</f>
        <v>受過創傷的</v>
      </c>
    </row>
    <row r="7252" ht="15.75" customHeight="1">
      <c r="A7252" s="4">
        <v>9901.0</v>
      </c>
      <c r="B7252" s="4" t="s">
        <v>4465</v>
      </c>
      <c r="C7252" s="4" t="s">
        <v>10552</v>
      </c>
      <c r="D7252" s="4" t="s">
        <v>10553</v>
      </c>
      <c r="E7252" s="4">
        <v>0.0</v>
      </c>
      <c r="F7252" s="4" t="str">
        <f>IFERROR(__xludf.DUMMYFUNCTION("GOOGLETRANSLATE(D7252)"),"@cwheatate 哈哈哈，我一半受創傷一半希望我的分娩是那麼容易？")</f>
        <v>@cwheatate 哈哈哈，我一半受創傷一半希望我的分娩是那麼容易？</v>
      </c>
      <c r="G7252" s="4" t="str">
        <f>IFERROR(__xludf.DUMMYFUNCTION("GOOGLETRANSLATE(B7252)"),"受過創傷的")</f>
        <v>受過創傷的</v>
      </c>
    </row>
    <row r="7253" ht="15.75" customHeight="1">
      <c r="A7253" s="4">
        <v>9905.0</v>
      </c>
      <c r="B7253" s="4" t="s">
        <v>4465</v>
      </c>
      <c r="D7253" s="4" t="s">
        <v>10554</v>
      </c>
      <c r="E7253" s="4">
        <v>0.0</v>
      </c>
      <c r="F7253" s="4" t="str">
        <f>IFERROR(__xludf.DUMMYFUNCTION("GOOGLETRANSLATE(D7253)"),"我受傷了？？？ @megancoopy @laurathorne97 http://t.co/MeSqTVdu63")</f>
        <v>我受傷了？？？ @megancoopy @laurathorne97 http://t.co/MeSqTVdu63</v>
      </c>
      <c r="G7253" s="4" t="str">
        <f>IFERROR(__xludf.DUMMYFUNCTION("GOOGLETRANSLATE(B7253)"),"受過創傷的")</f>
        <v>受過創傷的</v>
      </c>
    </row>
    <row r="7254" ht="15.75" customHeight="1">
      <c r="A7254" s="4">
        <v>9906.0</v>
      </c>
      <c r="B7254" s="4" t="s">
        <v>4465</v>
      </c>
      <c r="D7254" s="4" t="s">
        <v>10555</v>
      </c>
      <c r="E7254" s="4">
        <v>0.0</v>
      </c>
      <c r="F7254" s="4" t="str">
        <f>IFERROR(__xludf.DUMMYFUNCTION("GOOGLETRANSLATE(D7254)"),"@ArgentaElite 哈哈 受傷了！！！！天哪，不，我想要一份工作？ xxx")</f>
        <v>@ArgentaElite 哈哈 受傷了！！！！天哪，不，我想要一份工作？ xxx</v>
      </c>
      <c r="G7254" s="4" t="str">
        <f>IFERROR(__xludf.DUMMYFUNCTION("GOOGLETRANSLATE(B7254)"),"受過創傷的")</f>
        <v>受過創傷的</v>
      </c>
    </row>
    <row r="7255" ht="15.75" customHeight="1">
      <c r="A7255" s="4">
        <v>9907.0</v>
      </c>
      <c r="B7255" s="4" t="s">
        <v>4465</v>
      </c>
      <c r="D7255" s="4" t="s">
        <v>10556</v>
      </c>
      <c r="E7255" s="4">
        <v>0.0</v>
      </c>
      <c r="F7255" s="4" t="str">
        <f>IFERROR(__xludf.DUMMYFUNCTION("GOOGLETRANSLATE(D7255)"),"@brookesddl 我受到了創傷，小屎差點和我一起跳進該死的淋浴間")</f>
        <v>@brookesddl 我受到了創傷，小屎差點和我一起跳進該死的淋浴間</v>
      </c>
      <c r="G7255" s="4" t="str">
        <f>IFERROR(__xludf.DUMMYFUNCTION("GOOGLETRANSLATE(B7255)"),"受過創傷的")</f>
        <v>受過創傷的</v>
      </c>
    </row>
    <row r="7256" ht="15.75" customHeight="1">
      <c r="A7256" s="4">
        <v>9909.0</v>
      </c>
      <c r="B7256" s="4" t="s">
        <v>4468</v>
      </c>
      <c r="C7256" s="4" t="s">
        <v>10557</v>
      </c>
      <c r="D7256" s="4" t="s">
        <v>10558</v>
      </c>
      <c r="E7256" s="4">
        <v>0.0</v>
      </c>
      <c r="F7256" s="4" t="str">
        <f>IFERROR(__xludf.DUMMYFUNCTION("GOOGLETRANSLATE(D7256)"),"預算？哦，我有麻煩了......但是，是的，我會同意。 #VarageSale @Candace_Dx")</f>
        <v>預算？哦，我有麻煩了......但是，是的，我會同意。 #VarageSale @Candace_Dx</v>
      </c>
      <c r="G7256" s="4" t="str">
        <f>IFERROR(__xludf.DUMMYFUNCTION("GOOGLETRANSLATE(B7256)"),"麻煩")</f>
        <v>麻煩</v>
      </c>
    </row>
    <row r="7257" ht="15.75" customHeight="1">
      <c r="A7257" s="4">
        <v>9910.0</v>
      </c>
      <c r="B7257" s="4" t="s">
        <v>4468</v>
      </c>
      <c r="C7257" s="4" t="s">
        <v>2186</v>
      </c>
      <c r="D7257" s="4" t="s">
        <v>10559</v>
      </c>
      <c r="E7257" s="4">
        <v>0.0</v>
      </c>
      <c r="F7257" s="4" t="str">
        <f>IFERROR(__xludf.DUMMYFUNCTION("GOOGLETRANSLATE(D7257)"),"如果你與人交談有困難，你會明白的 19 件事 http://t.co/sHaZNLMsFE")</f>
        <v>如果你與人交談有困難，你會明白的 19 件事 http://t.co/sHaZNLMsFE</v>
      </c>
      <c r="G7257" s="4" t="str">
        <f>IFERROR(__xludf.DUMMYFUNCTION("GOOGLETRANSLATE(B7257)"),"麻煩")</f>
        <v>麻煩</v>
      </c>
    </row>
    <row r="7258" ht="15.75" customHeight="1">
      <c r="A7258" s="4">
        <v>9911.0</v>
      </c>
      <c r="B7258" s="4" t="s">
        <v>4468</v>
      </c>
      <c r="D7258" s="4" t="s">
        <v>10560</v>
      </c>
      <c r="E7258" s="4">
        <v>0.0</v>
      </c>
      <c r="F7258" s="4" t="str">
        <f>IFERROR(__xludf.DUMMYFUNCTION("GOOGLETRANSLATE(D7258)"),"無法理解左傾紅黑樹中的旋轉。：我的班級目前正在學習... http://t.co/wGl4LUbnw1")</f>
        <v>無法理解左傾紅黑樹中的旋轉。：我的班級目前正在學習... http://t.co/wGl4LUbnw1</v>
      </c>
      <c r="G7258" s="4" t="str">
        <f>IFERROR(__xludf.DUMMYFUNCTION("GOOGLETRANSLATE(B7258)"),"麻煩")</f>
        <v>麻煩</v>
      </c>
    </row>
    <row r="7259" ht="15.75" customHeight="1">
      <c r="A7259" s="4">
        <v>9915.0</v>
      </c>
      <c r="B7259" s="4" t="s">
        <v>4468</v>
      </c>
      <c r="C7259" s="4" t="s">
        <v>1764</v>
      </c>
      <c r="D7259" s="4" t="s">
        <v>10561</v>
      </c>
      <c r="E7259" s="4">
        <v>0.0</v>
      </c>
      <c r="F7259" s="4" t="str">
        <f>IFERROR(__xludf.DUMMYFUNCTION("GOOGLETRANSLATE(D7259)"),"男人與女人的浪漫與浪漫南非麻煩 - # 預售#theBargain - http://t.co/UMl5jZTmcB")</f>
        <v>男人與女人的浪漫與浪漫南非麻煩 - # 預售#theBargain - http://t.co/UMl5jZTmcB</v>
      </c>
      <c r="G7259" s="4" t="str">
        <f>IFERROR(__xludf.DUMMYFUNCTION("GOOGLETRANSLATE(B7259)"),"麻煩")</f>
        <v>麻煩</v>
      </c>
    </row>
    <row r="7260" ht="15.75" customHeight="1">
      <c r="A7260" s="4">
        <v>9918.0</v>
      </c>
      <c r="B7260" s="4" t="s">
        <v>4468</v>
      </c>
      <c r="C7260" s="4" t="s">
        <v>10562</v>
      </c>
      <c r="D7260" s="4" t="s">
        <v>10563</v>
      </c>
      <c r="E7260" s="4">
        <v>0.0</v>
      </c>
      <c r="F7260" s="4" t="str">
        <f>IFERROR(__xludf.DUMMYFUNCTION("GOOGLETRANSLATE(D7260)"),"@BadAstronomer ...我很難讓學生和成年人明白月球比他們想像的要遠。")</f>
        <v>@BadAstronomer ...我很難讓學生和成年人明白月球比他們想像的要遠。</v>
      </c>
      <c r="G7260" s="4" t="str">
        <f>IFERROR(__xludf.DUMMYFUNCTION("GOOGLETRANSLATE(B7260)"),"麻煩")</f>
        <v>麻煩</v>
      </c>
    </row>
    <row r="7261" ht="15.75" customHeight="1">
      <c r="A7261" s="4">
        <v>9919.0</v>
      </c>
      <c r="B7261" s="4" t="s">
        <v>4468</v>
      </c>
      <c r="D7261" s="4" t="s">
        <v>10564</v>
      </c>
      <c r="E7261" s="4">
        <v>0.0</v>
      </c>
      <c r="F7261" s="4" t="str">
        <f>IFERROR(__xludf.DUMMYFUNCTION("GOOGLETRANSLATE(D7261)"),"諾埃爾備份")</f>
        <v>諾埃爾備份</v>
      </c>
      <c r="G7261" s="4" t="str">
        <f>IFERROR(__xludf.DUMMYFUNCTION("GOOGLETRANSLATE(B7261)"),"麻煩")</f>
        <v>麻煩</v>
      </c>
    </row>
    <row r="7262" ht="15.75" customHeight="1">
      <c r="A7262" s="4">
        <v>9920.0</v>
      </c>
      <c r="B7262" s="4" t="s">
        <v>4468</v>
      </c>
      <c r="C7262" s="4" t="s">
        <v>10565</v>
      </c>
      <c r="D7262" s="4" t="s">
        <v>10566</v>
      </c>
      <c r="E7262" s="4">
        <v>0.0</v>
      </c>
      <c r="F7262" s="4" t="str">
        <f>IFERROR(__xludf.DUMMYFUNCTION("GOOGLETRANSLATE(D7262)"),"當我不順心的時候就麻煩了？？？")</f>
        <v>當我不順心的時候就麻煩了？？？</v>
      </c>
      <c r="G7262" s="4" t="str">
        <f>IFERROR(__xludf.DUMMYFUNCTION("GOOGLETRANSLATE(B7262)"),"麻煩")</f>
        <v>麻煩</v>
      </c>
    </row>
    <row r="7263" ht="15.75" customHeight="1">
      <c r="A7263" s="4">
        <v>9921.0</v>
      </c>
      <c r="B7263" s="4" t="s">
        <v>4468</v>
      </c>
      <c r="C7263" s="4" t="s">
        <v>10567</v>
      </c>
      <c r="D7263" s="4" t="s">
        <v>10568</v>
      </c>
      <c r="E7263" s="4">
        <v>0.0</v>
      </c>
      <c r="F7263" s="4" t="str">
        <f>IFERROR(__xludf.DUMMYFUNCTION("GOOGLETRANSLATE(D7263)"),"@smoak_queen “我會遇到很多麻煩的。”")</f>
        <v>@smoak_queen “我會遇到很多麻煩的。”</v>
      </c>
      <c r="G7263" s="4" t="str">
        <f>IFERROR(__xludf.DUMMYFUNCTION("GOOGLETRANSLATE(B7263)"),"麻煩")</f>
        <v>麻煩</v>
      </c>
    </row>
    <row r="7264" ht="15.75" customHeight="1">
      <c r="A7264" s="4">
        <v>9923.0</v>
      </c>
      <c r="B7264" s="4" t="s">
        <v>4468</v>
      </c>
      <c r="C7264" s="4" t="s">
        <v>10569</v>
      </c>
      <c r="D7264" s="4" t="s">
        <v>10570</v>
      </c>
      <c r="E7264" s="4">
        <v>0.0</v>
      </c>
      <c r="F7264" s="4" t="str">
        <f>IFERROR(__xludf.DUMMYFUNCTION("GOOGLETRANSLATE(D7264)"),"@JusstdoitGirl 從來沒有說過這是一個問題，而且狗屎工作盡量遠離麻煩 wbu 大哥們")</f>
        <v>@JusstdoitGirl 從來沒有說過這是一個問題，而且狗屎工作盡量遠離麻煩 wbu 大哥們</v>
      </c>
      <c r="G7264" s="4" t="str">
        <f>IFERROR(__xludf.DUMMYFUNCTION("GOOGLETRANSLATE(B7264)"),"麻煩")</f>
        <v>麻煩</v>
      </c>
    </row>
    <row r="7265" ht="15.75" customHeight="1">
      <c r="A7265" s="4">
        <v>9925.0</v>
      </c>
      <c r="B7265" s="4" t="s">
        <v>4468</v>
      </c>
      <c r="C7265" s="4" t="s">
        <v>752</v>
      </c>
      <c r="D7265" s="4" t="s">
        <v>10571</v>
      </c>
      <c r="E7265" s="4">
        <v>0.0</v>
      </c>
      <c r="F7265" s="4" t="str">
        <f>IFERROR(__xludf.DUMMYFUNCTION("GOOGLETRANSLATE(D7265)"),"@comcastcares 嘿，又發生了。發生這種情況時有什麼故障排除步驟嗎？")</f>
        <v>@comcastcares 嘿，又發生了。發生這種情況時有什麼故障排除步驟嗎？</v>
      </c>
      <c r="G7265" s="4" t="str">
        <f>IFERROR(__xludf.DUMMYFUNCTION("GOOGLETRANSLATE(B7265)"),"麻煩")</f>
        <v>麻煩</v>
      </c>
    </row>
    <row r="7266" ht="15.75" customHeight="1">
      <c r="A7266" s="4">
        <v>9930.0</v>
      </c>
      <c r="B7266" s="4" t="s">
        <v>4468</v>
      </c>
      <c r="C7266" s="4" t="s">
        <v>1529</v>
      </c>
      <c r="D7266" s="4" t="s">
        <v>10572</v>
      </c>
      <c r="E7266" s="4">
        <v>0.0</v>
      </c>
      <c r="F7266" s="4" t="str">
        <f>IFERROR(__xludf.DUMMYFUNCTION("GOOGLETRANSLATE(D7266)"),"@annajhm @JCOMANSE @paul_staubs @rslm72254 @blanktgt 你一定遇到麻煩了？？這就是為什麼你現在有#Fartanxiety？？？")</f>
        <v>@annajhm @JCOMANSE @paul_staubs @rslm72254 @blanktgt 你一定遇到麻煩了？？這就是為什麼你現在有#Fartanxiety？？？</v>
      </c>
      <c r="G7266" s="4" t="str">
        <f>IFERROR(__xludf.DUMMYFUNCTION("GOOGLETRANSLATE(B7266)"),"麻煩")</f>
        <v>麻煩</v>
      </c>
    </row>
    <row r="7267" ht="15.75" customHeight="1">
      <c r="A7267" s="4">
        <v>9932.0</v>
      </c>
      <c r="B7267" s="4" t="s">
        <v>4468</v>
      </c>
      <c r="C7267" s="4" t="s">
        <v>10573</v>
      </c>
      <c r="D7267" s="4" t="s">
        <v>10574</v>
      </c>
      <c r="E7267" s="4">
        <v>0.0</v>
      </c>
      <c r="F7267" s="4" t="str">
        <f>IFERROR(__xludf.DUMMYFUNCTION("GOOGLETRANSLATE(D7267)"),"即時更新：博伊德在第五場擺脫困境 http://t.co/3ugfpwMY2x 透過@detroitnews")</f>
        <v>即時更新：博伊德在第五場擺脫困境 http://t.co/3ugfpwMY2x 透過@detroitnews</v>
      </c>
      <c r="G7267" s="4" t="str">
        <f>IFERROR(__xludf.DUMMYFUNCTION("GOOGLETRANSLATE(B7267)"),"麻煩")</f>
        <v>麻煩</v>
      </c>
    </row>
    <row r="7268" ht="15.75" customHeight="1">
      <c r="A7268" s="4">
        <v>9934.0</v>
      </c>
      <c r="B7268" s="4" t="s">
        <v>4468</v>
      </c>
      <c r="C7268" s="4" t="s">
        <v>10575</v>
      </c>
      <c r="D7268" s="4" t="s">
        <v>10576</v>
      </c>
      <c r="E7268" s="4">
        <v>0.0</v>
      </c>
      <c r="F7268" s="4" t="str">
        <f>IFERROR(__xludf.DUMMYFUNCTION("GOOGLETRANSLATE(D7268)"),"ÛÏ@YMcglaun：@JulieKragt @WildWestSixGun 這樣你就安全多了。Û是的，更穩定穩定。如果我遇到麻煩我就在那裡坐下")</f>
        <v>ÛÏ@YMcglaun：@JulieKragt @WildWestSixGun 這樣你就安全多了。Û是的，更穩定穩定。如果我遇到麻煩我就在那裡坐下</v>
      </c>
      <c r="G7268" s="4" t="str">
        <f>IFERROR(__xludf.DUMMYFUNCTION("GOOGLETRANSLATE(B7268)"),"麻煩")</f>
        <v>麻煩</v>
      </c>
    </row>
    <row r="7269" ht="15.75" customHeight="1">
      <c r="A7269" s="4">
        <v>9935.0</v>
      </c>
      <c r="B7269" s="4" t="s">
        <v>4468</v>
      </c>
      <c r="D7269" s="4" t="s">
        <v>10577</v>
      </c>
      <c r="E7269" s="4">
        <v>0.0</v>
      </c>
      <c r="F7269" s="4" t="str">
        <f>IFERROR(__xludf.DUMMYFUNCTION("GOOGLETRANSLATE(D7269)"),"巴菲特最喜歡的行業之一的麻煩 http://t.co/J4dqPFLMkR")</f>
        <v>巴菲特最喜歡的行業之一的麻煩 http://t.co/J4dqPFLMkR</v>
      </c>
      <c r="G7269" s="4" t="str">
        <f>IFERROR(__xludf.DUMMYFUNCTION("GOOGLETRANSLATE(B7269)"),"麻煩")</f>
        <v>麻煩</v>
      </c>
    </row>
    <row r="7270" ht="15.75" customHeight="1">
      <c r="A7270" s="4">
        <v>9937.0</v>
      </c>
      <c r="B7270" s="4" t="s">
        <v>4468</v>
      </c>
      <c r="C7270" s="4" t="s">
        <v>4215</v>
      </c>
      <c r="D7270" s="4" t="s">
        <v>10578</v>
      </c>
      <c r="E7270" s="4">
        <v>0.0</v>
      </c>
      <c r="F7270" s="4" t="str">
        <f>IFERROR(__xludf.DUMMYFUNCTION("GOOGLETRANSLATE(D7270)"),"當你遇到麻煩時你知道該找誰")</f>
        <v>當你遇到麻煩時你知道該找誰</v>
      </c>
      <c r="G7270" s="4" t="str">
        <f>IFERROR(__xludf.DUMMYFUNCTION("GOOGLETRANSLATE(B7270)"),"麻煩")</f>
        <v>麻煩</v>
      </c>
    </row>
    <row r="7271" ht="15.75" customHeight="1">
      <c r="A7271" s="4">
        <v>9938.0</v>
      </c>
      <c r="B7271" s="4" t="s">
        <v>4468</v>
      </c>
      <c r="C7271" s="4" t="s">
        <v>10579</v>
      </c>
      <c r="D7271" s="4" t="s">
        <v>10580</v>
      </c>
      <c r="E7271" s="4">
        <v>0.0</v>
      </c>
      <c r="F7271" s="4" t="str">
        <f>IFERROR(__xludf.DUMMYFUNCTION("GOOGLETRANSLATE(D7271)"),"為什麼有麻煩@niallhariss / @simply_vain 直播 http://t.co/iAhJj0agq6")</f>
        <v>為什麼有麻煩@niallhariss / @simply_vain 直播 http://t.co/iAhJj0agq6</v>
      </c>
      <c r="G7271" s="4" t="str">
        <f>IFERROR(__xludf.DUMMYFUNCTION("GOOGLETRANSLATE(B7271)"),"麻煩")</f>
        <v>麻煩</v>
      </c>
    </row>
    <row r="7272" ht="15.75" customHeight="1">
      <c r="A7272" s="4">
        <v>9941.0</v>
      </c>
      <c r="B7272" s="4" t="s">
        <v>4468</v>
      </c>
      <c r="D7272" s="4" t="s">
        <v>10581</v>
      </c>
      <c r="E7272" s="4">
        <v>0.0</v>
      </c>
      <c r="F7272" s="4" t="str">
        <f>IFERROR(__xludf.DUMMYFUNCTION("GOOGLETRANSLATE(D7272)"),"我聽過的最糟糕的聲音是我媽媽發出的「妮基，你有麻煩了」的聲音")</f>
        <v>我聽過的最糟糕的聲音是我媽媽發出的「妮基，你有麻煩了」的聲音</v>
      </c>
      <c r="G7272" s="4" t="str">
        <f>IFERROR(__xludf.DUMMYFUNCTION("GOOGLETRANSLATE(B7272)"),"麻煩")</f>
        <v>麻煩</v>
      </c>
    </row>
    <row r="7273" ht="15.75" customHeight="1">
      <c r="A7273" s="4">
        <v>9942.0</v>
      </c>
      <c r="B7273" s="4" t="s">
        <v>4468</v>
      </c>
      <c r="D7273" s="4" t="s">
        <v>10582</v>
      </c>
      <c r="E7273" s="4">
        <v>0.0</v>
      </c>
      <c r="F7273" s="4" t="str">
        <f>IFERROR(__xludf.DUMMYFUNCTION("GOOGLETRANSLATE(D7273)"),"@_charleyisqueen 是的，也許如果理髮師沒有把我的頭髮剪得太短，我就不會經歷雞蛋的麻煩了？？？")</f>
        <v>@_charleyisqueen 是的，也許如果理髮師沒有把我的頭髮剪得太短，我就不會經歷雞蛋的麻煩了？？？</v>
      </c>
      <c r="G7273" s="4" t="str">
        <f>IFERROR(__xludf.DUMMYFUNCTION("GOOGLETRANSLATE(B7273)"),"麻煩")</f>
        <v>麻煩</v>
      </c>
    </row>
    <row r="7274" ht="15.75" customHeight="1">
      <c r="A7274" s="4">
        <v>9943.0</v>
      </c>
      <c r="B7274" s="4" t="s">
        <v>4468</v>
      </c>
      <c r="D7274" s="4" t="s">
        <v>10583</v>
      </c>
      <c r="E7274" s="4">
        <v>0.0</v>
      </c>
      <c r="F7274" s="4" t="str">
        <f>IFERROR(__xludf.DUMMYFUNCTION("GOOGLETRANSLATE(D7274)"),"喜歡我不會因為有人來而惹上任何麻煩，而房子仍然被毀壞")</f>
        <v>喜歡我不會因為有人來而惹上任何麻煩，而房子仍然被毀壞</v>
      </c>
      <c r="G7274" s="4" t="str">
        <f>IFERROR(__xludf.DUMMYFUNCTION("GOOGLETRANSLATE(B7274)"),"麻煩")</f>
        <v>麻煩</v>
      </c>
    </row>
    <row r="7275" ht="15.75" customHeight="1">
      <c r="A7275" s="4">
        <v>9944.0</v>
      </c>
      <c r="B7275" s="4" t="s">
        <v>4468</v>
      </c>
      <c r="C7275" s="4" t="s">
        <v>10584</v>
      </c>
      <c r="D7275" s="4" t="s">
        <v>10585</v>
      </c>
      <c r="E7275" s="4">
        <v>0.0</v>
      </c>
      <c r="F7275" s="4" t="str">
        <f>IFERROR(__xludf.DUMMYFUNCTION("GOOGLETRANSLATE(D7275)"),"@KerryKatona7 你好，請考慮關注我，拜託，我從來沒有遇到任何麻煩，哈哈，非常感謝:-)")</f>
        <v>@KerryKatona7 你好，請考慮關注我，拜託，我從來沒有遇到任何麻煩，哈哈，非常感謝:-)</v>
      </c>
      <c r="G7275" s="4" t="str">
        <f>IFERROR(__xludf.DUMMYFUNCTION("GOOGLETRANSLATE(B7275)"),"麻煩")</f>
        <v>麻煩</v>
      </c>
    </row>
    <row r="7276" ht="15.75" customHeight="1">
      <c r="A7276" s="4">
        <v>9945.0</v>
      </c>
      <c r="B7276" s="4" t="s">
        <v>4468</v>
      </c>
      <c r="C7276" s="4" t="s">
        <v>10586</v>
      </c>
      <c r="D7276" s="4" t="s">
        <v>10587</v>
      </c>
      <c r="E7276" s="4">
        <v>0.0</v>
      </c>
      <c r="F7276" s="4" t="str">
        <f>IFERROR(__xludf.DUMMYFUNCTION("GOOGLETRANSLATE(D7276)"),"@TJ_Robertson2 不，我們總是因為笑太多而陷入麻煩？")</f>
        <v>@TJ_Robertson2 不，我們總是因為笑太多而陷入麻煩？</v>
      </c>
      <c r="G7276" s="4" t="str">
        <f>IFERROR(__xludf.DUMMYFUNCTION("GOOGLETRANSLATE(B7276)"),"麻煩")</f>
        <v>麻煩</v>
      </c>
    </row>
    <row r="7277" ht="15.75" customHeight="1">
      <c r="A7277" s="4">
        <v>9946.0</v>
      </c>
      <c r="B7277" s="4" t="s">
        <v>4468</v>
      </c>
      <c r="C7277" s="4" t="s">
        <v>10588</v>
      </c>
      <c r="D7277" s="4" t="s">
        <v>10589</v>
      </c>
      <c r="E7277" s="4">
        <v>0.0</v>
      </c>
      <c r="F7277" s="4" t="str">
        <f>IFERROR(__xludf.DUMMYFUNCTION("GOOGLETRANSLATE(D7277)"),"@charlieputh 這首歌的節奏很酷，就像 Nothing But Trouble 一樣")</f>
        <v>@charlieputh 這首歌的節奏很酷，就像 Nothing But Trouble 一樣</v>
      </c>
      <c r="G7277" s="4" t="str">
        <f>IFERROR(__xludf.DUMMYFUNCTION("GOOGLETRANSLATE(B7277)"),"麻煩")</f>
        <v>麻煩</v>
      </c>
    </row>
    <row r="7278" ht="15.75" customHeight="1">
      <c r="A7278" s="4">
        <v>9948.0</v>
      </c>
      <c r="B7278" s="4" t="s">
        <v>4468</v>
      </c>
      <c r="C7278" s="4" t="s">
        <v>96</v>
      </c>
      <c r="D7278" s="4" t="s">
        <v>10590</v>
      </c>
      <c r="E7278" s="4">
        <v>0.0</v>
      </c>
      <c r="F7278" s="4" t="str">
        <f>IFERROR(__xludf.DUMMYFUNCTION("GOOGLETRANSLATE(D7278)"),"Reddit 的新內容政策表明 Reddit 可能無法擁有全部內容 http://t.co/YO3T8qho9h via @nkulw http://t.co/8oDTzMvqaR")</f>
        <v>Reddit 的新內容政策表明 Reddit 可能無法擁有全部內容 http://t.co/YO3T8qho9h via @nkulw http://t.co/8oDTzMvqaR</v>
      </c>
      <c r="G7278" s="4" t="str">
        <f>IFERROR(__xludf.DUMMYFUNCTION("GOOGLETRANSLATE(B7278)"),"麻煩")</f>
        <v>麻煩</v>
      </c>
    </row>
    <row r="7279" ht="15.75" customHeight="1">
      <c r="A7279" s="4">
        <v>9949.0</v>
      </c>
      <c r="B7279" s="4" t="s">
        <v>4468</v>
      </c>
      <c r="C7279" s="4" t="s">
        <v>38</v>
      </c>
      <c r="D7279" s="4" t="s">
        <v>10591</v>
      </c>
      <c r="E7279" s="4">
        <v>0.0</v>
      </c>
      <c r="F7279" s="4" t="str">
        <f>IFERROR(__xludf.DUMMYFUNCTION("GOOGLETRANSLATE(D7279)"),"@astros 防守極其糟糕，這並不全在投手身上。如果我們的球棒像第一局上半部那樣消失，那麼這支球隊就有麻煩了。")</f>
        <v>@astros 防守極其糟糕，這並不全在投手身上。如果我們的球棒像第一局上半部那樣消失，那麼這支球隊就有麻煩了。</v>
      </c>
      <c r="G7279" s="4" t="str">
        <f>IFERROR(__xludf.DUMMYFUNCTION("GOOGLETRANSLATE(B7279)"),"麻煩")</f>
        <v>麻煩</v>
      </c>
    </row>
    <row r="7280" ht="15.75" customHeight="1">
      <c r="A7280" s="4">
        <v>9950.0</v>
      </c>
      <c r="B7280" s="4" t="s">
        <v>4468</v>
      </c>
      <c r="D7280" s="4" t="s">
        <v>10592</v>
      </c>
      <c r="E7280" s="4">
        <v>0.0</v>
      </c>
      <c r="F7280" s="4" t="str">
        <f>IFERROR(__xludf.DUMMYFUNCTION("GOOGLETRANSLATE(D7280)"),"@PrinceofFencing 該死的夏天，濕度增加並造成麻煩")</f>
        <v>@PrinceofFencing 該死的夏天，濕度增加並造成麻煩</v>
      </c>
      <c r="G7280" s="4" t="str">
        <f>IFERROR(__xludf.DUMMYFUNCTION("GOOGLETRANSLATE(B7280)"),"麻煩")</f>
        <v>麻煩</v>
      </c>
    </row>
    <row r="7281" ht="15.75" customHeight="1">
      <c r="A7281" s="4">
        <v>9952.0</v>
      </c>
      <c r="B7281" s="4" t="s">
        <v>4468</v>
      </c>
      <c r="D7281" s="4" t="s">
        <v>10593</v>
      </c>
      <c r="E7281" s="4">
        <v>0.0</v>
      </c>
      <c r="F7281" s="4" t="str">
        <f>IFERROR(__xludf.DUMMYFUNCTION("GOOGLETRANSLATE(D7281)"),"如果你很難獲得動力，請記住，時間會過去，遺憾也會隨之而來——馬修唐納利")</f>
        <v>如果你很難獲得動力，請記住，時間會過去，遺憾也會隨之而來——馬修唐納利</v>
      </c>
      <c r="G7281" s="4" t="str">
        <f>IFERROR(__xludf.DUMMYFUNCTION("GOOGLETRANSLATE(B7281)"),"麻煩")</f>
        <v>麻煩</v>
      </c>
    </row>
    <row r="7282" ht="15.75" customHeight="1">
      <c r="A7282" s="4">
        <v>9953.0</v>
      </c>
      <c r="B7282" s="4" t="s">
        <v>4468</v>
      </c>
      <c r="D7282" s="4" t="s">
        <v>10594</v>
      </c>
      <c r="E7282" s="4">
        <v>0.0</v>
      </c>
      <c r="F7282" s="4" t="str">
        <f>IFERROR(__xludf.DUMMYFUNCTION("GOOGLETRANSLATE(D7282)"),"除了麻煩什麼都沒有 - Lil Wayne &amp;amp;查理普斯？？？？？？？")</f>
        <v>除了麻煩什麼都沒有 - Lil Wayne &amp;amp;查理普斯？？？？？？？</v>
      </c>
      <c r="G7282" s="4" t="str">
        <f>IFERROR(__xludf.DUMMYFUNCTION("GOOGLETRANSLATE(B7282)"),"麻煩")</f>
        <v>麻煩</v>
      </c>
    </row>
    <row r="7283" ht="15.75" customHeight="1">
      <c r="A7283" s="4">
        <v>9955.0</v>
      </c>
      <c r="B7283" s="4" t="s">
        <v>4468</v>
      </c>
      <c r="C7283" s="4" t="s">
        <v>620</v>
      </c>
      <c r="D7283" s="4" t="s">
        <v>10595</v>
      </c>
      <c r="E7283" s="4">
        <v>0.0</v>
      </c>
      <c r="F7283" s="4" t="str">
        <f>IFERROR(__xludf.DUMMYFUNCTION("GOOGLETRANSLATE(D7283)"),"精神迷霧有問題嗎？考慮這些測試：http://t.co/XAerMBMvlv")</f>
        <v>精神迷霧有問題嗎？考慮這些測試：http://t.co/XAerMBMvlv</v>
      </c>
      <c r="G7283" s="4" t="str">
        <f>IFERROR(__xludf.DUMMYFUNCTION("GOOGLETRANSLATE(B7283)"),"麻煩")</f>
        <v>麻煩</v>
      </c>
    </row>
    <row r="7284" ht="15.75" customHeight="1">
      <c r="A7284" s="4">
        <v>9958.0</v>
      </c>
      <c r="B7284" s="4" t="s">
        <v>4476</v>
      </c>
      <c r="D7284" s="4" t="s">
        <v>10596</v>
      </c>
      <c r="E7284" s="4">
        <v>0.0</v>
      </c>
      <c r="F7284" s="4" t="str">
        <f>IFERROR(__xludf.DUMMYFUNCTION("GOOGLETRANSLATE(D7284)"),"我覺得很幸運 rn")</f>
        <v>我覺得很幸運 rn</v>
      </c>
      <c r="G7284" s="4" t="str">
        <f>IFERROR(__xludf.DUMMYFUNCTION("GOOGLETRANSLATE(B7284)"),"海嘯")</f>
        <v>海嘯</v>
      </c>
    </row>
    <row r="7285" ht="15.75" customHeight="1">
      <c r="A7285" s="4">
        <v>9963.0</v>
      </c>
      <c r="B7285" s="4" t="s">
        <v>4476</v>
      </c>
      <c r="C7285" s="4" t="s">
        <v>1959</v>
      </c>
      <c r="D7285" s="4" t="s">
        <v>10597</v>
      </c>
      <c r="E7285" s="4">
        <v>0.0</v>
      </c>
      <c r="F7285" s="4" t="str">
        <f>IFERROR(__xludf.DUMMYFUNCTION("GOOGLETRANSLATE(D7285)"),"@freefromwolves GodsLove＆amp; #thankU 兄弟丹尼轉發新影片 http://t.co/cybKsXHF7d 即將到來的世界末日美國地震和地震海嘯")</f>
        <v>@freefromwolves GodsLove＆amp; #thankU 兄弟丹尼轉發新影片 http://t.co/cybKsXHF7d 即將到來的世界末日美國地震和地震海嘯</v>
      </c>
      <c r="G7285" s="4" t="str">
        <f>IFERROR(__xludf.DUMMYFUNCTION("GOOGLETRANSLATE(B7285)"),"海嘯")</f>
        <v>海嘯</v>
      </c>
    </row>
    <row r="7286" ht="15.75" customHeight="1">
      <c r="A7286" s="4">
        <v>9965.0</v>
      </c>
      <c r="B7286" s="4" t="s">
        <v>4476</v>
      </c>
      <c r="C7286" s="4" t="s">
        <v>620</v>
      </c>
      <c r="D7286" s="4" t="s">
        <v>10598</v>
      </c>
      <c r="E7286" s="4">
        <v>0.0</v>
      </c>
      <c r="F7286" s="4" t="str">
        <f>IFERROR(__xludf.DUMMYFUNCTION("GOOGLETRANSLATE(D7286)"),"我在華盛頓特區的 Baan Thai / Tsunami Sushi https://t.co/Udp10FRXrL")</f>
        <v>我在華盛頓特區的 Baan Thai / Tsunami Sushi https://t.co/Udp10FRXrL</v>
      </c>
      <c r="G7286" s="4" t="str">
        <f>IFERROR(__xludf.DUMMYFUNCTION("GOOGLETRANSLATE(B7286)"),"海嘯")</f>
        <v>海嘯</v>
      </c>
    </row>
    <row r="7287" ht="15.75" customHeight="1">
      <c r="A7287" s="4">
        <v>9967.0</v>
      </c>
      <c r="B7287" s="4" t="s">
        <v>4476</v>
      </c>
      <c r="D7287" s="4" t="s">
        <v>10599</v>
      </c>
      <c r="E7287" s="4">
        <v>0.0</v>
      </c>
      <c r="F7287" s="4" t="str">
        <f>IFERROR(__xludf.DUMMYFUNCTION("GOOGLETRANSLATE(D7287)"),"她像海嘯一樣保持濕潤。")</f>
        <v>她像海嘯一樣保持濕潤。</v>
      </c>
      <c r="G7287" s="4" t="str">
        <f>IFERROR(__xludf.DUMMYFUNCTION("GOOGLETRANSLATE(B7287)"),"海嘯")</f>
        <v>海嘯</v>
      </c>
    </row>
    <row r="7288" ht="15.75" customHeight="1">
      <c r="A7288" s="4">
        <v>9971.0</v>
      </c>
      <c r="B7288" s="4" t="s">
        <v>4476</v>
      </c>
      <c r="C7288" s="4" t="s">
        <v>10600</v>
      </c>
      <c r="D7288" s="4" t="s">
        <v>10601</v>
      </c>
      <c r="E7288" s="4">
        <v>0.0</v>
      </c>
      <c r="F7288" s="4" t="str">
        <f>IFERROR(__xludf.DUMMYFUNCTION("GOOGLETRANSLATE(D7288)"),"#BBShelli 似乎很確定她會留下來！ #BB17")</f>
        <v>#BBShelli 似乎很確定她會留下來！ #BB17</v>
      </c>
      <c r="G7288" s="4" t="str">
        <f>IFERROR(__xludf.DUMMYFUNCTION("GOOGLETRANSLATE(B7288)"),"海嘯")</f>
        <v>海嘯</v>
      </c>
    </row>
    <row r="7289" ht="15.75" customHeight="1">
      <c r="A7289" s="4">
        <v>9973.0</v>
      </c>
      <c r="B7289" s="4" t="s">
        <v>4476</v>
      </c>
      <c r="D7289" s="4" t="s">
        <v>10602</v>
      </c>
      <c r="E7289" s="4">
        <v>0.0</v>
      </c>
      <c r="F7289" s="4" t="str">
        <f>IFERROR(__xludf.DUMMYFUNCTION("GOOGLETRANSLATE(D7289)"),"#sing #tsunami 初學者 #computer 教學。：http://t.co/ukQYbhxMQI 每個人都想學習組裝電腦。回覆 http://t.co/iDWS2ZgYsa")</f>
        <v>#sing #tsunami 初學者 #computer 教學。：http://t.co/ukQYbhxMQI 每個人都想學習組裝電腦。回覆 http://t.co/iDWS2ZgYsa</v>
      </c>
      <c r="G7289" s="4" t="str">
        <f>IFERROR(__xludf.DUMMYFUNCTION("GOOGLETRANSLATE(B7289)"),"海嘯")</f>
        <v>海嘯</v>
      </c>
    </row>
    <row r="7290" ht="15.75" customHeight="1">
      <c r="A7290" s="4">
        <v>9974.0</v>
      </c>
      <c r="B7290" s="4" t="s">
        <v>4476</v>
      </c>
      <c r="C7290" s="4" t="s">
        <v>10603</v>
      </c>
      <c r="D7290" s="4" t="s">
        <v>10604</v>
      </c>
      <c r="E7290" s="4">
        <v>0.0</v>
      </c>
      <c r="F7290" s="4" t="str">
        <f>IFERROR(__xludf.DUMMYFUNCTION("GOOGLETRANSLATE(D7290)"),"這是我的高年級，我只想全力以赴")</f>
        <v>這是我的高年級，我只想全力以赴</v>
      </c>
      <c r="G7290" s="4" t="str">
        <f>IFERROR(__xludf.DUMMYFUNCTION("GOOGLETRANSLATE(B7290)"),"海嘯")</f>
        <v>海嘯</v>
      </c>
    </row>
    <row r="7291" ht="15.75" customHeight="1">
      <c r="A7291" s="4">
        <v>9979.0</v>
      </c>
      <c r="B7291" s="4" t="s">
        <v>4476</v>
      </c>
      <c r="D7291" s="4" t="s">
        <v>10605</v>
      </c>
      <c r="E7291" s="4">
        <v>0.0</v>
      </c>
      <c r="F7291" s="4" t="str">
        <f>IFERROR(__xludf.DUMMYFUNCTION("GOOGLETRANSLATE(D7291)"),"海嘯 - DVBBS 和 DVBBS Borgeous（Arceen Festival Trap Remix）https://t.co/743JoqazrT 來自 @YouTube")</f>
        <v>海嘯 - DVBBS 和 DVBBS Borgeous（Arceen Festival Trap Remix）https://t.co/743JoqazrT 來自 @YouTube</v>
      </c>
      <c r="G7291" s="4" t="str">
        <f>IFERROR(__xludf.DUMMYFUNCTION("GOOGLETRANSLATE(B7291)"),"海嘯")</f>
        <v>海嘯</v>
      </c>
    </row>
    <row r="7292" ht="15.75" customHeight="1">
      <c r="A7292" s="4">
        <v>9980.0</v>
      </c>
      <c r="B7292" s="4" t="s">
        <v>4476</v>
      </c>
      <c r="D7292" s="4" t="s">
        <v>10606</v>
      </c>
      <c r="E7292" s="4">
        <v>0.0</v>
      </c>
      <c r="F7292" s="4" t="str">
        <f>IFERROR(__xludf.DUMMYFUNCTION("GOOGLETRANSLATE(D7292)"),"#sing #tsunami 初學者 #computer 教學：http://t.co/ia44ncZLif 每個人都想學習組裝一台電腦。回覆 http://t.co/oGTuV1pLhT")</f>
        <v>#sing #tsunami 初學者 #computer 教學：http://t.co/ia44ncZLif 每個人都想學習組裝一台電腦。回覆 http://t.co/oGTuV1pLhT</v>
      </c>
      <c r="G7292" s="4" t="str">
        <f>IFERROR(__xludf.DUMMYFUNCTION("GOOGLETRANSLATE(B7292)"),"海嘯")</f>
        <v>海嘯</v>
      </c>
    </row>
    <row r="7293" ht="15.75" customHeight="1">
      <c r="A7293" s="4">
        <v>9982.0</v>
      </c>
      <c r="B7293" s="4" t="s">
        <v>4476</v>
      </c>
      <c r="C7293" s="4" t="s">
        <v>10607</v>
      </c>
      <c r="D7293" s="4" t="s">
        <v>10608</v>
      </c>
      <c r="E7293" s="4">
        <v>0.0</v>
      </c>
      <c r="F7293" s="4" t="str">
        <f>IFERROR(__xludf.DUMMYFUNCTION("GOOGLETRANSLATE(D7293)"),"@海嘯_esh ??嘿阿什")</f>
        <v>@海嘯_esh ??嘿阿什</v>
      </c>
      <c r="G7293" s="4" t="str">
        <f>IFERROR(__xludf.DUMMYFUNCTION("GOOGLETRANSLATE(B7293)"),"海嘯")</f>
        <v>海嘯</v>
      </c>
    </row>
    <row r="7294" ht="15.75" customHeight="1">
      <c r="A7294" s="4">
        <v>9983.0</v>
      </c>
      <c r="B7294" s="4" t="s">
        <v>4476</v>
      </c>
      <c r="C7294" s="4" t="s">
        <v>10609</v>
      </c>
      <c r="D7294" s="4" t="s">
        <v>10610</v>
      </c>
      <c r="E7294" s="4">
        <v>0.0</v>
      </c>
      <c r="F7294" s="4" t="str">
        <f>IFERROR(__xludf.DUMMYFUNCTION("GOOGLETRANSLATE(D7294)"),"“不管怎樣，”老太太繼續說道，“我有件事要問你——只有你一個人。”即將到來的海嘯 http://t.co/tYeWZf3hqA")</f>
        <v>“不管怎樣，”老太太繼續說道，“我有件事要問你——只有你一個人。”即將到來的海嘯 http://t.co/tYeWZf3hqA</v>
      </c>
      <c r="G7294" s="4" t="str">
        <f>IFERROR(__xludf.DUMMYFUNCTION("GOOGLETRANSLATE(B7294)"),"海嘯")</f>
        <v>海嘯</v>
      </c>
    </row>
    <row r="7295" ht="15.75" customHeight="1">
      <c r="A7295" s="4">
        <v>9984.0</v>
      </c>
      <c r="B7295" s="4" t="s">
        <v>4476</v>
      </c>
      <c r="D7295" s="4" t="s">
        <v>10611</v>
      </c>
      <c r="E7295" s="4">
        <v>0.0</v>
      </c>
      <c r="F7295" s="4" t="str">
        <f>IFERROR(__xludf.DUMMYFUNCTION("GOOGLETRANSLATE(D7295)"),"6 個趨勢正在引發新創企業的資料海嘯 http://t.co/sjh0HsRp4s #startup")</f>
        <v>6 個趨勢正在引發新創企業的資料海嘯 http://t.co/sjh0HsRp4s #startup</v>
      </c>
      <c r="G7295" s="4" t="str">
        <f>IFERROR(__xludf.DUMMYFUNCTION("GOOGLETRANSLATE(B7295)"),"海嘯")</f>
        <v>海嘯</v>
      </c>
    </row>
    <row r="7296" ht="15.75" customHeight="1">
      <c r="A7296" s="4">
        <v>9986.0</v>
      </c>
      <c r="B7296" s="4" t="s">
        <v>4476</v>
      </c>
      <c r="C7296" s="4" t="s">
        <v>10612</v>
      </c>
      <c r="D7296" s="4" t="s">
        <v>10613</v>
      </c>
      <c r="E7296" s="4">
        <v>0.0</v>
      </c>
      <c r="F7296" s="4" t="str">
        <f>IFERROR(__xludf.DUMMYFUNCTION("GOOGLETRANSLATE(D7296)"),"@TSUNAMI_nopeach ??????我很弱af")</f>
        <v>@TSUNAMI_nopeach ??????我很弱af</v>
      </c>
      <c r="G7296" s="4" t="str">
        <f>IFERROR(__xludf.DUMMYFUNCTION("GOOGLETRANSLATE(B7296)"),"海嘯")</f>
        <v>海嘯</v>
      </c>
    </row>
    <row r="7297" ht="15.75" customHeight="1">
      <c r="A7297" s="4">
        <v>9987.0</v>
      </c>
      <c r="B7297" s="4" t="s">
        <v>4476</v>
      </c>
      <c r="C7297" s="4" t="s">
        <v>10614</v>
      </c>
      <c r="D7297" s="4" t="s">
        <v>10615</v>
      </c>
      <c r="E7297" s="4">
        <v>0.0</v>
      </c>
      <c r="F7297" s="4" t="str">
        <f>IFERROR(__xludf.DUMMYFUNCTION("GOOGLETRANSLATE(D7297)"),"夥計，我的胃感覺像海嘯一樣？")</f>
        <v>夥計，我的胃感覺像海嘯一樣？</v>
      </c>
      <c r="G7297" s="4" t="str">
        <f>IFERROR(__xludf.DUMMYFUNCTION("GOOGLETRANSLATE(B7297)"),"海嘯")</f>
        <v>海嘯</v>
      </c>
    </row>
    <row r="7298" ht="15.75" customHeight="1">
      <c r="A7298" s="4">
        <v>9990.0</v>
      </c>
      <c r="B7298" s="4" t="s">
        <v>4476</v>
      </c>
      <c r="C7298" s="4" t="s">
        <v>10616</v>
      </c>
      <c r="D7298" s="4" t="s">
        <v>10617</v>
      </c>
      <c r="E7298" s="4">
        <v>0.0</v>
      </c>
      <c r="F7298" s="4" t="str">
        <f>IFERROR(__xludf.DUMMYFUNCTION("GOOGLETRANSLATE(D7298)"),"@tsunami_esh ESH 拜託，好！")</f>
        <v>@tsunami_esh ESH 拜託，好！</v>
      </c>
      <c r="G7298" s="4" t="str">
        <f>IFERROR(__xludf.DUMMYFUNCTION("GOOGLETRANSLATE(B7298)"),"海嘯")</f>
        <v>海嘯</v>
      </c>
    </row>
    <row r="7299" ht="15.75" customHeight="1">
      <c r="A7299" s="4">
        <v>9994.0</v>
      </c>
      <c r="B7299" s="4" t="s">
        <v>4476</v>
      </c>
      <c r="C7299" s="4" t="s">
        <v>215</v>
      </c>
      <c r="D7299" s="4" t="s">
        <v>10618</v>
      </c>
      <c r="E7299" s="4">
        <v>0.0</v>
      </c>
      <c r="F7299" s="4" t="str">
        <f>IFERROR(__xludf.DUMMYFUNCTION("GOOGLETRANSLATE(D7299)"),"吉姆博士和海嘯：最新的《紐約客》毫不含糊地警告我們。你沒聽過嗎？海嘯的...http://t.co/1RrEO2jG9u")</f>
        <v>吉姆博士和海嘯：最新的《紐約客》毫不含糊地警告我們。你沒聽過嗎？海嘯的...http://t.co/1RrEO2jG9u</v>
      </c>
      <c r="G7299" s="4" t="str">
        <f>IFERROR(__xludf.DUMMYFUNCTION("GOOGLETRANSLATE(B7299)"),"海嘯")</f>
        <v>海嘯</v>
      </c>
    </row>
    <row r="7300" ht="15.75" customHeight="1">
      <c r="A7300" s="4">
        <v>9995.0</v>
      </c>
      <c r="B7300" s="4" t="s">
        <v>4476</v>
      </c>
      <c r="C7300" s="4" t="s">
        <v>10619</v>
      </c>
      <c r="D7300" s="4" t="s">
        <v>10620</v>
      </c>
      <c r="E7300" s="4">
        <v>0.0</v>
      </c>
      <c r="F7300" s="4" t="str">
        <f>IFERROR(__xludf.DUMMYFUNCTION("GOOGLETRANSLATE(D7300)"),"我不再有想你的浪潮...它們在我眼裡更像是海嘯潮汐")</f>
        <v>我不再有想你的浪潮...它們在我眼裡更像是海嘯潮汐</v>
      </c>
      <c r="G7300" s="4" t="str">
        <f>IFERROR(__xludf.DUMMYFUNCTION("GOOGLETRANSLATE(B7300)"),"海嘯")</f>
        <v>海嘯</v>
      </c>
    </row>
    <row r="7301" ht="15.75" customHeight="1">
      <c r="A7301" s="4">
        <v>9998.0</v>
      </c>
      <c r="B7301" s="4" t="s">
        <v>4476</v>
      </c>
      <c r="D7301" s="4" t="s">
        <v>10621</v>
      </c>
      <c r="E7301" s="4">
        <v>0.0</v>
      </c>
      <c r="F7301" s="4" t="str">
        <f>IFERROR(__xludf.DUMMYFUNCTION("GOOGLETRANSLATE(D7301)"),"@Kamunt 天啊，自從我看這部電影以來，已經是永遠的事了，但懷舊浪潮就像海嘯一樣襲擊了我！謝謝你喲！")</f>
        <v>@Kamunt 天啊，自從我看這部電影以來，已經是永遠的事了，但懷舊浪潮就像海嘯一樣襲擊了我！謝謝你喲！</v>
      </c>
      <c r="G7301" s="4" t="str">
        <f>IFERROR(__xludf.DUMMYFUNCTION("GOOGLETRANSLATE(B7301)"),"海嘯")</f>
        <v>海嘯</v>
      </c>
    </row>
    <row r="7302" ht="15.75" customHeight="1">
      <c r="A7302" s="4">
        <v>10000.0</v>
      </c>
      <c r="B7302" s="4" t="s">
        <v>4476</v>
      </c>
      <c r="D7302" s="4" t="s">
        <v>10622</v>
      </c>
      <c r="E7302" s="4">
        <v>0.0</v>
      </c>
      <c r="F7302" s="4" t="str">
        <f>IFERROR(__xludf.DUMMYFUNCTION("GOOGLETRANSLATE(D7302)"),"我喜歡了 @YouTube 影片 http://t.co/0h7OUa1pns Call of Duty: Ghosts - Campanha - EP 6 'Tsunami'")</f>
        <v>我喜歡了 @YouTube 影片 http://t.co/0h7OUa1pns Call of Duty: Ghosts - Campanha - EP 6 'Tsunami'</v>
      </c>
      <c r="G7302" s="4" t="str">
        <f>IFERROR(__xludf.DUMMYFUNCTION("GOOGLETRANSLATE(B7302)"),"海嘯")</f>
        <v>海嘯</v>
      </c>
    </row>
    <row r="7303" ht="15.75" customHeight="1">
      <c r="A7303" s="4">
        <v>10003.0</v>
      </c>
      <c r="B7303" s="4" t="s">
        <v>4476</v>
      </c>
      <c r="C7303" s="4" t="s">
        <v>10623</v>
      </c>
      <c r="D7303" s="4" t="s">
        <v>10624</v>
      </c>
      <c r="E7303" s="4">
        <v>0.0</v>
      </c>
      <c r="F7303" s="4" t="str">
        <f>IFERROR(__xludf.DUMMYFUNCTION("GOOGLETRANSLATE(D7303)"),"我想要一些海嘯外賣")</f>
        <v>我想要一些海嘯外賣</v>
      </c>
      <c r="G7303" s="4" t="str">
        <f>IFERROR(__xludf.DUMMYFUNCTION("GOOGLETRANSLATE(B7303)"),"海嘯")</f>
        <v>海嘯</v>
      </c>
    </row>
    <row r="7304" ht="15.75" customHeight="1">
      <c r="A7304" s="4">
        <v>10004.0</v>
      </c>
      <c r="B7304" s="4" t="s">
        <v>4476</v>
      </c>
      <c r="C7304" s="4" t="s">
        <v>1959</v>
      </c>
      <c r="D7304" s="4" t="s">
        <v>10625</v>
      </c>
      <c r="E7304" s="4">
        <v>0.0</v>
      </c>
      <c r="F7304" s="4" t="str">
        <f>IFERROR(__xludf.DUMMYFUNCTION("GOOGLETRANSLATE(D7304)"),"@GreenLacey GodsLove &amp;amp; #thankU 我妹妹轉發了新影片 http://t.co/cybKsXHF7d 即將到來的世界末日美國地震和地震海嘯")</f>
        <v>@GreenLacey GodsLove &amp;amp; #thankU 我妹妹轉發了新影片 http://t.co/cybKsXHF7d 即將到來的世界末日美國地震和地震海嘯</v>
      </c>
      <c r="G7304" s="4" t="str">
        <f>IFERROR(__xludf.DUMMYFUNCTION("GOOGLETRANSLATE(B7304)"),"海嘯")</f>
        <v>海嘯</v>
      </c>
    </row>
    <row r="7305" ht="15.75" customHeight="1">
      <c r="A7305" s="4">
        <v>10005.0</v>
      </c>
      <c r="B7305" s="4" t="s">
        <v>4476</v>
      </c>
      <c r="D7305" s="4" t="s">
        <v>10626</v>
      </c>
      <c r="E7305" s="4">
        <v>0.0</v>
      </c>
      <c r="F7305" s="4" t="str">
        <f>IFERROR(__xludf.DUMMYFUNCTION("GOOGLETRANSLATE(D7305)"),"所有這些能量")</f>
        <v>所有這些能量</v>
      </c>
      <c r="G7305" s="4" t="str">
        <f>IFERROR(__xludf.DUMMYFUNCTION("GOOGLETRANSLATE(B7305)"),"海嘯")</f>
        <v>海嘯</v>
      </c>
    </row>
    <row r="7306" ht="15.75" customHeight="1">
      <c r="A7306" s="4">
        <v>10006.0</v>
      </c>
      <c r="B7306" s="4" t="s">
        <v>4476</v>
      </c>
      <c r="D7306" s="4" t="s">
        <v>10627</v>
      </c>
      <c r="E7306" s="4">
        <v>0.0</v>
      </c>
      <c r="F7306" s="4" t="str">
        <f>IFERROR(__xludf.DUMMYFUNCTION("GOOGLETRANSLATE(D7306)"),"@Eric_Tsunami 擔心自己")</f>
        <v>@Eric_Tsunami 擔心自己</v>
      </c>
      <c r="G7306" s="4" t="str">
        <f>IFERROR(__xludf.DUMMYFUNCTION("GOOGLETRANSLATE(B7306)"),"海嘯")</f>
        <v>海嘯</v>
      </c>
    </row>
    <row r="7307" ht="15.75" customHeight="1">
      <c r="A7307" s="4">
        <v>10010.0</v>
      </c>
      <c r="B7307" s="4" t="s">
        <v>4493</v>
      </c>
      <c r="D7307" s="4" t="s">
        <v>10628</v>
      </c>
      <c r="E7307" s="4">
        <v>0.0</v>
      </c>
      <c r="F7307" s="4" t="str">
        <f>IFERROR(__xludf.DUMMYFUNCTION("GOOGLETRANSLATE(D7307)"),"想要 Twister 門票並有機會觀看 SHANIA 的 VIP 體驗！！！按此：http://t.co/964dk4rwwe")</f>
        <v>想要 Twister 門票並有機會觀看 SHANIA 的 VIP 體驗！！！按此：http://t.co/964dk4rwwe</v>
      </c>
      <c r="G7307" s="4" t="str">
        <f>IFERROR(__xludf.DUMMYFUNCTION("GOOGLETRANSLATE(B7307)"),"龍捲風")</f>
        <v>龍捲風</v>
      </c>
    </row>
    <row r="7308" ht="15.75" customHeight="1">
      <c r="A7308" s="4">
        <v>10011.0</v>
      </c>
      <c r="B7308" s="4" t="s">
        <v>4493</v>
      </c>
      <c r="C7308" s="4" t="s">
        <v>1193</v>
      </c>
      <c r="D7308" s="4" t="s">
        <v>10629</v>
      </c>
      <c r="E7308" s="4">
        <v>0.0</v>
      </c>
      <c r="F7308" s="4" t="str">
        <f>IFERROR(__xludf.DUMMYFUNCTION("GOOGLETRANSLATE(D7308)"),"別他媽的說「整個」「另一個」。這聽起來簡直太愚蠢了。你他媽的意思是「完全不同」。不是他媽的繞口令。")</f>
        <v>別他媽的說「整個」「另一個」。這聽起來簡直太愚蠢了。你他媽的意思是「完全不同」。不是他媽的繞口令。</v>
      </c>
      <c r="G7308" s="4" t="str">
        <f>IFERROR(__xludf.DUMMYFUNCTION("GOOGLETRANSLATE(B7308)"),"龍捲風")</f>
        <v>龍捲風</v>
      </c>
    </row>
    <row r="7309" ht="15.75" customHeight="1">
      <c r="A7309" s="4">
        <v>10013.0</v>
      </c>
      <c r="B7309" s="4" t="s">
        <v>4493</v>
      </c>
      <c r="C7309" s="4" t="s">
        <v>627</v>
      </c>
      <c r="D7309" s="4" t="s">
        <v>10630</v>
      </c>
      <c r="E7309" s="4">
        <v>0.0</v>
      </c>
      <c r="F7309" s="4" t="str">
        <f>IFERROR(__xludf.DUMMYFUNCTION("GOOGLETRANSLATE(D7309)"),"愛 106.1 The Twister @1061thetwister 以及 Maddie 和 Tae #OKTXDUO")</f>
        <v>愛 106.1 The Twister @1061thetwister 以及 Maddie 和 Tae #OKTXDUO</v>
      </c>
      <c r="G7309" s="4" t="str">
        <f>IFERROR(__xludf.DUMMYFUNCTION("GOOGLETRANSLATE(B7309)"),"龍捲風")</f>
        <v>龍捲風</v>
      </c>
    </row>
    <row r="7310" ht="15.75" customHeight="1">
      <c r="A7310" s="4">
        <v>10014.0</v>
      </c>
      <c r="B7310" s="4" t="s">
        <v>4493</v>
      </c>
      <c r="D7310" s="4" t="s">
        <v>10631</v>
      </c>
      <c r="E7310" s="4">
        <v>0.0</v>
      </c>
      <c r="F7310" s="4" t="str">
        <f>IFERROR(__xludf.DUMMYFUNCTION("GOOGLETRANSLATE(D7310)"),"令人費解的家庭對加拿大現代化提案持固執己見：oMw")</f>
        <v>令人費解的家庭對加拿大現代化提案持固執己見：oMw</v>
      </c>
      <c r="G7310" s="4" t="str">
        <f>IFERROR(__xludf.DUMMYFUNCTION("GOOGLETRANSLATE(B7310)"),"龍捲風")</f>
        <v>龍捲風</v>
      </c>
    </row>
    <row r="7311" ht="15.75" customHeight="1">
      <c r="A7311" s="4">
        <v>10016.0</v>
      </c>
      <c r="B7311" s="4" t="s">
        <v>4493</v>
      </c>
      <c r="C7311" s="4" t="s">
        <v>9329</v>
      </c>
      <c r="D7311" s="4" t="s">
        <v>10632</v>
      </c>
      <c r="E7311" s="4">
        <v>0.0</v>
      </c>
      <c r="F7311" s="4" t="str">
        <f>IFERROR(__xludf.DUMMYFUNCTION("GOOGLETRANSLATE(D7311)"),"據她的朋友說，瘋狂媽媽給十幾歲的女兒舉辦了一場裸體扭轉性愛派對59 更多圖片 http://t.co/t94LNfwf34 http://t.co/roCyyEI2dM")</f>
        <v>據她的朋友說，瘋狂媽媽給十幾歲的女兒舉辦了一場裸體扭轉性愛派對59 更多圖片 http://t.co/t94LNfwf34 http://t.co/roCyyEI2dM</v>
      </c>
      <c r="G7311" s="4" t="str">
        <f>IFERROR(__xludf.DUMMYFUNCTION("GOOGLETRANSLATE(B7311)"),"龍捲風")</f>
        <v>龍捲風</v>
      </c>
    </row>
    <row r="7312" ht="15.75" customHeight="1">
      <c r="A7312" s="4">
        <v>10017.0</v>
      </c>
      <c r="B7312" s="4" t="s">
        <v>4493</v>
      </c>
      <c r="C7312" s="4" t="s">
        <v>1229</v>
      </c>
      <c r="D7312" s="4" t="s">
        <v>10633</v>
      </c>
      <c r="E7312" s="4">
        <v>0.0</v>
      </c>
      <c r="F7312" s="4" t="str">
        <f>IFERROR(__xludf.DUMMYFUNCTION("GOOGLETRANSLATE(D7312)"),"更清晰的影像 Viper 24' 硬面 Twister（黑色）http://t.co/FXk3zsj2PE")</f>
        <v>更清晰的影像 Viper 24' 硬面 Twister（黑色）http://t.co/FXk3zsj2PE</v>
      </c>
      <c r="G7312" s="4" t="str">
        <f>IFERROR(__xludf.DUMMYFUNCTION("GOOGLETRANSLATE(B7312)"),"龍捲風")</f>
        <v>龍捲風</v>
      </c>
    </row>
    <row r="7313" ht="15.75" customHeight="1">
      <c r="A7313" s="4">
        <v>10018.0</v>
      </c>
      <c r="B7313" s="4" t="s">
        <v>4493</v>
      </c>
      <c r="D7313" s="4" t="s">
        <v>10634</v>
      </c>
      <c r="E7313" s="4">
        <v>0.0</v>
      </c>
      <c r="F7313" s="4" t="str">
        <f>IFERROR(__xludf.DUMMYFUNCTION("GOOGLETRANSLATE(D7313)"),"Twister 很有趣 https://t.co/qCT6fb8wOn")</f>
        <v>Twister 很有趣 https://t.co/qCT6fb8wOn</v>
      </c>
      <c r="G7313" s="4" t="str">
        <f>IFERROR(__xludf.DUMMYFUNCTION("GOOGLETRANSLATE(B7313)"),"龍捲風")</f>
        <v>龍捲風</v>
      </c>
    </row>
    <row r="7314" ht="15.75" customHeight="1">
      <c r="A7314" s="4">
        <v>10020.0</v>
      </c>
      <c r="B7314" s="4" t="s">
        <v>4493</v>
      </c>
      <c r="D7314" s="4" t="s">
        <v>10635</v>
      </c>
      <c r="E7314" s="4">
        <v>0.0</v>
      </c>
      <c r="F7314" s="4" t="str">
        <f>IFERROR(__xludf.DUMMYFUNCTION("GOOGLETRANSLATE(D7314)"),"腦筋急轉彎讓電視結構演員陣容下降：EDcXO")</f>
        <v>腦筋急轉彎讓電視結構演員陣容下降：EDcXO</v>
      </c>
      <c r="G7314" s="4" t="str">
        <f>IFERROR(__xludf.DUMMYFUNCTION("GOOGLETRANSLATE(B7314)"),"龍捲風")</f>
        <v>龍捲風</v>
      </c>
    </row>
    <row r="7315" ht="15.75" customHeight="1">
      <c r="A7315" s="4">
        <v>10021.0</v>
      </c>
      <c r="B7315" s="4" t="s">
        <v>4493</v>
      </c>
      <c r="C7315" s="4" t="s">
        <v>183</v>
      </c>
      <c r="D7315" s="4" t="s">
        <v>10636</v>
      </c>
      <c r="E7315" s="4">
        <v>0.0</v>
      </c>
      <c r="F7315" s="4" t="str">
        <f>IFERROR(__xludf.DUMMYFUNCTION("GOOGLETRANSLATE(D7315)"),"我躺在床上吃著龍捲風，喝著一杯茶。我不會把龍捲風泡在茶裡。那就很奇怪了。")</f>
        <v>我躺在床上吃著龍捲風，喝著一杯茶。我不會把龍捲風泡在茶裡。那就很奇怪了。</v>
      </c>
      <c r="G7315" s="4" t="str">
        <f>IFERROR(__xludf.DUMMYFUNCTION("GOOGLETRANSLATE(B7315)"),"龍捲風")</f>
        <v>龍捲風</v>
      </c>
    </row>
    <row r="7316" ht="15.75" customHeight="1">
      <c r="A7316" s="4">
        <v>10023.0</v>
      </c>
      <c r="B7316" s="4" t="s">
        <v>4493</v>
      </c>
      <c r="C7316" s="4" t="s">
        <v>10637</v>
      </c>
      <c r="D7316" s="4" t="s">
        <v>10638</v>
      </c>
      <c r="E7316" s="4">
        <v>0.0</v>
      </c>
      <c r="F7316" s="4" t="str">
        <f>IFERROR(__xludf.DUMMYFUNCTION("GOOGLETRANSLATE(D7316)"),"@sarahmcpants @JustJon 我會給他一個乳頭扭曲器")</f>
        <v>@sarahmcpants @JustJon 我會給他一個乳頭扭曲器</v>
      </c>
      <c r="G7316" s="4" t="str">
        <f>IFERROR(__xludf.DUMMYFUNCTION("GOOGLETRANSLATE(B7316)"),"龍捲風")</f>
        <v>龍捲風</v>
      </c>
    </row>
    <row r="7317" ht="15.75" customHeight="1">
      <c r="A7317" s="4">
        <v>10025.0</v>
      </c>
      <c r="B7317" s="4" t="s">
        <v>4493</v>
      </c>
      <c r="D7317" s="4" t="s">
        <v>10639</v>
      </c>
      <c r="E7317" s="4">
        <v>0.0</v>
      </c>
      <c r="F7317" s="4" t="str">
        <f>IFERROR(__xludf.DUMMYFUNCTION("GOOGLETRANSLATE(D7317)"),"最後一秒出價 RT？ http://t.co/lBPX8buCnv 2 - Catlow C720 Twister Swivels 3/4' 3dc 燃油管美國製造？請收藏並查看沙爾")</f>
        <v>最後一秒出價 RT？ http://t.co/lBPX8buCnv 2 - Catlow C720 Twister Swivels 3/4' 3dc 燃油管美國製造？請收藏並查看沙爾</v>
      </c>
      <c r="G7317" s="4" t="str">
        <f>IFERROR(__xludf.DUMMYFUNCTION("GOOGLETRANSLATE(B7317)"),"龍捲風")</f>
        <v>龍捲風</v>
      </c>
    </row>
    <row r="7318" ht="15.75" customHeight="1">
      <c r="A7318" s="4">
        <v>10027.0</v>
      </c>
      <c r="B7318" s="4" t="s">
        <v>4493</v>
      </c>
      <c r="D7318" s="4" t="s">
        <v>10640</v>
      </c>
      <c r="E7318" s="4">
        <v>0.0</v>
      </c>
      <c r="F7318" s="4" t="str">
        <f>IFERROR(__xludf.DUMMYFUNCTION("GOOGLETRANSLATE(D7318)"),"腦筋急轉彎自己應該放棄重新設計網站的原因：ItrAWcWB")</f>
        <v>腦筋急轉彎自己應該放棄重新設計網站的原因：ItrAWcWB</v>
      </c>
      <c r="G7318" s="4" t="str">
        <f>IFERROR(__xludf.DUMMYFUNCTION("GOOGLETRANSLATE(B7318)"),"龍捲風")</f>
        <v>龍捲風</v>
      </c>
    </row>
    <row r="7319" ht="15.75" customHeight="1">
      <c r="A7319" s="4">
        <v>10028.0</v>
      </c>
      <c r="B7319" s="4" t="s">
        <v>4493</v>
      </c>
      <c r="D7319" s="4" t="s">
        <v>10641</v>
      </c>
      <c r="E7319" s="4">
        <v>0.0</v>
      </c>
      <c r="F7319" s="4" t="str">
        <f>IFERROR(__xludf.DUMMYFUNCTION("GOOGLETRANSLATE(D7319)"),"查看“想要 Twister 門票和 VIP 體驗來觀看 SHANIA？”按此：'http://t.co/3GEROQ49o1
我會愛愛愛！！贏得勝利")</f>
        <v>查看“想要 Twister 門票和 VIP 體驗來觀看 SHANIA？”按此：'http://t.co/3GEROQ49o1
我會愛愛愛！！贏得勝利</v>
      </c>
      <c r="G7319" s="4" t="str">
        <f>IFERROR(__xludf.DUMMYFUNCTION("GOOGLETRANSLATE(B7319)"),"龍捲風")</f>
        <v>龍捲風</v>
      </c>
    </row>
    <row r="7320" ht="15.75" customHeight="1">
      <c r="A7320" s="4">
        <v>10029.0</v>
      </c>
      <c r="B7320" s="4" t="s">
        <v>4493</v>
      </c>
      <c r="C7320" s="4" t="s">
        <v>10642</v>
      </c>
      <c r="D7320" s="4" t="s">
        <v>10643</v>
      </c>
      <c r="E7320" s="4">
        <v>0.0</v>
      </c>
      <c r="F7320" s="4" t="str">
        <f>IFERROR(__xludf.DUMMYFUNCTION("GOOGLETRANSLATE(D7320)"),"這是我的果醬：Riser by Dierks Bentley @1061TheTwister？ #iHeartRadio #NowPlaying http://t.co/zQoScQD64h http://t.co/yLvVF139BB")</f>
        <v>這是我的果醬：Riser by Dierks Bentley @1061TheTwister？ #iHeartRadio #NowPlaying http://t.co/zQoScQD64h http://t.co/yLvVF139BB</v>
      </c>
      <c r="G7320" s="4" t="str">
        <f>IFERROR(__xludf.DUMMYFUNCTION("GOOGLETRANSLATE(B7320)"),"龍捲風")</f>
        <v>龍捲風</v>
      </c>
    </row>
    <row r="7321" ht="15.75" customHeight="1">
      <c r="A7321" s="4">
        <v>10030.0</v>
      </c>
      <c r="B7321" s="4" t="s">
        <v>4493</v>
      </c>
      <c r="D7321" s="4" t="s">
        <v>10644</v>
      </c>
      <c r="E7321" s="4">
        <v>0.0</v>
      </c>
      <c r="F7321" s="4" t="str">
        <f>IFERROR(__xludf.DUMMYFUNCTION("GOOGLETRANSLATE(D7321)"),"保加利亞語 Tittie Twister 由 NoEmotion 製作，由 EDK PathFinders (HD) M...：http://t.co/9ODqryJncF 透過 YouTube")</f>
        <v>保加利亞語 Tittie Twister 由 NoEmotion 製作，由 EDK PathFinders (HD) M...：http://t.co/9ODqryJncF 透過 YouTube</v>
      </c>
      <c r="G7321" s="4" t="str">
        <f>IFERROR(__xludf.DUMMYFUNCTION("GOOGLETRANSLATE(B7321)"),"龍捲風")</f>
        <v>龍捲風</v>
      </c>
    </row>
    <row r="7322" ht="15.75" customHeight="1">
      <c r="A7322" s="4">
        <v>10031.0</v>
      </c>
      <c r="B7322" s="4" t="s">
        <v>4493</v>
      </c>
      <c r="D7322" s="4" t="s">
        <v>10645</v>
      </c>
      <c r="E7322" s="4">
        <v>0.0</v>
      </c>
      <c r="F7322" s="4" t="str">
        <f>IFERROR(__xludf.DUMMYFUNCTION("GOOGLETRANSLATE(D7322)"),"@ellenfromnowon 7 速 Nexus 變速桿 9 磅！ （社區貨運自行車？）http://t.co/rjPjBwVfck")</f>
        <v>@ellenfromnowon 7 速 Nexus 變速桿 9 磅！ （社區貨運自行車？）http://t.co/rjPjBwVfck</v>
      </c>
      <c r="G7322" s="4" t="str">
        <f>IFERROR(__xludf.DUMMYFUNCTION("GOOGLETRANSLATE(B7322)"),"龍捲風")</f>
        <v>龍捲風</v>
      </c>
    </row>
    <row r="7323" ht="15.75" customHeight="1">
      <c r="A7323" s="4">
        <v>10032.0</v>
      </c>
      <c r="B7323" s="4" t="s">
        <v>4493</v>
      </c>
      <c r="C7323" s="4" t="s">
        <v>2714</v>
      </c>
      <c r="D7323" s="4" t="s">
        <v>10646</v>
      </c>
      <c r="E7323" s="4">
        <v>0.0</v>
      </c>
      <c r="F7323" s="4" t="str">
        <f>IFERROR(__xludf.DUMMYFUNCTION("GOOGLETRANSLATE(D7323)"),"有人願意過來跟我一起看《龍捲風》嗎？ ＃太快了 ：-）")</f>
        <v>有人願意過來跟我一起看《龍捲風》嗎？ ＃太快了 ：-）</v>
      </c>
      <c r="G7323" s="4" t="str">
        <f>IFERROR(__xludf.DUMMYFUNCTION("GOOGLETRANSLATE(B7323)"),"龍捲風")</f>
        <v>龍捲風</v>
      </c>
    </row>
    <row r="7324" ht="15.75" customHeight="1">
      <c r="A7324" s="4">
        <v>10035.0</v>
      </c>
      <c r="B7324" s="4" t="s">
        <v>4493</v>
      </c>
      <c r="C7324" s="4" t="s">
        <v>10647</v>
      </c>
      <c r="D7324" s="4" t="s">
        <v>10648</v>
      </c>
      <c r="E7324" s="4">
        <v>0.0</v>
      </c>
      <c r="F7324" s="4" t="str">
        <f>IFERROR(__xludf.DUMMYFUNCTION("GOOGLETRANSLATE(D7324)"),"@briannafrost Twister 與比爾·帕克斯頓和海倫·亨特！")</f>
        <v>@briannafrost Twister 與比爾·帕克斯頓和海倫·亨特！</v>
      </c>
      <c r="G7324" s="4" t="str">
        <f>IFERROR(__xludf.DUMMYFUNCTION("GOOGLETRANSLATE(B7324)"),"龍捲風")</f>
        <v>龍捲風</v>
      </c>
    </row>
    <row r="7325" ht="15.75" customHeight="1">
      <c r="A7325" s="4">
        <v>10036.0</v>
      </c>
      <c r="B7325" s="4" t="s">
        <v>4493</v>
      </c>
      <c r="D7325" s="4" t="s">
        <v>10649</v>
      </c>
      <c r="E7325" s="4">
        <v>0.0</v>
      </c>
      <c r="F7325" s="4" t="str">
        <f>IFERROR(__xludf.DUMMYFUNCTION("GOOGLETRANSLATE(D7325)"),"@carolinagutierr 大龍捲風！！！")</f>
        <v>@carolinagutierr 大龍捲風！！！</v>
      </c>
      <c r="G7325" s="4" t="str">
        <f>IFERROR(__xludf.DUMMYFUNCTION("GOOGLETRANSLATE(B7325)"),"龍捲風")</f>
        <v>龍捲風</v>
      </c>
    </row>
    <row r="7326" ht="15.75" customHeight="1">
      <c r="A7326" s="4">
        <v>10037.0</v>
      </c>
      <c r="B7326" s="4" t="s">
        <v>4493</v>
      </c>
      <c r="C7326" s="4" t="s">
        <v>10650</v>
      </c>
      <c r="D7326" s="4" t="s">
        <v>10651</v>
      </c>
      <c r="E7326" s="4">
        <v>0.0</v>
      </c>
      <c r="F7326" s="4" t="str">
        <f>IFERROR(__xludf.DUMMYFUNCTION("GOOGLETRANSLATE(D7326)"),"24 歲扭扭樂快樂！感謝您無論如何都在我身邊帶來的歡笑，也感謝您的支持 https://t.co/ttq9IlHp8W")</f>
        <v>24 歲扭扭樂快樂！感謝您無論如何都在我身邊帶來的歡笑，也感謝您的支持 https://t.co/ttq9IlHp8W</v>
      </c>
      <c r="G7326" s="4" t="str">
        <f>IFERROR(__xludf.DUMMYFUNCTION("GOOGLETRANSLATE(B7326)"),"龍捲風")</f>
        <v>龍捲風</v>
      </c>
    </row>
    <row r="7327" ht="15.75" customHeight="1">
      <c r="A7327" s="4">
        <v>10038.0</v>
      </c>
      <c r="B7327" s="4" t="s">
        <v>4493</v>
      </c>
      <c r="D7327" s="4" t="s">
        <v>10652</v>
      </c>
      <c r="E7327" s="4">
        <v>0.0</v>
      </c>
      <c r="F7327" s="4" t="str">
        <f>IFERROR(__xludf.DUMMYFUNCTION("GOOGLETRANSLATE(D7327)"),"“如果一個人能砍人，他能砍多少人？”
- 土撥鼠中流行的繞口令")</f>
        <v>“如果一個人能砍人，他能砍多少人？”
- 土撥鼠中流行的繞口令</v>
      </c>
      <c r="G7327" s="4" t="str">
        <f>IFERROR(__xludf.DUMMYFUNCTION("GOOGLETRANSLATE(B7327)"),"龍捲風")</f>
        <v>龍捲風</v>
      </c>
    </row>
    <row r="7328" ht="15.75" customHeight="1">
      <c r="A7328" s="4">
        <v>10039.0</v>
      </c>
      <c r="B7328" s="4" t="s">
        <v>4493</v>
      </c>
      <c r="D7328" s="4" t="s">
        <v>10653</v>
      </c>
      <c r="E7328" s="4">
        <v>0.0</v>
      </c>
      <c r="F7328" s="4" t="str">
        <f>IFERROR(__xludf.DUMMYFUNCTION("GOOGLETRANSLATE(D7328)"),"我喜歡一個 @YouTube 影片 http://t.co/Cj76K0YaYj EXTREME PAINT TWISTER")</f>
        <v>我喜歡一個 @YouTube 影片 http://t.co/Cj76K0YaYj EXTREME PAINT TWISTER</v>
      </c>
      <c r="G7328" s="4" t="str">
        <f>IFERROR(__xludf.DUMMYFUNCTION("GOOGLETRANSLATE(B7328)"),"龍捲風")</f>
        <v>龍捲風</v>
      </c>
    </row>
    <row r="7329" ht="15.75" customHeight="1">
      <c r="A7329" s="4">
        <v>10041.0</v>
      </c>
      <c r="B7329" s="4" t="s">
        <v>4493</v>
      </c>
      <c r="C7329" s="4" t="s">
        <v>7002</v>
      </c>
      <c r="D7329" s="4" t="s">
        <v>10654</v>
      </c>
      <c r="E7329" s="4">
        <v>0.0</v>
      </c>
      <c r="F7329" s="4" t="str">
        <f>IFERROR(__xludf.DUMMYFUNCTION("GOOGLETRANSLATE(D7329)"),"@ElianaRaquel 就像 GG 最後很糟糕......但至少當 GG 是 Dan 時我有點關心。因為這是一個扭曲者。我不知道威爾頓IDC")</f>
        <v>@ElianaRaquel 就像 GG 最後很糟糕......但至少當 GG 是 Dan 時我有點關心。因為這是一個扭曲者。我不知道威爾頓IDC</v>
      </c>
      <c r="G7329" s="4" t="str">
        <f>IFERROR(__xludf.DUMMYFUNCTION("GOOGLETRANSLATE(B7329)"),"龍捲風")</f>
        <v>龍捲風</v>
      </c>
    </row>
    <row r="7330" ht="15.75" customHeight="1">
      <c r="A7330" s="4">
        <v>10042.0</v>
      </c>
      <c r="B7330" s="4" t="s">
        <v>4493</v>
      </c>
      <c r="C7330" s="4" t="s">
        <v>10655</v>
      </c>
      <c r="D7330" s="4" t="s">
        <v>10656</v>
      </c>
      <c r="E7330" s="4">
        <v>0.0</v>
      </c>
      <c r="F7330" s="4" t="str">
        <f>IFERROR(__xludf.DUMMYFUNCTION("GOOGLETRANSLATE(D7330)"),"您正在聆聽 LLEGASTE TU - TWISTER EL REY")</f>
        <v>您正在聆聽 LLEGASTE TU - TWISTER EL REY</v>
      </c>
      <c r="G7330" s="4" t="str">
        <f>IFERROR(__xludf.DUMMYFUNCTION("GOOGLETRANSLATE(B7330)"),"龍捲風")</f>
        <v>龍捲風</v>
      </c>
    </row>
    <row r="7331" ht="15.75" customHeight="1">
      <c r="A7331" s="4">
        <v>10044.0</v>
      </c>
      <c r="B7331" s="4" t="s">
        <v>4493</v>
      </c>
      <c r="D7331" s="4" t="s">
        <v>10657</v>
      </c>
      <c r="E7331" s="4">
        <v>0.0</v>
      </c>
      <c r="F7331" s="4" t="str">
        <f>IFERROR(__xludf.DUMMYFUNCTION("GOOGLETRANSLATE(D7331)"),"白色 Twister 黑色變速旋鈕 M6x1.00 螺紋尺寸 http://t.co/SqpshAWs0w http://t.co/udlEbH88uZ")</f>
        <v>白色 Twister 黑色變速旋鈕 M6x1.00 螺紋尺寸 http://t.co/SqpshAWs0w http://t.co/udlEbH88uZ</v>
      </c>
      <c r="G7331" s="4" t="str">
        <f>IFERROR(__xludf.DUMMYFUNCTION("GOOGLETRANSLATE(B7331)"),"龍捲風")</f>
        <v>龍捲風</v>
      </c>
    </row>
    <row r="7332" ht="15.75" customHeight="1">
      <c r="A7332" s="4">
        <v>10045.0</v>
      </c>
      <c r="B7332" s="4" t="s">
        <v>4493</v>
      </c>
      <c r="D7332" s="4" t="s">
        <v>10658</v>
      </c>
      <c r="E7332" s="4">
        <v>0.0</v>
      </c>
      <c r="F7332" s="4" t="str">
        <f>IFERROR(__xludf.DUMMYFUNCTION("GOOGLETRANSLATE(D7332)"),"TWISTER DANCE 遊戲舞蹈控制台說明電纜 5 預先載入歌曲 http://t.co/BcsXyEc4ji http://t.co/DfXI76kvX0")</f>
        <v>TWISTER DANCE 遊戲舞蹈控制台說明電纜 5 預先載入歌曲 http://t.co/BcsXyEc4ji http://t.co/DfXI76kvX0</v>
      </c>
      <c r="G7332" s="4" t="str">
        <f>IFERROR(__xludf.DUMMYFUNCTION("GOOGLETRANSLATE(B7332)"),"龍捲風")</f>
        <v>龍捲風</v>
      </c>
    </row>
    <row r="7333" ht="15.75" customHeight="1">
      <c r="A7333" s="4">
        <v>10047.0</v>
      </c>
      <c r="B7333" s="4" t="s">
        <v>4493</v>
      </c>
      <c r="D7333" s="4" t="s">
        <v>10659</v>
      </c>
      <c r="E7333" s="4">
        <v>0.0</v>
      </c>
      <c r="F7333" s="4" t="str">
        <f>IFERROR(__xludf.DUMMYFUNCTION("GOOGLETRANSLATE(D7333)"),"@rodarmer21 10 美元說邪惡的扭曲者不會運行")</f>
        <v>@rodarmer21 10 美元說邪惡的扭曲者不會運行</v>
      </c>
      <c r="G7333" s="4" t="str">
        <f>IFERROR(__xludf.DUMMYFUNCTION("GOOGLETRANSLATE(B7333)"),"龍捲風")</f>
        <v>龍捲風</v>
      </c>
    </row>
    <row r="7334" ht="15.75" customHeight="1">
      <c r="A7334" s="4">
        <v>10048.0</v>
      </c>
      <c r="B7334" s="4" t="s">
        <v>4493</v>
      </c>
      <c r="C7334" s="4" t="s">
        <v>10660</v>
      </c>
      <c r="D7334" s="4" t="s">
        <v>10661</v>
      </c>
      <c r="E7334" s="4">
        <v>0.0</v>
      </c>
      <c r="F7334" s="4" t="str">
        <f>IFERROR(__xludf.DUMMYFUNCTION("GOOGLETRANSLATE(D7334)"),"希望我有個人捲髮器")</f>
        <v>希望我有個人捲髮器</v>
      </c>
      <c r="G7334" s="4" t="str">
        <f>IFERROR(__xludf.DUMMYFUNCTION("GOOGLETRANSLATE(B7334)"),"龍捲風")</f>
        <v>龍捲風</v>
      </c>
    </row>
    <row r="7335" ht="15.75" customHeight="1">
      <c r="A7335" s="4">
        <v>10049.0</v>
      </c>
      <c r="B7335" s="4" t="s">
        <v>4493</v>
      </c>
      <c r="D7335" s="4" t="s">
        <v>10662</v>
      </c>
      <c r="E7335" s="4">
        <v>0.0</v>
      </c>
      <c r="F7335" s="4" t="str">
        <f>IFERROR(__xludf.DUMMYFUNCTION("GOOGLETRANSLATE(D7335)"),"《哈利波特與鳳凰會》的開場場景是否讓其他人想起了電影《龍捲風》？只有我？好的")</f>
        <v>《哈利波特與鳳凰會》的開場場景是否讓其他人想起了電影《龍捲風》？只有我？好的</v>
      </c>
      <c r="G7335" s="4" t="str">
        <f>IFERROR(__xludf.DUMMYFUNCTION("GOOGLETRANSLATE(B7335)"),"龍捲風")</f>
        <v>龍捲風</v>
      </c>
    </row>
    <row r="7336" ht="15.75" customHeight="1">
      <c r="A7336" s="4">
        <v>10050.0</v>
      </c>
      <c r="B7336" s="4" t="s">
        <v>4493</v>
      </c>
      <c r="C7336" s="4" t="s">
        <v>10663</v>
      </c>
      <c r="D7336" s="4" t="s">
        <v>10664</v>
      </c>
      <c r="E7336" s="4">
        <v>0.0</v>
      </c>
      <c r="F7336" s="4" t="str">
        <f>IFERROR(__xludf.DUMMYFUNCTION("GOOGLETRANSLATE(D7336)"),"醉酒扭蛋這麼難？？？")</f>
        <v>醉酒扭蛋這麼難？？？</v>
      </c>
      <c r="G7336" s="4" t="str">
        <f>IFERROR(__xludf.DUMMYFUNCTION("GOOGLETRANSLATE(B7336)"),"龍捲風")</f>
        <v>龍捲風</v>
      </c>
    </row>
    <row r="7337" ht="15.75" customHeight="1">
      <c r="A7337" s="4">
        <v>10052.0</v>
      </c>
      <c r="B7337" s="4" t="s">
        <v>4493</v>
      </c>
      <c r="C7337" s="4" t="s">
        <v>10665</v>
      </c>
      <c r="D7337" s="4" t="s">
        <v>10666</v>
      </c>
      <c r="E7337" s="4">
        <v>0.0</v>
      </c>
      <c r="F7337" s="4" t="str">
        <f>IFERROR(__xludf.DUMMYFUNCTION("GOOGLETRANSLATE(D7337)"),"@mrsbinker @EmilioRivera48 @davidlabrava 我的是 Diesel 和 Twister，對於該品種來說都很小，但非常堅固！我也有一隻漂亮的哈巴狗")</f>
        <v>@mrsbinker @EmilioRivera48 @davidlabrava 我的是 Diesel 和 Twister，對於該品種來說都很小，但非常堅固！我也有一隻漂亮的哈巴狗</v>
      </c>
      <c r="G7337" s="4" t="str">
        <f>IFERROR(__xludf.DUMMYFUNCTION("GOOGLETRANSLATE(B7337)"),"龍捲風")</f>
        <v>龍捲風</v>
      </c>
    </row>
    <row r="7338" ht="15.75" customHeight="1">
      <c r="A7338" s="4">
        <v>10054.0</v>
      </c>
      <c r="B7338" s="4" t="s">
        <v>4493</v>
      </c>
      <c r="C7338" s="4" t="s">
        <v>10667</v>
      </c>
      <c r="D7338" s="4" t="s">
        <v>10668</v>
      </c>
      <c r="E7338" s="4">
        <v>0.0</v>
      </c>
      <c r="F7338" s="4" t="str">
        <f>IFERROR(__xludf.DUMMYFUNCTION("GOOGLETRANSLATE(D7338)"),"@TheBuffShow @TheTwisterOkc 我男友也想見@ShaniaTwain！ #TwisterLovesShania ?????? http://t.co/O61h2tAaE4")</f>
        <v>@TheBuffShow @TheTwisterOkc 我男友也想見@ShaniaTwain！ #TwisterLovesShania ?????? http://t.co/O61h2tAaE4</v>
      </c>
      <c r="G7338" s="4" t="str">
        <f>IFERROR(__xludf.DUMMYFUNCTION("GOOGLETRANSLATE(B7338)"),"龍捲風")</f>
        <v>龍捲風</v>
      </c>
    </row>
    <row r="7339" ht="15.75" customHeight="1">
      <c r="A7339" s="4">
        <v>10055.0</v>
      </c>
      <c r="B7339" s="4" t="s">
        <v>4493</v>
      </c>
      <c r="D7339" s="4" t="s">
        <v>10669</v>
      </c>
      <c r="E7339" s="4">
        <v>0.0</v>
      </c>
      <c r="F7339" s="4" t="str">
        <f>IFERROR(__xludf.DUMMYFUNCTION("GOOGLETRANSLATE(D7339)"),"有些捲髮非常漂亮，有些看起來就像我剛拍完電影《龍捲風》")</f>
        <v>有些捲髮非常漂亮，有些看起來就像我剛拍完電影《龍捲風》</v>
      </c>
      <c r="G7339" s="4" t="str">
        <f>IFERROR(__xludf.DUMMYFUNCTION("GOOGLETRANSLATE(B7339)"),"龍捲風")</f>
        <v>龍捲風</v>
      </c>
    </row>
    <row r="7340" ht="15.75" customHeight="1">
      <c r="A7340" s="4">
        <v>10056.0</v>
      </c>
      <c r="B7340" s="4" t="s">
        <v>4493</v>
      </c>
      <c r="C7340" s="4" t="s">
        <v>3021</v>
      </c>
      <c r="D7340" s="4" t="s">
        <v>10670</v>
      </c>
      <c r="E7340" s="4">
        <v>0.0</v>
      </c>
      <c r="F7340" s="4" t="str">
        <f>IFERROR(__xludf.DUMMYFUNCTION("GOOGLETRANSLATE(D7340)"),"現在由出色的 Laura Milne @TheJonesesVoice 代表，滿足您所有的語言需求。這是一些繞口令的推文")</f>
        <v>現在由出色的 Laura Milne @TheJonesesVoice 代表，滿足您所有的語言需求。這是一些繞口令的推文</v>
      </c>
      <c r="G7340" s="4" t="str">
        <f>IFERROR(__xludf.DUMMYFUNCTION("GOOGLETRANSLATE(B7340)"),"龍捲風")</f>
        <v>龍捲風</v>
      </c>
    </row>
    <row r="7341" ht="15.75" customHeight="1">
      <c r="A7341" s="4">
        <v>10057.0</v>
      </c>
      <c r="B7341" s="4" t="s">
        <v>4493</v>
      </c>
      <c r="C7341" s="4" t="s">
        <v>10671</v>
      </c>
      <c r="D7341" s="4" t="s">
        <v>10672</v>
      </c>
      <c r="E7341" s="4">
        <v>0.0</v>
      </c>
      <c r="F7341" s="4" t="str">
        <f>IFERROR(__xludf.DUMMYFUNCTION("GOOGLETRANSLATE(D7341)"),"@jrlallo 我的敘述者將不得不為 DB5 說“化學上有趣的廁所”。不完全是繞口令，但確實很奇怪。 ：P")</f>
        <v>@jrlallo 我的敘述者將不得不為 DB5 說“化學上有趣的廁所”。不完全是繞口令，但確實很奇怪。 ：P</v>
      </c>
      <c r="G7341" s="4" t="str">
        <f>IFERROR(__xludf.DUMMYFUNCTION("GOOGLETRANSLATE(B7341)"),"龍捲風")</f>
        <v>龍捲風</v>
      </c>
    </row>
    <row r="7342" ht="15.75" customHeight="1">
      <c r="A7342" s="4">
        <v>10090.0</v>
      </c>
      <c r="B7342" s="4" t="s">
        <v>4500</v>
      </c>
      <c r="C7342" s="4" t="s">
        <v>10673</v>
      </c>
      <c r="D7342" s="4" t="s">
        <v>10674</v>
      </c>
      <c r="E7342" s="4">
        <v>0.0</v>
      </c>
      <c r="F7342" s="4" t="str">
        <f>IFERROR(__xludf.DUMMYFUNCTION("GOOGLETRANSLATE(D7342)"),"衛星從太空偵察超級颱風蘇迪勒（照片）http://t.co/VBhu2t8wgB")</f>
        <v>衛星從太空偵察超級颱風蘇迪勒（照片）http://t.co/VBhu2t8wgB</v>
      </c>
      <c r="G7342" s="4" t="str">
        <f>IFERROR(__xludf.DUMMYFUNCTION("GOOGLETRANSLATE(B7342)"),"颱風")</f>
        <v>颱風</v>
      </c>
    </row>
    <row r="7343" ht="15.75" customHeight="1">
      <c r="A7343" s="4">
        <v>10109.0</v>
      </c>
      <c r="B7343" s="4" t="s">
        <v>4550</v>
      </c>
      <c r="C7343" s="4" t="s">
        <v>10675</v>
      </c>
      <c r="D7343" s="4" t="s">
        <v>10676</v>
      </c>
      <c r="E7343" s="4">
        <v>0.0</v>
      </c>
      <c r="F7343" s="4" t="str">
        <f>IFERROR(__xludf.DUMMYFUNCTION("GOOGLETRANSLATE(D7343)"),"佛陀是「他那個時代的人」－大規模的都市化和社會動盪也挑戰了婆羅門的統治地位（「古代世界的天才」）。")</f>
        <v>佛陀是「他那個時代的人」－大規模的都市化和社會動盪也挑戰了婆羅門的統治地位（「古代世界的天才」）。</v>
      </c>
      <c r="G7343" s="4" t="str">
        <f>IFERROR(__xludf.DUMMYFUNCTION("GOOGLETRANSLATE(B7343)"),"動盪")</f>
        <v>動盪</v>
      </c>
    </row>
    <row r="7344" ht="15.75" customHeight="1">
      <c r="A7344" s="4">
        <v>10110.0</v>
      </c>
      <c r="B7344" s="4" t="s">
        <v>4550</v>
      </c>
      <c r="C7344" s="4" t="s">
        <v>1105</v>
      </c>
      <c r="D7344" s="4" t="s">
        <v>10677</v>
      </c>
      <c r="E7344" s="4">
        <v>0.0</v>
      </c>
      <c r="F7344" s="4" t="str">
        <f>IFERROR(__xludf.DUMMYFUNCTION("GOOGLETRANSLATE(D7344)"),"佛格森劇變一年後國家行動一覽 http://t.co/GZEkQWzijq")</f>
        <v>佛格森劇變一年後國家行動一覽 http://t.co/GZEkQWzijq</v>
      </c>
      <c r="G7344" s="4" t="str">
        <f>IFERROR(__xludf.DUMMYFUNCTION("GOOGLETRANSLATE(B7344)"),"動盪")</f>
        <v>動盪</v>
      </c>
    </row>
    <row r="7345" ht="15.75" customHeight="1">
      <c r="A7345" s="4">
        <v>10111.0</v>
      </c>
      <c r="B7345" s="4" t="s">
        <v>4550</v>
      </c>
      <c r="C7345" s="4" t="s">
        <v>708</v>
      </c>
      <c r="D7345" s="4" t="s">
        <v>10678</v>
      </c>
      <c r="E7345" s="4">
        <v>0.0</v>
      </c>
      <c r="F7345" s="4" t="str">
        <f>IFERROR(__xludf.DUMMYFUNCTION("GOOGLETRANSLATE(D7345)"),"USW：“放棄協議所造成的損害很可能會造成新的不確定性……經濟動盪和經濟動盪。”軍事騷亂'")</f>
        <v>USW：“放棄協議所造成的損害很可能會造成新的不確定性……經濟動盪和經濟動盪。”軍事騷亂'</v>
      </c>
      <c r="G7345" s="4" t="str">
        <f>IFERROR(__xludf.DUMMYFUNCTION("GOOGLETRANSLATE(B7345)"),"動盪")</f>
        <v>動盪</v>
      </c>
    </row>
    <row r="7346" ht="15.75" customHeight="1">
      <c r="A7346" s="4">
        <v>10112.0</v>
      </c>
      <c r="B7346" s="4" t="s">
        <v>4550</v>
      </c>
      <c r="D7346" s="4" t="s">
        <v>10679</v>
      </c>
      <c r="E7346" s="4">
        <v>0.0</v>
      </c>
      <c r="F7346" s="4" t="str">
        <f>IFERROR(__xludf.DUMMYFUNCTION("GOOGLETRANSLATE(D7346)"),"Upheaval 的 R'lyeh http://t.co/829n4HJHOL")</f>
        <v>Upheaval 的 R'lyeh http://t.co/829n4HJHOL</v>
      </c>
      <c r="G7346" s="4" t="str">
        <f>IFERROR(__xludf.DUMMYFUNCTION("GOOGLETRANSLATE(B7346)"),"動盪")</f>
        <v>動盪</v>
      </c>
    </row>
    <row r="7347" ht="15.75" customHeight="1">
      <c r="A7347" s="4">
        <v>10113.0</v>
      </c>
      <c r="B7347" s="4" t="s">
        <v>4550</v>
      </c>
      <c r="D7347" s="4" t="s">
        <v>10680</v>
      </c>
      <c r="E7347" s="4">
        <v>0.0</v>
      </c>
      <c r="F7347" s="4" t="str">
        <f>IFERROR(__xludf.DUMMYFUNCTION("GOOGLETRANSLATE(D7347)"),"佛格森劇變一年後國家行動一覽 http://t.co/G5ZsRU0zVQ")</f>
        <v>佛格森劇變一年後國家行動一覽 http://t.co/G5ZsRU0zVQ</v>
      </c>
      <c r="G7347" s="4" t="str">
        <f>IFERROR(__xludf.DUMMYFUNCTION("GOOGLETRANSLATE(B7347)"),"動盪")</f>
        <v>動盪</v>
      </c>
    </row>
    <row r="7348" ht="15.75" customHeight="1">
      <c r="A7348" s="4">
        <v>10114.0</v>
      </c>
      <c r="B7348" s="4" t="s">
        <v>4550</v>
      </c>
      <c r="C7348" s="4" t="s">
        <v>826</v>
      </c>
      <c r="D7348" s="4" t="s">
        <v>10681</v>
      </c>
      <c r="E7348" s="4">
        <v>0.0</v>
      </c>
      <c r="F7348" s="4" t="str">
        <f>IFERROR(__xludf.DUMMYFUNCTION("GOOGLETRANSLATE(D7348)"),"#TheGame 的系列結局:(它經歷瞭如此多的動盪，但觀眾得到了很多好故事。")</f>
        <v>#TheGame 的系列結局:(它經歷瞭如此多的動盪，但觀眾得到了很多好故事。</v>
      </c>
      <c r="G7348" s="4" t="str">
        <f>IFERROR(__xludf.DUMMYFUNCTION("GOOGLETRANSLATE(B7348)"),"動盪")</f>
        <v>動盪</v>
      </c>
    </row>
    <row r="7349" ht="15.75" customHeight="1">
      <c r="A7349" s="4">
        <v>10115.0</v>
      </c>
      <c r="B7349" s="4" t="s">
        <v>4550</v>
      </c>
      <c r="C7349" s="4" t="s">
        <v>38</v>
      </c>
      <c r="D7349" s="4" t="s">
        <v>10682</v>
      </c>
      <c r="E7349" s="4">
        <v>0.0</v>
      </c>
      <c r="F7349" s="4" t="str">
        <f>IFERROR(__xludf.DUMMYFUNCTION("GOOGLETRANSLATE(D7349)"),"紐伯格劇變：雅克貝茨回應「期待她能回答的那一天」Û_ http://t.co/LzasR05ljo #news http://t.co/IeMxGSE2BE")</f>
        <v>紐伯格劇變：雅克貝茨回應「期待她能回答的那一天」Û_ http://t.co/LzasR05ljo #news http://t.co/IeMxGSE2BE</v>
      </c>
      <c r="G7349" s="4" t="str">
        <f>IFERROR(__xludf.DUMMYFUNCTION("GOOGLETRANSLATE(B7349)"),"動盪")</f>
        <v>動盪</v>
      </c>
    </row>
    <row r="7350" ht="15.75" customHeight="1">
      <c r="A7350" s="4">
        <v>10116.0</v>
      </c>
      <c r="B7350" s="4" t="s">
        <v>4550</v>
      </c>
      <c r="C7350" s="4" t="s">
        <v>10683</v>
      </c>
      <c r="D7350" s="4" t="s">
        <v>10684</v>
      </c>
      <c r="E7350" s="4">
        <v>0.0</v>
      </c>
      <c r="F7350" s="4" t="str">
        <f>IFERROR(__xludf.DUMMYFUNCTION("GOOGLETRANSLATE(D7350)"),"消除動盪帶來的不安和壓力，讓我們幫助#老年人保持獨立！ #companionship #care #Chester @chestertweetsuk")</f>
        <v>消除動盪帶來的不安和壓力，讓我們幫助#老年人保持獨立！ #companionship #care #Chester @chestertweetsuk</v>
      </c>
      <c r="G7350" s="4" t="str">
        <f>IFERROR(__xludf.DUMMYFUNCTION("GOOGLETRANSLATE(B7350)"),"動盪")</f>
        <v>動盪</v>
      </c>
    </row>
    <row r="7351" ht="15.75" customHeight="1">
      <c r="A7351" s="4">
        <v>10117.0</v>
      </c>
      <c r="B7351" s="4" t="s">
        <v>4550</v>
      </c>
      <c r="C7351" s="4" t="s">
        <v>10685</v>
      </c>
      <c r="D7351" s="4" t="s">
        <v>10686</v>
      </c>
      <c r="E7351" s="4">
        <v>0.0</v>
      </c>
      <c r="F7351" s="4" t="str">
        <f>IFERROR(__xludf.DUMMYFUNCTION("GOOGLETRANSLATE(D7351)"),"中世紀劇變（哈迪男孩：秘密檔案第 18 冊）
富蘭克林迪克森 - 阿拉丁 - Kindle 版。 http://t.co/braoUBgEC2")</f>
        <v>中世紀劇變（哈迪男孩：秘密檔案第 18 冊）
富蘭克林迪克森 - 阿拉丁 - Kindle 版。 http://t.co/braoUBgEC2</v>
      </c>
      <c r="G7351" s="4" t="str">
        <f>IFERROR(__xludf.DUMMYFUNCTION("GOOGLETRANSLATE(B7351)"),"動盪")</f>
        <v>動盪</v>
      </c>
    </row>
    <row r="7352" ht="15.75" customHeight="1">
      <c r="A7352" s="4">
        <v>10118.0</v>
      </c>
      <c r="B7352" s="4" t="s">
        <v>4550</v>
      </c>
      <c r="C7352" s="4" t="s">
        <v>10687</v>
      </c>
      <c r="D7352" s="4" t="s">
        <v>10688</v>
      </c>
      <c r="E7352" s="4">
        <v>0.0</v>
      </c>
      <c r="F7352" s="4" t="str">
        <f>IFERROR(__xludf.DUMMYFUNCTION("GOOGLETRANSLATE(D7352)"),"叢林歌劇的劇變高調 http://t.co/aWPU0gaE0b #Sydney #News #Aus")</f>
        <v>叢林歌劇的劇變高調 http://t.co/aWPU0gaE0b #Sydney #News #Aus</v>
      </c>
      <c r="G7352" s="4" t="str">
        <f>IFERROR(__xludf.DUMMYFUNCTION("GOOGLETRANSLATE(B7352)"),"動盪")</f>
        <v>動盪</v>
      </c>
    </row>
    <row r="7353" ht="15.75" customHeight="1">
      <c r="A7353" s="4">
        <v>10119.0</v>
      </c>
      <c r="B7353" s="4" t="s">
        <v>4550</v>
      </c>
      <c r="C7353" s="4" t="s">
        <v>9518</v>
      </c>
      <c r="D7353" s="4" t="s">
        <v>10689</v>
      </c>
      <c r="E7353" s="4">
        <v>0.0</v>
      </c>
      <c r="F7353" s="4" t="str">
        <f>IFERROR(__xludf.DUMMYFUNCTION("GOOGLETRANSLATE(D7353)"),"深入探討新的工作世界以及年輕人、企業和經濟如何應對巨大的劇變 http://t.co/aYP6zVHm2A")</f>
        <v>深入探討新的工作世界以及年輕人、企業和經濟如何應對巨大的劇變 http://t.co/aYP6zVHm2A</v>
      </c>
      <c r="G7353" s="4" t="str">
        <f>IFERROR(__xludf.DUMMYFUNCTION("GOOGLETRANSLATE(B7353)"),"動盪")</f>
        <v>動盪</v>
      </c>
    </row>
    <row r="7354" ht="15.75" customHeight="1">
      <c r="A7354" s="4">
        <v>10120.0</v>
      </c>
      <c r="B7354" s="4" t="s">
        <v>4550</v>
      </c>
      <c r="C7354" s="4" t="s">
        <v>1529</v>
      </c>
      <c r="D7354" s="4" t="s">
        <v>10690</v>
      </c>
      <c r="E7354" s="4">
        <v>0.0</v>
      </c>
      <c r="F7354" s="4" t="str">
        <f>IFERROR(__xludf.DUMMYFUNCTION("GOOGLETRANSLATE(D7354)"),"帶有像形文字的古代瑪雅石碑，尊崇卑微的國王 http://t.co/xh4dZ1gpyw http://t.co/g0hsyH7YaV")</f>
        <v>帶有像形文字的古代瑪雅石碑，尊崇卑微的國王 http://t.co/xh4dZ1gpyw http://t.co/g0hsyH7YaV</v>
      </c>
      <c r="G7354" s="4" t="str">
        <f>IFERROR(__xludf.DUMMYFUNCTION("GOOGLETRANSLATE(B7354)"),"動盪")</f>
        <v>動盪</v>
      </c>
    </row>
    <row r="7355" ht="15.75" customHeight="1">
      <c r="A7355" s="4">
        <v>10121.0</v>
      </c>
      <c r="B7355" s="4" t="s">
        <v>4550</v>
      </c>
      <c r="C7355" s="4" t="s">
        <v>10691</v>
      </c>
      <c r="D7355" s="4" t="s">
        <v>10692</v>
      </c>
      <c r="E7355" s="4">
        <v>0.0</v>
      </c>
      <c r="F7355" s="4" t="str">
        <f>IFERROR(__xludf.DUMMYFUNCTION("GOOGLETRANSLATE(D7355)"),"深入：新的工作世界以及年輕人、企業和經濟如何應對巨大的劇變 http://t.co/0blKwCuPZq 來自 @ft")</f>
        <v>深入：新的工作世界以及年輕人、企業和經濟如何應對巨大的劇變 http://t.co/0blKwCuPZq 來自 @ft</v>
      </c>
      <c r="G7355" s="4" t="str">
        <f>IFERROR(__xludf.DUMMYFUNCTION("GOOGLETRANSLATE(B7355)"),"動盪")</f>
        <v>動盪</v>
      </c>
    </row>
    <row r="7356" ht="15.75" customHeight="1">
      <c r="A7356" s="4">
        <v>10124.0</v>
      </c>
      <c r="B7356" s="4" t="s">
        <v>4550</v>
      </c>
      <c r="C7356" s="4" t="s">
        <v>1105</v>
      </c>
      <c r="D7356" s="4" t="s">
        <v>10693</v>
      </c>
      <c r="E7356" s="4">
        <v>0.0</v>
      </c>
      <c r="F7356" s="4" t="str">
        <f>IFERROR(__xludf.DUMMYFUNCTION("GOOGLETRANSLATE(D7356)"),"佛格森劇變一年後國家行動一覽 http://t.co/TBQsqtmqV4")</f>
        <v>佛格森劇變一年後國家行動一覽 http://t.co/TBQsqtmqV4</v>
      </c>
      <c r="G7356" s="4" t="str">
        <f>IFERROR(__xludf.DUMMYFUNCTION("GOOGLETRANSLATE(B7356)"),"動盪")</f>
        <v>動盪</v>
      </c>
    </row>
    <row r="7357" ht="15.75" customHeight="1">
      <c r="A7357" s="4">
        <v>10125.0</v>
      </c>
      <c r="B7357" s="4" t="s">
        <v>4550</v>
      </c>
      <c r="C7357" s="4" t="s">
        <v>10694</v>
      </c>
      <c r="D7357" s="4" t="s">
        <v>10695</v>
      </c>
      <c r="E7357" s="4">
        <v>0.0</v>
      </c>
      <c r="F7357" s="4" t="str">
        <f>IFERROR(__xludf.DUMMYFUNCTION("GOOGLETRANSLATE(D7357)"),"但...！哦！
土壤多麼肥沃？！
多麼美妙的劇變啊！？
-@ENTERSHIKARI")</f>
        <v>但...！哦！
土壤多麼肥沃？！
多麼美妙的劇變啊！？
-@ENTERSHIKARI</v>
      </c>
      <c r="G7357" s="4" t="str">
        <f>IFERROR(__xludf.DUMMYFUNCTION("GOOGLETRANSLATE(B7357)"),"動盪")</f>
        <v>動盪</v>
      </c>
    </row>
    <row r="7358" ht="15.75" customHeight="1">
      <c r="A7358" s="4">
        <v>10126.0</v>
      </c>
      <c r="B7358" s="4" t="s">
        <v>4550</v>
      </c>
      <c r="D7358" s="4" t="s">
        <v>10696</v>
      </c>
      <c r="E7358" s="4">
        <v>0.0</v>
      </c>
      <c r="F7358" s="4" t="str">
        <f>IFERROR(__xludf.DUMMYFUNCTION("GOOGLETRANSLATE(D7358)"),"克里斯洛佩茲後見之明的 Tt 壺鈴劇變藍圖：JhmNYe")</f>
        <v>克里斯洛佩茲後見之明的 Tt 壺鈴劇變藍圖：JhmNYe</v>
      </c>
      <c r="G7358" s="4" t="str">
        <f>IFERROR(__xludf.DUMMYFUNCTION("GOOGLETRANSLATE(B7358)"),"動盪")</f>
        <v>動盪</v>
      </c>
    </row>
    <row r="7359" ht="15.75" customHeight="1">
      <c r="A7359" s="4">
        <v>10129.0</v>
      </c>
      <c r="B7359" s="4" t="s">
        <v>4550</v>
      </c>
      <c r="D7359" s="4" t="s">
        <v>10697</v>
      </c>
      <c r="E7359" s="4">
        <v>0.0</v>
      </c>
      <c r="F7359" s="4" t="str">
        <f>IFERROR(__xludf.DUMMYFUNCTION("GOOGLETRANSLATE(D7359)"),"貸款劇變是一個人可以拯救你的房子而不被取消贖回權的方式......TEJc")</f>
        <v>貸款劇變是一個人可以拯救你的房子而不被取消贖回權的方式......TEJc</v>
      </c>
      <c r="G7359" s="4" t="str">
        <f>IFERROR(__xludf.DUMMYFUNCTION("GOOGLETRANSLATE(B7359)"),"動盪")</f>
        <v>動盪</v>
      </c>
    </row>
    <row r="7360" ht="15.75" customHeight="1">
      <c r="A7360" s="4">
        <v>10132.0</v>
      </c>
      <c r="B7360" s="4" t="s">
        <v>4550</v>
      </c>
      <c r="D7360" s="4" t="s">
        <v>10698</v>
      </c>
      <c r="E7360" s="4">
        <v>0.0</v>
      </c>
      <c r="F7360" s="4" t="str">
        <f>IFERROR(__xludf.DUMMYFUNCTION("GOOGLETRANSLATE(D7360)"),"除了顛覆性的想法之外，還可以讓你的後世直接提升：bRZjc")</f>
        <v>除了顛覆性的想法之外，還可以讓你的後世直接提升：bRZjc</v>
      </c>
      <c r="G7360" s="4" t="str">
        <f>IFERROR(__xludf.DUMMYFUNCTION("GOOGLETRANSLATE(B7360)"),"動盪")</f>
        <v>動盪</v>
      </c>
    </row>
    <row r="7361" ht="15.75" customHeight="1">
      <c r="A7361" s="4">
        <v>10136.0</v>
      </c>
      <c r="B7361" s="4" t="s">
        <v>4550</v>
      </c>
      <c r="C7361" s="4" t="s">
        <v>10699</v>
      </c>
      <c r="D7361" s="4" t="s">
        <v>10700</v>
      </c>
      <c r="E7361" s="4">
        <v>0.0</v>
      </c>
      <c r="F7361" s="4" t="str">
        <f>IFERROR(__xludf.DUMMYFUNCTION("GOOGLETRANSLATE(D7361)"),"#Tigers 想知道今晚球隊的動盪對不同的球員有多大影響？")</f>
        <v>#Tigers 想知道今晚球隊的動盪對不同的球員有多大影響？</v>
      </c>
      <c r="G7361" s="4" t="str">
        <f>IFERROR(__xludf.DUMMYFUNCTION("GOOGLETRANSLATE(B7361)"),"動盪")</f>
        <v>動盪</v>
      </c>
    </row>
    <row r="7362" ht="15.75" customHeight="1">
      <c r="A7362" s="4">
        <v>10137.0</v>
      </c>
      <c r="B7362" s="4" t="s">
        <v>4550</v>
      </c>
      <c r="C7362" s="4" t="s">
        <v>10701</v>
      </c>
      <c r="D7362" s="4" t="s">
        <v>10702</v>
      </c>
      <c r="E7362" s="4">
        <v>0.0</v>
      </c>
      <c r="F7362" s="4" t="str">
        <f>IFERROR(__xludf.DUMMYFUNCTION("GOOGLETRANSLATE(D7362)"),"帶有像形文字的古代瑪雅石碑紀念卑微的國王 http://t.co/Im6m4XAeN2")</f>
        <v>帶有像形文字的古代瑪雅石碑紀念卑微的國王 http://t.co/Im6m4XAeN2</v>
      </c>
      <c r="G7362" s="4" t="str">
        <f>IFERROR(__xludf.DUMMYFUNCTION("GOOGLETRANSLATE(B7362)"),"動盪")</f>
        <v>動盪</v>
      </c>
    </row>
    <row r="7363" ht="15.75" customHeight="1">
      <c r="A7363" s="4">
        <v>10138.0</v>
      </c>
      <c r="B7363" s="4" t="s">
        <v>4550</v>
      </c>
      <c r="D7363" s="4" t="s">
        <v>10703</v>
      </c>
      <c r="E7363" s="4">
        <v>0.0</v>
      </c>
      <c r="F7363" s="4" t="str">
        <f>IFERROR(__xludf.DUMMYFUNCTION("GOOGLETRANSLATE(D7363)"),"帶有像形文字的古代瑪雅石碑紀念卑微的國王 http://t.co/WqIKqx9E3w")</f>
        <v>帶有像形文字的古代瑪雅石碑紀念卑微的國王 http://t.co/WqIKqx9E3w</v>
      </c>
      <c r="G7363" s="4" t="str">
        <f>IFERROR(__xludf.DUMMYFUNCTION("GOOGLETRANSLATE(B7363)"),"動盪")</f>
        <v>動盪</v>
      </c>
    </row>
    <row r="7364" ht="15.75" customHeight="1">
      <c r="A7364" s="4">
        <v>10139.0</v>
      </c>
      <c r="B7364" s="4" t="s">
        <v>4550</v>
      </c>
      <c r="C7364" s="4" t="s">
        <v>1445</v>
      </c>
      <c r="D7364" s="4" t="s">
        <v>10704</v>
      </c>
      <c r="E7364" s="4">
        <v>0.0</v>
      </c>
      <c r="F7364" s="4" t="str">
        <f>IFERROR(__xludf.DUMMYFUNCTION("GOOGLETRANSLATE(D7364)"),"帝亞吉歐執行長強調，聯合烈酒公司董事會的反抗並未影響印度業務 http://t.co/gfs7UsulgQ")</f>
        <v>帝亞吉歐執行長強調，聯合烈酒公司董事會的反抗並未影響印度業務 http://t.co/gfs7UsulgQ</v>
      </c>
      <c r="G7364" s="4" t="str">
        <f>IFERROR(__xludf.DUMMYFUNCTION("GOOGLETRANSLATE(B7364)"),"動盪")</f>
        <v>動盪</v>
      </c>
    </row>
    <row r="7365" ht="15.75" customHeight="1">
      <c r="A7365" s="4">
        <v>10140.0</v>
      </c>
      <c r="B7365" s="4" t="s">
        <v>4550</v>
      </c>
      <c r="C7365" s="4" t="s">
        <v>10705</v>
      </c>
      <c r="D7365" s="4" t="s">
        <v>10706</v>
      </c>
      <c r="E7365" s="4">
        <v>0.0</v>
      </c>
      <c r="F7365" s="4" t="str">
        <f>IFERROR(__xludf.DUMMYFUNCTION("GOOGLETRANSLATE(D7365)"),"RT '@LiveScience：帶有像形文字的古代瑪雅石碑，尊崇卑微的國王：http://t.co/dpgdnaoY4p http://t.co/4fCJFDKdZS")</f>
        <v>RT '@LiveScience：帶有像形文字的古代瑪雅石碑，尊崇卑微的國王：http://t.co/dpgdnaoY4p http://t.co/4fCJFDKdZS</v>
      </c>
      <c r="G7365" s="4" t="str">
        <f>IFERROR(__xludf.DUMMYFUNCTION("GOOGLETRANSLATE(B7365)"),"動盪")</f>
        <v>動盪</v>
      </c>
    </row>
    <row r="7366" ht="15.75" customHeight="1">
      <c r="A7366" s="4">
        <v>10141.0</v>
      </c>
      <c r="B7366" s="4" t="s">
        <v>4550</v>
      </c>
      <c r="C7366" s="4" t="s">
        <v>10707</v>
      </c>
      <c r="D7366" s="4" t="s">
        <v>10708</v>
      </c>
      <c r="E7366" s="4">
        <v>0.0</v>
      </c>
      <c r="F7366" s="4" t="str">
        <f>IFERROR(__xludf.DUMMYFUNCTION("GOOGLETRANSLATE(D7366)"),"帶有像形文字的古代瑪雅石碑向卑微的國王致敬：一塊 1600 年曆史的瑪雅石碑描述了... http://t.co/GLPFu0Uriz")</f>
        <v>帶有像形文字的古代瑪雅石碑向卑微的國王致敬：一塊 1600 年曆史的瑪雅石碑描述了... http://t.co/GLPFu0Uriz</v>
      </c>
      <c r="G7366" s="4" t="str">
        <f>IFERROR(__xludf.DUMMYFUNCTION("GOOGLETRANSLATE(B7366)"),"動盪")</f>
        <v>動盪</v>
      </c>
    </row>
    <row r="7367" ht="15.75" customHeight="1">
      <c r="A7367" s="4">
        <v>10143.0</v>
      </c>
      <c r="B7367" s="4" t="s">
        <v>4550</v>
      </c>
      <c r="C7367" s="4" t="s">
        <v>10709</v>
      </c>
      <c r="D7367" s="4" t="s">
        <v>10710</v>
      </c>
      <c r="E7367" s="4">
        <v>0.0</v>
      </c>
      <c r="F7367" s="4" t="str">
        <f>IFERROR(__xludf.DUMMYFUNCTION("GOOGLETRANSLATE(D7367)"),"透過 http://t.co/LmUMzkLtln 發現的古代瑪雅石板 http://t.co/yebxxAryBF http://t.co/SRRUqfffr6 http://t.co/CadzxAgMSI")</f>
        <v>透過 http://t.co/LmUMzkLtln 發現的古代瑪雅石板 http://t.co/yebxxAryBF http://t.co/SRRUqfffr6 http://t.co/CadzxAgMSI</v>
      </c>
      <c r="G7367" s="4" t="str">
        <f>IFERROR(__xludf.DUMMYFUNCTION("GOOGLETRANSLATE(B7367)"),"動盪")</f>
        <v>動盪</v>
      </c>
    </row>
    <row r="7368" ht="15.75" customHeight="1">
      <c r="A7368" s="4">
        <v>10144.0</v>
      </c>
      <c r="B7368" s="4" t="s">
        <v>4550</v>
      </c>
      <c r="C7368" s="4" t="s">
        <v>407</v>
      </c>
      <c r="D7368" s="4" t="s">
        <v>10711</v>
      </c>
      <c r="E7368" s="4">
        <v>0.0</v>
      </c>
      <c r="F7368" s="4" t="str">
        <f>IFERROR(__xludf.DUMMYFUNCTION("GOOGLETRANSLATE(D7368)"),"8 月 5 日：你的每日星座運勢：未來幾個月的關係劇變可能會造成破壞，但... http://t.co/gk4uNPZNhN")</f>
        <v>8 月 5 日：你的每日星座運勢：未來幾個月的關係劇變可能會造成破壞，但... http://t.co/gk4uNPZNhN</v>
      </c>
      <c r="G7368" s="4" t="str">
        <f>IFERROR(__xludf.DUMMYFUNCTION("GOOGLETRANSLATE(B7368)"),"動盪")</f>
        <v>動盪</v>
      </c>
    </row>
    <row r="7369" ht="15.75" customHeight="1">
      <c r="A7369" s="4">
        <v>10146.0</v>
      </c>
      <c r="B7369" s="4" t="s">
        <v>4550</v>
      </c>
      <c r="C7369" s="4" t="s">
        <v>10712</v>
      </c>
      <c r="D7369" s="4" t="s">
        <v>10713</v>
      </c>
      <c r="E7369" s="4">
        <v>0.0</v>
      </c>
      <c r="F7369" s="4" t="str">
        <f>IFERROR(__xludf.DUMMYFUNCTION("GOOGLETRANSLATE(D7369)"),"Lyf需要品質和一定的安全感。與一個你不能信任的人在一起只會導致壓力和情緒波動。")</f>
        <v>Lyf需要品質和一定的安全感。與一個你不能信任的人在一起只會導致壓力和情緒波動。</v>
      </c>
      <c r="G7369" s="4" t="str">
        <f>IFERROR(__xludf.DUMMYFUNCTION("GOOGLETRANSLATE(B7369)"),"動盪")</f>
        <v>動盪</v>
      </c>
    </row>
    <row r="7370" ht="15.75" customHeight="1">
      <c r="A7370" s="4">
        <v>10149.0</v>
      </c>
      <c r="B7370" s="4" t="s">
        <v>4550</v>
      </c>
      <c r="D7370" s="4" t="s">
        <v>10714</v>
      </c>
      <c r="E7370" s="4">
        <v>0.0</v>
      </c>
      <c r="F7370" s="4" t="str">
        <f>IFERROR(__xludf.DUMMYFUNCTION("GOOGLETRANSLATE(D7370)"),"《大劇變》作者：Winik Jay http://t.co/Ef4swP9SXZ http://t.co/Nb7MAAAOfs")</f>
        <v>《大劇變》作者：Winik Jay http://t.co/Ef4swP9SXZ http://t.co/Nb7MAAAOfs</v>
      </c>
      <c r="G7370" s="4" t="str">
        <f>IFERROR(__xludf.DUMMYFUNCTION("GOOGLETRANSLATE(B7370)"),"動盪")</f>
        <v>動盪</v>
      </c>
    </row>
    <row r="7371" ht="15.75" customHeight="1">
      <c r="A7371" s="4">
        <v>10150.0</v>
      </c>
      <c r="B7371" s="4" t="s">
        <v>4550</v>
      </c>
      <c r="C7371" s="4" t="s">
        <v>10715</v>
      </c>
      <c r="D7371" s="4" t="s">
        <v>10716</v>
      </c>
      <c r="E7371" s="4">
        <v>0.0</v>
      </c>
      <c r="F7371" s="4" t="str">
        <f>IFERROR(__xludf.DUMMYFUNCTION("GOOGLETRANSLATE(D7371)"),"為了因應不可避免的劇變，內部稽核必須帶頭http://t.co/je86VetDxh")</f>
        <v>為了因應不可避免的劇變，內部稽核必須帶頭http://t.co/je86VetDxh</v>
      </c>
      <c r="G7371" s="4" t="str">
        <f>IFERROR(__xludf.DUMMYFUNCTION("GOOGLETRANSLATE(B7371)"),"動盪")</f>
        <v>動盪</v>
      </c>
    </row>
    <row r="7372" ht="15.75" customHeight="1">
      <c r="A7372" s="4">
        <v>10151.0</v>
      </c>
      <c r="B7372" s="4" t="s">
        <v>4550</v>
      </c>
      <c r="C7372" s="4" t="s">
        <v>1445</v>
      </c>
      <c r="D7372" s="4" t="s">
        <v>10717</v>
      </c>
      <c r="E7372" s="4">
        <v>0.0</v>
      </c>
      <c r="F7372" s="4" t="str">
        <f>IFERROR(__xludf.DUMMYFUNCTION("GOOGLETRANSLATE(D7372)"),"帝亞吉歐執行長強調，聯合烈酒公司董事會的反抗並未影響印度業務 http://t.co/STPOdA901U")</f>
        <v>帝亞吉歐執行長強調，聯合烈酒公司董事會的反抗並未影響印度業務 http://t.co/STPOdA901U</v>
      </c>
      <c r="G7372" s="4" t="str">
        <f>IFERROR(__xludf.DUMMYFUNCTION("GOOGLETRANSLATE(B7372)"),"動盪")</f>
        <v>動盪</v>
      </c>
    </row>
    <row r="7373" ht="15.75" customHeight="1">
      <c r="A7373" s="4">
        <v>10152.0</v>
      </c>
      <c r="B7373" s="4" t="s">
        <v>4550</v>
      </c>
      <c r="C7373" s="4" t="s">
        <v>10718</v>
      </c>
      <c r="D7373" s="4" t="s">
        <v>10719</v>
      </c>
      <c r="E7373" s="4">
        <v>0.0</v>
      </c>
      <c r="F7373" s="4" t="str">
        <f>IFERROR(__xludf.DUMMYFUNCTION("GOOGLETRANSLATE(D7373)"),"紐伯格劇變：雅克貝茨回應「期待有一天」她可以回答問題#orcot #orpol http://t.co/dazQaMOO0C")</f>
        <v>紐伯格劇變：雅克貝茨回應「期待有一天」她可以回答問題#orcot #orpol http://t.co/dazQaMOO0C</v>
      </c>
      <c r="G7373" s="4" t="str">
        <f>IFERROR(__xludf.DUMMYFUNCTION("GOOGLETRANSLATE(B7373)"),"動盪")</f>
        <v>動盪</v>
      </c>
    </row>
    <row r="7374" ht="15.75" customHeight="1">
      <c r="A7374" s="4">
        <v>10157.0</v>
      </c>
      <c r="B7374" s="4" t="s">
        <v>4550</v>
      </c>
      <c r="C7374" s="4" t="s">
        <v>1044</v>
      </c>
      <c r="D7374" s="4" t="s">
        <v>10720</v>
      </c>
      <c r="E7374" s="4">
        <v>0.0</v>
      </c>
      <c r="F7374" s="4" t="str">
        <f>IFERROR(__xludf.DUMMYFUNCTION("GOOGLETRANSLATE(D7374)"),"@abcnews 英國 2009 年的醜聞導致議會開支發生重大變化，並導致隨後的解僱和監禁。我們還在等什麼？")</f>
        <v>@abcnews 英國 2009 年的醜聞導致議會開支發生重大變化，並導致隨後的解僱和監禁。我們還在等什麼？</v>
      </c>
      <c r="G7374" s="4" t="str">
        <f>IFERROR(__xludf.DUMMYFUNCTION("GOOGLETRANSLATE(B7374)"),"動盪")</f>
        <v>動盪</v>
      </c>
    </row>
    <row r="7375" ht="15.75" customHeight="1">
      <c r="A7375" s="4">
        <v>10173.0</v>
      </c>
      <c r="B7375" s="4" t="s">
        <v>4561</v>
      </c>
      <c r="C7375" s="4" t="s">
        <v>283</v>
      </c>
      <c r="D7375" s="4" t="s">
        <v>10721</v>
      </c>
      <c r="E7375" s="4">
        <v>0.0</v>
      </c>
      <c r="F7375" s="4" t="str">
        <f>IFERROR(__xludf.DUMMYFUNCTION("GOOGLETRANSLATE(D7375)"),"暴力力量電台：正在播放痛苦 - 末日風暴
TuneIn 播放器 @ http://t.co/XsSgEdSbH4")</f>
        <v>暴力力量電台：正在播放痛苦 - 末日風暴
TuneIn 播放器 @ http://t.co/XsSgEdSbH4</v>
      </c>
      <c r="G7375" s="4" t="str">
        <f>IFERROR(__xludf.DUMMYFUNCTION("GOOGLETRANSLATE(B7375)"),"暴力%20風暴")</f>
        <v>暴力%20風暴</v>
      </c>
    </row>
    <row r="7376" ht="15.75" customHeight="1">
      <c r="A7376" s="4">
        <v>10174.0</v>
      </c>
      <c r="B7376" s="4" t="s">
        <v>4561</v>
      </c>
      <c r="D7376" s="4" t="s">
        <v>10722</v>
      </c>
      <c r="E7376" s="4">
        <v>0.0</v>
      </c>
      <c r="F7376" s="4" t="str">
        <f>IFERROR(__xludf.DUMMYFUNCTION("GOOGLETRANSLATE(D7376)"),"'@NASASolarSystem：木星的大紅斑是一場比整個地球還要大的猛烈風暴。 http://t.co/2lBTshXI3c http://t.co/0jmKdTcYmJ'")</f>
        <v>'@NASASolarSystem：木星的大紅斑是一場比整個地球還要大的猛烈風暴。 http://t.co/2lBTshXI3c http://t.co/0jmKdTcYmJ'</v>
      </c>
      <c r="G7376" s="4" t="str">
        <f>IFERROR(__xludf.DUMMYFUNCTION("GOOGLETRANSLATE(B7376)"),"暴力%20風暴")</f>
        <v>暴力%20風暴</v>
      </c>
    </row>
    <row r="7377" ht="15.75" customHeight="1">
      <c r="A7377" s="4">
        <v>10176.0</v>
      </c>
      <c r="B7377" s="4" t="s">
        <v>4561</v>
      </c>
      <c r="C7377" s="4" t="s">
        <v>10723</v>
      </c>
      <c r="D7377" s="4" t="s">
        <v>10724</v>
      </c>
      <c r="E7377" s="4">
        <v>0.0</v>
      </c>
      <c r="F7377" s="4" t="str">
        <f>IFERROR(__xludf.DUMMYFUNCTION("GOOGLETRANSLATE(D7377)"),"木星的大紅斑是一場比整個地球還要大的猛烈風暴。 http://t.co/I5k3VjICMG http://t.co/cizJAFnm4E")</f>
        <v>木星的大紅斑是一場比整個地球還要大的猛烈風暴。 http://t.co/I5k3VjICMG http://t.co/cizJAFnm4E</v>
      </c>
      <c r="G7377" s="4" t="str">
        <f>IFERROR(__xludf.DUMMYFUNCTION("GOOGLETRANSLATE(B7377)"),"暴力%20風暴")</f>
        <v>暴力%20風暴</v>
      </c>
    </row>
    <row r="7378" ht="15.75" customHeight="1">
      <c r="A7378" s="4">
        <v>10183.0</v>
      </c>
      <c r="B7378" s="4" t="s">
        <v>4561</v>
      </c>
      <c r="C7378" s="4" t="s">
        <v>10725</v>
      </c>
      <c r="D7378" s="4" t="s">
        <v>10726</v>
      </c>
      <c r="E7378" s="4">
        <v>0.0</v>
      </c>
      <c r="F7378" s="4" t="str">
        <f>IFERROR(__xludf.DUMMYFUNCTION("GOOGLETRANSLATE(D7378)"),"@Skarletan åÇ 風暴。情緒猛烈地膨脹，然後就什麼都沒有了。")</f>
        <v>@Skarletan åÇ 風暴。情緒猛烈地膨脹，然後就什麼都沒有了。</v>
      </c>
      <c r="G7378" s="4" t="str">
        <f>IFERROR(__xludf.DUMMYFUNCTION("GOOGLETRANSLATE(B7378)"),"暴力%20風暴")</f>
        <v>暴力%20風暴</v>
      </c>
    </row>
    <row r="7379" ht="15.75" customHeight="1">
      <c r="A7379" s="4">
        <v>10187.0</v>
      </c>
      <c r="B7379" s="4" t="s">
        <v>4561</v>
      </c>
      <c r="C7379" s="4" t="s">
        <v>10705</v>
      </c>
      <c r="D7379" s="4" t="s">
        <v>10727</v>
      </c>
      <c r="E7379" s="4">
        <v>0.0</v>
      </c>
      <c r="F7379" s="4" t="str">
        <f>IFERROR(__xludf.DUMMYFUNCTION("GOOGLETRANSLATE(D7379)"),"RT '@NASASolarSystem：木星的紅斑是一場比整個地球還要大的猛烈風暴：http://t.co/i0Tvl15CoZ http://t.co/IgtXhapO0K")</f>
        <v>RT '@NASASolarSystem：木星的紅斑是一場比整個地球還要大的猛烈風暴：http://t.co/i0Tvl15CoZ http://t.co/IgtXhapO0K</v>
      </c>
      <c r="G7379" s="4" t="str">
        <f>IFERROR(__xludf.DUMMYFUNCTION("GOOGLETRANSLATE(B7379)"),"暴力%20風暴")</f>
        <v>暴力%20風暴</v>
      </c>
    </row>
    <row r="7380" ht="15.75" customHeight="1">
      <c r="A7380" s="4">
        <v>10189.0</v>
      </c>
      <c r="B7380" s="4" t="s">
        <v>4561</v>
      </c>
      <c r="D7380" s="4" t="s">
        <v>10728</v>
      </c>
      <c r="E7380" s="4">
        <v>0.0</v>
      </c>
      <c r="F7380" s="4" t="str">
        <f>IFERROR(__xludf.DUMMYFUNCTION("GOOGLETRANSLATE(D7380)"),"@TeaFrystlik——當一道不敬虔的強大閃電擊中時，導致他們戰鬥周圍的整個天空變暗，變成一場猛烈的風暴——")</f>
        <v>@TeaFrystlik——當一道不敬虔的強大閃電擊中時，導致他們戰鬥周圍的整個天空變暗，變成一場猛烈的風暴——</v>
      </c>
      <c r="G7380" s="4" t="str">
        <f>IFERROR(__xludf.DUMMYFUNCTION("GOOGLETRANSLATE(B7380)"),"暴力%20風暴")</f>
        <v>暴力%20風暴</v>
      </c>
    </row>
    <row r="7381" ht="15.75" customHeight="1">
      <c r="A7381" s="4">
        <v>10193.0</v>
      </c>
      <c r="B7381" s="4" t="s">
        <v>4561</v>
      </c>
      <c r="C7381" s="4" t="s">
        <v>10729</v>
      </c>
      <c r="D7381" s="4" t="s">
        <v>10730</v>
      </c>
      <c r="E7381" s="4">
        <v>0.0</v>
      </c>
      <c r="F7381" s="4" t="str">
        <f>IFERROR(__xludf.DUMMYFUNCTION("GOOGLETRANSLATE(D7381)"),"我認為我們都不知道我們對周遭人的生活有何影響。即使是最輕微的攪拌也可能引發猛烈的風暴。")</f>
        <v>我認為我們都不知道我們對周遭人的生活有何影響。即使是最輕微的攪拌也可能引發猛烈的風暴。</v>
      </c>
      <c r="G7381" s="4" t="str">
        <f>IFERROR(__xludf.DUMMYFUNCTION("GOOGLETRANSLATE(B7381)"),"暴力%20風暴")</f>
        <v>暴力%20風暴</v>
      </c>
    </row>
    <row r="7382" ht="15.75" customHeight="1">
      <c r="A7382" s="4">
        <v>10213.0</v>
      </c>
      <c r="B7382" s="4" t="s">
        <v>4598</v>
      </c>
      <c r="D7382" s="4" t="s">
        <v>10731</v>
      </c>
      <c r="E7382" s="4">
        <v>0.0</v>
      </c>
      <c r="F7382" s="4" t="str">
        <f>IFERROR(__xludf.DUMMYFUNCTION("GOOGLETRANSLATE(D7382)"),"Maailiss: Diaporama : Sixpenceee: 卡林斯基湖是位於俄羅斯卡林斯基火山的一個火山口湖。與 Û_ http://t.co/4o460Fm8HN")</f>
        <v>Maailiss: Diaporama : Sixpenceee: 卡林斯基湖是位於俄羅斯卡林斯基火山的一個火山口湖。與 Û_ http://t.co/4o460Fm8HN</v>
      </c>
      <c r="G7382" s="4" t="str">
        <f>IFERROR(__xludf.DUMMYFUNCTION("GOOGLETRANSLATE(B7382)"),"火山")</f>
        <v>火山</v>
      </c>
    </row>
    <row r="7383" ht="15.75" customHeight="1">
      <c r="A7383" s="4">
        <v>10218.0</v>
      </c>
      <c r="B7383" s="4" t="s">
        <v>4598</v>
      </c>
      <c r="D7383" s="4" t="s">
        <v>10732</v>
      </c>
      <c r="E7383" s="4">
        <v>0.0</v>
      </c>
      <c r="F7383" s="4" t="str">
        <f>IFERROR(__xludf.DUMMYFUNCTION("GOOGLETRANSLATE(D7383)"),"http://t.co/Ns1AgGFNxz #shoes Asics GT-II Super Red 2.0 11 Ronnie Fieg Kith 紅白 3M x 凝膠灰火山 2 http://t.co/oD250zshFy")</f>
        <v>http://t.co/Ns1AgGFNxz #shoes Asics GT-II Super Red 2.0 11 Ronnie Fieg Kith 紅白 3M x 凝膠灰火山 2 http://t.co/oD250zshFy</v>
      </c>
      <c r="G7383" s="4" t="str">
        <f>IFERROR(__xludf.DUMMYFUNCTION("GOOGLETRANSLATE(B7383)"),"火山")</f>
        <v>火山</v>
      </c>
    </row>
    <row r="7384" ht="15.75" customHeight="1">
      <c r="A7384" s="4">
        <v>10226.0</v>
      </c>
      <c r="B7384" s="4" t="s">
        <v>4598</v>
      </c>
      <c r="C7384" s="4" t="s">
        <v>4158</v>
      </c>
      <c r="D7384" s="4" t="s">
        <v>10733</v>
      </c>
      <c r="E7384" s="4">
        <v>0.0</v>
      </c>
      <c r="F7384" s="4" t="str">
        <f>IFERROR(__xludf.DUMMYFUNCTION("GOOGLETRANSLATE(D7384)"),"Diaporama：六便士：卡林斯基湖是位於俄羅斯卡林斯基火山的火山口湖。與...http://t.co/7uf7TSt9Zx")</f>
        <v>Diaporama：六便士：卡林斯基湖是位於俄羅斯卡林斯基火山的火山口湖。與...http://t.co/7uf7TSt9Zx</v>
      </c>
      <c r="G7384" s="4" t="str">
        <f>IFERROR(__xludf.DUMMYFUNCTION("GOOGLETRANSLATE(B7384)"),"火山")</f>
        <v>火山</v>
      </c>
    </row>
    <row r="7385" ht="15.75" customHeight="1">
      <c r="A7385" s="4">
        <v>10231.0</v>
      </c>
      <c r="B7385" s="4" t="s">
        <v>4598</v>
      </c>
      <c r="C7385" s="4" t="s">
        <v>193</v>
      </c>
      <c r="D7385" s="4" t="s">
        <v>10734</v>
      </c>
      <c r="E7385" s="4">
        <v>0.0</v>
      </c>
      <c r="F7385" s="4" t="str">
        <f>IFERROR(__xludf.DUMMYFUNCTION("GOOGLETRANSLATE(D7385)"),"http://t.co/3nUiH6pkUi #shoes Asics GT-II Super Red 2.0 11 Ronnie Fieg Kith 紅白 3M x 凝膠灰火山 2 http://t.co/2ufCC6gH3m")</f>
        <v>http://t.co/3nUiH6pkUi #shoes Asics GT-II Super Red 2.0 11 Ronnie Fieg Kith 紅白 3M x 凝膠灰火山 2 http://t.co/2ufCC6gH3m</v>
      </c>
      <c r="G7385" s="4" t="str">
        <f>IFERROR(__xludf.DUMMYFUNCTION("GOOGLETRANSLATE(B7385)"),"火山")</f>
        <v>火山</v>
      </c>
    </row>
    <row r="7386" ht="15.75" customHeight="1">
      <c r="A7386" s="4">
        <v>10234.0</v>
      </c>
      <c r="B7386" s="4" t="s">
        <v>4598</v>
      </c>
      <c r="C7386" s="4" t="s">
        <v>10735</v>
      </c>
      <c r="D7386" s="4" t="s">
        <v>10736</v>
      </c>
      <c r="E7386" s="4">
        <v>0.0</v>
      </c>
      <c r="F7386" s="4" t="str">
        <f>IFERROR(__xludf.DUMMYFUNCTION("GOOGLETRANSLATE(D7386)"),"@songhey89 嗯，我也是同性戀，但女孩也喜歡一些。所以。我預測海嘯和海嘯火山與地震。來自上帝的禮物？我是基督徒但是")</f>
        <v>@songhey89 嗯，我也是同性戀，但女孩也喜歡一些。所以。我預測海嘯和海嘯火山與地震。來自上帝的禮物？我是基督徒但是</v>
      </c>
      <c r="G7386" s="4" t="str">
        <f>IFERROR(__xludf.DUMMYFUNCTION("GOOGLETRANSLATE(B7386)"),"火山")</f>
        <v>火山</v>
      </c>
    </row>
    <row r="7387" ht="15.75" customHeight="1">
      <c r="A7387" s="4">
        <v>10241.0</v>
      </c>
      <c r="B7387" s="4" t="s">
        <v>4598</v>
      </c>
      <c r="C7387" s="4" t="s">
        <v>10737</v>
      </c>
      <c r="D7387" s="4" t="s">
        <v>10738</v>
      </c>
      <c r="E7387" s="4">
        <v>0.0</v>
      </c>
      <c r="F7387" s="4" t="str">
        <f>IFERROR(__xludf.DUMMYFUNCTION("GOOGLETRANSLATE(D7387)"),"布萊恩·肖 + J.J.希克森和肯尼斯·法里德試圖防守拉馬庫斯·阿爾德里奇是一座血火山 http://t.co/20TWGPmM7d")</f>
        <v>布萊恩·肖 + J.J.希克森和肯尼斯·法里德試圖防守拉馬庫斯·阿爾德里奇是一座血火山 http://t.co/20TWGPmM7d</v>
      </c>
      <c r="G7387" s="4" t="str">
        <f>IFERROR(__xludf.DUMMYFUNCTION("GOOGLETRANSLATE(B7387)"),"火山")</f>
        <v>火山</v>
      </c>
    </row>
    <row r="7388" ht="15.75" customHeight="1">
      <c r="A7388" s="4">
        <v>10243.0</v>
      </c>
      <c r="B7388" s="4" t="s">
        <v>4598</v>
      </c>
      <c r="C7388" s="4" t="s">
        <v>10739</v>
      </c>
      <c r="D7388" s="4" t="s">
        <v>10740</v>
      </c>
      <c r="E7388" s="4">
        <v>0.0</v>
      </c>
      <c r="F7388" s="4" t="str">
        <f>IFERROR(__xludf.DUMMYFUNCTION("GOOGLETRANSLATE(D7388)"),"肯伊威斯特 (Kanye West) 火山背後的建築師 https://t.co/MUSBIk7EJf")</f>
        <v>肯伊威斯特 (Kanye West) 火山背後的建築師 https://t.co/MUSBIk7EJf</v>
      </c>
      <c r="G7388" s="4" t="str">
        <f>IFERROR(__xludf.DUMMYFUNCTION("GOOGLETRANSLATE(B7388)"),"火山")</f>
        <v>火山</v>
      </c>
    </row>
    <row r="7389" ht="15.75" customHeight="1">
      <c r="A7389" s="4">
        <v>10245.0</v>
      </c>
      <c r="B7389" s="4" t="s">
        <v>4598</v>
      </c>
      <c r="D7389" s="4" t="s">
        <v>10741</v>
      </c>
      <c r="E7389" s="4">
        <v>0.0</v>
      </c>
      <c r="F7389" s="4" t="str">
        <f>IFERROR(__xludf.DUMMYFUNCTION("GOOGLETRANSLATE(D7389)"),"@lexi_purduee 旁的火山??????")</f>
        <v>@lexi_purduee 旁的火山??????</v>
      </c>
      <c r="G7389" s="4" t="str">
        <f>IFERROR(__xludf.DUMMYFUNCTION("GOOGLETRANSLATE(B7389)"),"火山")</f>
        <v>火山</v>
      </c>
    </row>
    <row r="7390" ht="15.75" customHeight="1">
      <c r="A7390" s="4">
        <v>10249.0</v>
      </c>
      <c r="B7390" s="4" t="s">
        <v>4598</v>
      </c>
      <c r="D7390" s="4" t="s">
        <v>10742</v>
      </c>
      <c r="E7390" s="4">
        <v>0.0</v>
      </c>
      <c r="F7390" s="4" t="str">
        <f>IFERROR(__xludf.DUMMYFUNCTION("GOOGLETRANSLATE(D7390)"),"這家洛杉磯新創公司太火爆了，他們的花直接來自火山 http://t.co/R3PDdjPiEe 來自 @LATechWatch")</f>
        <v>這家洛杉磯新創公司太火爆了，他們的花直接來自火山 http://t.co/R3PDdjPiEe 來自 @LATechWatch</v>
      </c>
      <c r="G7390" s="4" t="str">
        <f>IFERROR(__xludf.DUMMYFUNCTION("GOOGLETRANSLATE(B7390)"),"火山")</f>
        <v>火山</v>
      </c>
    </row>
    <row r="7391" ht="15.75" customHeight="1">
      <c r="A7391" s="4">
        <v>10250.0</v>
      </c>
      <c r="B7391" s="4" t="s">
        <v>4621</v>
      </c>
      <c r="C7391" s="4" t="s">
        <v>10743</v>
      </c>
      <c r="D7391" s="4" t="s">
        <v>10744</v>
      </c>
      <c r="E7391" s="4">
        <v>0.0</v>
      </c>
      <c r="F7391" s="4" t="str">
        <f>IFERROR(__xludf.DUMMYFUNCTION("GOOGLETRANSLATE(D7391)"),"坐在#CityofMemphis 的車流中就像坐在戰區一樣！他們不會為警察而行動..他們不在乎")</f>
        <v>坐在#CityofMemphis 的車流中就像坐在戰區一樣！他們不會為警察而行動..他們不在乎</v>
      </c>
      <c r="G7391" s="4" t="str">
        <f>IFERROR(__xludf.DUMMYFUNCTION("GOOGLETRANSLATE(B7391)"),"戰爭%20zone")</f>
        <v>戰爭%20zone</v>
      </c>
    </row>
    <row r="7392" ht="15.75" customHeight="1">
      <c r="A7392" s="4">
        <v>10251.0</v>
      </c>
      <c r="B7392" s="4" t="s">
        <v>4621</v>
      </c>
      <c r="C7392" s="4" t="s">
        <v>10745</v>
      </c>
      <c r="D7392" s="4" t="s">
        <v>10746</v>
      </c>
      <c r="E7392" s="4">
        <v>0.0</v>
      </c>
      <c r="F7392" s="4" t="str">
        <f>IFERROR(__xludf.DUMMYFUNCTION("GOOGLETRANSLATE(D7392)"),"MGS2 戰神末世地帶。 RT @D_PageXXI：引用你最喜歡的 PS2 遊戲")</f>
        <v>MGS2 戰神末世地帶。 RT @D_PageXXI：引用你最喜歡的 PS2 遊戲</v>
      </c>
      <c r="G7392" s="4" t="str">
        <f>IFERROR(__xludf.DUMMYFUNCTION("GOOGLETRANSLATE(B7392)"),"戰爭%20zone")</f>
        <v>戰爭%20zone</v>
      </c>
    </row>
    <row r="7393" ht="15.75" customHeight="1">
      <c r="A7393" s="4">
        <v>10252.0</v>
      </c>
      <c r="B7393" s="4" t="s">
        <v>4621</v>
      </c>
      <c r="D7393" s="4" t="s">
        <v>10747</v>
      </c>
      <c r="E7393" s="4">
        <v>0.0</v>
      </c>
      <c r="F7393" s="4" t="str">
        <f>IFERROR(__xludf.DUMMYFUNCTION("GOOGLETRANSLATE(D7393)"),"臥室乾淨，浴室乾淨，衣服洗乾淨了..這裡看起來就像是戰區？")</f>
        <v>臥室乾淨，浴室乾淨，衣服洗乾淨了..這裡看起來就像是戰區？</v>
      </c>
      <c r="G7393" s="4" t="str">
        <f>IFERROR(__xludf.DUMMYFUNCTION("GOOGLETRANSLATE(B7393)"),"戰爭%20zone")</f>
        <v>戰爭%20zone</v>
      </c>
    </row>
    <row r="7394" ht="15.75" customHeight="1">
      <c r="A7394" s="4">
        <v>10253.0</v>
      </c>
      <c r="B7394" s="4" t="s">
        <v>4621</v>
      </c>
      <c r="C7394" s="4" t="s">
        <v>10748</v>
      </c>
      <c r="D7394" s="4" t="s">
        <v>10749</v>
      </c>
      <c r="E7394" s="4">
        <v>0.0</v>
      </c>
      <c r="F7394" s="4" t="str">
        <f>IFERROR(__xludf.DUMMYFUNCTION("GOOGLETRANSLATE(D7394)"),"這張床看起來像是戰區。")</f>
        <v>這張床看起來像是戰區。</v>
      </c>
      <c r="G7394" s="4" t="str">
        <f>IFERROR(__xludf.DUMMYFUNCTION("GOOGLETRANSLATE(B7394)"),"戰爭%20zone")</f>
        <v>戰爭%20zone</v>
      </c>
    </row>
    <row r="7395" ht="15.75" customHeight="1">
      <c r="A7395" s="4">
        <v>10256.0</v>
      </c>
      <c r="B7395" s="4" t="s">
        <v>4621</v>
      </c>
      <c r="C7395" s="4" t="s">
        <v>10750</v>
      </c>
      <c r="D7395" s="4" t="s">
        <v>10751</v>
      </c>
      <c r="E7395" s="4">
        <v>0.0</v>
      </c>
      <c r="F7395" s="4" t="str">
        <f>IFERROR(__xludf.DUMMYFUNCTION("GOOGLETRANSLATE(D7395)"),"撕裂媽媽，但我仍然是暴徒，因為世界是戰區")</f>
        <v>撕裂媽媽，但我仍然是暴徒，因為世界是戰區</v>
      </c>
      <c r="G7395" s="4" t="str">
        <f>IFERROR(__xludf.DUMMYFUNCTION("GOOGLETRANSLATE(B7395)"),"戰爭%20zone")</f>
        <v>戰爭%20zone</v>
      </c>
    </row>
    <row r="7396" ht="15.75" customHeight="1">
      <c r="A7396" s="4">
        <v>10258.0</v>
      </c>
      <c r="B7396" s="4" t="s">
        <v>4621</v>
      </c>
      <c r="C7396" s="4" t="s">
        <v>10752</v>
      </c>
      <c r="D7396" s="4" t="s">
        <v>10753</v>
      </c>
      <c r="E7396" s="4">
        <v>0.0</v>
      </c>
      <c r="F7396" s="4" t="str">
        <f>IFERROR(__xludf.DUMMYFUNCTION("GOOGLETRANSLATE(D7396)"),"在戰區露營，浣熊四處遊蕩，讓城市變得更加光滑 http://t.co/oJuS08yZrq")</f>
        <v>在戰區露營，浣熊四處遊蕩，讓城市變得更加光滑 http://t.co/oJuS08yZrq</v>
      </c>
      <c r="G7396" s="4" t="str">
        <f>IFERROR(__xludf.DUMMYFUNCTION("GOOGLETRANSLATE(B7396)"),"戰爭%20zone")</f>
        <v>戰爭%20zone</v>
      </c>
    </row>
    <row r="7397" ht="15.75" customHeight="1">
      <c r="A7397" s="4">
        <v>10259.0</v>
      </c>
      <c r="B7397" s="4" t="s">
        <v>4621</v>
      </c>
      <c r="C7397" s="4" t="s">
        <v>193</v>
      </c>
      <c r="D7397" s="4" t="s">
        <v>10754</v>
      </c>
      <c r="E7397" s="4">
        <v>0.0</v>
      </c>
      <c r="F7397" s="4" t="str">
        <f>IFERROR(__xludf.DUMMYFUNCTION("GOOGLETRANSLATE(D7397)"),"GEARS OF WAR 1！（預覽會員）快來聊天吧！ XB1！歡迎來到危險區域！：http://t.co/6SdgZ5DXNt")</f>
        <v>GEARS OF WAR 1！（預覽會員）快來聊天吧！ XB1！歡迎來到危險區域！：http://t.co/6SdgZ5DXNt</v>
      </c>
      <c r="G7397" s="4" t="str">
        <f>IFERROR(__xludf.DUMMYFUNCTION("GOOGLETRANSLATE(B7397)"),"戰爭%20zone")</f>
        <v>戰爭%20zone</v>
      </c>
    </row>
    <row r="7398" ht="15.75" customHeight="1">
      <c r="A7398" s="4">
        <v>10260.0</v>
      </c>
      <c r="B7398" s="4" t="s">
        <v>4621</v>
      </c>
      <c r="D7398" s="4" t="s">
        <v>10755</v>
      </c>
      <c r="E7398" s="4">
        <v>0.0</v>
      </c>
      <c r="F7398" s="4" t="str">
        <f>IFERROR(__xludf.DUMMYFUNCTION("GOOGLETRANSLATE(D7398)"),"他們把茉莉花屋變成了戰區。 ?? #洛杉磯小婦人")</f>
        <v>他們把茉莉花屋變成了戰區。 ?? #洛杉磯小婦人</v>
      </c>
      <c r="G7398" s="4" t="str">
        <f>IFERROR(__xludf.DUMMYFUNCTION("GOOGLETRANSLATE(B7398)"),"戰爭%20zone")</f>
        <v>戰爭%20zone</v>
      </c>
    </row>
    <row r="7399" ht="15.75" customHeight="1">
      <c r="A7399" s="4">
        <v>10263.0</v>
      </c>
      <c r="B7399" s="4" t="s">
        <v>4621</v>
      </c>
      <c r="C7399" s="4" t="s">
        <v>8677</v>
      </c>
      <c r="D7399" s="4" t="s">
        <v>10756</v>
      </c>
      <c r="E7399" s="4">
        <v>0.0</v>
      </c>
      <c r="F7399" s="4" t="str">
        <f>IFERROR(__xludf.DUMMYFUNCTION("GOOGLETRANSLATE(D7399)"),"足球賽季的周日上午 9 點至晚上 11 點左右，女性甚至不應該登錄，那是一個完整的戰區")</f>
        <v>足球賽季的周日上午 9 點至晚上 11 點左右，女性甚至不應該登錄，那是一個完整的戰區</v>
      </c>
      <c r="G7399" s="4" t="str">
        <f>IFERROR(__xludf.DUMMYFUNCTION("GOOGLETRANSLATE(B7399)"),"戰爭%20zone")</f>
        <v>戰爭%20zone</v>
      </c>
    </row>
    <row r="7400" ht="15.75" customHeight="1">
      <c r="A7400" s="4">
        <v>10264.0</v>
      </c>
      <c r="B7400" s="4" t="s">
        <v>4621</v>
      </c>
      <c r="D7400" s="4" t="s">
        <v>10757</v>
      </c>
      <c r="E7400" s="4">
        <v>0.0</v>
      </c>
      <c r="F7400" s="4" t="str">
        <f>IFERROR(__xludf.DUMMYFUNCTION("GOOGLETRANSLATE(D7400)"),"媽媽，我還在打鬧世界是戰區")</f>
        <v>媽媽，我還在打鬧世界是戰區</v>
      </c>
      <c r="G7400" s="4" t="str">
        <f>IFERROR(__xludf.DUMMYFUNCTION("GOOGLETRANSLATE(B7400)"),"戰爭%20zone")</f>
        <v>戰爭%20zone</v>
      </c>
    </row>
    <row r="7401" ht="15.75" customHeight="1">
      <c r="A7401" s="4">
        <v>10269.0</v>
      </c>
      <c r="B7401" s="4" t="s">
        <v>4621</v>
      </c>
      <c r="C7401" s="4" t="s">
        <v>10758</v>
      </c>
      <c r="D7401" s="4" t="s">
        <v>10759</v>
      </c>
      <c r="E7401" s="4">
        <v>0.0</v>
      </c>
      <c r="F7401" s="4" t="str">
        <f>IFERROR(__xludf.DUMMYFUNCTION("GOOGLETRANSLATE(D7401)"),"媽媽，我仍然是個暴徒，世界是一個戰區，我的兄弟們是囚犯，他們中的大多數人都錯了。")</f>
        <v>媽媽，我仍然是個暴徒，世界是一個戰區，我的兄弟們是囚犯，他們中的大多數人都錯了。</v>
      </c>
      <c r="G7401" s="4" t="str">
        <f>IFERROR(__xludf.DUMMYFUNCTION("GOOGLETRANSLATE(B7401)"),"戰爭%20zone")</f>
        <v>戰爭%20zone</v>
      </c>
    </row>
    <row r="7402" ht="15.75" customHeight="1">
      <c r="A7402" s="4">
        <v>10272.0</v>
      </c>
      <c r="B7402" s="4" t="s">
        <v>4621</v>
      </c>
      <c r="C7402" s="4" t="s">
        <v>10760</v>
      </c>
      <c r="D7402" s="4" t="s">
        <v>10761</v>
      </c>
      <c r="E7402" s="4">
        <v>0.0</v>
      </c>
      <c r="F7402" s="4" t="str">
        <f>IFERROR(__xludf.DUMMYFUNCTION("GOOGLETRANSLATE(D7402)"),"收拾行李準備去CT，我的房間看起來就像戰區")</f>
        <v>收拾行李準備去CT，我的房間看起來就像戰區</v>
      </c>
      <c r="G7402" s="4" t="str">
        <f>IFERROR(__xludf.DUMMYFUNCTION("GOOGLETRANSLATE(B7402)"),"戰爭%20zone")</f>
        <v>戰爭%20zone</v>
      </c>
    </row>
    <row r="7403" ht="15.75" customHeight="1">
      <c r="A7403" s="4">
        <v>10273.0</v>
      </c>
      <c r="B7403" s="4" t="s">
        <v>4621</v>
      </c>
      <c r="C7403" s="4" t="s">
        <v>2347</v>
      </c>
      <c r="D7403" s="4" t="s">
        <v>10762</v>
      </c>
      <c r="E7403" s="4">
        <v>0.0</v>
      </c>
      <c r="F7403" s="4" t="str">
        <f>IFERROR(__xludf.DUMMYFUNCTION("GOOGLETRANSLATE(D7403)"),"@kasiakosek 在我的情況下，驅動器很糟糕，因為我知道我的辦公桌看起來像一個戰區，然後每個人都進入“我需要這個”模式")</f>
        <v>@kasiakosek 在我的情況下，驅動器很糟糕，因為我知道我的辦公桌看起來像一個戰區，然後每個人都進入“我需要這個”模式</v>
      </c>
      <c r="G7403" s="4" t="str">
        <f>IFERROR(__xludf.DUMMYFUNCTION("GOOGLETRANSLATE(B7403)"),"戰爭%20zone")</f>
        <v>戰爭%20zone</v>
      </c>
    </row>
    <row r="7404" ht="15.75" customHeight="1">
      <c r="A7404" s="4">
        <v>10275.0</v>
      </c>
      <c r="B7404" s="4" t="s">
        <v>4621</v>
      </c>
      <c r="D7404" s="4" t="s">
        <v>10763</v>
      </c>
      <c r="E7404" s="4">
        <v>0.0</v>
      </c>
      <c r="F7404" s="4" t="str">
        <f>IFERROR(__xludf.DUMMYFUNCTION("GOOGLETRANSLATE(D7404)"),"人們如何烘焙而不將廚房變成雞蛋和麵粉的戰區")</f>
        <v>人們如何烘焙而不將廚房變成雞蛋和麵粉的戰區</v>
      </c>
      <c r="G7404" s="4" t="str">
        <f>IFERROR(__xludf.DUMMYFUNCTION("GOOGLETRANSLATE(B7404)"),"戰爭%20zone")</f>
        <v>戰爭%20zone</v>
      </c>
    </row>
    <row r="7405" ht="15.75" customHeight="1">
      <c r="A7405" s="4">
        <v>10276.0</v>
      </c>
      <c r="B7405" s="4" t="s">
        <v>4621</v>
      </c>
      <c r="D7405" s="4" t="s">
        <v>10764</v>
      </c>
      <c r="E7405" s="4">
        <v>0.0</v>
      </c>
      <c r="F7405" s="4" t="str">
        <f>IFERROR(__xludf.DUMMYFUNCTION("GOOGLETRANSLATE(D7405)"),"貪心把我帶進戰區了！左毛")</f>
        <v>貪心把我帶進戰區了！左毛</v>
      </c>
      <c r="G7405" s="4" t="str">
        <f>IFERROR(__xludf.DUMMYFUNCTION("GOOGLETRANSLATE(B7405)"),"戰爭%20zone")</f>
        <v>戰爭%20zone</v>
      </c>
    </row>
    <row r="7406" ht="15.75" customHeight="1">
      <c r="A7406" s="4">
        <v>10278.0</v>
      </c>
      <c r="B7406" s="4" t="s">
        <v>4621</v>
      </c>
      <c r="D7406" s="4" t="s">
        <v>10765</v>
      </c>
      <c r="E7406" s="4">
        <v>0.0</v>
      </c>
      <c r="F7406" s="4" t="str">
        <f>IFERROR(__xludf.DUMMYFUNCTION("GOOGLETRANSLATE(D7406)"),"@RobertONeill31 坐在那裡被界外球擊中幾乎不是什麼奇怪的事故。這是一個戰區。")</f>
        <v>@RobertONeill31 坐在那裡被界外球擊中幾乎不是什麼奇怪的事故。這是一個戰區。</v>
      </c>
      <c r="G7406" s="4" t="str">
        <f>IFERROR(__xludf.DUMMYFUNCTION("GOOGLETRANSLATE(B7406)"),"戰爭%20zone")</f>
        <v>戰爭%20zone</v>
      </c>
    </row>
    <row r="7407" ht="15.75" customHeight="1">
      <c r="A7407" s="4">
        <v>10280.0</v>
      </c>
      <c r="B7407" s="4" t="s">
        <v>4621</v>
      </c>
      <c r="C7407" s="4" t="s">
        <v>10766</v>
      </c>
      <c r="D7407" s="4" t="s">
        <v>10767</v>
      </c>
      <c r="E7407" s="4">
        <v>0.0</v>
      </c>
      <c r="F7407" s="4" t="str">
        <f>IFERROR(__xludf.DUMMYFUNCTION("GOOGLETRANSLATE(D7407)"),"#GrowingupBlack 走過炸雞店就像進入了戰區。")</f>
        <v>#GrowingupBlack 走過炸雞店就像進入了戰區。</v>
      </c>
      <c r="G7407" s="4" t="str">
        <f>IFERROR(__xludf.DUMMYFUNCTION("GOOGLETRANSLATE(B7407)"),"戰爭%20zone")</f>
        <v>戰爭%20zone</v>
      </c>
    </row>
    <row r="7408" ht="15.75" customHeight="1">
      <c r="A7408" s="4">
        <v>10287.0</v>
      </c>
      <c r="B7408" s="4" t="s">
        <v>4634</v>
      </c>
      <c r="C7408" s="4" t="s">
        <v>10768</v>
      </c>
      <c r="D7408" s="4" t="s">
        <v>10769</v>
      </c>
      <c r="E7408" s="4">
        <v>0.0</v>
      </c>
      <c r="F7408" s="4" t="str">
        <f>IFERROR(__xludf.DUMMYFUNCTION("GOOGLETRANSLATE(D7408)"),"-親愛的，你不是天使。你喜歡尖叫這些話作為武器。好吧，繼續拍攝你最好的女人。我想離開你")</f>
        <v>-親愛的，你不是天使。你喜歡尖叫這些話作為武器。好吧，繼續拍攝你最好的女人。我想離開你</v>
      </c>
      <c r="G7408" s="4" t="str">
        <f>IFERROR(__xludf.DUMMYFUNCTION("GOOGLETRANSLATE(B7408)"),"武器")</f>
        <v>武器</v>
      </c>
    </row>
    <row r="7409" ht="15.75" customHeight="1">
      <c r="A7409" s="4">
        <v>10290.0</v>
      </c>
      <c r="B7409" s="4" t="s">
        <v>4634</v>
      </c>
      <c r="D7409" s="4" t="s">
        <v>10770</v>
      </c>
      <c r="E7409" s="4">
        <v>0.0</v>
      </c>
      <c r="F7409" s="4" t="str">
        <f>IFERROR(__xludf.DUMMYFUNCTION("GOOGLETRANSLATE(D7409)"),"毛皮大衣雪碧&amp;amp;選擇的武器是 02 年選擇的生活方式 http://t.co/N9SNJMEVI6")</f>
        <v>毛皮大衣雪碧&amp;amp;選擇的武器是 02 年選擇的生活方式 http://t.co/N9SNJMEVI6</v>
      </c>
      <c r="G7409" s="4" t="str">
        <f>IFERROR(__xludf.DUMMYFUNCTION("GOOGLETRANSLATE(B7409)"),"武器")</f>
        <v>武器</v>
      </c>
    </row>
    <row r="7410" ht="15.75" customHeight="1">
      <c r="A7410" s="4">
        <v>10291.0</v>
      </c>
      <c r="B7410" s="4" t="s">
        <v>4634</v>
      </c>
      <c r="D7410" s="4" t="s">
        <v>10771</v>
      </c>
      <c r="E7410" s="4">
        <v>0.0</v>
      </c>
      <c r="F7410" s="4" t="str">
        <f>IFERROR(__xludf.DUMMYFUNCTION("GOOGLETRANSLATE(D7410)"),"@RogueWatson 這沒什麼問題。致命武器系列很棒。是的，他們都很棒。")</f>
        <v>@RogueWatson 這沒什麼問題。致命武器系列很棒。是的，他們都很棒。</v>
      </c>
      <c r="G7410" s="4" t="str">
        <f>IFERROR(__xludf.DUMMYFUNCTION("GOOGLETRANSLATE(B7410)"),"武器")</f>
        <v>武器</v>
      </c>
    </row>
    <row r="7411" ht="15.75" customHeight="1">
      <c r="A7411" s="4">
        <v>10293.0</v>
      </c>
      <c r="B7411" s="4" t="s">
        <v>4634</v>
      </c>
      <c r="C7411" s="4" t="s">
        <v>10772</v>
      </c>
      <c r="D7411" s="4" t="s">
        <v>10773</v>
      </c>
      <c r="E7411" s="4">
        <v>0.0</v>
      </c>
      <c r="F7411" s="4" t="str">
        <f>IFERROR(__xludf.DUMMYFUNCTION("GOOGLETRANSLATE(D7411)"),"@junsuisengen 改變我的武器！")</f>
        <v>@junsuisengen 改變我的武器！</v>
      </c>
      <c r="G7411" s="4" t="str">
        <f>IFERROR(__xludf.DUMMYFUNCTION("GOOGLETRANSLATE(B7411)"),"武器")</f>
        <v>武器</v>
      </c>
    </row>
    <row r="7412" ht="15.75" customHeight="1">
      <c r="A7412" s="4">
        <v>10294.0</v>
      </c>
      <c r="B7412" s="4" t="s">
        <v>4634</v>
      </c>
      <c r="C7412" s="4" t="s">
        <v>10774</v>
      </c>
      <c r="D7412" s="4" t="s">
        <v>10775</v>
      </c>
      <c r="E7412" s="4">
        <v>0.0</v>
      </c>
      <c r="F7412" s="4" t="str">
        <f>IFERROR(__xludf.DUMMYFUNCTION("GOOGLETRANSLATE(D7412)"),"@DwarfOnJetpack 我想我可以說你和我可能有一個共同點，我的親生父親讓我成為他的武器")</f>
        <v>@DwarfOnJetpack 我想我可以說你和我可能有一個共同點，我的親生父親讓我成為他的武器</v>
      </c>
      <c r="G7412" s="4" t="str">
        <f>IFERROR(__xludf.DUMMYFUNCTION("GOOGLETRANSLATE(B7412)"),"武器")</f>
        <v>武器</v>
      </c>
    </row>
    <row r="7413" ht="15.75" customHeight="1">
      <c r="A7413" s="4">
        <v>10295.0</v>
      </c>
      <c r="B7413" s="4" t="s">
        <v>4634</v>
      </c>
      <c r="C7413" s="4" t="s">
        <v>4215</v>
      </c>
      <c r="D7413" s="4" t="s">
        <v>10776</v>
      </c>
      <c r="E7413" s="4">
        <v>0.0</v>
      </c>
      <c r="F7413" s="4" t="str">
        <f>IFERROR(__xludf.DUMMYFUNCTION("GOOGLETRANSLATE(D7413)"),"他媽的核武")</f>
        <v>他媽的核武</v>
      </c>
      <c r="G7413" s="4" t="str">
        <f>IFERROR(__xludf.DUMMYFUNCTION("GOOGLETRANSLATE(B7413)"),"武器")</f>
        <v>武器</v>
      </c>
    </row>
    <row r="7414" ht="15.75" customHeight="1">
      <c r="A7414" s="4">
        <v>10297.0</v>
      </c>
      <c r="B7414" s="4" t="s">
        <v>4634</v>
      </c>
      <c r="C7414" s="4" t="s">
        <v>2306</v>
      </c>
      <c r="D7414" s="4" t="s">
        <v>10777</v>
      </c>
      <c r="E7414" s="4">
        <v>0.0</v>
      </c>
      <c r="F7414" s="4" t="str">
        <f>IFERROR(__xludf.DUMMYFUNCTION("GOOGLETRANSLATE(D7414)"),"但我會盡快上傳這些視頻，以便你們能夠看到新武器類型的實際效果！")</f>
        <v>但我會盡快上傳這些視頻，以便你們能夠看到新武器類型的實際效果！</v>
      </c>
      <c r="G7414" s="4" t="str">
        <f>IFERROR(__xludf.DUMMYFUNCTION("GOOGLETRANSLATE(B7414)"),"武器")</f>
        <v>武器</v>
      </c>
    </row>
    <row r="7415" ht="15.75" customHeight="1">
      <c r="A7415" s="4">
        <v>10299.0</v>
      </c>
      <c r="B7415" s="4" t="s">
        <v>4634</v>
      </c>
      <c r="D7415" s="4" t="s">
        <v>10778</v>
      </c>
      <c r="E7415" s="4">
        <v>0.0</v>
      </c>
      <c r="F7415" s="4" t="str">
        <f>IFERROR(__xludf.DUMMYFUNCTION("GOOGLETRANSLATE(D7415)"),"槍槍武器向量剪貼畫適用於乙烯基標誌切割機步槍槍武器 http://t.co/sdOgEF3kFT http://t.co/x0giy85BS8")</f>
        <v>槍槍武器向量剪貼畫適用於乙烯基標誌切割機步槍槍武器 http://t.co/sdOgEF3kFT http://t.co/x0giy85BS8</v>
      </c>
      <c r="G7415" s="4" t="str">
        <f>IFERROR(__xludf.DUMMYFUNCTION("GOOGLETRANSLATE(B7415)"),"武器")</f>
        <v>武器</v>
      </c>
    </row>
    <row r="7416" ht="15.75" customHeight="1">
      <c r="A7416" s="4">
        <v>10301.0</v>
      </c>
      <c r="B7416" s="4" t="s">
        <v>4634</v>
      </c>
      <c r="C7416" s="4" t="s">
        <v>10779</v>
      </c>
      <c r="D7416" s="4" t="s">
        <v>10780</v>
      </c>
      <c r="E7416" s="4">
        <v>0.0</v>
      </c>
      <c r="F7416" s="4" t="str">
        <f>IFERROR(__xludf.DUMMYFUNCTION("GOOGLETRANSLATE(D7416)"),"@RosemaryTravale 我們都使用相同的武器嗎？因為我們可能會被搞砸XD")</f>
        <v>@RosemaryTravale 我們都使用相同的武器嗎？因為我們可能會被搞砸XD</v>
      </c>
      <c r="G7416" s="4" t="str">
        <f>IFERROR(__xludf.DUMMYFUNCTION("GOOGLETRANSLATE(B7416)"),"武器")</f>
        <v>武器</v>
      </c>
    </row>
    <row r="7417" ht="15.75" customHeight="1">
      <c r="A7417" s="4">
        <v>10302.0</v>
      </c>
      <c r="B7417" s="4" t="s">
        <v>4634</v>
      </c>
      <c r="C7417" s="4" t="s">
        <v>10781</v>
      </c>
      <c r="D7417" s="4" t="s">
        <v>10782</v>
      </c>
      <c r="E7417" s="4">
        <v>0.0</v>
      </c>
      <c r="F7417" s="4" t="str">
        <f>IFERROR(__xludf.DUMMYFUNCTION("GOOGLETRANSLATE(D7417)"),"@Weapon_X_music 嘿夥計們，謝謝你們在我的世界裡的一塊石頭和你們的關注？？？？？？？？？")</f>
        <v>@Weapon_X_music 嘿夥計們，謝謝你們在我的世界裡的一塊石頭和你們的關注？？？？？？？？？</v>
      </c>
      <c r="G7417" s="4" t="str">
        <f>IFERROR(__xludf.DUMMYFUNCTION("GOOGLETRANSLATE(B7417)"),"武器")</f>
        <v>武器</v>
      </c>
    </row>
    <row r="7418" ht="15.75" customHeight="1">
      <c r="A7418" s="4">
        <v>10303.0</v>
      </c>
      <c r="B7418" s="4" t="s">
        <v>4634</v>
      </c>
      <c r="C7418" s="4" t="s">
        <v>10783</v>
      </c>
      <c r="D7418" s="4" t="s">
        <v>10784</v>
      </c>
      <c r="E7418" s="4">
        <v>0.0</v>
      </c>
      <c r="F7418" s="4" t="str">
        <f>IFERROR(__xludf.DUMMYFUNCTION("GOOGLETRANSLATE(D7418)"),"@muttatek 我相信我的「藍色」不是伊斯蘭國 kwwwkwwwk
沒有武器「藍色」會擁抱我嘉哈哈哈哈
耶耶烏拉拉....")</f>
        <v>@muttatek 我相信我的「藍色」不是伊斯蘭國 kwwwkwwwk
沒有武器「藍色」會擁抱我嘉哈哈哈哈
耶耶烏拉拉....</v>
      </c>
      <c r="G7418" s="4" t="str">
        <f>IFERROR(__xludf.DUMMYFUNCTION("GOOGLETRANSLATE(B7418)"),"武器")</f>
        <v>武器</v>
      </c>
    </row>
    <row r="7419" ht="15.75" customHeight="1">
      <c r="A7419" s="4">
        <v>10306.0</v>
      </c>
      <c r="B7419" s="4" t="s">
        <v>4634</v>
      </c>
      <c r="C7419" s="4" t="s">
        <v>6010</v>
      </c>
      <c r="D7419" s="4" t="s">
        <v>10785</v>
      </c>
      <c r="E7419" s="4">
        <v>0.0</v>
      </c>
      <c r="F7419" s="4" t="str">
        <f>IFERROR(__xludf.DUMMYFUNCTION("GOOGLETRANSLATE(D7419)"),"我...我可能會為占星師購買我的深奧武器...")</f>
        <v>我...我可能會為占星師購買我的深奧武器...</v>
      </c>
      <c r="G7419" s="4" t="str">
        <f>IFERROR(__xludf.DUMMYFUNCTION("GOOGLETRANSLATE(B7419)"),"武器")</f>
        <v>武器</v>
      </c>
    </row>
    <row r="7420" ht="15.75" customHeight="1">
      <c r="A7420" s="4">
        <v>10308.0</v>
      </c>
      <c r="B7420" s="4" t="s">
        <v>4634</v>
      </c>
      <c r="D7420" s="4" t="s">
        <v>10786</v>
      </c>
      <c r="E7420" s="4">
        <v>0.0</v>
      </c>
      <c r="F7420" s="4" t="str">
        <f>IFERROR(__xludf.DUMMYFUNCTION("GOOGLETRANSLATE(D7420)"),"武器調整後的脈衝步槍？ http://t.co/UwObuUW2mK")</f>
        <v>武器調整後的脈衝步槍？ http://t.co/UwObuUW2mK</v>
      </c>
      <c r="G7420" s="4" t="str">
        <f>IFERROR(__xludf.DUMMYFUNCTION("GOOGLETRANSLATE(B7420)"),"武器")</f>
        <v>武器</v>
      </c>
    </row>
    <row r="7421" ht="15.75" customHeight="1">
      <c r="A7421" s="4">
        <v>10313.0</v>
      </c>
      <c r="B7421" s="4" t="s">
        <v>4634</v>
      </c>
      <c r="D7421" s="4" t="s">
        <v>10787</v>
      </c>
      <c r="E7421" s="4">
        <v>0.0</v>
      </c>
      <c r="F7421" s="4" t="str">
        <f>IFERROR(__xludf.DUMMYFUNCTION("GOOGLETRANSLATE(D7421)"),"背靠背就像我登上了《致命武器》的封面")</f>
        <v>背靠背就像我登上了《致命武器》的封面</v>
      </c>
      <c r="G7421" s="4" t="str">
        <f>IFERROR(__xludf.DUMMYFUNCTION("GOOGLETRANSLATE(B7421)"),"武器")</f>
        <v>武器</v>
      </c>
    </row>
    <row r="7422" ht="15.75" customHeight="1">
      <c r="A7422" s="4">
        <v>10314.0</v>
      </c>
      <c r="B7422" s="4" t="s">
        <v>4634</v>
      </c>
      <c r="C7422" s="4" t="s">
        <v>227</v>
      </c>
      <c r="D7422" s="4" t="s">
        <v>10788</v>
      </c>
      <c r="E7422" s="4">
        <v>0.0</v>
      </c>
      <c r="F7422" s="4" t="str">
        <f>IFERROR(__xludf.DUMMYFUNCTION("GOOGLETRANSLATE(D7422)"),"#InsaneLimits #外掛程式已啟用@' =TPS= |時分複用 | 400噸|硬核 |儲物櫃|武器規則使用 3 個限制")</f>
        <v>#InsaneLimits #外掛程式已啟用@' =TPS= |時分複用 | 400噸|硬核 |儲物櫃|武器規則使用 3 個限制</v>
      </c>
      <c r="G7422" s="4" t="str">
        <f>IFERROR(__xludf.DUMMYFUNCTION("GOOGLETRANSLATE(B7422)"),"武器")</f>
        <v>武器</v>
      </c>
    </row>
    <row r="7423" ht="15.75" customHeight="1">
      <c r="A7423" s="4">
        <v>10316.0</v>
      </c>
      <c r="B7423" s="4" t="s">
        <v>4634</v>
      </c>
      <c r="D7423" s="4" t="s">
        <v>10789</v>
      </c>
      <c r="E7423" s="4">
        <v>0.0</v>
      </c>
      <c r="F7423" s="4" t="str">
        <f>IFERROR(__xludf.DUMMYFUNCTION("GOOGLETRANSLATE(D7423)"),"我唯一害怕的武器是業力")</f>
        <v>我唯一害怕的武器是業力</v>
      </c>
      <c r="G7423" s="4" t="str">
        <f>IFERROR(__xludf.DUMMYFUNCTION("GOOGLETRANSLATE(B7423)"),"武器")</f>
        <v>武器</v>
      </c>
    </row>
    <row r="7424" ht="15.75" customHeight="1">
      <c r="A7424" s="4">
        <v>10317.0</v>
      </c>
      <c r="B7424" s="4" t="s">
        <v>4634</v>
      </c>
      <c r="C7424" s="4" t="s">
        <v>10790</v>
      </c>
      <c r="D7424" s="4" t="s">
        <v>10791</v>
      </c>
      <c r="E7424" s="4">
        <v>0.0</v>
      </c>
      <c r="F7424" s="4" t="str">
        <f>IFERROR(__xludf.DUMMYFUNCTION("GOOGLETRANSLATE(D7424)"),"@Camilla_33 @CrayKain 不想粉碎你的妄想，但斧頭是證明致命武力合理性的致命武器。 #槍感")</f>
        <v>@Camilla_33 @CrayKain 不想粉碎你的妄想，但斧頭是證明致命武力合理性的致命武器。 #槍感</v>
      </c>
      <c r="G7424" s="4" t="str">
        <f>IFERROR(__xludf.DUMMYFUNCTION("GOOGLETRANSLATE(B7424)"),"武器")</f>
        <v>武器</v>
      </c>
    </row>
    <row r="7425" ht="15.75" customHeight="1">
      <c r="A7425" s="4">
        <v>10320.0</v>
      </c>
      <c r="B7425" s="4" t="s">
        <v>4634</v>
      </c>
      <c r="C7425" s="4" t="s">
        <v>10792</v>
      </c>
      <c r="D7425" s="4" t="s">
        <v>10793</v>
      </c>
      <c r="E7425" s="4">
        <v>0.0</v>
      </c>
      <c r="F7425" s="4" t="str">
        <f>IFERROR(__xludf.DUMMYFUNCTION("GOOGLETRANSLATE(D7425)"),"斯洛舍是山羊。超級喜歡這個武器。迫不及待地想用它來製作一集 Splatdown。
現在切換到飛濺槍。")</f>
        <v>斯洛舍是山羊。超級喜歡這個武器。迫不及待地想用它來製作一集 Splatdown。
現在切換到飛濺槍。</v>
      </c>
      <c r="G7425" s="4" t="str">
        <f>IFERROR(__xludf.DUMMYFUNCTION("GOOGLETRANSLATE(B7425)"),"武器")</f>
        <v>武器</v>
      </c>
    </row>
    <row r="7426" ht="15.75" customHeight="1">
      <c r="A7426" s="4">
        <v>10321.0</v>
      </c>
      <c r="B7426" s="4" t="s">
        <v>4634</v>
      </c>
      <c r="C7426" s="4" t="s">
        <v>10794</v>
      </c>
      <c r="D7426" s="4" t="s">
        <v>10795</v>
      </c>
      <c r="E7426" s="4">
        <v>0.0</v>
      </c>
      <c r="F7426" s="4" t="str">
        <f>IFERROR(__xludf.DUMMYFUNCTION("GOOGLETRANSLATE(D7426)"),"@ThatRussianMan 你太忙於完成那些武器設計了")</f>
        <v>@ThatRussianMan 你太忙於完成那些武器設計了</v>
      </c>
      <c r="G7426" s="4" t="str">
        <f>IFERROR(__xludf.DUMMYFUNCTION("GOOGLETRANSLATE(B7426)"),"武器")</f>
        <v>武器</v>
      </c>
    </row>
    <row r="7427" ht="15.75" customHeight="1">
      <c r="A7427" s="4">
        <v>10322.0</v>
      </c>
      <c r="B7427" s="4" t="s">
        <v>4634</v>
      </c>
      <c r="C7427" s="4" t="s">
        <v>10796</v>
      </c>
      <c r="D7427" s="4" t="s">
        <v>10797</v>
      </c>
      <c r="E7427" s="4">
        <v>0.0</v>
      </c>
      <c r="F7427" s="4" t="str">
        <f>IFERROR(__xludf.DUMMYFUNCTION("GOOGLETRANSLATE(D7427)"),"所以，是的，splatoon 仍然很有趣，預設的 splattershot jr 仍然是我唯一擅長的武器佈局")</f>
        <v>所以，是的，splatoon 仍然很有趣，預設的 splattershot jr 仍然是我唯一擅長的武器佈局</v>
      </c>
      <c r="G7427" s="4" t="str">
        <f>IFERROR(__xludf.DUMMYFUNCTION("GOOGLETRANSLATE(B7427)"),"武器")</f>
        <v>武器</v>
      </c>
    </row>
    <row r="7428" ht="15.75" customHeight="1">
      <c r="A7428" s="4">
        <v>10323.0</v>
      </c>
      <c r="B7428" s="4" t="s">
        <v>4634</v>
      </c>
      <c r="C7428" s="4" t="s">
        <v>1640</v>
      </c>
      <c r="D7428" s="4" t="s">
        <v>10798</v>
      </c>
      <c r="E7428" s="4">
        <v>0.0</v>
      </c>
      <c r="F7428" s="4" t="str">
        <f>IFERROR(__xludf.DUMMYFUNCTION("GOOGLETRANSLATE(D7428)"),"“教育是你可以用來改變世界的最強大的武器。”納爾遜#曼德拉#quote http://t.co/QR1L2JYUEZ")</f>
        <v>“教育是你可以用來改變世界的最強大的武器。”納爾遜#曼德拉#quote http://t.co/QR1L2JYUEZ</v>
      </c>
      <c r="G7428" s="4" t="str">
        <f>IFERROR(__xludf.DUMMYFUNCTION("GOOGLETRANSLATE(B7428)"),"武器")</f>
        <v>武器</v>
      </c>
    </row>
    <row r="7429" ht="15.75" customHeight="1">
      <c r="A7429" s="4">
        <v>10325.0</v>
      </c>
      <c r="B7429" s="4" t="s">
        <v>4634</v>
      </c>
      <c r="C7429" s="4" t="s">
        <v>10799</v>
      </c>
      <c r="D7429" s="4" t="s">
        <v>10800</v>
      </c>
      <c r="E7429" s="4">
        <v>0.0</v>
      </c>
      <c r="F7429" s="4" t="str">
        <f>IFERROR(__xludf.DUMMYFUNCTION("GOOGLETRANSLATE(D7429)"),"@SalmanMyDarling 我會再次觀看你的配音，它會再次 100% ？？？我還有其他 3 個..今天將使用一種武器 :p")</f>
        <v>@SalmanMyDarling 我會再次觀看你的配音，它會再次 100% ？？？我還有其他 3 個..今天將使用一種武器 :p</v>
      </c>
      <c r="G7429" s="4" t="str">
        <f>IFERROR(__xludf.DUMMYFUNCTION("GOOGLETRANSLATE(B7429)"),"武器")</f>
        <v>武器</v>
      </c>
    </row>
    <row r="7430" ht="15.75" customHeight="1">
      <c r="A7430" s="4">
        <v>10327.0</v>
      </c>
      <c r="B7430" s="4" t="s">
        <v>4634</v>
      </c>
      <c r="C7430" s="4" t="s">
        <v>10801</v>
      </c>
      <c r="D7430" s="4" t="s">
        <v>10802</v>
      </c>
      <c r="E7430" s="4">
        <v>0.0</v>
      </c>
      <c r="F7430" s="4" t="str">
        <f>IFERROR(__xludf.DUMMYFUNCTION("GOOGLETRANSLATE(D7430)"),"@Snazzychipz 天哪...副武器是什麼")</f>
        <v>@Snazzychipz 天哪...副武器是什麼</v>
      </c>
      <c r="G7430" s="4" t="str">
        <f>IFERROR(__xludf.DUMMYFUNCTION("GOOGLETRANSLATE(B7430)"),"武器")</f>
        <v>武器</v>
      </c>
    </row>
    <row r="7431" ht="15.75" customHeight="1">
      <c r="A7431" s="4">
        <v>10329.0</v>
      </c>
      <c r="B7431" s="4" t="s">
        <v>4634</v>
      </c>
      <c r="D7431" s="4" t="s">
        <v>10803</v>
      </c>
      <c r="E7431" s="4">
        <v>0.0</v>
      </c>
      <c r="F7431" s="4" t="str">
        <f>IFERROR(__xludf.DUMMYFUNCTION("GOOGLETRANSLATE(D7431)"),"武器目錄~")</f>
        <v>武器目錄~</v>
      </c>
      <c r="G7431" s="4" t="str">
        <f>IFERROR(__xludf.DUMMYFUNCTION("GOOGLETRANSLATE(B7431)"),"武器")</f>
        <v>武器</v>
      </c>
    </row>
    <row r="7432" ht="15.75" customHeight="1">
      <c r="A7432" s="4">
        <v>10333.0</v>
      </c>
      <c r="B7432" s="4" t="s">
        <v>4634</v>
      </c>
      <c r="D7432" s="4" t="s">
        <v>10804</v>
      </c>
      <c r="E7432" s="4">
        <v>0.0</v>
      </c>
      <c r="F7432" s="4" t="str">
        <f>IFERROR(__xludf.DUMMYFUNCTION("GOOGLETRANSLATE(D7432)"),"我在我的區域服役 我潛伏著 我帶著我的武器")</f>
        <v>我在我的區域服役 我潛伏著 我帶著我的武器</v>
      </c>
      <c r="G7432" s="4" t="str">
        <f>IFERROR(__xludf.DUMMYFUNCTION("GOOGLETRANSLATE(B7432)"),"武器")</f>
        <v>武器</v>
      </c>
    </row>
    <row r="7433" ht="15.75" customHeight="1">
      <c r="A7433" s="4">
        <v>10335.0</v>
      </c>
      <c r="B7433" s="4" t="s">
        <v>4656</v>
      </c>
      <c r="C7433" s="4" t="s">
        <v>10805</v>
      </c>
      <c r="D7433" s="4" t="s">
        <v>10806</v>
      </c>
      <c r="E7433" s="4">
        <v>0.0</v>
      </c>
      <c r="F7433" s="4" t="str">
        <f>IFERROR(__xludf.DUMMYFUNCTION("GOOGLETRANSLATE(D7433)"),"@danagould @WaynesterAtl 我同意背景調查。我只是認為槍支或武器一般來說是很好的均衡器。")</f>
        <v>@danagould @WaynesterAtl 我同意背景調查。我只是認為槍支或武器一般來說是很好的均衡器。</v>
      </c>
      <c r="G7433" s="4" t="str">
        <f>IFERROR(__xludf.DUMMYFUNCTION("GOOGLETRANSLATE(B7433)"),"武器")</f>
        <v>武器</v>
      </c>
    </row>
    <row r="7434" ht="15.75" customHeight="1">
      <c r="A7434" s="4">
        <v>10336.0</v>
      </c>
      <c r="B7434" s="4" t="s">
        <v>4656</v>
      </c>
      <c r="C7434" s="4" t="s">
        <v>227</v>
      </c>
      <c r="D7434" s="4" t="s">
        <v>10807</v>
      </c>
      <c r="E7434" s="4">
        <v>0.0</v>
      </c>
      <c r="F7434" s="4" t="str">
        <f>IFERROR(__xludf.DUMMYFUNCTION("GOOGLETRANSLATE(D7434)"),"#Kick Hendrixonfire @'=BLACKCATS= |大菜鳥征服 |混合地圖 |違反 K/DR 限制/伺服器最大 3 的所有武器")</f>
        <v>#Kick Hendrixonfire @'=BLACKCATS= |大菜鳥征服 |混合地圖 |違反 K/DR 限制/伺服器最大 3 的所有武器</v>
      </c>
      <c r="G7434" s="4" t="str">
        <f>IFERROR(__xludf.DUMMYFUNCTION("GOOGLETRANSLATE(B7434)"),"武器")</f>
        <v>武器</v>
      </c>
    </row>
    <row r="7435" ht="15.75" customHeight="1">
      <c r="A7435" s="4">
        <v>10338.0</v>
      </c>
      <c r="B7435" s="4" t="s">
        <v>4656</v>
      </c>
      <c r="C7435" s="4" t="s">
        <v>552</v>
      </c>
      <c r="D7435" s="4" t="s">
        <v>10808</v>
      </c>
      <c r="E7435" s="4">
        <v>0.0</v>
      </c>
      <c r="F7435" s="4" t="str">
        <f>IFERROR(__xludf.DUMMYFUNCTION("GOOGLETRANSLATE(D7435)"),"有規則的事情就是一旦下次變得更容易就打破它。
http://t.co/hGb1mc3IRk https://t.co/6ysXGhc8gz")</f>
        <v>有規則的事情就是一旦下次變得更容易就打破它。
http://t.co/hGb1mc3IRk https://t.co/6ysXGhc8gz</v>
      </c>
      <c r="G7435" s="4" t="str">
        <f>IFERROR(__xludf.DUMMYFUNCTION("GOOGLETRANSLATE(B7435)"),"武器")</f>
        <v>武器</v>
      </c>
    </row>
    <row r="7436" ht="15.75" customHeight="1">
      <c r="A7436" s="4">
        <v>10342.0</v>
      </c>
      <c r="B7436" s="4" t="s">
        <v>4656</v>
      </c>
      <c r="C7436" s="4" t="s">
        <v>10809</v>
      </c>
      <c r="D7436" s="4" t="s">
        <v>10810</v>
      </c>
      <c r="E7436" s="4">
        <v>0.0</v>
      </c>
      <c r="F7436" s="4" t="str">
        <f>IFERROR(__xludf.DUMMYFUNCTION("GOOGLETRANSLATE(D7436)"),"從新奧爾巴尼國民警衛隊軍械庫被盜的武器仍然下落不明#Gunsense http://t.co/lKNU8902JE")</f>
        <v>從新奧爾巴尼國民警衛隊軍械庫被盜的武器仍然下落不明#Gunsense http://t.co/lKNU8902JE</v>
      </c>
      <c r="G7436" s="4" t="str">
        <f>IFERROR(__xludf.DUMMYFUNCTION("GOOGLETRANSLATE(B7436)"),"武器")</f>
        <v>武器</v>
      </c>
    </row>
    <row r="7437" ht="15.75" customHeight="1">
      <c r="A7437" s="4">
        <v>10345.0</v>
      </c>
      <c r="B7437" s="4" t="s">
        <v>4656</v>
      </c>
      <c r="C7437" s="4" t="s">
        <v>9391</v>
      </c>
      <c r="D7437" s="4" t="s">
        <v>10811</v>
      </c>
      <c r="E7437" s="4">
        <v>0.0</v>
      </c>
      <c r="F7437" s="4" t="str">
        <f>IFERROR(__xludf.DUMMYFUNCTION("GOOGLETRANSLATE(D7437)"),"你好 Twitter，我需要一些關於我的書《針對我的武器》的書籍部落客和採訪#ineedexposure")</f>
        <v>你好 Twitter，我需要一些關於我的書《針對我的武器》的書籍部落客和採訪#ineedexposure</v>
      </c>
      <c r="G7437" s="4" t="str">
        <f>IFERROR(__xludf.DUMMYFUNCTION("GOOGLETRANSLATE(B7437)"),"武器")</f>
        <v>武器</v>
      </c>
    </row>
    <row r="7438" ht="15.75" customHeight="1">
      <c r="A7438" s="4">
        <v>10348.0</v>
      </c>
      <c r="B7438" s="4" t="s">
        <v>4656</v>
      </c>
      <c r="D7438" s="4" t="s">
        <v>10812</v>
      </c>
      <c r="E7438" s="4">
        <v>0.0</v>
      </c>
      <c r="F7438" s="4" t="str">
        <f>IFERROR(__xludf.DUMMYFUNCTION("GOOGLETRANSLATE(D7438)"),"我喜歡來自 @dannyonpc 的 @YouTube 影片 http://t.co/AAuIzGGc9Q 戰地硬派 - 11 種新武器 - 新地圖 - 飛刀！")</f>
        <v>我喜歡來自 @dannyonpc 的 @YouTube 影片 http://t.co/AAuIzGGc9Q 戰地硬派 - 11 種新武器 - 新地圖 - 飛刀！</v>
      </c>
      <c r="G7438" s="4" t="str">
        <f>IFERROR(__xludf.DUMMYFUNCTION("GOOGLETRANSLATE(B7438)"),"武器")</f>
        <v>武器</v>
      </c>
    </row>
    <row r="7439" ht="15.75" customHeight="1">
      <c r="A7439" s="4">
        <v>10350.0</v>
      </c>
      <c r="B7439" s="4" t="s">
        <v>4656</v>
      </c>
      <c r="C7439" s="4" t="s">
        <v>10745</v>
      </c>
      <c r="D7439" s="4" t="s">
        <v>10813</v>
      </c>
      <c r="E7439" s="4">
        <v>0.0</v>
      </c>
      <c r="F7439" s="4" t="str">
        <f>IFERROR(__xludf.DUMMYFUNCTION("GOOGLETRANSLATE(D7439)"),"WOOOOOOO RT @GameRant：使命召喚：黑色行動 3 電競模式讓玩家禁止武器 http://t.co/76EHHmQQ6R http://t.co/umtffA9JjB")</f>
        <v>WOOOOOOO RT @GameRant：使命召喚：黑色行動 3 電競模式讓玩家禁止武器 http://t.co/76EHHmQQ6R http://t.co/umtffA9JjB</v>
      </c>
      <c r="G7439" s="4" t="str">
        <f>IFERROR(__xludf.DUMMYFUNCTION("GOOGLETRANSLATE(B7439)"),"武器")</f>
        <v>武器</v>
      </c>
    </row>
    <row r="7440" ht="15.75" customHeight="1">
      <c r="A7440" s="4">
        <v>10351.0</v>
      </c>
      <c r="B7440" s="4" t="s">
        <v>4656</v>
      </c>
      <c r="D7440" s="4" t="s">
        <v>10814</v>
      </c>
      <c r="E7440" s="4">
        <v>0.0</v>
      </c>
      <c r="F7440" s="4" t="str">
        <f>IFERROR(__xludf.DUMMYFUNCTION("GOOGLETRANSLATE(D7440)"),"關於「還」不拆除我們的武器的想法http://t.co/vn0acCF6D4")</f>
        <v>關於「還」不拆除我們的武器的想法http://t.co/vn0acCF6D4</v>
      </c>
      <c r="G7440" s="4" t="str">
        <f>IFERROR(__xludf.DUMMYFUNCTION("GOOGLETRANSLATE(B7440)"),"武器")</f>
        <v>武器</v>
      </c>
    </row>
    <row r="7441" ht="15.75" customHeight="1">
      <c r="A7441" s="4">
        <v>10352.0</v>
      </c>
      <c r="B7441" s="4" t="s">
        <v>4656</v>
      </c>
      <c r="C7441" s="4" t="s">
        <v>10815</v>
      </c>
      <c r="D7441" s="4" t="s">
        <v>10816</v>
      </c>
      <c r="E7441" s="4">
        <v>0.0</v>
      </c>
      <c r="F7441" s="4" t="str">
        <f>IFERROR(__xludf.DUMMYFUNCTION("GOOGLETRANSLATE(D7441)"),"武器：雙刀#OjouBot")</f>
        <v>武器：雙刀#OjouBot</v>
      </c>
      <c r="G7441" s="4" t="str">
        <f>IFERROR(__xludf.DUMMYFUNCTION("GOOGLETRANSLATE(B7441)"),"武器")</f>
        <v>武器</v>
      </c>
    </row>
    <row r="7442" ht="15.75" customHeight="1">
      <c r="A7442" s="4">
        <v>10359.0</v>
      </c>
      <c r="B7442" s="4" t="s">
        <v>4656</v>
      </c>
      <c r="C7442" s="4" t="s">
        <v>10817</v>
      </c>
      <c r="D7442" s="4" t="s">
        <v>10818</v>
      </c>
      <c r="E7442" s="4">
        <v>0.0</v>
      </c>
      <c r="F7442" s="4" t="str">
        <f>IFERROR(__xludf.DUMMYFUNCTION("GOOGLETRANSLATE(D7442)"),"@DorisMatsui 感謝您對總統的支持。 #IranDeal 將核武從伊朗手中奪走，讓每個人都更安全。")</f>
        <v>@DorisMatsui 感謝您對總統的支持。 #IranDeal 將核武從伊朗手中奪走，讓每個人都更安全。</v>
      </c>
      <c r="G7442" s="4" t="str">
        <f>IFERROR(__xludf.DUMMYFUNCTION("GOOGLETRANSLATE(B7442)"),"武器")</f>
        <v>武器</v>
      </c>
    </row>
    <row r="7443" ht="15.75" customHeight="1">
      <c r="A7443" s="4">
        <v>10360.0</v>
      </c>
      <c r="B7443" s="4" t="s">
        <v>4656</v>
      </c>
      <c r="C7443" s="4" t="s">
        <v>10819</v>
      </c>
      <c r="D7443" s="4" t="s">
        <v>10820</v>
      </c>
      <c r="E7443" s="4">
        <v>0.0</v>
      </c>
      <c r="F7443" s="4" t="str">
        <f>IFERROR(__xludf.DUMMYFUNCTION("GOOGLETRANSLATE(D7443)"),"專家表示，光是看到一把槍就會讓警察和公眾變得更具攻擊性 http://t.co/N4NEUIyt2k")</f>
        <v>專家表示，光是看到一把槍就會讓警察和公眾變得更具攻擊性 http://t.co/N4NEUIyt2k</v>
      </c>
      <c r="G7443" s="4" t="str">
        <f>IFERROR(__xludf.DUMMYFUNCTION("GOOGLETRANSLATE(B7443)"),"武器")</f>
        <v>武器</v>
      </c>
    </row>
    <row r="7444" ht="15.75" customHeight="1">
      <c r="A7444" s="4">
        <v>10361.0</v>
      </c>
      <c r="B7444" s="4" t="s">
        <v>4656</v>
      </c>
      <c r="C7444" s="4" t="s">
        <v>10821</v>
      </c>
      <c r="D7444" s="4" t="s">
        <v>10822</v>
      </c>
      <c r="E7444" s="4">
        <v>0.0</v>
      </c>
      <c r="F7444" s="4" t="str">
        <f>IFERROR(__xludf.DUMMYFUNCTION("GOOGLETRANSLATE(D7444)"),"@JamesMelville 一些用於煽動衝突的武器的舊證詞
策略 - 腐敗與腐敗團體滲透
https://t.co/cyU8zxw1oH")</f>
        <v>@JamesMelville 一些用於煽動衝突的武器的舊證詞
策略 - 腐敗與腐敗團體滲透
https://t.co/cyU8zxw1oH</v>
      </c>
      <c r="G7444" s="4" t="str">
        <f>IFERROR(__xludf.DUMMYFUNCTION("GOOGLETRANSLATE(B7444)"),"武器")</f>
        <v>武器</v>
      </c>
    </row>
    <row r="7445" ht="15.75" customHeight="1">
      <c r="A7445" s="4">
        <v>10364.0</v>
      </c>
      <c r="B7445" s="4" t="s">
        <v>4656</v>
      </c>
      <c r="D7445" s="4" t="s">
        <v>10823</v>
      </c>
      <c r="E7445" s="4">
        <v>0.0</v>
      </c>
      <c r="F7445" s="4" t="str">
        <f>IFERROR(__xludf.DUMMYFUNCTION("GOOGLETRANSLATE(D7445)"),"您的路由器是最新的 DDoS 攻擊武器之一 http://t.co/vXxMvgtzvg #phone #gaming #tv #news")</f>
        <v>您的路由器是最新的 DDoS 攻擊武器之一 http://t.co/vXxMvgtzvg #phone #gaming #tv #news</v>
      </c>
      <c r="G7445" s="4" t="str">
        <f>IFERROR(__xludf.DUMMYFUNCTION("GOOGLETRANSLATE(B7445)"),"武器")</f>
        <v>武器</v>
      </c>
    </row>
    <row r="7446" ht="15.75" customHeight="1">
      <c r="A7446" s="4">
        <v>10368.0</v>
      </c>
      <c r="B7446" s="4" t="s">
        <v>4656</v>
      </c>
      <c r="C7446" s="4" t="s">
        <v>10824</v>
      </c>
      <c r="D7446" s="4" t="s">
        <v>10825</v>
      </c>
      <c r="E7446" s="4">
        <v>0.0</v>
      </c>
      <c r="F7446" s="4" t="str">
        <f>IFERROR(__xludf.DUMMYFUNCTION("GOOGLETRANSLATE(D7446)"),"我想這就是我的退休計畫。看看群眾指導的武器！ #bookmobile #libraries #reading http://t.co/L2NMywrmq2")</f>
        <v>我想這就是我的退休計畫。看看群眾指導的武器！ #bookmobile #libraries #reading http://t.co/L2NMywrmq2</v>
      </c>
      <c r="G7446" s="4" t="str">
        <f>IFERROR(__xludf.DUMMYFUNCTION("GOOGLETRANSLATE(B7446)"),"武器")</f>
        <v>武器</v>
      </c>
    </row>
    <row r="7447" ht="15.75" customHeight="1">
      <c r="A7447" s="4">
        <v>10369.0</v>
      </c>
      <c r="B7447" s="4" t="s">
        <v>4656</v>
      </c>
      <c r="D7447" s="4" t="s">
        <v>10826</v>
      </c>
      <c r="E7447" s="4">
        <v>0.0</v>
      </c>
      <c r="F7447" s="4" t="str">
        <f>IFERROR(__xludf.DUMMYFUNCTION("GOOGLETRANSLATE(D7447)"),"#bigbrother #ch4 X-37b 的老大哥透露：波音公司獲得 660 萬美元的合約來設計... - 每日郵報 http://t.co/0migwcmtJe")</f>
        <v>#bigbrother #ch4 X-37b 的老大哥透露：波音公司獲得 660 萬美元的合約來設計... - 每日郵報 http://t.co/0migwcmtJe</v>
      </c>
      <c r="G7447" s="4" t="str">
        <f>IFERROR(__xludf.DUMMYFUNCTION("GOOGLETRANSLATE(B7447)"),"武器")</f>
        <v>武器</v>
      </c>
    </row>
    <row r="7448" ht="15.75" customHeight="1">
      <c r="A7448" s="4">
        <v>10372.0</v>
      </c>
      <c r="B7448" s="4" t="s">
        <v>4656</v>
      </c>
      <c r="D7448" s="4" t="s">
        <v>10827</v>
      </c>
      <c r="E7448" s="4">
        <v>0.0</v>
      </c>
      <c r="F7448" s="4" t="str">
        <f>IFERROR(__xludf.DUMMYFUNCTION("GOOGLETRANSLATE(D7448)"),"@david_hurn @ToKTeacher 為什麼有一些東西可以阻止天網？因為也許應該有！ http://t.co/73Umw2iGRZ")</f>
        <v>@david_hurn @ToKTeacher 為什麼有一些東西可以阻止天網？因為也許應該有！ http://t.co/73Umw2iGRZ</v>
      </c>
      <c r="G7448" s="4" t="str">
        <f>IFERROR(__xludf.DUMMYFUNCTION("GOOGLETRANSLATE(B7448)"),"武器")</f>
        <v>武器</v>
      </c>
    </row>
    <row r="7449" ht="15.75" customHeight="1">
      <c r="A7449" s="4">
        <v>10376.0</v>
      </c>
      <c r="B7449" s="4" t="s">
        <v>4656</v>
      </c>
      <c r="C7449" s="4" t="s">
        <v>10828</v>
      </c>
      <c r="D7449" s="4" t="s">
        <v>10829</v>
      </c>
      <c r="E7449" s="4">
        <v>0.0</v>
      </c>
      <c r="F7449" s="4" t="str">
        <f>IFERROR(__xludf.DUMMYFUNCTION("GOOGLETRANSLATE(D7449)"),"我喜歡來自 @dannyonpc 的 @YouTube 影片 http://t.co/AD38KWoGlh 戰地硬派 - 11 種新武器 - 新地圖 - 飛刀！")</f>
        <v>我喜歡來自 @dannyonpc 的 @YouTube 影片 http://t.co/AD38KWoGlh 戰地硬派 - 11 種新武器 - 新地圖 - 飛刀！</v>
      </c>
      <c r="G7449" s="4" t="str">
        <f>IFERROR(__xludf.DUMMYFUNCTION("GOOGLETRANSLATE(B7449)"),"武器")</f>
        <v>武器</v>
      </c>
    </row>
    <row r="7450" ht="15.75" customHeight="1">
      <c r="A7450" s="4">
        <v>10377.0</v>
      </c>
      <c r="B7450" s="4" t="s">
        <v>4656</v>
      </c>
      <c r="D7450" s="4" t="s">
        <v>10830</v>
      </c>
      <c r="E7450" s="4">
        <v>0.0</v>
      </c>
      <c r="F7450" s="4" t="str">
        <f>IFERROR(__xludf.DUMMYFUNCTION("GOOGLETRANSLATE(D7450)"),"@kirstiealley @_AnimalAdvocate 或付費參加不允許攜帶武器的攝影之旅。否則=他們只是喜歡殺人。")</f>
        <v>@kirstiealley @_AnimalAdvocate 或付費參加不允許攜帶武器的攝影之旅。否則=他們只是喜歡殺人。</v>
      </c>
      <c r="G7450" s="4" t="str">
        <f>IFERROR(__xludf.DUMMYFUNCTION("GOOGLETRANSLATE(B7450)"),"武器")</f>
        <v>武器</v>
      </c>
    </row>
    <row r="7451" ht="15.75" customHeight="1">
      <c r="A7451" s="4">
        <v>10378.0</v>
      </c>
      <c r="B7451" s="4" t="s">
        <v>4656</v>
      </c>
      <c r="C7451" s="4" t="s">
        <v>10831</v>
      </c>
      <c r="D7451" s="4" t="s">
        <v>10832</v>
      </c>
      <c r="E7451" s="4">
        <v>0.0</v>
      </c>
      <c r="F7451" s="4" t="str">
        <f>IFERROR(__xludf.DUMMYFUNCTION("GOOGLETRANSLATE(D7451)"),"他在訓練中擁有 Suh 和 Wake，這對他來說並沒有什麼幫助。但我想他會到達那裡。很多武器！ #FinsUp
http://t.co/i1EeUxxZ3A")</f>
        <v>他在訓練中擁有 Suh 和 Wake，這對他來說並沒有什麼幫助。但我想他會到達那裡。很多武器！ #FinsUp
http://t.co/i1EeUxxZ3A</v>
      </c>
      <c r="G7451" s="4" t="str">
        <f>IFERROR(__xludf.DUMMYFUNCTION("GOOGLETRANSLATE(B7451)"),"武器")</f>
        <v>武器</v>
      </c>
    </row>
    <row r="7452" ht="15.75" customHeight="1">
      <c r="A7452" s="4">
        <v>10379.0</v>
      </c>
      <c r="B7452" s="4" t="s">
        <v>4656</v>
      </c>
      <c r="D7452" s="4" t="s">
        <v>10833</v>
      </c>
      <c r="E7452" s="4">
        <v>0.0</v>
      </c>
      <c r="F7452" s="4" t="str">
        <f>IFERROR(__xludf.DUMMYFUNCTION("GOOGLETRANSLATE(D7452)"),"@Glosblue66 不知道這意味著什麼。看看我們沒有武器的暴力犯罪率。禁止槍支，我們變得像墨西哥而不是澳大利亞")</f>
        <v>@Glosblue66 不知道這意味著什麼。看看我們沒有武器的暴力犯罪率。禁止槍支，我們變得像墨西哥而不是澳大利亞</v>
      </c>
      <c r="G7452" s="4" t="str">
        <f>IFERROR(__xludf.DUMMYFUNCTION("GOOGLETRANSLATE(B7452)"),"武器")</f>
        <v>武器</v>
      </c>
    </row>
    <row r="7453" ht="15.75" customHeight="1">
      <c r="A7453" s="4">
        <v>10380.0</v>
      </c>
      <c r="B7453" s="4" t="s">
        <v>4656</v>
      </c>
      <c r="C7453" s="4" t="s">
        <v>183</v>
      </c>
      <c r="D7453" s="4" t="s">
        <v>10834</v>
      </c>
      <c r="E7453" s="4">
        <v>0.0</v>
      </c>
      <c r="F7453" s="4" t="str">
        <f>IFERROR(__xludf.DUMMYFUNCTION("GOOGLETRANSLATE(D7453)"),"死亡證明可以保護武器和特斯拉：DEF CON 23 #Security http://t.co/KMDQm3NlnS")</f>
        <v>死亡證明可以保護武器和特斯拉：DEF CON 23 #Security http://t.co/KMDQm3NlnS</v>
      </c>
      <c r="G7453" s="4" t="str">
        <f>IFERROR(__xludf.DUMMYFUNCTION("GOOGLETRANSLATE(B7453)"),"武器")</f>
        <v>武器</v>
      </c>
    </row>
    <row r="7454" ht="15.75" customHeight="1">
      <c r="A7454" s="4">
        <v>10381.0</v>
      </c>
      <c r="B7454" s="4" t="s">
        <v>4656</v>
      </c>
      <c r="C7454" s="4" t="s">
        <v>3231</v>
      </c>
      <c r="D7454" s="4" t="s">
        <v>10835</v>
      </c>
      <c r="E7454" s="4">
        <v>0.0</v>
      </c>
      <c r="F7454" s="4" t="str">
        <f>IFERROR(__xludf.DUMMYFUNCTION("GOOGLETRANSLATE(D7454)"),"我喜歡來自 @dannyonpc 的 @YouTube 影片 http://t.co/PyVRPrNhOP 戰地硬派 - 11 種新武器 - 新地圖 - 飛刀！")</f>
        <v>我喜歡來自 @dannyonpc 的 @YouTube 影片 http://t.co/PyVRPrNhOP 戰地硬派 - 11 種新武器 - 新地圖 - 飛刀！</v>
      </c>
      <c r="G7454" s="4" t="str">
        <f>IFERROR(__xludf.DUMMYFUNCTION("GOOGLETRANSLATE(B7454)"),"武器")</f>
        <v>武器</v>
      </c>
    </row>
    <row r="7455" ht="15.75" customHeight="1">
      <c r="A7455" s="4">
        <v>10385.0</v>
      </c>
      <c r="B7455" s="4" t="s">
        <v>4681</v>
      </c>
      <c r="C7455" s="4" t="s">
        <v>10836</v>
      </c>
      <c r="D7455" s="4" t="s">
        <v>10837</v>
      </c>
      <c r="E7455" s="4">
        <v>0.0</v>
      </c>
      <c r="F7455" s="4" t="str">
        <f>IFERROR(__xludf.DUMMYFUNCTION("GOOGLETRANSLATE(D7455)"),"嘿，你們都愛鳥！我們已經收到了《旋風婚禮大戰》的參賽作品，它們太棒了！繼續派他們去！")</f>
        <v>嘿，你們都愛鳥！我們已經收到了《旋風婚禮大戰》的參賽作品，它們太棒了！繼續派他們去！</v>
      </c>
      <c r="G7455" s="4" t="str">
        <f>IFERROR(__xludf.DUMMYFUNCTION("GOOGLETRANSLATE(B7455)"),"旋風")</f>
        <v>旋風</v>
      </c>
    </row>
    <row r="7456" ht="15.75" customHeight="1">
      <c r="A7456" s="4">
        <v>10387.0</v>
      </c>
      <c r="B7456" s="4" t="s">
        <v>4681</v>
      </c>
      <c r="C7456" s="4" t="s">
        <v>10838</v>
      </c>
      <c r="D7456" s="4" t="s">
        <v>10839</v>
      </c>
      <c r="E7456" s="4">
        <v>0.0</v>
      </c>
      <c r="F7456" s="4" t="str">
        <f>IFERROR(__xludf.DUMMYFUNCTION("GOOGLETRANSLATE(D7456)"),"我一個人站著
不要撒尿和呻吟
關於我所做的選擇
如果我必須收穫旋風，那就這樣吧
我會以冷靜和穩重的態度做到這一點")</f>
        <v>我一個人站著
不要撒尿和呻吟
關於我所做的選擇
如果我必須收穫旋風，那就這樣吧
我會以冷靜和穩重的態度做到這一點</v>
      </c>
      <c r="G7456" s="4" t="str">
        <f>IFERROR(__xludf.DUMMYFUNCTION("GOOGLETRANSLATE(B7456)"),"旋風")</f>
        <v>旋風</v>
      </c>
    </row>
    <row r="7457" ht="15.75" customHeight="1">
      <c r="A7457" s="4">
        <v>10392.0</v>
      </c>
      <c r="B7457" s="4" t="s">
        <v>4681</v>
      </c>
      <c r="C7457" s="4" t="s">
        <v>10840</v>
      </c>
      <c r="D7457" s="4" t="s">
        <v>10841</v>
      </c>
      <c r="E7457" s="4">
        <v>0.0</v>
      </c>
      <c r="F7457" s="4" t="str">
        <f>IFERROR(__xludf.DUMMYFUNCTION("GOOGLETRANSLATE(D7457)"),"幫助我陷入懷舊的旋風中")</f>
        <v>幫助我陷入懷舊的旋風中</v>
      </c>
      <c r="G7457" s="4" t="str">
        <f>IFERROR(__xludf.DUMMYFUNCTION("GOOGLETRANSLATE(B7457)"),"旋風")</f>
        <v>旋風</v>
      </c>
    </row>
    <row r="7458" ht="15.75" customHeight="1">
      <c r="A7458" s="4">
        <v>10393.0</v>
      </c>
      <c r="B7458" s="4" t="s">
        <v>4681</v>
      </c>
      <c r="D7458" s="4" t="s">
        <v>10842</v>
      </c>
      <c r="E7458" s="4">
        <v>0.0</v>
      </c>
      <c r="F7458" s="4" t="str">
        <f>IFERROR(__xludf.DUMMYFUNCTION("GOOGLETRANSLATE(D7458)"),"在紐約旋風般的 14 小時裡，坐在咖啡館裡享用美食並臨時抱佛腳參加會議！ https://t.co/TO0BPiEymS")</f>
        <v>在紐約旋風般的 14 小時裡，坐在咖啡館裡享用美食並臨時抱佛腳參加會議！ https://t.co/TO0BPiEymS</v>
      </c>
      <c r="G7458" s="4" t="str">
        <f>IFERROR(__xludf.DUMMYFUNCTION("GOOGLETRANSLATE(B7458)"),"旋風")</f>
        <v>旋風</v>
      </c>
    </row>
    <row r="7459" ht="15.75" customHeight="1">
      <c r="A7459" s="4">
        <v>10395.0</v>
      </c>
      <c r="B7459" s="4" t="s">
        <v>4681</v>
      </c>
      <c r="C7459" s="4" t="s">
        <v>10843</v>
      </c>
      <c r="D7459" s="4" t="s">
        <v>10844</v>
      </c>
      <c r="E7459" s="4">
        <v>0.0</v>
      </c>
      <c r="F7459" s="4" t="str">
        <f>IFERROR(__xludf.DUMMYFUNCTION("GOOGLETRANSLATE(D7459)"),"才回來 10 &amp;amp;一陣旋風襲擊了傑登，他立即開始打開他的禮物，甚至沒有機會進去。坐下來哈哈")</f>
        <v>才回來 10 &amp;amp;一陣旋風襲擊了傑登，他立即開始打開他的禮物，甚至沒有機會進去。坐下來哈哈</v>
      </c>
      <c r="G7459" s="4" t="str">
        <f>IFERROR(__xludf.DUMMYFUNCTION("GOOGLETRANSLATE(B7459)"),"旋風")</f>
        <v>旋風</v>
      </c>
    </row>
    <row r="7460" ht="15.75" customHeight="1">
      <c r="A7460" s="4">
        <v>10398.0</v>
      </c>
      <c r="B7460" s="4" t="s">
        <v>4681</v>
      </c>
      <c r="C7460" s="4" t="s">
        <v>10845</v>
      </c>
      <c r="D7460" s="4" t="s">
        <v>10846</v>
      </c>
      <c r="E7460" s="4">
        <v>0.0</v>
      </c>
      <c r="F7460" s="4" t="str">
        <f>IFERROR(__xludf.DUMMYFUNCTION("GOOGLETRANSLATE(D7460)"),"這是一場旋風般的愛情，從背部脂肪開始，後來發展得更多。")</f>
        <v>這是一場旋風般的愛情，從背部脂肪開始，後來發展得更多。</v>
      </c>
      <c r="G7460" s="4" t="str">
        <f>IFERROR(__xludf.DUMMYFUNCTION("GOOGLETRANSLATE(B7460)"),"旋風")</f>
        <v>旋風</v>
      </c>
    </row>
    <row r="7461" ht="15.75" customHeight="1">
      <c r="A7461" s="4">
        <v>10399.0</v>
      </c>
      <c r="B7461" s="4" t="s">
        <v>4681</v>
      </c>
      <c r="C7461" s="4" t="s">
        <v>10847</v>
      </c>
      <c r="D7461" s="4" t="s">
        <v>10848</v>
      </c>
      <c r="E7461" s="4">
        <v>0.0</v>
      </c>
      <c r="F7461" s="4" t="str">
        <f>IFERROR(__xludf.DUMMYFUNCTION("GOOGLETRANSLATE(D7461)"),"眼睛微笑。美麗的笑容。好頭髮。 exo裡的鹿晗小姐。 ??????? http://t.co/y7O55by36f")</f>
        <v>眼睛微笑。美麗的笑容。好頭髮。 exo裡的鹿晗小姐。 ??????? http://t.co/y7O55by36f</v>
      </c>
      <c r="G7461" s="4" t="str">
        <f>IFERROR(__xludf.DUMMYFUNCTION("GOOGLETRANSLATE(B7461)"),"旋風")</f>
        <v>旋風</v>
      </c>
    </row>
    <row r="7462" ht="15.75" customHeight="1">
      <c r="A7462" s="4">
        <v>10401.0</v>
      </c>
      <c r="B7462" s="4" t="s">
        <v>4681</v>
      </c>
      <c r="C7462" s="4" t="s">
        <v>183</v>
      </c>
      <c r="D7462" s="4" t="s">
        <v>10849</v>
      </c>
      <c r="E7462" s="4">
        <v>0.0</v>
      </c>
      <c r="F7462" s="4" t="str">
        <f>IFERROR(__xludf.DUMMYFUNCTION("GOOGLETRANSLATE(D7462)"),"紐約：紐約的活動旋風般的一天。在聯合國廣場千禧飯店享用早餐。午餐...http://t.co/laYZBA9y8h")</f>
        <v>紐約：紐約的活動旋風般的一天。在聯合國廣場千禧飯店享用早餐。午餐...http://t.co/laYZBA9y8h</v>
      </c>
      <c r="G7462" s="4" t="str">
        <f>IFERROR(__xludf.DUMMYFUNCTION("GOOGLETRANSLATE(B7462)"),"旋風")</f>
        <v>旋風</v>
      </c>
    </row>
    <row r="7463" ht="15.75" customHeight="1">
      <c r="A7463" s="4">
        <v>10402.0</v>
      </c>
      <c r="B7463" s="4" t="s">
        <v>4681</v>
      </c>
      <c r="C7463" s="4" t="s">
        <v>376</v>
      </c>
      <c r="D7463" s="4" t="s">
        <v>10850</v>
      </c>
      <c r="E7463" s="4">
        <v>0.0</v>
      </c>
      <c r="F7463" s="4" t="str">
        <f>IFERROR(__xludf.DUMMYFUNCTION("GOOGLETRANSLATE(D7463)"),"PawSox 所有者從達勒姆旋風之旅中公開返回 - 諾克斯維爾新聞哨兵 http://t.co/9ckggGYvOU http://t.co/u0vdBrXfia")</f>
        <v>PawSox 所有者從達勒姆旋風之旅中公開返回 - 諾克斯維爾新聞哨兵 http://t.co/9ckggGYvOU http://t.co/u0vdBrXfia</v>
      </c>
      <c r="G7463" s="4" t="str">
        <f>IFERROR(__xludf.DUMMYFUNCTION("GOOGLETRANSLATE(B7463)"),"旋風")</f>
        <v>旋風</v>
      </c>
    </row>
    <row r="7464" ht="15.75" customHeight="1">
      <c r="A7464" s="4">
        <v>10405.0</v>
      </c>
      <c r="B7464" s="4" t="s">
        <v>4681</v>
      </c>
      <c r="C7464" s="4" t="s">
        <v>10851</v>
      </c>
      <c r="D7464" s="4" t="s">
        <v>10852</v>
      </c>
      <c r="E7464" s="4">
        <v>0.0</v>
      </c>
      <c r="F7464" s="4" t="str">
        <f>IFERROR(__xludf.DUMMYFUNCTION("GOOGLETRANSLATE(D7464)"),"@DrMartyFox 在美國政府和自由黨把惡變成善，把善變成惡。我們將收穫旋風。願主憐憫我們。")</f>
        <v>@DrMartyFox 在美國政府和自由黨把惡變成善，把善變成惡。我們將收穫旋風。願主憐憫我們。</v>
      </c>
      <c r="G7464" s="4" t="str">
        <f>IFERROR(__xludf.DUMMYFUNCTION("GOOGLETRANSLATE(B7464)"),"旋風")</f>
        <v>旋風</v>
      </c>
    </row>
    <row r="7465" ht="15.75" customHeight="1">
      <c r="A7465" s="4">
        <v>10407.0</v>
      </c>
      <c r="B7465" s="4" t="s">
        <v>4681</v>
      </c>
      <c r="C7465" s="4" t="s">
        <v>10853</v>
      </c>
      <c r="D7465" s="4" t="s">
        <v>10854</v>
      </c>
      <c r="E7465" s="4">
        <v>0.0</v>
      </c>
      <c r="F7465" s="4" t="str">
        <f>IFERROR(__xludf.DUMMYFUNCTION("GOOGLETRANSLATE(D7465)"),"@VixMeldrew 聽起來像是旋風般的生活！")</f>
        <v>@VixMeldrew 聽起來像是旋風般的生活！</v>
      </c>
      <c r="G7465" s="4" t="str">
        <f>IFERROR(__xludf.DUMMYFUNCTION("GOOGLETRANSLATE(B7465)"),"旋風")</f>
        <v>旋風</v>
      </c>
    </row>
    <row r="7466" ht="15.75" customHeight="1">
      <c r="A7466" s="4">
        <v>10411.0</v>
      </c>
      <c r="B7466" s="4" t="s">
        <v>4681</v>
      </c>
      <c r="C7466" s="4" t="s">
        <v>10847</v>
      </c>
      <c r="D7466" s="4" t="s">
        <v>10855</v>
      </c>
      <c r="E7466" s="4">
        <v>0.0</v>
      </c>
      <c r="F7466" s="4" t="str">
        <f>IFERROR(__xludf.DUMMYFUNCTION("GOOGLETRANSLATE(D7466)"),"{INFO}伯賢和SUHO將參加8月10日的偶像運動錦標賽
Cr: 西耶克斯
 http://t.co/oAZjPwUeYR")</f>
        <v>{INFO}伯賢和SUHO將參加8月10日的偶像運動錦標賽
Cr: 西耶克斯
 http://t.co/oAZjPwUeYR</v>
      </c>
      <c r="G7466" s="4" t="str">
        <f>IFERROR(__xludf.DUMMYFUNCTION("GOOGLETRANSLATE(B7466)"),"旋風")</f>
        <v>旋風</v>
      </c>
    </row>
    <row r="7467" ht="15.75" customHeight="1">
      <c r="A7467" s="4">
        <v>10413.0</v>
      </c>
      <c r="B7467" s="4" t="s">
        <v>4681</v>
      </c>
      <c r="C7467" s="4" t="s">
        <v>1660</v>
      </c>
      <c r="D7467" s="4" t="s">
        <v>10856</v>
      </c>
      <c r="E7467" s="4">
        <v>0.0</v>
      </c>
      <c r="F7467" s="4" t="str">
        <f>IFERROR(__xludf.DUMMYFUNCTION("GOOGLETRANSLATE(D7467)"),"今天早上我的#口頭禪！！前往南下旋風之旅Û_ https://t.co/geht4sKI86")</f>
        <v>今天早上我的#口頭禪！！前往南下旋風之旅Û_ https://t.co/geht4sKI86</v>
      </c>
      <c r="G7467" s="4" t="str">
        <f>IFERROR(__xludf.DUMMYFUNCTION("GOOGLETRANSLATE(B7467)"),"旋風")</f>
        <v>旋風</v>
      </c>
    </row>
    <row r="7468" ht="15.75" customHeight="1">
      <c r="A7468" s="4">
        <v>10415.0</v>
      </c>
      <c r="B7468" s="4" t="s">
        <v>4681</v>
      </c>
      <c r="C7468" s="4" t="s">
        <v>10857</v>
      </c>
      <c r="D7468" s="4" t="s">
        <v>10858</v>
      </c>
      <c r="E7468" s="4">
        <v>0.0</v>
      </c>
      <c r="F7468" s="4" t="str">
        <f>IFERROR(__xludf.DUMMYFUNCTION("GOOGLETRANSLATE(D7468)"),"????週四回歸？？ ????明天你是否依然愛我 http://t.co/wmoyibWEc1 ?? @LucyMayOfficial ?? ?? #旋風 http://t.co/0rsverLzTm")</f>
        <v>????週四回歸？？ ????明天你是否依然愛我 http://t.co/wmoyibWEc1 ?? @LucyMayOfficial ?? ?? #旋風 http://t.co/0rsverLzTm</v>
      </c>
      <c r="G7468" s="4" t="str">
        <f>IFERROR(__xludf.DUMMYFUNCTION("GOOGLETRANSLATE(B7468)"),"旋風")</f>
        <v>旋風</v>
      </c>
    </row>
    <row r="7469" ht="15.75" customHeight="1">
      <c r="A7469" s="4">
        <v>10416.0</v>
      </c>
      <c r="B7469" s="4" t="s">
        <v>4681</v>
      </c>
      <c r="D7469" s="4" t="s">
        <v>10859</v>
      </c>
      <c r="E7469" s="4">
        <v>0.0</v>
      </c>
      <c r="F7469" s="4" t="str">
        <f>IFERROR(__xludf.DUMMYFUNCTION("GOOGLETRANSLATE(D7469)"),"最後一秒出價 RT？ http://t.co/KrNW0Wxhe5 30 件 12 mm Ab 樹脂花旋風平背水鑽婚禮裝飾？請發")</f>
        <v>最後一秒出價 RT？ http://t.co/KrNW0Wxhe5 30 件 12 mm Ab 樹脂花旋風平背水鑽婚禮裝飾？請發</v>
      </c>
      <c r="G7469" s="4" t="str">
        <f>IFERROR(__xludf.DUMMYFUNCTION("GOOGLETRANSLATE(B7469)"),"旋風")</f>
        <v>旋風</v>
      </c>
    </row>
    <row r="7470" ht="15.75" customHeight="1">
      <c r="A7470" s="4">
        <v>10419.0</v>
      </c>
      <c r="B7470" s="4" t="s">
        <v>4681</v>
      </c>
      <c r="C7470" s="4" t="s">
        <v>5172</v>
      </c>
      <c r="D7470" s="4" t="s">
        <v>10860</v>
      </c>
      <c r="E7470" s="4">
        <v>0.0</v>
      </c>
      <c r="F7470" s="4" t="str">
        <f>IFERROR(__xludf.DUMMYFUNCTION("GOOGLETRANSLATE(D7470)"),"@alexhammerstone @kttape ktFounder 上的旋風頭剪刀 #RemyMarcel #FroFroFroÛ_ https://t.co/B19z8Vi3td")</f>
        <v>@alexhammerstone @kttape ktFounder 上的旋風頭剪刀 #RemyMarcel #FroFroFroÛ_ https://t.co/B19z8Vi3td</v>
      </c>
      <c r="G7470" s="4" t="str">
        <f>IFERROR(__xludf.DUMMYFUNCTION("GOOGLETRANSLATE(B7470)"),"旋風")</f>
        <v>旋風</v>
      </c>
    </row>
    <row r="7471" ht="15.75" customHeight="1">
      <c r="A7471" s="4">
        <v>10422.0</v>
      </c>
      <c r="B7471" s="4" t="s">
        <v>4681</v>
      </c>
      <c r="C7471" s="4" t="s">
        <v>2145</v>
      </c>
      <c r="D7471" s="4" t="s">
        <v>10861</v>
      </c>
      <c r="E7471" s="4">
        <v>0.0</v>
      </c>
      <c r="F7471" s="4" t="str">
        <f>IFERROR(__xludf.DUMMYFUNCTION("GOOGLETRANSLATE(D7471)"),"創下新紀錄…4天內7個州。當我醒來時，我甚至不知道自己在哪裡。多麼旋風啊！儘管愛每一分鐘。")</f>
        <v>創下新紀錄…4天內7個州。當我醒來時，我甚至不知道自己在哪裡。多麼旋風啊！儘管愛每一分鐘。</v>
      </c>
      <c r="G7471" s="4" t="str">
        <f>IFERROR(__xludf.DUMMYFUNCTION("GOOGLETRANSLATE(B7471)"),"旋風")</f>
        <v>旋風</v>
      </c>
    </row>
    <row r="7472" ht="15.75" customHeight="1">
      <c r="A7472" s="4">
        <v>10423.0</v>
      </c>
      <c r="B7472" s="4" t="s">
        <v>4681</v>
      </c>
      <c r="C7472" s="4" t="s">
        <v>9799</v>
      </c>
      <c r="D7472" s="4" t="s">
        <v>10862</v>
      </c>
      <c r="E7472" s="4">
        <v>0.0</v>
      </c>
      <c r="F7472" s="4" t="str">
        <f>IFERROR(__xludf.DUMMYFUNCTION("GOOGLETRANSLATE(D7472)"),"收穫旋風")</f>
        <v>收穫旋風</v>
      </c>
      <c r="G7472" s="4" t="str">
        <f>IFERROR(__xludf.DUMMYFUNCTION("GOOGLETRANSLATE(B7472)"),"旋風")</f>
        <v>旋風</v>
      </c>
    </row>
    <row r="7473" ht="15.75" customHeight="1">
      <c r="A7473" s="4">
        <v>10424.0</v>
      </c>
      <c r="B7473" s="4" t="s">
        <v>4681</v>
      </c>
      <c r="C7473" s="4" t="s">
        <v>10863</v>
      </c>
      <c r="D7473" s="4" t="s">
        <v>10864</v>
      </c>
      <c r="E7473" s="4">
        <v>0.0</v>
      </c>
      <c r="F7473" s="4" t="str">
        <f>IFERROR(__xludf.DUMMYFUNCTION("GOOGLETRANSLATE(D7473)"),"@TheEmoBrago 回來做另一個柔術，當你躺在那裡時，在地上形成一個六邊形。* 64 手掌旋風 * 當空氣開始+時我大喊 +")</f>
        <v>@TheEmoBrago 回來做另一個柔術，當你躺在那裡時，在地上形成一個六邊形。* 64 手掌旋風 * 當空氣開始+時我大喊 +</v>
      </c>
      <c r="G7473" s="4" t="str">
        <f>IFERROR(__xludf.DUMMYFUNCTION("GOOGLETRANSLATE(B7473)"),"旋風")</f>
        <v>旋風</v>
      </c>
    </row>
    <row r="7474" ht="15.75" customHeight="1">
      <c r="A7474" s="4">
        <v>10427.0</v>
      </c>
      <c r="B7474" s="4" t="s">
        <v>4681</v>
      </c>
      <c r="C7474" s="4" t="s">
        <v>1676</v>
      </c>
      <c r="D7474" s="4" t="s">
        <v>10865</v>
      </c>
      <c r="E7474" s="4">
        <v>0.0</v>
      </c>
      <c r="F7474" s="4" t="str">
        <f>IFERROR(__xludf.DUMMYFUNCTION("GOOGLETRANSLATE(D7474)"),"在@edfringe？我們強烈推薦@M00NF00L #Titania @Summerhallery 旋風重新想像/莎士比亞的仲夏 https://t.co/iIAIGZkbnJ")</f>
        <v>在@edfringe？我們強烈推薦@M00NF00L #Titania @Summerhallery 旋風重新想像/莎士比亞的仲夏 https://t.co/iIAIGZkbnJ</v>
      </c>
      <c r="G7474" s="4" t="str">
        <f>IFERROR(__xludf.DUMMYFUNCTION("GOOGLETRANSLATE(B7474)"),"旋風")</f>
        <v>旋風</v>
      </c>
    </row>
    <row r="7475" ht="15.75" customHeight="1">
      <c r="A7475" s="4">
        <v>10428.0</v>
      </c>
      <c r="B7475" s="4" t="s">
        <v>4681</v>
      </c>
      <c r="C7475" s="4" t="s">
        <v>10866</v>
      </c>
      <c r="D7475" s="4" t="s">
        <v>10867</v>
      </c>
      <c r="E7475" s="4">
        <v>0.0</v>
      </c>
      <c r="F7475" s="4" t="str">
        <f>IFERROR(__xludf.DUMMYFUNCTION("GOOGLETRANSLATE(D7475)"),"旋風！歐洲之禍！ RT @whedonesque 或可以直接觀看毒牙四人 http://t.co/Q0JHDcU6Ly")</f>
        <v>旋風！歐洲之禍！ RT @whedonesque 或可以直接觀看毒牙四人 http://t.co/Q0JHDcU6Ly</v>
      </c>
      <c r="G7475" s="4" t="str">
        <f>IFERROR(__xludf.DUMMYFUNCTION("GOOGLETRANSLATE(B7475)"),"旋風")</f>
        <v>旋風</v>
      </c>
    </row>
    <row r="7476" ht="15.75" customHeight="1">
      <c r="A7476" s="4">
        <v>10429.0</v>
      </c>
      <c r="B7476" s="4" t="s">
        <v>4681</v>
      </c>
      <c r="D7476" s="4" t="s">
        <v>10868</v>
      </c>
      <c r="E7476" s="4">
        <v>0.0</v>
      </c>
      <c r="F7476" s="4" t="str">
        <f>IFERROR(__xludf.DUMMYFUNCTION("GOOGLETRANSLATE(D7476)"),"旋風週末#1 12 小時後開始#cantwaittoplayinminneapolis")</f>
        <v>旋風週末#1 12 小時後開始#cantwaittoplayinminneapolis</v>
      </c>
      <c r="G7476" s="4" t="str">
        <f>IFERROR(__xludf.DUMMYFUNCTION("GOOGLETRANSLATE(B7476)"),"旋風")</f>
        <v>旋風</v>
      </c>
    </row>
    <row r="7477" ht="15.75" customHeight="1">
      <c r="A7477" s="4">
        <v>10430.0</v>
      </c>
      <c r="B7477" s="4" t="s">
        <v>4681</v>
      </c>
      <c r="C7477" s="4" t="s">
        <v>10869</v>
      </c>
      <c r="D7477" s="4" t="s">
        <v>10870</v>
      </c>
      <c r="E7477" s="4">
        <v>0.0</v>
      </c>
      <c r="F7477" s="4" t="str">
        <f>IFERROR(__xludf.DUMMYFUNCTION("GOOGLETRANSLATE(D7477)"),"這週真是一陣旋風，但這正是我想像中的紐約版職業生涯")</f>
        <v>這週真是一陣旋風，但這正是我想像中的紐約版職業生涯</v>
      </c>
      <c r="G7477" s="4" t="str">
        <f>IFERROR(__xludf.DUMMYFUNCTION("GOOGLETRANSLATE(B7477)"),"旋風")</f>
        <v>旋風</v>
      </c>
    </row>
    <row r="7478" ht="15.75" customHeight="1">
      <c r="A7478" s="4">
        <v>10431.0</v>
      </c>
      <c r="B7478" s="4" t="s">
        <v>4681</v>
      </c>
      <c r="C7478" s="4" t="s">
        <v>10871</v>
      </c>
      <c r="D7478" s="4" t="s">
        <v>10872</v>
      </c>
      <c r="E7478" s="4">
        <v>0.0</v>
      </c>
      <c r="F7478" s="4" t="str">
        <f>IFERROR(__xludf.DUMMYFUNCTION("GOOGLETRANSLATE(D7478)"),"我女兒有一個女朋友雪佛蘭藍，像旋風一樣。")</f>
        <v>我女兒有一個女朋友雪佛蘭藍，像旋風一樣。</v>
      </c>
      <c r="G7478" s="4" t="str">
        <f>IFERROR(__xludf.DUMMYFUNCTION("GOOGLETRANSLATE(B7478)"),"旋風")</f>
        <v>旋風</v>
      </c>
    </row>
    <row r="7479" ht="15.75" customHeight="1">
      <c r="A7479" s="4">
        <v>10432.0</v>
      </c>
      <c r="B7479" s="4" t="s">
        <v>4681</v>
      </c>
      <c r="C7479" s="4" t="s">
        <v>10873</v>
      </c>
      <c r="D7479" s="4" t="s">
        <v>10874</v>
      </c>
      <c r="E7479" s="4">
        <v>0.0</v>
      </c>
      <c r="F7479" s="4" t="str">
        <f>IFERROR(__xludf.DUMMYFUNCTION("GOOGLETRANSLATE(D7479)"),"#picthis http://t.co/br7gmMh5Ek 我要走了！非常感謝你#多倫多。這真是令人驚奇的旋風。很高興我終於¤Û_")</f>
        <v>#picthis http://t.co/br7gmMh5Ek 我要走了！非常感謝你#多倫多。這真是令人驚奇的旋風。很高興我終於¤Û_</v>
      </c>
      <c r="G7479" s="4" t="str">
        <f>IFERROR(__xludf.DUMMYFUNCTION("GOOGLETRANSLATE(B7479)"),"旋風")</f>
        <v>旋風</v>
      </c>
    </row>
    <row r="7480" ht="15.75" customHeight="1">
      <c r="A7480" s="4">
        <v>10464.0</v>
      </c>
      <c r="B7480" s="4" t="s">
        <v>4705</v>
      </c>
      <c r="C7480" s="4" t="s">
        <v>1076</v>
      </c>
      <c r="D7480" s="4" t="s">
        <v>10875</v>
      </c>
      <c r="E7480" s="4">
        <v>0.0</v>
      </c>
      <c r="F7480" s="4" t="str">
        <f>IFERROR(__xludf.DUMMYFUNCTION("GOOGLETRANSLATE(D7480)"),"他們應該永久卸荷，我們都會像在野外一樣生活，用篝火做飯等")</f>
        <v>他們應該永久卸荷，我們都會像在野外一樣生活，用篝火做飯等</v>
      </c>
      <c r="G7480" s="4" t="str">
        <f>IFERROR(__xludf.DUMMYFUNCTION("GOOGLETRANSLATE(B7480)"),"狂野%20火")</f>
        <v>狂野%20火</v>
      </c>
    </row>
    <row r="7481" ht="15.75" customHeight="1">
      <c r="A7481" s="4">
        <v>10472.0</v>
      </c>
      <c r="B7481" s="4" t="s">
        <v>4705</v>
      </c>
      <c r="C7481" s="4" t="s">
        <v>10876</v>
      </c>
      <c r="D7481" s="4" t="s">
        <v>10877</v>
      </c>
      <c r="E7481" s="4">
        <v>0.0</v>
      </c>
      <c r="F7481" s="4" t="str">
        <f>IFERROR(__xludf.DUMMYFUNCTION("GOOGLETRANSLATE(D7481)"),"週日，在安布爾塞德農貿市場出售野生羊肚菌的男子-蘑菇飼料的秘密是知道它們生長在什麼樹下和什麼樹下。森林火災後的最佳狀態")</f>
        <v>週日，在安布爾塞德農貿市場出售野生羊肚菌的男子-蘑菇飼料的秘密是知道它們生長在什麼樹下和什麼樹下。森林火災後的最佳狀態</v>
      </c>
      <c r="G7481" s="4" t="str">
        <f>IFERROR(__xludf.DUMMYFUNCTION("GOOGLETRANSLATE(B7481)"),"狂野%20火")</f>
        <v>狂野%20火</v>
      </c>
    </row>
    <row r="7482" ht="15.75" customHeight="1">
      <c r="A7482" s="4">
        <v>10478.0</v>
      </c>
      <c r="B7482" s="4" t="s">
        <v>4705</v>
      </c>
      <c r="C7482" s="4" t="s">
        <v>7665</v>
      </c>
      <c r="D7482" s="4" t="s">
        <v>10878</v>
      </c>
      <c r="E7482" s="4">
        <v>0.0</v>
      </c>
      <c r="F7482" s="4" t="str">
        <f>IFERROR(__xludf.DUMMYFUNCTION("GOOGLETRANSLATE(D7482)"),"「你的愛一定會來找我們
就像熊熊的野火唱著你的名字")</f>
        <v>「你的愛一定會來找我們
就像熊熊的野火唱著你的名字</v>
      </c>
      <c r="G7482" s="4" t="str">
        <f>IFERROR(__xludf.DUMMYFUNCTION("GOOGLETRANSLATE(B7482)"),"狂野%20火")</f>
        <v>狂野%20火</v>
      </c>
    </row>
    <row r="7483" ht="15.75" customHeight="1">
      <c r="A7483" s="4">
        <v>10482.0</v>
      </c>
      <c r="B7483" s="4" t="s">
        <v>4705</v>
      </c>
      <c r="C7483" s="4" t="s">
        <v>126</v>
      </c>
      <c r="D7483" s="4" t="s">
        <v>10879</v>
      </c>
      <c r="E7483" s="4">
        <v>0.0</v>
      </c>
      <c r="F7483" s="4" t="str">
        <f>IFERROR(__xludf.DUMMYFUNCTION("GOOGLETRANSLATE(D7483)"),"@WBCShirl2 是的，上帝不會改變，祂說不要為人們的墮落或野火等災難而高興，你想受到懲罰嗎？")</f>
        <v>@WBCShirl2 是的，上帝不會改變，祂說不要為人們的墮落或野火等災難而高興，你想受到懲罰嗎？</v>
      </c>
      <c r="G7483" s="4" t="str">
        <f>IFERROR(__xludf.DUMMYFUNCTION("GOOGLETRANSLATE(B7483)"),"狂野%20火")</f>
        <v>狂野%20火</v>
      </c>
    </row>
    <row r="7484" ht="15.75" customHeight="1">
      <c r="A7484" s="4">
        <v>10490.0</v>
      </c>
      <c r="B7484" s="4" t="s">
        <v>4745</v>
      </c>
      <c r="C7484" s="4" t="s">
        <v>10880</v>
      </c>
      <c r="D7484" s="4" t="s">
        <v>10881</v>
      </c>
      <c r="E7484" s="4">
        <v>0.0</v>
      </c>
      <c r="F7484" s="4" t="str">
        <f>IFERROR(__xludf.DUMMYFUNCTION("GOOGLETRANSLATE(D7484)"),"我們都應該有一個消防安全計畫。 RT @Matt_Kroschel：#Vail 附近模擬野火，各機構正在為最壞的情況做準備。 http://t.co/SWwyLRk0fv")</f>
        <v>我們都應該有一個消防安全計畫。 RT @Matt_Kroschel：#Vail 附近模擬野火，各機構正在為最壞的情況做準備。 http://t.co/SWwyLRk0fv</v>
      </c>
      <c r="G7484" s="4" t="str">
        <f>IFERROR(__xludf.DUMMYFUNCTION("GOOGLETRANSLATE(B7484)"),"野火")</f>
        <v>野火</v>
      </c>
    </row>
    <row r="7485" ht="15.75" customHeight="1">
      <c r="A7485" s="4">
        <v>10496.0</v>
      </c>
      <c r="B7485" s="4" t="s">
        <v>4745</v>
      </c>
      <c r="C7485" s="4" t="s">
        <v>54</v>
      </c>
      <c r="D7485" s="4" t="s">
        <v>10882</v>
      </c>
      <c r="E7485" s="4">
        <v>0.0</v>
      </c>
      <c r="F7485" s="4" t="str">
        <f>IFERROR(__xludf.DUMMYFUNCTION("GOOGLETRANSLATE(D7485)"),"現在玩 GT &amp;amp;野火壯舉。 Freaks In Love Feels Like It Should (Original Mix) Massive Dance Radio ListenLive: http://t.co/ANoDGXZR3E")</f>
        <v>現在玩 GT &amp;amp;野火壯舉。 Freaks In Love Feels Like It Should (Original Mix) Massive Dance Radio ListenLive: http://t.co/ANoDGXZR3E</v>
      </c>
      <c r="G7485" s="4" t="str">
        <f>IFERROR(__xludf.DUMMYFUNCTION("GOOGLETRANSLATE(B7485)"),"野火")</f>
        <v>野火</v>
      </c>
    </row>
    <row r="7486" ht="15.75" customHeight="1">
      <c r="A7486" s="4">
        <v>10513.0</v>
      </c>
      <c r="B7486" s="4" t="s">
        <v>4745</v>
      </c>
      <c r="C7486" s="4" t="s">
        <v>2261</v>
      </c>
      <c r="D7486" s="4" t="s">
        <v>10883</v>
      </c>
      <c r="E7486" s="4">
        <v>0.0</v>
      </c>
      <c r="F7486" s="4" t="str">
        <f>IFERROR(__xludf.DUMMYFUNCTION("GOOGLETRANSLATE(D7486)"),"老實說，我想知道我犯了什麼錯才失去了所有人。")</f>
        <v>老實說，我想知道我犯了什麼錯才失去了所有人。</v>
      </c>
      <c r="G7486" s="4" t="str">
        <f>IFERROR(__xludf.DUMMYFUNCTION("GOOGLETRANSLATE(B7486)"),"野火")</f>
        <v>野火</v>
      </c>
    </row>
    <row r="7487" ht="15.75" customHeight="1">
      <c r="A7487" s="4">
        <v>10523.0</v>
      </c>
      <c r="B7487" s="4" t="s">
        <v>4745</v>
      </c>
      <c r="C7487" s="4" t="s">
        <v>10884</v>
      </c>
      <c r="D7487" s="4" t="s">
        <v>10885</v>
      </c>
      <c r="E7487" s="4">
        <v>0.0</v>
      </c>
      <c r="F7487" s="4" t="str">
        <f>IFERROR(__xludf.DUMMYFUNCTION("GOOGLETRANSLATE(D7487)"),"@_野火__ ????呃，這就是《花木蘭》裡的女人！！")</f>
        <v>@_野火__ ????呃，這就是《花木蘭》裡的女人！！</v>
      </c>
      <c r="G7487" s="4" t="str">
        <f>IFERROR(__xludf.DUMMYFUNCTION("GOOGLETRANSLATE(B7487)"),"野火")</f>
        <v>野火</v>
      </c>
    </row>
    <row r="7488" ht="15.75" customHeight="1">
      <c r="A7488" s="4">
        <v>10535.0</v>
      </c>
      <c r="B7488" s="4" t="s">
        <v>4784</v>
      </c>
      <c r="C7488" s="4" t="s">
        <v>10886</v>
      </c>
      <c r="D7488" s="4" t="s">
        <v>10887</v>
      </c>
      <c r="E7488" s="4">
        <v>0.0</v>
      </c>
      <c r="F7488" s="4" t="str">
        <f>IFERROR(__xludf.DUMMYFUNCTION("GOOGLETRANSLATE(D7488)"),"風暴保險保費連續第六年上漲。這次是百分之五。 #GalvNews https://t.co/Cm9TvE2Vsq")</f>
        <v>風暴保險保費連續第六年上漲。這次是百分之五。 #GalvNews https://t.co/Cm9TvE2Vsq</v>
      </c>
      <c r="G7488" s="4" t="str">
        <f>IFERROR(__xludf.DUMMYFUNCTION("GOOGLETRANSLATE(B7488)"),"風暴")</f>
        <v>風暴</v>
      </c>
    </row>
    <row r="7489" ht="15.75" customHeight="1">
      <c r="A7489" s="4">
        <v>10537.0</v>
      </c>
      <c r="B7489" s="4" t="s">
        <v>4784</v>
      </c>
      <c r="C7489" s="4" t="s">
        <v>1452</v>
      </c>
      <c r="D7489" s="4" t="s">
        <v>10888</v>
      </c>
      <c r="E7489" s="4">
        <v>0.0</v>
      </c>
      <c r="F7489" s="4" t="str">
        <f>IFERROR(__xludf.DUMMYFUNCTION("GOOGLETRANSLATE(D7489)"),"《我的五十次線上約會以及為什麼我仍然單身》作者：Michael Windstorm 2.99 美元 B&amp;N http://t.co/dde8GXaQrp #nook #books #TheBachelorette")</f>
        <v>《我的五十次線上約會以及為什麼我仍然單身》作者：Michael Windstorm 2.99 美元 B&amp;N http://t.co/dde8GXaQrp #nook #books #TheBachelorette</v>
      </c>
      <c r="G7489" s="4" t="str">
        <f>IFERROR(__xludf.DUMMYFUNCTION("GOOGLETRANSLATE(B7489)"),"風暴")</f>
        <v>風暴</v>
      </c>
    </row>
    <row r="7490" ht="15.75" customHeight="1">
      <c r="A7490" s="4">
        <v>10541.0</v>
      </c>
      <c r="B7490" s="4" t="s">
        <v>4784</v>
      </c>
      <c r="D7490" s="4" t="s">
        <v>10889</v>
      </c>
      <c r="E7490" s="4">
        <v>0.0</v>
      </c>
      <c r="F7490" s="4" t="str">
        <f>IFERROR(__xludf.DUMMYFUNCTION("GOOGLETRANSLATE(D7490)"),"德州尋求對風暴保險公司變更規則的評論 http://t.co/ei8QqhrEgZ #insurance")</f>
        <v>德州尋求對風暴保險公司變更規則的評論 http://t.co/ei8QqhrEgZ #insurance</v>
      </c>
      <c r="G7490" s="4" t="str">
        <f>IFERROR(__xludf.DUMMYFUNCTION("GOOGLETRANSLATE(B7490)"),"風暴")</f>
        <v>風暴</v>
      </c>
    </row>
    <row r="7491" ht="15.75" customHeight="1">
      <c r="A7491" s="4">
        <v>10546.0</v>
      </c>
      <c r="B7491" s="4" t="s">
        <v>4784</v>
      </c>
      <c r="C7491" s="4" t="s">
        <v>10890</v>
      </c>
      <c r="D7491" s="4" t="s">
        <v>10891</v>
      </c>
      <c r="E7491" s="4">
        <v>0.0</v>
      </c>
      <c r="F7491" s="4" t="str">
        <f>IFERROR(__xludf.DUMMYFUNCTION("GOOGLETRANSLATE(D7491)"),"當我呼吸時，聽起來就像是一場暴風雨。哈哈酷")</f>
        <v>當我呼吸時，聽起來就像是一場暴風雨。哈哈酷</v>
      </c>
      <c r="G7491" s="4" t="str">
        <f>IFERROR(__xludf.DUMMYFUNCTION("GOOGLETRANSLATE(B7491)"),"風暴")</f>
        <v>風暴</v>
      </c>
    </row>
    <row r="7492" ht="15.75" customHeight="1">
      <c r="A7492" s="4">
        <v>10548.0</v>
      </c>
      <c r="B7492" s="4" t="s">
        <v>4784</v>
      </c>
      <c r="D7492" s="4" t="s">
        <v>10892</v>
      </c>
      <c r="E7492" s="4">
        <v>0.0</v>
      </c>
      <c r="F7492" s="4" t="str">
        <f>IFERROR(__xludf.DUMMYFUNCTION("GOOGLETRANSLATE(D7492)"),"WindStorm WSVR1686B 適用於 V 型船快艇的船罩，包括帶無線功能的歐式風格 http://t.co/8Prnhrhb2T http://t.co/OAhLtHRozY")</f>
        <v>WindStorm WSVR1686B 適用於 V 型船快艇的船罩，包括帶無線功能的歐式風格 http://t.co/8Prnhrhb2T http://t.co/OAhLtHRozY</v>
      </c>
      <c r="G7492" s="4" t="str">
        <f>IFERROR(__xludf.DUMMYFUNCTION("GOOGLETRANSLATE(B7492)"),"風暴")</f>
        <v>風暴</v>
      </c>
    </row>
    <row r="7493" ht="15.75" customHeight="1">
      <c r="A7493" s="4">
        <v>10553.0</v>
      </c>
      <c r="B7493" s="4" t="s">
        <v>4784</v>
      </c>
      <c r="C7493" s="4" t="s">
        <v>10893</v>
      </c>
      <c r="D7493" s="4" t="s">
        <v>10894</v>
      </c>
      <c r="E7493" s="4">
        <v>0.0</v>
      </c>
      <c r="F7493" s="4" t="str">
        <f>IFERROR(__xludf.DUMMYFUNCTION("GOOGLETRANSLATE(D7493)"),"#NowPlaying 七鈴學校 - 風暴 #WZBT")</f>
        <v>#NowPlaying 七鈴學校 - 風暴 #WZBT</v>
      </c>
      <c r="G7493" s="4" t="str">
        <f>IFERROR(__xludf.DUMMYFUNCTION("GOOGLETRANSLATE(B7493)"),"風暴")</f>
        <v>風暴</v>
      </c>
    </row>
    <row r="7494" ht="15.75" customHeight="1">
      <c r="A7494" s="4">
        <v>10554.0</v>
      </c>
      <c r="B7494" s="4" t="s">
        <v>4784</v>
      </c>
      <c r="C7494" s="4" t="s">
        <v>530</v>
      </c>
      <c r="D7494" s="4" t="s">
        <v>10895</v>
      </c>
      <c r="E7494" s="4">
        <v>0.0</v>
      </c>
      <c r="F7494" s="4" t="str">
        <f>IFERROR(__xludf.DUMMYFUNCTION("GOOGLETRANSLATE(D7494)"),"風暴委員會同意在變更前加息http://t.co/AI6kwOrBbT #politics #txlege #twia")</f>
        <v>風暴委員會同意在變更前加息http://t.co/AI6kwOrBbT #politics #txlege #twia</v>
      </c>
      <c r="G7494" s="4" t="str">
        <f>IFERROR(__xludf.DUMMYFUNCTION("GOOGLETRANSLATE(B7494)"),"風暴")</f>
        <v>風暴</v>
      </c>
    </row>
    <row r="7495" ht="15.75" customHeight="1">
      <c r="A7495" s="4">
        <v>10557.0</v>
      </c>
      <c r="B7495" s="4" t="s">
        <v>4784</v>
      </c>
      <c r="C7495" s="4" t="s">
        <v>10896</v>
      </c>
      <c r="D7495" s="4" t="s">
        <v>10897</v>
      </c>
      <c r="E7495" s="4">
        <v>0.0</v>
      </c>
      <c r="F7495" s="4" t="str">
        <f>IFERROR(__xludf.DUMMYFUNCTION("GOOGLETRANSLATE(D7495)"),"我死前想看到的一件事&gt; #川普站在暴風雨中，沒戴帽子！ #強硬派")</f>
        <v>我死前想看到的一件事&gt; #川普站在暴風雨中，沒戴帽子！ #強硬派</v>
      </c>
      <c r="G7495" s="4" t="str">
        <f>IFERROR(__xludf.DUMMYFUNCTION("GOOGLETRANSLATE(B7495)"),"風暴")</f>
        <v>風暴</v>
      </c>
    </row>
    <row r="7496" ht="15.75" customHeight="1">
      <c r="A7496" s="4">
        <v>10558.0</v>
      </c>
      <c r="B7496" s="4" t="s">
        <v>4784</v>
      </c>
      <c r="C7496" s="4" t="s">
        <v>10898</v>
      </c>
      <c r="D7496" s="4" t="s">
        <v>10899</v>
      </c>
      <c r="E7496" s="4">
        <v>0.0</v>
      </c>
      <c r="F7496" s="4" t="str">
        <f>IFERROR(__xludf.DUMMYFUNCTION("GOOGLETRANSLATE(D7496)"),"@chriscesq 一般共和黨選民會在冰雹/暴風雨中去看大帳篷馬戲團，不是嗎？ :-)")</f>
        <v>@chriscesq 一般共和黨選民會在冰雹/暴風雨中去看大帳篷馬戲團，不是嗎？ :-)</v>
      </c>
      <c r="G7496" s="4" t="str">
        <f>IFERROR(__xludf.DUMMYFUNCTION("GOOGLETRANSLATE(B7496)"),"風暴")</f>
        <v>風暴</v>
      </c>
    </row>
    <row r="7497" ht="15.75" customHeight="1">
      <c r="A7497" s="4">
        <v>10559.0</v>
      </c>
      <c r="B7497" s="4" t="s">
        <v>4784</v>
      </c>
      <c r="D7497" s="4" t="s">
        <v>10900</v>
      </c>
      <c r="E7497" s="4">
        <v>0.0</v>
      </c>
      <c r="F7497" s="4" t="str">
        <f>IFERROR(__xludf.DUMMYFUNCTION("GOOGLETRANSLATE(D7497)"),"@charlesadler Ian Lee 的話就像是「暴風雨中的一個屁」。這樣的棕色。")</f>
        <v>@charlesadler Ian Lee 的話就像是「暴風雨中的一個屁」。這樣的棕色。</v>
      </c>
      <c r="G7497" s="4" t="str">
        <f>IFERROR(__xludf.DUMMYFUNCTION("GOOGLETRANSLATE(B7497)"),"風暴")</f>
        <v>風暴</v>
      </c>
    </row>
    <row r="7498" ht="15.75" customHeight="1">
      <c r="A7498" s="4">
        <v>10560.0</v>
      </c>
      <c r="B7498" s="4" t="s">
        <v>4784</v>
      </c>
      <c r="C7498" s="4" t="s">
        <v>10901</v>
      </c>
      <c r="D7498" s="4" t="s">
        <v>10902</v>
      </c>
      <c r="E7498" s="4">
        <v>0.0</v>
      </c>
      <c r="F7498" s="4" t="str">
        <f>IFERROR(__xludf.DUMMYFUNCTION("GOOGLETRANSLATE(D7498)"),"德克薩斯州尋求對風暴保險公司變更規則的評論 http://t.co/BP6MfJHARS")</f>
        <v>德克薩斯州尋求對風暴保險公司變更規則的評論 http://t.co/BP6MfJHARS</v>
      </c>
      <c r="G7498" s="4" t="str">
        <f>IFERROR(__xludf.DUMMYFUNCTION("GOOGLETRANSLATE(B7498)"),"風暴")</f>
        <v>風暴</v>
      </c>
    </row>
    <row r="7499" ht="15.75" customHeight="1">
      <c r="A7499" s="4">
        <v>10562.0</v>
      </c>
      <c r="B7499" s="4" t="s">
        <v>4784</v>
      </c>
      <c r="C7499" s="4" t="s">
        <v>3871</v>
      </c>
      <c r="D7499" s="4" t="s">
        <v>10903</v>
      </c>
      <c r="E7499" s="4">
        <v>0.0</v>
      </c>
      <c r="F7499" s="4" t="str">
        <f>IFERROR(__xludf.DUMMYFUNCTION("GOOGLETRANSLATE(D7499)"),"德克薩斯州尋求對風暴保險公司變更規則的評論 http://t.co/BNNIdfZWbd")</f>
        <v>德克薩斯州尋求對風暴保險公司變更規則的評論 http://t.co/BNNIdfZWbd</v>
      </c>
      <c r="G7499" s="4" t="str">
        <f>IFERROR(__xludf.DUMMYFUNCTION("GOOGLETRANSLATE(B7499)"),"風暴")</f>
        <v>風暴</v>
      </c>
    </row>
    <row r="7500" ht="15.75" customHeight="1">
      <c r="A7500" s="4">
        <v>10564.0</v>
      </c>
      <c r="B7500" s="4" t="s">
        <v>4784</v>
      </c>
      <c r="C7500" s="4" t="s">
        <v>10904</v>
      </c>
      <c r="D7500" s="4" t="s">
        <v>10905</v>
      </c>
      <c r="E7500" s="4">
        <v>0.0</v>
      </c>
      <c r="F7500" s="4" t="str">
        <f>IFERROR(__xludf.DUMMYFUNCTION("GOOGLETRANSLATE(D7500)"),"雪莉凱撒 - 暴風雨 http://t.co/KoCH8SLasQ #nowplaying #listenlive")</f>
        <v>雪莉凱撒 - 暴風雨 http://t.co/KoCH8SLasQ #nowplaying #listenlive</v>
      </c>
      <c r="G7500" s="4" t="str">
        <f>IFERROR(__xludf.DUMMYFUNCTION("GOOGLETRANSLATE(B7500)"),"風暴")</f>
        <v>風暴</v>
      </c>
    </row>
    <row r="7501" ht="15.75" customHeight="1">
      <c r="A7501" s="4">
        <v>10565.0</v>
      </c>
      <c r="B7501" s="4" t="s">
        <v>4784</v>
      </c>
      <c r="D7501" s="4" t="s">
        <v>10906</v>
      </c>
      <c r="E7501" s="4">
        <v>0.0</v>
      </c>
      <c r="F7501" s="4" t="str">
        <f>IFERROR(__xludf.DUMMYFUNCTION("GOOGLETRANSLATE(D7501)"),"如果你發現你的露臺桌傘和椅子翻倒了，並懷疑有謀殺行為（而不是暴風雨），那麼你可能是一個懸疑作家。")</f>
        <v>如果你發現你的露臺桌傘和椅子翻倒了，並懷疑有謀殺行為（而不是暴風雨），那麼你可能是一個懸疑作家。</v>
      </c>
      <c r="G7501" s="4" t="str">
        <f>IFERROR(__xludf.DUMMYFUNCTION("GOOGLETRANSLATE(B7501)"),"風暴")</f>
        <v>風暴</v>
      </c>
    </row>
    <row r="7502" ht="15.75" customHeight="1">
      <c r="A7502" s="4">
        <v>10566.0</v>
      </c>
      <c r="B7502" s="4" t="s">
        <v>4784</v>
      </c>
      <c r="C7502" s="4" t="s">
        <v>10907</v>
      </c>
      <c r="D7502" s="4" t="s">
        <v>10908</v>
      </c>
      <c r="E7502" s="4">
        <v>0.0</v>
      </c>
      <c r="F7502" s="4" t="str">
        <f>IFERROR(__xludf.DUMMYFUNCTION("GOOGLETRANSLATE(D7502)"),"我喜歡奇怪的，像是神秘之雨、暴風雨或海浪 https://t.co/gCdxYdBSc4")</f>
        <v>我喜歡奇怪的，像是神秘之雨、暴風雨或海浪 https://t.co/gCdxYdBSc4</v>
      </c>
      <c r="G7502" s="4" t="str">
        <f>IFERROR(__xludf.DUMMYFUNCTION("GOOGLETRANSLATE(B7502)"),"風暴")</f>
        <v>風暴</v>
      </c>
    </row>
    <row r="7503" ht="15.75" customHeight="1">
      <c r="A7503" s="4">
        <v>10567.0</v>
      </c>
      <c r="B7503" s="4" t="s">
        <v>4784</v>
      </c>
      <c r="D7503" s="4" t="s">
        <v>10909</v>
      </c>
      <c r="E7503" s="4">
        <v>0.0</v>
      </c>
      <c r="F7503" s="4" t="str">
        <f>IFERROR(__xludf.DUMMYFUNCTION("GOOGLETRANSLATE(D7503)"),"如果沒有眼睛/中心的平靜/靜止，猛烈的風暴就不會發生，所以說你的內部方面比外部更重要")</f>
        <v>如果沒有眼睛/中心的平靜/靜止，猛烈的風暴就不會發生，所以說你的內部方面比外部更重要</v>
      </c>
      <c r="G7503" s="4" t="str">
        <f>IFERROR(__xludf.DUMMYFUNCTION("GOOGLETRANSLATE(B7503)"),"風暴")</f>
        <v>風暴</v>
      </c>
    </row>
    <row r="7504" ht="15.75" customHeight="1">
      <c r="A7504" s="4">
        <v>10570.0</v>
      </c>
      <c r="B7504" s="4" t="s">
        <v>4784</v>
      </c>
      <c r="C7504" s="4" t="s">
        <v>4706</v>
      </c>
      <c r="D7504" s="4" t="s">
        <v>10910</v>
      </c>
      <c r="E7504" s="4">
        <v>0.0</v>
      </c>
      <c r="F7504" s="4" t="str">
        <f>IFERROR(__xludf.DUMMYFUNCTION("GOOGLETRANSLATE(D7504)"),"新屋頂，堅強起來..明天進行暴風雨檢查http://t.co/kKeH8qCgc3")</f>
        <v>新屋頂，堅強起來..明天進行暴風雨檢查http://t.co/kKeH8qCgc3</v>
      </c>
      <c r="G7504" s="4" t="str">
        <f>IFERROR(__xludf.DUMMYFUNCTION("GOOGLETRANSLATE(B7504)"),"風暴")</f>
        <v>風暴</v>
      </c>
    </row>
    <row r="7505" ht="15.75" customHeight="1">
      <c r="A7505" s="4">
        <v>10571.0</v>
      </c>
      <c r="B7505" s="4" t="s">
        <v>4784</v>
      </c>
      <c r="D7505" s="4" t="s">
        <v>10911</v>
      </c>
      <c r="E7505" s="4">
        <v>0.0</v>
      </c>
      <c r="F7505" s="4" t="str">
        <f>IFERROR(__xludf.DUMMYFUNCTION("GOOGLETRANSLATE(D7505)"),"七鈴學園 - 暴風雨 http://t.co/E1kbluDwh5 #nowplaying")</f>
        <v>七鈴學園 - 暴風雨 http://t.co/E1kbluDwh5 #nowplaying</v>
      </c>
      <c r="G7505" s="4" t="str">
        <f>IFERROR(__xludf.DUMMYFUNCTION("GOOGLETRANSLATE(B7505)"),"風暴")</f>
        <v>風暴</v>
      </c>
    </row>
    <row r="7506" ht="15.75" customHeight="1">
      <c r="A7506" s="4">
        <v>10573.0</v>
      </c>
      <c r="B7506" s="4" t="s">
        <v>4784</v>
      </c>
      <c r="C7506" s="4" t="s">
        <v>10912</v>
      </c>
      <c r="D7506" s="4" t="s">
        <v>10913</v>
      </c>
      <c r="E7506" s="4">
        <v>0.0</v>
      </c>
      <c r="F7506" s="4" t="str">
        <f>IFERROR(__xludf.DUMMYFUNCTION("GOOGLETRANSLATE(D7506)"),"#Insurance：德州尋求對風暴保險公司變更規則的評論 http://t.co/rb02svlpPu")</f>
        <v>#Insurance：德州尋求對風暴保險公司變更規則的評論 http://t.co/rb02svlpPu</v>
      </c>
      <c r="G7506" s="4" t="str">
        <f>IFERROR(__xludf.DUMMYFUNCTION("GOOGLETRANSLATE(B7506)"),"風暴")</f>
        <v>風暴</v>
      </c>
    </row>
    <row r="7507" ht="15.75" customHeight="1">
      <c r="A7507" s="4">
        <v>10576.0</v>
      </c>
      <c r="B7507" s="4" t="s">
        <v>4784</v>
      </c>
      <c r="C7507" s="4" t="s">
        <v>10914</v>
      </c>
      <c r="D7507" s="4" t="s">
        <v>10915</v>
      </c>
      <c r="E7507" s="4">
        <v>0.0</v>
      </c>
      <c r="F7507" s="4" t="str">
        <f>IFERROR(__xludf.DUMMYFUNCTION("GOOGLETRANSLATE(D7507)"),"TWIA 董事會批准升息 5%：德州風暴保險協會 (TWIA) 董事會訴... http://t.co/esEMjRn5cC")</f>
        <v>TWIA 董事會批准升息 5%：德州風暴保險協會 (TWIA) 董事會訴... http://t.co/esEMjRn5cC</v>
      </c>
      <c r="G7507" s="4" t="str">
        <f>IFERROR(__xludf.DUMMYFUNCTION("GOOGLETRANSLATE(B7507)"),"風暴")</f>
        <v>風暴</v>
      </c>
    </row>
    <row r="7508" ht="15.75" customHeight="1">
      <c r="A7508" s="4">
        <v>10578.0</v>
      </c>
      <c r="B7508" s="4" t="s">
        <v>4784</v>
      </c>
      <c r="C7508" s="4" t="s">
        <v>10916</v>
      </c>
      <c r="D7508" s="4" t="s">
        <v>10917</v>
      </c>
      <c r="E7508" s="4">
        <v>0.0</v>
      </c>
      <c r="F7508" s="4" t="str">
        <f>IFERROR(__xludf.DUMMYFUNCTION("GOOGLETRANSLATE(D7508)"),"德克薩斯州尋求對風暴保險公司變更規則的評論 http://t.co/BZ07c9WthX 通過 @ijournal")</f>
        <v>德克薩斯州尋求對風暴保險公司變更規則的評論 http://t.co/BZ07c9WthX 通過 @ijournal</v>
      </c>
      <c r="G7508" s="4" t="str">
        <f>IFERROR(__xludf.DUMMYFUNCTION("GOOGLETRANSLATE(B7508)"),"風暴")</f>
        <v>風暴</v>
      </c>
    </row>
    <row r="7509" ht="15.75" customHeight="1">
      <c r="A7509" s="4">
        <v>10580.0</v>
      </c>
      <c r="B7509" s="4" t="s">
        <v>4784</v>
      </c>
      <c r="C7509" s="4" t="s">
        <v>10918</v>
      </c>
      <c r="D7509" s="4" t="s">
        <v>10919</v>
      </c>
      <c r="E7509" s="4">
        <v>0.0</v>
      </c>
      <c r="F7509" s="4" t="str">
        <f>IFERROR(__xludf.DUMMYFUNCTION("GOOGLETRANSLATE(D7509)"),"暴風雨吹進了我開著的窗戶，現在我的煙槍變成了碎片，這是大自然對人類苦難漠不關心的另一個例子")</f>
        <v>暴風雨吹進了我開著的窗戶，現在我的煙槍變成了碎片，這是大自然對人類苦難漠不關心的另一個例子</v>
      </c>
      <c r="G7509" s="4" t="str">
        <f>IFERROR(__xludf.DUMMYFUNCTION("GOOGLETRANSLATE(B7509)"),"風暴")</f>
        <v>風暴</v>
      </c>
    </row>
    <row r="7510" ht="15.75" customHeight="1">
      <c r="A7510" s="4">
        <v>10581.0</v>
      </c>
      <c r="B7510" s="4" t="s">
        <v>4784</v>
      </c>
      <c r="C7510" s="4" t="s">
        <v>1452</v>
      </c>
      <c r="D7510" s="4" t="s">
        <v>10920</v>
      </c>
      <c r="E7510" s="4">
        <v>0.0</v>
      </c>
      <c r="F7510" s="4" t="str">
        <f>IFERROR(__xludf.DUMMYFUNCTION("GOOGLETRANSLATE(D7510)"),"《我的五十次線上約會以及為什麼我仍然單身》作者：Michael Windstorm $2.99 亞馬遜 http://t.co/5KohO39oJE #kindle #datingtips #goodreads")</f>
        <v>《我的五十次線上約會以及為什麼我仍然單身》作者：Michael Windstorm $2.99 亞馬遜 http://t.co/5KohO39oJE #kindle #datingtips #goodreads</v>
      </c>
      <c r="G7510" s="4" t="str">
        <f>IFERROR(__xludf.DUMMYFUNCTION("GOOGLETRANSLATE(B7510)"),"風暴")</f>
        <v>風暴</v>
      </c>
    </row>
    <row r="7511" ht="15.75" customHeight="1">
      <c r="A7511" s="4">
        <v>10584.0</v>
      </c>
      <c r="B7511" s="4" t="s">
        <v>4784</v>
      </c>
      <c r="D7511" s="4" t="s">
        <v>10921</v>
      </c>
      <c r="E7511" s="4">
        <v>0.0</v>
      </c>
      <c r="F7511" s="4" t="str">
        <f>IFERROR(__xludf.DUMMYFUNCTION("GOOGLETRANSLATE(D7511)"),"德克薩斯州尋求對風暴保險公司變更規則的評論 http://t.co/XQIadG9H2w http://t.co/yPEElMjdZY")</f>
        <v>德克薩斯州尋求對風暴保險公司變更規則的評論 http://t.co/XQIadG9H2w http://t.co/yPEElMjdZY</v>
      </c>
      <c r="G7511" s="4" t="str">
        <f>IFERROR(__xludf.DUMMYFUNCTION("GOOGLETRANSLATE(B7511)"),"風暴")</f>
        <v>風暴</v>
      </c>
    </row>
    <row r="7512" ht="15.75" customHeight="1">
      <c r="A7512" s="4">
        <v>10588.0</v>
      </c>
      <c r="B7512" s="4" t="s">
        <v>4806</v>
      </c>
      <c r="C7512" s="4" t="s">
        <v>10922</v>
      </c>
      <c r="D7512" s="4" t="s">
        <v>10923</v>
      </c>
      <c r="E7512" s="4">
        <v>0.0</v>
      </c>
      <c r="F7512" s="4" t="str">
        <f>IFERROR(__xludf.DUMMYFUNCTION("GOOGLETRANSLATE(D7512)"),"我也喜歡「將我的心埋在受傷的膝蓋」！ ＃遊戲")</f>
        <v>我也喜歡「將我的心埋在受傷的膝蓋」！ ＃遊戲</v>
      </c>
      <c r="G7512" s="4" t="str">
        <f>IFERROR(__xludf.DUMMYFUNCTION("GOOGLETRANSLATE(B7512)"),"受傷的")</f>
        <v>受傷的</v>
      </c>
    </row>
    <row r="7513" ht="15.75" customHeight="1">
      <c r="A7513" s="4">
        <v>10589.0</v>
      </c>
      <c r="B7513" s="4" t="s">
        <v>4806</v>
      </c>
      <c r="C7513" s="4" t="s">
        <v>10924</v>
      </c>
      <c r="D7513" s="4" t="s">
        <v>10925</v>
      </c>
      <c r="E7513" s="4">
        <v>0.0</v>
      </c>
      <c r="F7513" s="4" t="str">
        <f>IFERROR(__xludf.DUMMYFUNCTION("GOOGLETRANSLATE(D7513)"),"整個食品券政府。需要重新調整僅針對受傷退伍軍人、退休人員和殘疾人的援助計劃。 #不再講義")</f>
        <v>整個食品券政府。需要重新調整僅針對受傷退伍軍人、退休人員和殘疾人的援助計劃。 #不再講義</v>
      </c>
      <c r="G7513" s="4" t="str">
        <f>IFERROR(__xludf.DUMMYFUNCTION("GOOGLETRANSLATE(B7513)"),"受傷的")</f>
        <v>受傷的</v>
      </c>
    </row>
    <row r="7514" ht="15.75" customHeight="1">
      <c r="A7514" s="4">
        <v>10596.0</v>
      </c>
      <c r="B7514" s="4" t="s">
        <v>4806</v>
      </c>
      <c r="C7514" s="4" t="s">
        <v>10926</v>
      </c>
      <c r="D7514" s="4" t="s">
        <v>10927</v>
      </c>
      <c r="E7514" s="4">
        <v>0.0</v>
      </c>
      <c r="F7514" s="4" t="str">
        <f>IFERROR(__xludf.DUMMYFUNCTION("GOOGLETRANSLATE(D7514)"),"暮光之城的安可（受傷的心臟第 3 本書）作者：Jacquie Biggar http://t.co/ZnpTdIcQxE 來自 @amazon #KindleCountdown #Sale #MFRWauthor #MGTAB")</f>
        <v>暮光之城的安可（受傷的心臟第 3 本書）作者：Jacquie Biggar http://t.co/ZnpTdIcQxE 來自 @amazon #KindleCountdown #Sale #MFRWauthor #MGTAB</v>
      </c>
      <c r="G7514" s="4" t="str">
        <f>IFERROR(__xludf.DUMMYFUNCTION("GOOGLETRANSLATE(B7514)"),"受傷的")</f>
        <v>受傷的</v>
      </c>
    </row>
    <row r="7515" ht="15.75" customHeight="1">
      <c r="A7515" s="4">
        <v>10605.0</v>
      </c>
      <c r="B7515" s="4" t="s">
        <v>4806</v>
      </c>
      <c r="D7515" s="4" t="s">
        <v>10928</v>
      </c>
      <c r="E7515" s="4">
        <v>0.0</v>
      </c>
      <c r="F7515" s="4" t="str">
        <f>IFERROR(__xludf.DUMMYFUNCTION("GOOGLETRANSLATE(D7515)"),"你見過總統嗎
誰殺了你受傷的孩子？
或是撞毀你姊姊的飛機的那個人
聲稱他是上帝派來的？")</f>
        <v>你見過總統嗎
誰殺了你受傷的孩子？
或是撞毀你姊姊的飛機的那個人
聲稱他是上帝派來的？</v>
      </c>
      <c r="G7515" s="4" t="str">
        <f>IFERROR(__xludf.DUMMYFUNCTION("GOOGLETRANSLATE(B7515)"),"受傷的")</f>
        <v>受傷的</v>
      </c>
    </row>
    <row r="7516" ht="15.75" customHeight="1">
      <c r="A7516" s="4">
        <v>10607.0</v>
      </c>
      <c r="B7516" s="4" t="s">
        <v>4806</v>
      </c>
      <c r="C7516" s="4" t="s">
        <v>10929</v>
      </c>
      <c r="D7516" s="4" t="s">
        <v>10930</v>
      </c>
      <c r="E7516" s="4">
        <v>0.0</v>
      </c>
      <c r="F7516" s="4" t="str">
        <f>IFERROR(__xludf.DUMMYFUNCTION("GOOGLETRANSLATE(D7516)"),"普通觀眾：關於受傷家庭| ZENIT - 從羅馬看到的世界 http://t.co/hFvnyfT78C")</f>
        <v>普通觀眾：關於受傷家庭| ZENIT - 從羅馬看到的世界 http://t.co/hFvnyfT78C</v>
      </c>
      <c r="G7516" s="4" t="str">
        <f>IFERROR(__xludf.DUMMYFUNCTION("GOOGLETRANSLATE(B7516)"),"受傷的")</f>
        <v>受傷的</v>
      </c>
    </row>
    <row r="7517" ht="15.75" customHeight="1">
      <c r="A7517" s="4">
        <v>10608.0</v>
      </c>
      <c r="B7517" s="4" t="s">
        <v>4806</v>
      </c>
      <c r="D7517" s="4" t="s">
        <v>10931</v>
      </c>
      <c r="E7517" s="4">
        <v>0.0</v>
      </c>
      <c r="F7517" s="4" t="str">
        <f>IFERROR(__xludf.DUMMYFUNCTION("GOOGLETRANSLATE(D7517)"),"「受傷的貓令人興奮」的描述 http://t.co/BJycRGfH5y")</f>
        <v>「受傷的貓令人興奮」的描述 http://t.co/BJycRGfH5y</v>
      </c>
      <c r="G7517" s="4" t="str">
        <f>IFERROR(__xludf.DUMMYFUNCTION("GOOGLETRANSLATE(B7517)"),"受傷的")</f>
        <v>受傷的</v>
      </c>
    </row>
    <row r="7518" ht="15.75" customHeight="1">
      <c r="A7518" s="4">
        <v>10609.0</v>
      </c>
      <c r="B7518" s="4" t="s">
        <v>4806</v>
      </c>
      <c r="D7518" s="4" t="s">
        <v>10932</v>
      </c>
      <c r="E7518" s="4">
        <v>0.0</v>
      </c>
      <c r="F7518" s="4" t="str">
        <f>IFERROR(__xludf.DUMMYFUNCTION("GOOGLETRANSLATE(D7518)"),"愛是這個受傷的一代的武器&lt;3")</f>
        <v>愛是這個受傷的一代的武器&lt;3</v>
      </c>
      <c r="G7518" s="4" t="str">
        <f>IFERROR(__xludf.DUMMYFUNCTION("GOOGLETRANSLATE(B7518)"),"受傷的")</f>
        <v>受傷的</v>
      </c>
    </row>
    <row r="7519" ht="15.75" customHeight="1">
      <c r="A7519" s="4">
        <v>10610.0</v>
      </c>
      <c r="B7519" s="4" t="s">
        <v>4806</v>
      </c>
      <c r="D7519" s="4" t="s">
        <v>10933</v>
      </c>
      <c r="E7519" s="4">
        <v>0.0</v>
      </c>
      <c r="F7519" s="4" t="str">
        <f>IFERROR(__xludf.DUMMYFUNCTION("GOOGLETRANSLATE(D7519)"),"@AsterPuppet受傷並把她帶回他的兄弟姐妹所在的地方，並進入飛艇返回學術界")</f>
        <v>@AsterPuppet受傷並把她帶回他的兄弟姐妹所在的地方，並進入飛艇返回學術界</v>
      </c>
      <c r="G7519" s="4" t="str">
        <f>IFERROR(__xludf.DUMMYFUNCTION("GOOGLETRANSLATE(B7519)"),"受傷的")</f>
        <v>受傷的</v>
      </c>
    </row>
    <row r="7520" ht="15.75" customHeight="1">
      <c r="A7520" s="4">
        <v>10621.0</v>
      </c>
      <c r="B7520" s="4" t="s">
        <v>4806</v>
      </c>
      <c r="C7520" s="4" t="s">
        <v>923</v>
      </c>
      <c r="D7520" s="4" t="s">
        <v>10934</v>
      </c>
      <c r="E7520" s="4">
        <v>0.0</v>
      </c>
      <c r="F7520" s="4" t="str">
        <f>IFERROR(__xludf.DUMMYFUNCTION("GOOGLETRANSLATE(D7520)"),"如果 ?? 的話，我在做愛時聽起來可能像一隻受傷的動物。很好，哈哈")</f>
        <v>如果 ?? 的話，我在做愛時聽起來可能像一隻受傷的動物。很好，哈哈</v>
      </c>
      <c r="G7520" s="4" t="str">
        <f>IFERROR(__xludf.DUMMYFUNCTION("GOOGLETRANSLATE(B7520)"),"受傷的")</f>
        <v>受傷的</v>
      </c>
    </row>
    <row r="7521" ht="15.75" customHeight="1">
      <c r="A7521" s="4">
        <v>10629.0</v>
      </c>
      <c r="B7521" s="4" t="s">
        <v>4806</v>
      </c>
      <c r="D7521" s="4" t="s">
        <v>10935</v>
      </c>
      <c r="E7521" s="4">
        <v>0.0</v>
      </c>
      <c r="F7521" s="4" t="str">
        <f>IFERROR(__xludf.DUMMYFUNCTION("GOOGLETRANSLATE(D7521)"),"全國免費根汁啤酒漂浮日將於明天下午 2 點至 A&amp;W 關閉！透過捐款幫助支持受傷戰士計畫！ :)")</f>
        <v>全國免費根汁啤酒漂浮日將於明天下午 2 點至 A&amp;W 關閉！透過捐款幫助支持受傷戰士計畫！ :)</v>
      </c>
      <c r="G7521" s="4" t="str">
        <f>IFERROR(__xludf.DUMMYFUNCTION("GOOGLETRANSLATE(B7521)"),"受傷的")</f>
        <v>受傷的</v>
      </c>
    </row>
    <row r="7522" ht="15.75" customHeight="1">
      <c r="A7522" s="4">
        <v>10630.0</v>
      </c>
      <c r="B7522" s="4" t="s">
        <v>4806</v>
      </c>
      <c r="C7522" s="4" t="s">
        <v>10936</v>
      </c>
      <c r="D7522" s="4" t="s">
        <v>10937</v>
      </c>
      <c r="E7522" s="4">
        <v>0.0</v>
      </c>
      <c r="F7522" s="4" t="str">
        <f>IFERROR(__xludf.DUMMYFUNCTION("GOOGLETRANSLATE(D7522)"),"——底部的小袋子，受傷的英雄搖晃它。一顆千豆從上面掉下來。悟飯很驚訝。再次搖晃袋子，但是——")</f>
        <v>——底部的小袋子，受傷的英雄搖晃它。一顆千豆從上面掉下來。悟飯很驚訝。再次搖晃袋子，但是——</v>
      </c>
      <c r="G7522" s="4" t="str">
        <f>IFERROR(__xludf.DUMMYFUNCTION("GOOGLETRANSLATE(B7522)"),"受傷的")</f>
        <v>受傷的</v>
      </c>
    </row>
    <row r="7523" ht="15.75" customHeight="1">
      <c r="A7523" s="4">
        <v>10637.0</v>
      </c>
      <c r="B7523" s="4" t="s">
        <v>4842</v>
      </c>
      <c r="C7523" s="4" t="s">
        <v>10938</v>
      </c>
      <c r="D7523" s="4" t="s">
        <v>10939</v>
      </c>
      <c r="E7523" s="4">
        <v>0.0</v>
      </c>
      <c r="F7523" s="4" t="str">
        <f>IFERROR(__xludf.DUMMYFUNCTION("GOOGLETRANSLATE(D7523)"),"@CharlesDagnall 我想他在這裡得到了 50 分。鹽。傷口。擦。在。")</f>
        <v>@CharlesDagnall 我想他在這裡得到了 50 分。鹽。傷口。擦。在。</v>
      </c>
      <c r="G7523" s="4" t="str">
        <f>IFERROR(__xludf.DUMMYFUNCTION("GOOGLETRANSLATE(B7523)"),"傷口")</f>
        <v>傷口</v>
      </c>
    </row>
    <row r="7524" ht="15.75" customHeight="1">
      <c r="A7524" s="4">
        <v>10640.0</v>
      </c>
      <c r="B7524" s="4" t="s">
        <v>4842</v>
      </c>
      <c r="C7524" s="4" t="s">
        <v>10940</v>
      </c>
      <c r="D7524" s="4" t="s">
        <v>10941</v>
      </c>
      <c r="E7524" s="4">
        <v>0.0</v>
      </c>
      <c r="F7524" s="4" t="str">
        <f>IFERROR(__xludf.DUMMYFUNCTION("GOOGLETRANSLATE(D7524)"),"不要像傷口上撒鹽一樣，爸爸..?????? http://t.co/M8UfjDtlsm")</f>
        <v>不要像傷口上撒鹽一樣，爸爸..?????? http://t.co/M8UfjDtlsm</v>
      </c>
      <c r="G7524" s="4" t="str">
        <f>IFERROR(__xludf.DUMMYFUNCTION("GOOGLETRANSLATE(B7524)"),"傷口")</f>
        <v>傷口</v>
      </c>
    </row>
    <row r="7525" ht="15.75" customHeight="1">
      <c r="A7525" s="4">
        <v>10644.0</v>
      </c>
      <c r="B7525" s="4" t="s">
        <v>4842</v>
      </c>
      <c r="D7525" s="4" t="s">
        <v>10942</v>
      </c>
      <c r="E7525" s="4">
        <v>0.0</v>
      </c>
      <c r="F7525" s="4" t="str">
        <f>IFERROR(__xludf.DUMMYFUNCTION("GOOGLETRANSLATE(D7525)"),"我們將成為反映彼此最私密的傷口和慾望的鏡子。")</f>
        <v>我們將成為反映彼此最私密的傷口和慾望的鏡子。</v>
      </c>
      <c r="G7525" s="4" t="str">
        <f>IFERROR(__xludf.DUMMYFUNCTION("GOOGLETRANSLATE(B7525)"),"傷口")</f>
        <v>傷口</v>
      </c>
    </row>
    <row r="7526" ht="15.75" customHeight="1">
      <c r="A7526" s="4">
        <v>10648.0</v>
      </c>
      <c r="B7526" s="4" t="s">
        <v>4842</v>
      </c>
      <c r="C7526" s="4" t="s">
        <v>10943</v>
      </c>
      <c r="D7526" s="4" t="s">
        <v>10944</v>
      </c>
      <c r="E7526" s="4">
        <v>0.0</v>
      </c>
      <c r="F7526" s="4" t="str">
        <f>IFERROR(__xludf.DUMMYFUNCTION("GOOGLETRANSLATE(D7526)"),"你同樣害怕，因為這不知何故開始治癒你，填補你曾經認為是永久性的傷口。")</f>
        <v>你同樣害怕，因為這不知何故開始治癒你，填補你曾經認為是永久性的傷口。</v>
      </c>
      <c r="G7526" s="4" t="str">
        <f>IFERROR(__xludf.DUMMYFUNCTION("GOOGLETRANSLATE(B7526)"),"傷口")</f>
        <v>傷口</v>
      </c>
    </row>
    <row r="7527" ht="15.75" customHeight="1">
      <c r="A7527" s="4">
        <v>10650.0</v>
      </c>
      <c r="B7527" s="4" t="s">
        <v>4842</v>
      </c>
      <c r="C7527" s="4" t="s">
        <v>281</v>
      </c>
      <c r="D7527" s="4" t="s">
        <v>10945</v>
      </c>
      <c r="E7527" s="4">
        <v>0.0</v>
      </c>
      <c r="F7527" s="4" t="str">
        <f>IFERROR(__xludf.DUMMYFUNCTION("GOOGLETRANSLATE(D7527)"),"RT @DianneG：#9 槍傷位於二頭肌。 10 處傷口中只有 1 處不在胸部/軀幹區域。 #KerrickTrial #JonathanFerrell")</f>
        <v>RT @DianneG：#9 槍傷位於二頭肌。 10 處傷口中只有 1 處不在胸部/軀幹區域。 #KerrickTrial #JonathanFerrell</v>
      </c>
      <c r="G7527" s="4" t="str">
        <f>IFERROR(__xludf.DUMMYFUNCTION("GOOGLETRANSLATE(B7527)"),"傷口")</f>
        <v>傷口</v>
      </c>
    </row>
    <row r="7528" ht="15.75" customHeight="1">
      <c r="A7528" s="4">
        <v>10651.0</v>
      </c>
      <c r="B7528" s="4" t="s">
        <v>4842</v>
      </c>
      <c r="D7528" s="4" t="s">
        <v>10946</v>
      </c>
      <c r="E7528" s="4">
        <v>0.0</v>
      </c>
      <c r="F7528" s="4" t="str">
        <f>IFERROR(__xludf.DUMMYFUNCTION("GOOGLETRANSLATE(D7528)"),"白人很容易瘀青..你的子彈傷在哪裡？
https://t.co/6vyYER6PY0")</f>
        <v>白人很容易瘀青..你的子彈傷在哪裡？
https://t.co/6vyYER6PY0</v>
      </c>
      <c r="G7528" s="4" t="str">
        <f>IFERROR(__xludf.DUMMYFUNCTION("GOOGLETRANSLATE(B7528)"),"傷口")</f>
        <v>傷口</v>
      </c>
    </row>
    <row r="7529" ht="15.75" customHeight="1">
      <c r="A7529" s="4">
        <v>10655.0</v>
      </c>
      <c r="B7529" s="4" t="s">
        <v>4842</v>
      </c>
      <c r="C7529" s="4" t="s">
        <v>10947</v>
      </c>
      <c r="D7529" s="4" t="s">
        <v>10948</v>
      </c>
      <c r="E7529" s="4">
        <v>0.0</v>
      </c>
      <c r="F7529" s="4" t="str">
        <f>IFERROR(__xludf.DUMMYFUNCTION("GOOGLETRANSLATE(D7529)"),"幫助你自己或你所愛的那些遭受自尊受傷的人。今天你可以！ http://t.co/tu6ScRSXVG http://t.co/iDhj4JBQ05")</f>
        <v>幫助你自己或你所愛的那些遭受自尊受傷的人。今天你可以！ http://t.co/tu6ScRSXVG http://t.co/iDhj4JBQ05</v>
      </c>
      <c r="G7529" s="4" t="str">
        <f>IFERROR(__xludf.DUMMYFUNCTION("GOOGLETRANSLATE(B7529)"),"傷口")</f>
        <v>傷口</v>
      </c>
    </row>
    <row r="7530" ht="15.75" customHeight="1">
      <c r="A7530" s="4">
        <v>10656.0</v>
      </c>
      <c r="B7530" s="4" t="s">
        <v>4842</v>
      </c>
      <c r="C7530" s="4" t="s">
        <v>10949</v>
      </c>
      <c r="D7530" s="4" t="s">
        <v>10950</v>
      </c>
      <c r="E7530" s="4">
        <v>0.0</v>
      </c>
      <c r="F7530" s="4" t="str">
        <f>IFERROR(__xludf.DUMMYFUNCTION("GOOGLETRANSLATE(D7530)"),"今天早上我在海灘跑步時摔倒的小路上有裂縫。左手肘和右膝表面有傷口。 http://t.co/yaqRSximph")</f>
        <v>今天早上我在海灘跑步時摔倒的小路上有裂縫。左手肘和右膝表面有傷口。 http://t.co/yaqRSximph</v>
      </c>
      <c r="G7530" s="4" t="str">
        <f>IFERROR(__xludf.DUMMYFUNCTION("GOOGLETRANSLATE(B7530)"),"傷口")</f>
        <v>傷口</v>
      </c>
    </row>
    <row r="7531" ht="15.75" customHeight="1">
      <c r="A7531" s="4">
        <v>10658.0</v>
      </c>
      <c r="B7531" s="4" t="s">
        <v>4842</v>
      </c>
      <c r="C7531" s="4" t="s">
        <v>10951</v>
      </c>
      <c r="D7531" s="4" t="s">
        <v>10952</v>
      </c>
      <c r="E7531" s="4">
        <v>0.0</v>
      </c>
      <c r="F7531" s="4" t="str">
        <f>IFERROR(__xludf.DUMMYFUNCTION("GOOGLETRANSLATE(D7531)"),"@mattmosley 請張貼你傷口的照片")</f>
        <v>@mattmosley 請張貼你傷口的照片</v>
      </c>
      <c r="G7531" s="4" t="str">
        <f>IFERROR(__xludf.DUMMYFUNCTION("GOOGLETRANSLATE(B7531)"),"傷口")</f>
        <v>傷口</v>
      </c>
    </row>
    <row r="7532" ht="15.75" customHeight="1">
      <c r="A7532" s="4">
        <v>10659.0</v>
      </c>
      <c r="B7532" s="4" t="s">
        <v>4842</v>
      </c>
      <c r="D7532" s="4" t="s">
        <v>10953</v>
      </c>
      <c r="E7532" s="4">
        <v>0.0</v>
      </c>
      <c r="F7532" s="4" t="str">
        <f>IFERROR(__xludf.DUMMYFUNCTION("GOOGLETRANSLATE(D7532)"),"11處刺傷")</f>
        <v>11處刺傷</v>
      </c>
      <c r="G7532" s="4" t="str">
        <f>IFERROR(__xludf.DUMMYFUNCTION("GOOGLETRANSLATE(B7532)"),"傷口")</f>
        <v>傷口</v>
      </c>
    </row>
    <row r="7533" ht="15.75" customHeight="1">
      <c r="A7533" s="4">
        <v>10660.0</v>
      </c>
      <c r="B7533" s="4" t="s">
        <v>4842</v>
      </c>
      <c r="C7533" s="4" t="s">
        <v>627</v>
      </c>
      <c r="D7533" s="4" t="s">
        <v>10954</v>
      </c>
      <c r="E7533" s="4">
        <v>0.0</v>
      </c>
      <c r="F7533" s="4" t="str">
        <f>IFERROR(__xludf.DUMMYFUNCTION("GOOGLETRANSLATE(D7533)"),"有一個男人親吻你的傷口，他並不認為它們是你靈魂中的災難，而是將他們的愛傾注在裂縫中，這是令人驚奇的。")</f>
        <v>有一個男人親吻你的傷口，他並不認為它們是你靈魂中的災難，而是將他們的愛傾注在裂縫中，這是令人驚奇的。</v>
      </c>
      <c r="G7533" s="4" t="str">
        <f>IFERROR(__xludf.DUMMYFUNCTION("GOOGLETRANSLATE(B7533)"),"傷口")</f>
        <v>傷口</v>
      </c>
    </row>
    <row r="7534" ht="15.75" customHeight="1">
      <c r="A7534" s="4">
        <v>10662.0</v>
      </c>
      <c r="B7534" s="4" t="s">
        <v>4842</v>
      </c>
      <c r="C7534" s="4" t="s">
        <v>10001</v>
      </c>
      <c r="D7534" s="4" t="s">
        <v>10955</v>
      </c>
      <c r="E7534" s="4">
        <v>0.0</v>
      </c>
      <c r="F7534" s="4" t="str">
        <f>IFERROR(__xludf.DUMMYFUNCTION("GOOGLETRANSLATE(D7534)"),"@FEVWarrior - 如果你想先去這些地方之一，可以在避難所看看你的傷口。札裡已經——")</f>
        <v>@FEVWarrior - 如果你想先去這些地方之一，可以在避難所看看你的傷口。札裡已經——</v>
      </c>
      <c r="G7534" s="4" t="str">
        <f>IFERROR(__xludf.DUMMYFUNCTION("GOOGLETRANSLATE(B7534)"),"傷口")</f>
        <v>傷口</v>
      </c>
    </row>
    <row r="7535" ht="15.75" customHeight="1">
      <c r="A7535" s="4">
        <v>10663.0</v>
      </c>
      <c r="B7535" s="4" t="s">
        <v>4842</v>
      </c>
      <c r="D7535" s="4" t="s">
        <v>10956</v>
      </c>
      <c r="E7535" s="4">
        <v>0.0</v>
      </c>
      <c r="F7535" s="4" t="str">
        <f>IFERROR(__xludf.DUMMYFUNCTION("GOOGLETRANSLATE(D7535)"),"為一些名人剪傷口然後將傷口發佈到網上是不行的。")</f>
        <v>為一些名人剪傷口然後將傷口發佈到網上是不行的。</v>
      </c>
      <c r="G7535" s="4" t="str">
        <f>IFERROR(__xludf.DUMMYFUNCTION("GOOGLETRANSLATE(B7535)"),"傷口")</f>
        <v>傷口</v>
      </c>
    </row>
    <row r="7536" ht="15.75" customHeight="1">
      <c r="A7536" s="4">
        <v>10665.0</v>
      </c>
      <c r="B7536" s="4" t="s">
        <v>4842</v>
      </c>
      <c r="C7536" s="4" t="s">
        <v>2952</v>
      </c>
      <c r="D7536" s="4" t="s">
        <v>10957</v>
      </c>
      <c r="E7536" s="4">
        <v>0.0</v>
      </c>
      <c r="F7536" s="4" t="str">
        <f>IFERROR(__xludf.DUMMYFUNCTION("GOOGLETRANSLATE(D7536)"),"如果時間可以治癒所有傷口，為什麼肚臍還是一樣呢？")</f>
        <v>如果時間可以治癒所有傷口，為什麼肚臍還是一樣呢？</v>
      </c>
      <c r="G7536" s="4" t="str">
        <f>IFERROR(__xludf.DUMMYFUNCTION("GOOGLETRANSLATE(B7536)"),"傷口")</f>
        <v>傷口</v>
      </c>
    </row>
    <row r="7537" ht="15.75" customHeight="1">
      <c r="A7537" s="4">
        <v>10666.0</v>
      </c>
      <c r="B7537" s="4" t="s">
        <v>4842</v>
      </c>
      <c r="C7537" s="4" t="s">
        <v>2365</v>
      </c>
      <c r="D7537" s="4" t="s">
        <v>10958</v>
      </c>
      <c r="E7537" s="4">
        <v>0.0</v>
      </c>
      <c r="F7537" s="4" t="str">
        <f>IFERROR(__xludf.DUMMYFUNCTION("GOOGLETRANSLATE(D7537)"),"我以為我的手術傷口已經痊癒了！這種天氣也無濟於事）：")</f>
        <v>我以為我的手術傷口已經痊癒了！這種天氣也無濟於事）：</v>
      </c>
      <c r="G7537" s="4" t="str">
        <f>IFERROR(__xludf.DUMMYFUNCTION("GOOGLETRANSLATE(B7537)"),"傷口")</f>
        <v>傷口</v>
      </c>
    </row>
    <row r="7538" ht="15.75" customHeight="1">
      <c r="A7538" s="4">
        <v>10669.0</v>
      </c>
      <c r="B7538" s="4" t="s">
        <v>4842</v>
      </c>
      <c r="C7538" s="4" t="s">
        <v>10959</v>
      </c>
      <c r="D7538" s="4" t="s">
        <v>10960</v>
      </c>
      <c r="E7538" s="4">
        <v>0.0</v>
      </c>
      <c r="F7538" s="4" t="str">
        <f>IFERROR(__xludf.DUMMYFUNCTION("GOOGLETRANSLATE(D7538)"),"當親吻出現時，並不總是友誼；當傷口出現時，並不總是出現敵人。 #弗雷德主教")</f>
        <v>當親吻出現時，並不總是友誼；當傷口出現時，並不總是出現敵人。 #弗雷德主教</v>
      </c>
      <c r="G7538" s="4" t="str">
        <f>IFERROR(__xludf.DUMMYFUNCTION("GOOGLETRANSLATE(B7538)"),"傷口")</f>
        <v>傷口</v>
      </c>
    </row>
    <row r="7539" ht="15.75" customHeight="1">
      <c r="A7539" s="4">
        <v>10671.0</v>
      </c>
      <c r="B7539" s="4" t="s">
        <v>4842</v>
      </c>
      <c r="C7539" s="4" t="s">
        <v>10961</v>
      </c>
      <c r="D7539" s="4" t="s">
        <v>10962</v>
      </c>
      <c r="E7539" s="4">
        <v>0.0</v>
      </c>
      <c r="F7539" s="4" t="str">
        <f>IFERROR(__xludf.DUMMYFUNCTION("GOOGLETRANSLATE(D7539)"),"我不斷滾動以找出他說了什麼或做了什麼……但似乎沒有確切的起點。傷口很深。 ：/")</f>
        <v>我不斷滾動以找出他說了什麼或做了什麼……但似乎沒有確切的起點。傷口很深。 ：/</v>
      </c>
      <c r="G7539" s="4" t="str">
        <f>IFERROR(__xludf.DUMMYFUNCTION("GOOGLETRANSLATE(B7539)"),"傷口")</f>
        <v>傷口</v>
      </c>
    </row>
    <row r="7540" ht="15.75" customHeight="1">
      <c r="A7540" s="4">
        <v>10672.0</v>
      </c>
      <c r="B7540" s="4" t="s">
        <v>4842</v>
      </c>
      <c r="C7540" s="4" t="s">
        <v>10963</v>
      </c>
      <c r="D7540" s="4" t="s">
        <v>10964</v>
      </c>
      <c r="E7540" s="4">
        <v>0.0</v>
      </c>
      <c r="F7540" s="4" t="str">
        <f>IFERROR(__xludf.DUMMYFUNCTION("GOOGLETRANSLATE(D7540)"),"@BritishBakeOff 這打開了舊的烤阿拉斯加形狀的傷口。太快了 GBBO 太快了......#neverforget")</f>
        <v>@BritishBakeOff 這打開了舊的烤阿拉斯加形狀的傷口。太快了 GBBO 太快了......#neverforget</v>
      </c>
      <c r="G7540" s="4" t="str">
        <f>IFERROR(__xludf.DUMMYFUNCTION("GOOGLETRANSLATE(B7540)"),"傷口")</f>
        <v>傷口</v>
      </c>
    </row>
    <row r="7541" ht="15.75" customHeight="1">
      <c r="A7541" s="4">
        <v>10673.0</v>
      </c>
      <c r="B7541" s="4" t="s">
        <v>4842</v>
      </c>
      <c r="C7541" s="4" t="s">
        <v>10965</v>
      </c>
      <c r="D7541" s="4" t="s">
        <v>10966</v>
      </c>
      <c r="E7541" s="4">
        <v>0.0</v>
      </c>
      <c r="F7541" s="4" t="str">
        <f>IFERROR(__xludf.DUMMYFUNCTION("GOOGLETRANSLATE(D7541)"),"@ego_resolution 我很高興。我的同性戀可以治癒1000處傷口")</f>
        <v>@ego_resolution 我很高興。我的同性戀可以治癒1000處傷口</v>
      </c>
      <c r="G7541" s="4" t="str">
        <f>IFERROR(__xludf.DUMMYFUNCTION("GOOGLETRANSLATE(B7541)"),"傷口")</f>
        <v>傷口</v>
      </c>
    </row>
    <row r="7542" ht="15.75" customHeight="1">
      <c r="A7542" s="4">
        <v>10675.0</v>
      </c>
      <c r="B7542" s="4" t="s">
        <v>4842</v>
      </c>
      <c r="C7542" s="4" t="s">
        <v>56</v>
      </c>
      <c r="D7542" s="4" t="s">
        <v>10967</v>
      </c>
      <c r="E7542" s="4">
        <v>0.0</v>
      </c>
      <c r="F7542" s="4" t="str">
        <f>IFERROR(__xludf.DUMMYFUNCTION("GOOGLETRANSLATE(D7542)"),"法庭重新開庭。醫學繼續提供證詞。考官討論槍傷#KerrickTrial")</f>
        <v>法庭重新開庭。醫學繼續提供證詞。考官討論槍傷#KerrickTrial</v>
      </c>
      <c r="G7542" s="4" t="str">
        <f>IFERROR(__xludf.DUMMYFUNCTION("GOOGLETRANSLATE(B7542)"),"傷口")</f>
        <v>傷口</v>
      </c>
    </row>
    <row r="7543" ht="15.75" customHeight="1">
      <c r="A7543" s="4">
        <v>10678.0</v>
      </c>
      <c r="B7543" s="4" t="s">
        <v>4842</v>
      </c>
      <c r="C7543" s="4" t="s">
        <v>1406</v>
      </c>
      <c r="D7543" s="4" t="s">
        <v>10968</v>
      </c>
      <c r="E7543" s="4">
        <v>0.0</v>
      </c>
      <c r="F7543" s="4" t="str">
        <f>IFERROR(__xludf.DUMMYFUNCTION("GOOGLETRANSLATE(D7543)"),"@NicolaClements4 我不確定用傷口和結痂覆蓋我的頭部是否是解決方案；）")</f>
        <v>@NicolaClements4 我不確定用傷口和結痂覆蓋我的頭部是否是解決方案；）</v>
      </c>
      <c r="G7543" s="4" t="str">
        <f>IFERROR(__xludf.DUMMYFUNCTION("GOOGLETRANSLATE(B7543)"),"傷口")</f>
        <v>傷口</v>
      </c>
    </row>
    <row r="7544" ht="15.75" customHeight="1">
      <c r="A7544" s="4">
        <v>10679.0</v>
      </c>
      <c r="B7544" s="4" t="s">
        <v>4842</v>
      </c>
      <c r="C7544" s="4" t="s">
        <v>10969</v>
      </c>
      <c r="D7544" s="4" t="s">
        <v>10970</v>
      </c>
      <c r="E7544" s="4">
        <v>0.0</v>
      </c>
      <c r="F7544" s="4" t="str">
        <f>IFERROR(__xludf.DUMMYFUNCTION("GOOGLETRANSLATE(D7544)"),"@DauntedPsyche - 男人輕輕地用棉布擦拭他的每個傷口；疼痛比格倫經歷過的更嚴重——")</f>
        <v>@DauntedPsyche - 男人輕輕地用棉布擦拭他的每個傷口；疼痛比格倫經歷過的更嚴重——</v>
      </c>
      <c r="G7544" s="4" t="str">
        <f>IFERROR(__xludf.DUMMYFUNCTION("GOOGLETRANSLATE(B7544)"),"傷口")</f>
        <v>傷口</v>
      </c>
    </row>
    <row r="7545" ht="15.75" customHeight="1">
      <c r="A7545" s="4">
        <v>10684.0</v>
      </c>
      <c r="B7545" s="4" t="s">
        <v>4842</v>
      </c>
      <c r="C7545" s="4" t="s">
        <v>84</v>
      </c>
      <c r="D7545" s="4" t="s">
        <v>10971</v>
      </c>
      <c r="E7545" s="4">
        <v>0.0</v>
      </c>
      <c r="F7545" s="4" t="str">
        <f>IFERROR(__xludf.DUMMYFUNCTION("GOOGLETRANSLATE(D7545)"),"我說，其中許多傷口可能致命，有些傷口很快，有些則較慢，有些則根本不致命。 #Kerrick審判")</f>
        <v>我說，其中許多傷口可能致命，有些傷口很快，有些則較慢，有些則根本不致命。 #Kerrick審判</v>
      </c>
      <c r="G7545" s="4" t="str">
        <f>IFERROR(__xludf.DUMMYFUNCTION("GOOGLETRANSLATE(B7545)"),"傷口")</f>
        <v>傷口</v>
      </c>
    </row>
    <row r="7546" ht="15.75" customHeight="1">
      <c r="A7546" s="4">
        <v>10685.0</v>
      </c>
      <c r="B7546" s="4" t="s">
        <v>4859</v>
      </c>
      <c r="C7546" s="4" t="s">
        <v>10972</v>
      </c>
      <c r="D7546" s="4" t="s">
        <v>10973</v>
      </c>
      <c r="E7546" s="4">
        <v>0.0</v>
      </c>
      <c r="F7546" s="4" t="str">
        <f>IFERROR(__xludf.DUMMYFUNCTION("GOOGLETRANSLATE(D7546)"),"@Squeaver 只是在星巴克閒逛，看著我的男孩毀掉了這個化糞池")</f>
        <v>@Squeaver 只是在星巴克閒逛，看著我的男孩毀掉了這個化糞池</v>
      </c>
      <c r="G7546" s="4" t="str">
        <f>IFERROR(__xludf.DUMMYFUNCTION("GOOGLETRANSLATE(B7546)"),"破壞")</f>
        <v>破壞</v>
      </c>
    </row>
    <row r="7547" ht="15.75" customHeight="1">
      <c r="A7547" s="4">
        <v>10687.0</v>
      </c>
      <c r="B7547" s="4" t="s">
        <v>4859</v>
      </c>
      <c r="D7547" s="4" t="s">
        <v>10974</v>
      </c>
      <c r="E7547" s="4">
        <v>0.0</v>
      </c>
      <c r="F7547" s="4" t="str">
        <f>IFERROR(__xludf.DUMMYFUNCTION("GOOGLETRANSLATE(D7547)"),"我是一個殘骸")</f>
        <v>我是一個殘骸</v>
      </c>
      <c r="G7547" s="4" t="str">
        <f>IFERROR(__xludf.DUMMYFUNCTION("GOOGLETRANSLATE(B7547)"),"破壞")</f>
        <v>破壞</v>
      </c>
    </row>
    <row r="7548" ht="15.75" customHeight="1">
      <c r="A7548" s="4">
        <v>10688.0</v>
      </c>
      <c r="B7548" s="4" t="s">
        <v>4859</v>
      </c>
      <c r="C7548" s="4" t="s">
        <v>10975</v>
      </c>
      <c r="D7548" s="4" t="s">
        <v>10976</v>
      </c>
      <c r="E7548" s="4">
        <v>0.0</v>
      </c>
      <c r="F7548" s="4" t="str">
        <f>IFERROR(__xludf.DUMMYFUNCTION("GOOGLETRANSLATE(D7548)"),"《新女孩》第三季真是一場情感火車失事，我只想哭笑，吃很多冰淇淋")</f>
        <v>《新女孩》第三季真是一場情感火車失事，我只想哭笑，吃很多冰淇淋</v>
      </c>
      <c r="G7548" s="4" t="str">
        <f>IFERROR(__xludf.DUMMYFUNCTION("GOOGLETRANSLATE(B7548)"),"破壞")</f>
        <v>破壞</v>
      </c>
    </row>
    <row r="7549" ht="15.75" customHeight="1">
      <c r="A7549" s="4">
        <v>10689.0</v>
      </c>
      <c r="B7549" s="4" t="s">
        <v>4859</v>
      </c>
      <c r="D7549" s="4" t="s">
        <v>10977</v>
      </c>
      <c r="E7549" s="4">
        <v>0.0</v>
      </c>
      <c r="F7549" s="4" t="str">
        <f>IFERROR(__xludf.DUMMYFUNCTION("GOOGLETRANSLATE(D7549)"),"破壞？失事失事失事失事失事失事失事失事失事失事失事失事失事失事失事失事失事失事失事失事？")</f>
        <v>破壞？失事失事失事失事失事失事失事失事失事失事失事失事失事失事失事失事失事失事失事失事？</v>
      </c>
      <c r="G7549" s="4" t="str">
        <f>IFERROR(__xludf.DUMMYFUNCTION("GOOGLETRANSLATE(B7549)"),"破壞")</f>
        <v>破壞</v>
      </c>
    </row>
    <row r="7550" ht="15.75" customHeight="1">
      <c r="A7550" s="4">
        <v>10690.0</v>
      </c>
      <c r="B7550" s="4" t="s">
        <v>4859</v>
      </c>
      <c r="C7550" s="4" t="s">
        <v>10978</v>
      </c>
      <c r="D7550" s="4" t="s">
        <v>10979</v>
      </c>
      <c r="E7550" s="4">
        <v>0.0</v>
      </c>
      <c r="F7550" s="4" t="str">
        <f>IFERROR(__xludf.DUMMYFUNCTION("GOOGLETRANSLATE(D7550)"),"我喝太多了嗎？我失去聯繫了嗎？我建造了一艘會毀掉的船嗎？")</f>
        <v>我喝太多了嗎？我失去聯繫了嗎？我建造了一艘會毀掉的船嗎？</v>
      </c>
      <c r="G7550" s="4" t="str">
        <f>IFERROR(__xludf.DUMMYFUNCTION("GOOGLETRANSLATE(B7550)"),"破壞")</f>
        <v>破壞</v>
      </c>
    </row>
    <row r="7551" ht="15.75" customHeight="1">
      <c r="A7551" s="4">
        <v>10691.0</v>
      </c>
      <c r="B7551" s="4" t="s">
        <v>4859</v>
      </c>
      <c r="C7551" s="4" t="s">
        <v>10980</v>
      </c>
      <c r="D7551" s="4" t="s">
        <v>10981</v>
      </c>
      <c r="E7551" s="4">
        <v>0.0</v>
      </c>
      <c r="F7551" s="4" t="str">
        <f>IFERROR(__xludf.DUMMYFUNCTION("GOOGLETRANSLATE(D7551)"),"我是一個該死的沉船迪斯蒂爾糟透了（閱讀藤蔓描述）
https://t.co/MKX6Ux4OZt")</f>
        <v>我是一個該死的沉船迪斯蒂爾糟透了（閱讀藤蔓描述）
https://t.co/MKX6Ux4OZt</v>
      </c>
      <c r="G7551" s="4" t="str">
        <f>IFERROR(__xludf.DUMMYFUNCTION("GOOGLETRANSLATE(B7551)"),"破壞")</f>
        <v>破壞</v>
      </c>
    </row>
    <row r="7552" ht="15.75" customHeight="1">
      <c r="A7552" s="4">
        <v>10693.0</v>
      </c>
      <c r="B7552" s="4" t="s">
        <v>4859</v>
      </c>
      <c r="C7552" s="4" t="s">
        <v>10982</v>
      </c>
      <c r="D7552" s="4" t="s">
        <v>10983</v>
      </c>
      <c r="E7552" s="4">
        <v>0.0</v>
      </c>
      <c r="F7552" s="4" t="str">
        <f>IFERROR(__xludf.DUMMYFUNCTION("GOOGLETRANSLATE(D7552)"),"那些騎自行車的人因踩踏板而毀壞了多少輛汽車。他們應該被禁止#c4news")</f>
        <v>那些騎自行車的人因踩踏板而毀壞了多少輛汽車。他們應該被禁止#c4news</v>
      </c>
      <c r="G7552" s="4" t="str">
        <f>IFERROR(__xludf.DUMMYFUNCTION("GOOGLETRANSLATE(B7552)"),"破壞")</f>
        <v>破壞</v>
      </c>
    </row>
    <row r="7553" ht="15.75" customHeight="1">
      <c r="A7553" s="4">
        <v>10695.0</v>
      </c>
      <c r="B7553" s="4" t="s">
        <v>4859</v>
      </c>
      <c r="C7553" s="4" t="s">
        <v>10984</v>
      </c>
      <c r="D7553" s="4" t="s">
        <v>10985</v>
      </c>
      <c r="E7553" s="4">
        <v>0.0</v>
      </c>
      <c r="F7553" s="4" t="str">
        <f>IFERROR(__xludf.DUMMYFUNCTION("GOOGLETRANSLATE(D7553)"),"大型沉船魚缸裝飾品出售 大型沉船魚缸 AQUA...http://t.co/scGhL0Piq6")</f>
        <v>大型沉船魚缸裝飾品出售 大型沉船魚缸 AQUA...http://t.co/scGhL0Piq6</v>
      </c>
      <c r="G7553" s="4" t="str">
        <f>IFERROR(__xludf.DUMMYFUNCTION("GOOGLETRANSLATE(B7553)"),"破壞")</f>
        <v>破壞</v>
      </c>
    </row>
    <row r="7554" ht="15.75" customHeight="1">
      <c r="A7554" s="4">
        <v>10696.0</v>
      </c>
      <c r="B7554" s="4" t="s">
        <v>4859</v>
      </c>
      <c r="C7554" s="4" t="s">
        <v>3124</v>
      </c>
      <c r="D7554" s="4" t="s">
        <v>10986</v>
      </c>
      <c r="E7554" s="4">
        <v>0.0</v>
      </c>
      <c r="F7554" s="4" t="str">
        <f>IFERROR(__xludf.DUMMYFUNCTION("GOOGLETRANSLATE(D7554)"),"@Memenaar 但回想起來，「讓我們做一些新鮮、美麗、美妙的東西，然後毀掉它」的設計決定有點奇怪")</f>
        <v>@Memenaar 但回想起來，「讓我們做一些新鮮、美麗、美妙的東西，然後毀掉它」的設計決定有點奇怪</v>
      </c>
      <c r="G7554" s="4" t="str">
        <f>IFERROR(__xludf.DUMMYFUNCTION("GOOGLETRANSLATE(B7554)"),"破壞")</f>
        <v>破壞</v>
      </c>
    </row>
    <row r="7555" ht="15.75" customHeight="1">
      <c r="A7555" s="4">
        <v>10698.0</v>
      </c>
      <c r="B7555" s="4" t="s">
        <v>4859</v>
      </c>
      <c r="C7555" s="4" t="s">
        <v>627</v>
      </c>
      <c r="D7555" s="4" t="s">
        <v>10987</v>
      </c>
      <c r="E7555" s="4">
        <v>0.0</v>
      </c>
      <c r="F7555" s="4" t="str">
        <f>IFERROR(__xludf.DUMMYFUNCTION("GOOGLETRANSLATE(D7555)"),"@_PokemonCards_ @IceQueenFroslas 為什麼他們要在這裡用“特價”來破壞它；-；")</f>
        <v>@_PokemonCards_ @IceQueenFroslas 為什麼他們要在這裡用“特價”來破壞它；-；</v>
      </c>
      <c r="G7555" s="4" t="str">
        <f>IFERROR(__xludf.DUMMYFUNCTION("GOOGLETRANSLATE(B7555)"),"破壞")</f>
        <v>破壞</v>
      </c>
    </row>
    <row r="7556" ht="15.75" customHeight="1">
      <c r="A7556" s="4">
        <v>10700.0</v>
      </c>
      <c r="B7556" s="4" t="s">
        <v>4859</v>
      </c>
      <c r="D7556" s="4" t="s">
        <v>10988</v>
      </c>
      <c r="E7556" s="4">
        <v>0.0</v>
      </c>
      <c r="F7556" s="4" t="str">
        <f>IFERROR(__xludf.DUMMYFUNCTION("GOOGLETRANSLATE(D7556)"),"排名 #artectura #pop2015 #Nå⁄36 Florence + The Machine - Ship To Wreck https://t.co/9LE0B19lVF #music #playlist #YouTube")</f>
        <v>排名 #artectura #pop2015 #Nå⁄36 Florence + The Machine - Ship To Wreck https://t.co/9LE0B19lVF #music #playlist #YouTube</v>
      </c>
      <c r="G7556" s="4" t="str">
        <f>IFERROR(__xludf.DUMMYFUNCTION("GOOGLETRANSLATE(B7556)"),"破壞")</f>
        <v>破壞</v>
      </c>
    </row>
    <row r="7557" ht="15.75" customHeight="1">
      <c r="A7557" s="4">
        <v>10704.0</v>
      </c>
      <c r="B7557" s="4" t="s">
        <v>4859</v>
      </c>
      <c r="C7557" s="4" t="s">
        <v>10989</v>
      </c>
      <c r="D7557" s="4" t="s">
        <v>10990</v>
      </c>
      <c r="E7557" s="4">
        <v>0.0</v>
      </c>
      <c r="F7557" s="4" t="str">
        <f>IFERROR(__xludf.DUMMYFUNCTION("GOOGLETRANSLATE(D7557)"),"#川普辯論今晚將是最受關注的節目，即使在進步人士中也是如此。我也會觀看，希望能看到壯觀的燃燒殘骸。")</f>
        <v>#川普辯論今晚將是最受關注的節目，即使在進步人士中也是如此。我也會觀看，希望能看到壯觀的燃燒殘骸。</v>
      </c>
      <c r="G7557" s="4" t="str">
        <f>IFERROR(__xludf.DUMMYFUNCTION("GOOGLETRANSLATE(B7557)"),"破壞")</f>
        <v>破壞</v>
      </c>
    </row>
    <row r="7558" ht="15.75" customHeight="1">
      <c r="A7558" s="4">
        <v>10705.0</v>
      </c>
      <c r="B7558" s="4" t="s">
        <v>4859</v>
      </c>
      <c r="C7558" s="4" t="s">
        <v>10991</v>
      </c>
      <c r="D7558" s="4" t="s">
        <v>10992</v>
      </c>
      <c r="E7558" s="4">
        <v>0.0</v>
      </c>
      <c r="F7558" s="4" t="str">
        <f>IFERROR(__xludf.DUMMYFUNCTION("GOOGLETRANSLATE(D7558)"),"有人知道福克斯新聞頻道今晚是否會直播共和黨線上辯論嗎？我想看火車失事。")</f>
        <v>有人知道福克斯新聞頻道今晚是否會直播共和黨線上辯論嗎？我想看火車失事。</v>
      </c>
      <c r="G7558" s="4" t="str">
        <f>IFERROR(__xludf.DUMMYFUNCTION("GOOGLETRANSLATE(B7558)"),"破壞")</f>
        <v>破壞</v>
      </c>
    </row>
    <row r="7559" ht="15.75" customHeight="1">
      <c r="A7559" s="4">
        <v>10706.0</v>
      </c>
      <c r="B7559" s="4" t="s">
        <v>4859</v>
      </c>
      <c r="C7559" s="4" t="s">
        <v>8686</v>
      </c>
      <c r="D7559" s="4" t="s">
        <v>10993</v>
      </c>
      <c r="E7559" s="4">
        <v>0.0</v>
      </c>
      <c r="F7559" s="4" t="str">
        <f>IFERROR(__xludf.DUMMYFUNCTION("GOOGLETRANSLATE(D7559)"),"@girlthatsrio 讓我的叔叔們毀了他們的狗屎")</f>
        <v>@girlthatsrio 讓我的叔叔們毀了他們的狗屎</v>
      </c>
      <c r="G7559" s="4" t="str">
        <f>IFERROR(__xludf.DUMMYFUNCTION("GOOGLETRANSLATE(B7559)"),"破壞")</f>
        <v>破壞</v>
      </c>
    </row>
    <row r="7560" ht="15.75" customHeight="1">
      <c r="A7560" s="4">
        <v>10707.0</v>
      </c>
      <c r="B7560" s="4" t="s">
        <v>4859</v>
      </c>
      <c r="C7560" s="4" t="s">
        <v>10994</v>
      </c>
      <c r="D7560" s="4" t="s">
        <v>10995</v>
      </c>
      <c r="E7560" s="4">
        <v>0.0</v>
      </c>
      <c r="F7560" s="4" t="str">
        <f>IFERROR(__xludf.DUMMYFUNCTION("GOOGLETRANSLATE(D7560)"),"今天第一次失事。很高興我和媽媽都沒事。情況可能會更糟。很高興主今天和我們在一起？？？？？？")</f>
        <v>今天第一次失事。很高興我和媽媽都沒事。情況可能會更糟。很高興主今天和我們在一起？？？？？？</v>
      </c>
      <c r="G7560" s="4" t="str">
        <f>IFERROR(__xludf.DUMMYFUNCTION("GOOGLETRANSLATE(B7560)"),"破壞")</f>
        <v>破壞</v>
      </c>
    </row>
    <row r="7561" ht="15.75" customHeight="1">
      <c r="A7561" s="4">
        <v>10708.0</v>
      </c>
      <c r="B7561" s="4" t="s">
        <v>4859</v>
      </c>
      <c r="D7561" s="4" t="s">
        <v>10996</v>
      </c>
      <c r="E7561" s="4">
        <v>0.0</v>
      </c>
      <c r="F7561" s="4" t="str">
        <f>IFERROR(__xludf.DUMMYFUNCTION("GOOGLETRANSLATE(D7561)"),"我現在情緒崩潰了。")</f>
        <v>我現在情緒崩潰了。</v>
      </c>
      <c r="G7561" s="4" t="str">
        <f>IFERROR(__xludf.DUMMYFUNCTION("GOOGLETRANSLATE(B7561)"),"破壞")</f>
        <v>破壞</v>
      </c>
    </row>
    <row r="7562" ht="15.75" customHeight="1">
      <c r="A7562" s="4">
        <v>10709.0</v>
      </c>
      <c r="B7562" s="4" t="s">
        <v>4859</v>
      </c>
      <c r="D7562" s="4" t="s">
        <v>10997</v>
      </c>
      <c r="E7562" s="4">
        <v>0.0</v>
      </c>
      <c r="F7562" s="4" t="str">
        <f>IFERROR(__xludf.DUMMYFUNCTION("GOOGLETRANSLATE(D7562)"),"我的情緒就像火車失事一樣。我的身體就像一列火車殘骸。我是一個廢墟")</f>
        <v>我的情緒就像火車失事一樣。我的身體就像一列火車殘骸。我是一個廢墟</v>
      </c>
      <c r="G7562" s="4" t="str">
        <f>IFERROR(__xludf.DUMMYFUNCTION("GOOGLETRANSLATE(B7562)"),"破壞")</f>
        <v>破壞</v>
      </c>
    </row>
    <row r="7563" ht="15.75" customHeight="1">
      <c r="A7563" s="4">
        <v>10710.0</v>
      </c>
      <c r="B7563" s="4" t="s">
        <v>4859</v>
      </c>
      <c r="C7563" s="4" t="s">
        <v>1795</v>
      </c>
      <c r="D7563" s="4" t="s">
        <v>10998</v>
      </c>
      <c r="E7563" s="4">
        <v>0.0</v>
      </c>
      <c r="F7563" s="4" t="str">
        <f>IFERROR(__xludf.DUMMYFUNCTION("GOOGLETRANSLATE(D7563)"),"我的年齡很混亂，每個人都很狂野，很有趣，我的影片很糟糕")</f>
        <v>我的年齡很混亂，每個人都很狂野，很有趣，我的影片很糟糕</v>
      </c>
      <c r="G7563" s="4" t="str">
        <f>IFERROR(__xludf.DUMMYFUNCTION("GOOGLETRANSLATE(B7563)"),"破壞")</f>
        <v>破壞</v>
      </c>
    </row>
    <row r="7564" ht="15.75" customHeight="1">
      <c r="A7564" s="4">
        <v>10712.0</v>
      </c>
      <c r="B7564" s="4" t="s">
        <v>4859</v>
      </c>
      <c r="C7564" s="4" t="s">
        <v>1660</v>
      </c>
      <c r="D7564" s="4" t="s">
        <v>10999</v>
      </c>
      <c r="E7564" s="4">
        <v>0.0</v>
      </c>
      <c r="F7564" s="4" t="str">
        <f>IFERROR(__xludf.DUMMYFUNCTION("GOOGLETRANSLATE(D7564)"),"共和黨辯論飲酒遊戲。對於那些在觀看火車殘骸時想要找點樂趣的人來說。 http://t.co/W3Rga0nkOm http://t.co/0TZsQe8ESD")</f>
        <v>共和黨辯論飲酒遊戲。對於那些在觀看火車殘骸時想要找點樂趣的人來說。 http://t.co/W3Rga0nkOm http://t.co/0TZsQe8ESD</v>
      </c>
      <c r="G7564" s="4" t="str">
        <f>IFERROR(__xludf.DUMMYFUNCTION("GOOGLETRANSLATE(B7564)"),"破壞")</f>
        <v>破壞</v>
      </c>
    </row>
    <row r="7565" ht="15.75" customHeight="1">
      <c r="A7565" s="4">
        <v>10718.0</v>
      </c>
      <c r="B7565" s="4" t="s">
        <v>4859</v>
      </c>
      <c r="C7565" s="4" t="s">
        <v>65</v>
      </c>
      <c r="D7565" s="4" t="s">
        <v>11000</v>
      </c>
      <c r="E7565" s="4">
        <v>0.0</v>
      </c>
      <c r="F7565" s="4" t="str">
        <f>IFERROR(__xludf.DUMMYFUNCTION("GOOGLETRANSLATE(D7565)"),"遭遇車禍。我前面的車沒有打開方向燈 :-))) 但在外面確實感覺很棒，所以哈哈")</f>
        <v>遭遇車禍。我前面的車沒有打開方向燈 :-))) 但在外面確實感覺很棒，所以哈哈</v>
      </c>
      <c r="G7565" s="4" t="str">
        <f>IFERROR(__xludf.DUMMYFUNCTION("GOOGLETRANSLATE(B7565)"),"破壞")</f>
        <v>破壞</v>
      </c>
    </row>
    <row r="7566" ht="15.75" customHeight="1">
      <c r="A7566" s="4">
        <v>10720.0</v>
      </c>
      <c r="B7566" s="4" t="s">
        <v>4859</v>
      </c>
      <c r="C7566" s="4" t="s">
        <v>11001</v>
      </c>
      <c r="D7566" s="4" t="s">
        <v>11002</v>
      </c>
      <c r="E7566" s="4">
        <v>0.0</v>
      </c>
      <c r="F7566" s="4" t="str">
        <f>IFERROR(__xludf.DUMMYFUNCTION("GOOGLETRANSLATE(D7566)"),"我認為我再也無法忍受觀看 @emmerdale #SummerFate @MikeParrActor @MissCharleyWebb 時的情緒崩潰")</f>
        <v>我認為我再也無法忍受觀看 @emmerdale #SummerFate @MikeParrActor @MissCharleyWebb 時的情緒崩潰</v>
      </c>
      <c r="G7566" s="4" t="str">
        <f>IFERROR(__xludf.DUMMYFUNCTION("GOOGLETRANSLATE(B7566)"),"破壞")</f>
        <v>破壞</v>
      </c>
    </row>
    <row r="7567" ht="15.75" customHeight="1">
      <c r="A7567" s="4">
        <v>10721.0</v>
      </c>
      <c r="B7567" s="4" t="s">
        <v>4859</v>
      </c>
      <c r="C7567" s="4" t="s">
        <v>11003</v>
      </c>
      <c r="D7567" s="4" t="s">
        <v>11004</v>
      </c>
      <c r="E7567" s="4">
        <v>0.0</v>
      </c>
      <c r="F7567" s="4" t="str">
        <f>IFERROR(__xludf.DUMMYFUNCTION("GOOGLETRANSLATE(D7567)"),"法院系統確實崩潰了！但根據它的管理者是誰，這並不奇怪！ http://t.co/uU64wfg17m")</f>
        <v>法院系統確實崩潰了！但根據它的管理者是誰，這並不奇怪！ http://t.co/uU64wfg17m</v>
      </c>
      <c r="G7567" s="4" t="str">
        <f>IFERROR(__xludf.DUMMYFUNCTION("GOOGLETRANSLATE(B7567)"),"破壞")</f>
        <v>破壞</v>
      </c>
    </row>
    <row r="7568" ht="15.75" customHeight="1">
      <c r="A7568" s="4">
        <v>10723.0</v>
      </c>
      <c r="B7568" s="4" t="s">
        <v>4859</v>
      </c>
      <c r="C7568" s="4" t="s">
        <v>627</v>
      </c>
      <c r="D7568" s="4" t="s">
        <v>11005</v>
      </c>
      <c r="E7568" s="4">
        <v>0.0</v>
      </c>
      <c r="F7568" s="4" t="str">
        <f>IFERROR(__xludf.DUMMYFUNCTION("GOOGLETRANSLATE(D7568)"),"AmazonDeals：Skylanders Trap Team：Flip Wreck 角色包 - 從 9.94 美元下降 4.53%（0.45 美元）至 9.49 美元#Sale http://t.co/pMbuzfGIn3")</f>
        <v>AmazonDeals：Skylanders Trap Team：Flip Wreck 角色包 - 從 9.94 美元下降 4.53%（0.45 美元）至 9.49 美元#Sale http://t.co/pMbuzfGIn3</v>
      </c>
      <c r="G7568" s="4" t="str">
        <f>IFERROR(__xludf.DUMMYFUNCTION("GOOGLETRANSLATE(B7568)"),"破壞")</f>
        <v>破壞</v>
      </c>
    </row>
    <row r="7569" ht="15.75" customHeight="1">
      <c r="A7569" s="4">
        <v>10724.0</v>
      </c>
      <c r="B7569" s="4" t="s">
        <v>4859</v>
      </c>
      <c r="C7569" s="4" t="s">
        <v>11006</v>
      </c>
      <c r="D7569" s="4" t="s">
        <v>11007</v>
      </c>
      <c r="E7569" s="4">
        <v>0.0</v>
      </c>
      <c r="F7569" s="4" t="str">
        <f>IFERROR(__xludf.DUMMYFUNCTION("GOOGLETRANSLATE(D7569)"),"一次上演的機車失事可能會出什麼問題？ http://t.co/Ei9x4H8tHm")</f>
        <v>一次上演的機車失事可能會出什麼問題？ http://t.co/Ei9x4H8tHm</v>
      </c>
      <c r="G7569" s="4" t="str">
        <f>IFERROR(__xludf.DUMMYFUNCTION("GOOGLETRANSLATE(B7569)"),"破壞")</f>
        <v>破壞</v>
      </c>
    </row>
    <row r="7570" ht="15.75" customHeight="1">
      <c r="A7570" s="4">
        <v>10726.0</v>
      </c>
      <c r="B7570" s="4" t="s">
        <v>4859</v>
      </c>
      <c r="D7570" s="4" t="s">
        <v>11008</v>
      </c>
      <c r="E7570" s="4">
        <v>0.0</v>
      </c>
      <c r="F7570" s="4" t="str">
        <f>IFERROR(__xludf.DUMMYFUNCTION("GOOGLETRANSLATE(D7570)"),"我仍然不明白凍結續集的意義，就像《沉船殘骸拉爾夫》續集在哪裡")</f>
        <v>我仍然不明白凍結續集的意義，就像《沉船殘骸拉爾夫》續集在哪裡</v>
      </c>
      <c r="G7570" s="4" t="str">
        <f>IFERROR(__xludf.DUMMYFUNCTION("GOOGLETRANSLATE(B7570)"),"破壞")</f>
        <v>破壞</v>
      </c>
    </row>
    <row r="7571" ht="15.75" customHeight="1">
      <c r="A7571" s="4">
        <v>10727.0</v>
      </c>
      <c r="B7571" s="4" t="s">
        <v>4859</v>
      </c>
      <c r="C7571" s="4" t="s">
        <v>11009</v>
      </c>
      <c r="D7571" s="4" t="s">
        <v>11010</v>
      </c>
      <c r="E7571" s="4">
        <v>0.0</v>
      </c>
      <c r="F7571" s="4" t="str">
        <f>IFERROR(__xludf.DUMMYFUNCTION("GOOGLETRANSLATE(D7571)"),"我仍然需要完成情人，但我現在正在看另一部戲劇 8 個小時，我的情緒崩潰了，所以情人需要等待")</f>
        <v>我仍然需要完成情人，但我現在正在看另一部戲劇 8 個小時，我的情緒崩潰了，所以情人需要等待</v>
      </c>
      <c r="G7571" s="4" t="str">
        <f>IFERROR(__xludf.DUMMYFUNCTION("GOOGLETRANSLATE(B7571)"),"破壞")</f>
        <v>破壞</v>
      </c>
    </row>
    <row r="7572" ht="15.75" customHeight="1">
      <c r="A7572" s="4">
        <v>10730.0</v>
      </c>
      <c r="B7572" s="4" t="s">
        <v>4859</v>
      </c>
      <c r="D7572" s="4" t="s">
        <v>11011</v>
      </c>
      <c r="E7572" s="4">
        <v>0.0</v>
      </c>
      <c r="F7572" s="4" t="str">
        <f>IFERROR(__xludf.DUMMYFUNCTION("GOOGLETRANSLATE(D7572)"),"@TitorTau 洛雷塔·林奇 (Loretta Lynch) 實時觀看真是太搞笑了。這就像事實查核和監察員的火車失事一樣。")</f>
        <v>@TitorTau 洛雷塔·林奇 (Loretta Lynch) 實時觀看真是太搞笑了。這就像事實查核和監察員的火車失事一樣。</v>
      </c>
      <c r="G7572" s="4" t="str">
        <f>IFERROR(__xludf.DUMMYFUNCTION("GOOGLETRANSLATE(B7572)"),"破壞")</f>
        <v>破壞</v>
      </c>
    </row>
    <row r="7573" ht="15.75" customHeight="1">
      <c r="A7573" s="4">
        <v>10731.0</v>
      </c>
      <c r="B7573" s="4" t="s">
        <v>4859</v>
      </c>
      <c r="C7573" s="4" t="s">
        <v>11012</v>
      </c>
      <c r="D7573" s="4" t="s">
        <v>11013</v>
      </c>
      <c r="E7573" s="4">
        <v>0.0</v>
      </c>
      <c r="F7573" s="4" t="str">
        <f>IFERROR(__xludf.DUMMYFUNCTION("GOOGLETRANSLATE(D7573)"),"@raineishida 哈哈...我只是個神經衰弱的人：P")</f>
        <v>@raineishida 哈哈...我只是個神經衰弱的人：P</v>
      </c>
      <c r="G7573" s="4" t="str">
        <f>IFERROR(__xludf.DUMMYFUNCTION("GOOGLETRANSLATE(B7573)"),"破壞")</f>
        <v>破壞</v>
      </c>
    </row>
    <row r="7574" ht="15.75" customHeight="1">
      <c r="A7574" s="4">
        <v>10732.0</v>
      </c>
      <c r="B7574" s="4" t="s">
        <v>4859</v>
      </c>
      <c r="C7574" s="4" t="s">
        <v>11014</v>
      </c>
      <c r="D7574" s="4" t="s">
        <v>11015</v>
      </c>
      <c r="E7574" s="4">
        <v>0.0</v>
      </c>
      <c r="F7574" s="4" t="str">
        <f>IFERROR(__xludf.DUMMYFUNCTION("GOOGLETRANSLATE(D7574)"),"亞馬遜 Prime 會員日：亞馬遜宏偉火車殘骸的 12 個快速要點 - http://t.co/DBDwtOcGXF")</f>
        <v>亞馬遜 Prime 會員日：亞馬遜宏偉火車殘骸的 12 個快速要點 - http://t.co/DBDwtOcGXF</v>
      </c>
      <c r="G7574" s="4" t="str">
        <f>IFERROR(__xludf.DUMMYFUNCTION("GOOGLETRANSLATE(B7574)"),"破壞")</f>
        <v>破壞</v>
      </c>
    </row>
    <row r="7575" ht="15.75" customHeight="1">
      <c r="A7575" s="4">
        <v>10733.0</v>
      </c>
      <c r="B7575" s="4" t="s">
        <v>4859</v>
      </c>
      <c r="C7575" s="4" t="s">
        <v>11016</v>
      </c>
      <c r="D7575" s="4" t="s">
        <v>11017</v>
      </c>
      <c r="E7575" s="4">
        <v>0.0</v>
      </c>
      <c r="F7575" s="4" t="str">
        <f>IFERROR(__xludf.DUMMYFUNCTION("GOOGLETRANSLATE(D7575)"),"看著艾默戴爾，我情緒崩潰了")</f>
        <v>看著艾默戴爾，我情緒崩潰了</v>
      </c>
      <c r="G7575" s="4" t="str">
        <f>IFERROR(__xludf.DUMMYFUNCTION("GOOGLETRANSLATE(B7575)"),"破壞")</f>
        <v>破壞</v>
      </c>
    </row>
    <row r="7576" ht="15.75" customHeight="1">
      <c r="A7576" s="4">
        <v>10785.0</v>
      </c>
      <c r="B7576" s="4" t="s">
        <v>4918</v>
      </c>
      <c r="C7576" s="4" t="s">
        <v>923</v>
      </c>
      <c r="D7576" s="4" t="s">
        <v>11018</v>
      </c>
      <c r="E7576" s="4">
        <v>0.0</v>
      </c>
      <c r="F7576" s="4" t="str">
        <f>IFERROR(__xludf.DUMMYFUNCTION("GOOGLETRANSLATE(D7576)"),"在 YouTube 上與 @julian_lage @GrantGordy &amp;amp; 一起度過了一個小時@RossMartin7，現在又到了練習時間。")</f>
        <v>在 YouTube 上與 @julian_lage @GrantGordy &amp;amp; 一起度過了一個小時@RossMartin7，現在又到了練習時間。</v>
      </c>
      <c r="G7576" s="4" t="str">
        <f>IFERROR(__xludf.DUMMYFUNCTION("GOOGLETRANSLATE(B7576)"),"失事的")</f>
        <v>失事的</v>
      </c>
    </row>
    <row r="7577" ht="15.75" customHeight="1">
      <c r="A7577" s="4">
        <v>10786.0</v>
      </c>
      <c r="B7577" s="4" t="s">
        <v>4918</v>
      </c>
      <c r="C7577" s="4" t="s">
        <v>11019</v>
      </c>
      <c r="D7577" s="4" t="s">
        <v>11020</v>
      </c>
      <c r="E7577" s="4">
        <v>0.0</v>
      </c>
      <c r="F7577" s="4" t="str">
        <f>IFERROR(__xludf.DUMMYFUNCTION("GOOGLETRANSLATE(D7577)"),"深夜和朋友一起吃麥當勞 = 很搞笑，雖然我的車被撞壞了，而且工業區裡還有半塊牛排餡餅")</f>
        <v>深夜和朋友一起吃麥當勞 = 很搞笑，雖然我的車被撞壞了，而且工業區裡還有半塊牛排餡餅</v>
      </c>
      <c r="G7577" s="4" t="str">
        <f>IFERROR(__xludf.DUMMYFUNCTION("GOOGLETRANSLATE(B7577)"),"失事的")</f>
        <v>失事的</v>
      </c>
    </row>
    <row r="7578" ht="15.75" customHeight="1">
      <c r="A7578" s="4">
        <v>10787.0</v>
      </c>
      <c r="B7578" s="4" t="s">
        <v>4918</v>
      </c>
      <c r="D7578" s="4" t="s">
        <v>11021</v>
      </c>
      <c r="E7578" s="4">
        <v>0.0</v>
      </c>
      <c r="F7578" s="4" t="str">
        <f>IFERROR(__xludf.DUMMYFUNCTION("GOOGLETRANSLATE(D7578)"),"祝所有即將開學但你的睡眠時間表被破壞得無法修復的人好運")</f>
        <v>祝所有即將開學但你的睡眠時間表被破壞得無法修復的人好運</v>
      </c>
      <c r="G7578" s="4" t="str">
        <f>IFERROR(__xludf.DUMMYFUNCTION("GOOGLETRANSLATE(B7578)"),"失事的")</f>
        <v>失事的</v>
      </c>
    </row>
    <row r="7579" ht="15.75" customHeight="1">
      <c r="A7579" s="4">
        <v>10788.0</v>
      </c>
      <c r="B7579" s="4" t="s">
        <v>4918</v>
      </c>
      <c r="C7579" s="4" t="s">
        <v>627</v>
      </c>
      <c r="D7579" s="4" t="s">
        <v>11022</v>
      </c>
      <c r="E7579" s="4">
        <v>0.0</v>
      </c>
      <c r="F7579" s="4" t="str">
        <f>IFERROR(__xludf.DUMMYFUNCTION("GOOGLETRANSLATE(D7579)"),"我想知道有多少次有人試圖從 2 Fast 2 Furious 中嘗試「凝視並駕駛」動作")</f>
        <v>我想知道有多少次有人試圖從 2 Fast 2 Furious 中嘗試「凝視並駕駛」動作</v>
      </c>
      <c r="G7579" s="4" t="str">
        <f>IFERROR(__xludf.DUMMYFUNCTION("GOOGLETRANSLATE(B7579)"),"失事的")</f>
        <v>失事的</v>
      </c>
    </row>
    <row r="7580" ht="15.75" customHeight="1">
      <c r="A7580" s="4">
        <v>10789.0</v>
      </c>
      <c r="B7580" s="4" t="s">
        <v>4918</v>
      </c>
      <c r="C7580" s="4" t="s">
        <v>94</v>
      </c>
      <c r="D7580" s="4" t="s">
        <v>11023</v>
      </c>
      <c r="E7580" s="4">
        <v>0.0</v>
      </c>
      <c r="F7580" s="4" t="str">
        <f>IFERROR(__xludf.DUMMYFUNCTION("GOOGLETRANSLATE(D7580)"),"為了拍攝這部 1986 年的電影，購買了 400 輛失事汽車（每輛售價 100 美元） - http://t.co/DTdidinQyF")</f>
        <v>為了拍攝這部 1986 年的電影，購買了 400 輛失事汽車（每輛售價 100 美元） - http://t.co/DTdidinQyF</v>
      </c>
      <c r="G7580" s="4" t="str">
        <f>IFERROR(__xludf.DUMMYFUNCTION("GOOGLETRANSLATE(B7580)"),"失事的")</f>
        <v>失事的</v>
      </c>
    </row>
    <row r="7581" ht="15.75" customHeight="1">
      <c r="A7581" s="4">
        <v>10790.0</v>
      </c>
      <c r="B7581" s="4" t="s">
        <v>4918</v>
      </c>
      <c r="D7581" s="4" t="s">
        <v>11024</v>
      </c>
      <c r="E7581" s="4">
        <v>0.0</v>
      </c>
      <c r="F7581" s="4" t="str">
        <f>IFERROR(__xludf.DUMMYFUNCTION("GOOGLETRANSLATE(D7581)"),"克萊默：艾格的 3 個字摧毀了迪士尼的股票 ÛÒåÊCNBC http://t.co/PnlucERp0x")</f>
        <v>克萊默：艾格的 3 個字摧毀了迪士尼的股票 ÛÒåÊCNBC http://t.co/PnlucERp0x</v>
      </c>
      <c r="G7581" s="4" t="str">
        <f>IFERROR(__xludf.DUMMYFUNCTION("GOOGLETRANSLATE(B7581)"),"失事的")</f>
        <v>失事的</v>
      </c>
    </row>
    <row r="7582" ht="15.75" customHeight="1">
      <c r="A7582" s="4">
        <v>10793.0</v>
      </c>
      <c r="B7582" s="4" t="s">
        <v>4918</v>
      </c>
      <c r="D7582" s="4" t="s">
        <v>11025</v>
      </c>
      <c r="E7582" s="4">
        <v>0.0</v>
      </c>
      <c r="F7582" s="4" t="str">
        <f>IFERROR(__xludf.DUMMYFUNCTION("GOOGLETRANSLATE(D7582)"),"可憐的麗芙和我的手機在同一天就被毀了@oliviaapalmerr #thatswhatfriendsarefor")</f>
        <v>可憐的麗芙和我的手機在同一天就被毀了@oliviaapalmerr #thatswhatfriendsarefor</v>
      </c>
      <c r="G7582" s="4" t="str">
        <f>IFERROR(__xludf.DUMMYFUNCTION("GOOGLETRANSLATE(B7582)"),"失事的")</f>
        <v>失事的</v>
      </c>
    </row>
    <row r="7583" ht="15.75" customHeight="1">
      <c r="A7583" s="4">
        <v>10794.0</v>
      </c>
      <c r="B7583" s="4" t="s">
        <v>4918</v>
      </c>
      <c r="D7583" s="4" t="s">
        <v>11026</v>
      </c>
      <c r="E7583" s="4">
        <v>0.0</v>
      </c>
      <c r="F7583" s="4" t="str">
        <f>IFERROR(__xludf.DUMMYFUNCTION("GOOGLETRANSLATE(D7583)"),"在去非洲的高速公路上直到我撞壞了我的奧迪")</f>
        <v>在去非洲的高速公路上直到我撞壞了我的奧迪</v>
      </c>
      <c r="G7583" s="4" t="str">
        <f>IFERROR(__xludf.DUMMYFUNCTION("GOOGLETRANSLATE(B7583)"),"失事的")</f>
        <v>失事的</v>
      </c>
    </row>
    <row r="7584" ht="15.75" customHeight="1">
      <c r="A7584" s="4">
        <v>10798.0</v>
      </c>
      <c r="B7584" s="4" t="s">
        <v>4918</v>
      </c>
      <c r="D7584" s="4" t="s">
        <v>11027</v>
      </c>
      <c r="E7584" s="4">
        <v>0.0</v>
      </c>
      <c r="F7584" s="4" t="str">
        <f>IFERROR(__xludf.DUMMYFUNCTION("GOOGLETRANSLATE(D7584)"),"#news Cramer：艾格的 3 個字摧毀了迪士尼的股票 http://t.co/SF5JdNvdw9 #til_now #CNBC")</f>
        <v>#news Cramer：艾格的 3 個字摧毀了迪士尼的股票 http://t.co/SF5JdNvdw9 #til_now #CNBC</v>
      </c>
      <c r="G7584" s="4" t="str">
        <f>IFERROR(__xludf.DUMMYFUNCTION("GOOGLETRANSLATE(B7584)"),"失事的")</f>
        <v>失事的</v>
      </c>
    </row>
    <row r="7585" ht="15.75" customHeight="1">
      <c r="A7585" s="4">
        <v>10799.0</v>
      </c>
      <c r="B7585" s="4" t="s">
        <v>4918</v>
      </c>
      <c r="D7585" s="4" t="s">
        <v>11028</v>
      </c>
      <c r="E7585" s="4">
        <v>0.0</v>
      </c>
      <c r="F7585" s="4" t="str">
        <f>IFERROR(__xludf.DUMMYFUNCTION("GOOGLETRANSLATE(D7585)"),"James Kunstler：糟糕的建築如何毀掉了城市 http://t.co/Ac6I3tE8mT #residualvenue #mlm http://t.co/Wq0JLsHW1g")</f>
        <v>James Kunstler：糟糕的建築如何毀掉了城市 http://t.co/Ac6I3tE8mT #residualvenue #mlm http://t.co/Wq0JLsHW1g</v>
      </c>
      <c r="G7585" s="4" t="str">
        <f>IFERROR(__xludf.DUMMYFUNCTION("GOOGLETRANSLATE(B7585)"),"失事的")</f>
        <v>失事的</v>
      </c>
    </row>
    <row r="7586" ht="15.75" customHeight="1">
      <c r="A7586" s="4">
        <v>10800.0</v>
      </c>
      <c r="B7586" s="4" t="s">
        <v>4918</v>
      </c>
      <c r="C7586" s="4" t="s">
        <v>11029</v>
      </c>
      <c r="D7586" s="4" t="s">
        <v>11030</v>
      </c>
      <c r="E7586" s="4">
        <v>0.0</v>
      </c>
      <c r="F7586" s="4" t="str">
        <f>IFERROR(__xludf.DUMMYFUNCTION("GOOGLETRANSLATE(D7586)"),"http://t.co/DeQQOpSP4f：艾格的 3 個字摧毀了迪士尼的股票 http://t.co/LbKvFqRpgT http://t.co/3rVa5uvt0P")</f>
        <v>http://t.co/DeQQOpSP4f：艾格的 3 個字摧毀了迪士尼的股票 http://t.co/LbKvFqRpgT http://t.co/3rVa5uvt0P</v>
      </c>
      <c r="G7586" s="4" t="str">
        <f>IFERROR(__xludf.DUMMYFUNCTION("GOOGLETRANSLATE(B7586)"),"失事的")</f>
        <v>失事的</v>
      </c>
    </row>
    <row r="7587" ht="15.75" customHeight="1">
      <c r="A7587" s="4">
        <v>10802.0</v>
      </c>
      <c r="B7587" s="4" t="s">
        <v>4918</v>
      </c>
      <c r="C7587" s="4" t="s">
        <v>11031</v>
      </c>
      <c r="D7587" s="4" t="s">
        <v>11032</v>
      </c>
      <c r="E7587" s="4">
        <v>0.0</v>
      </c>
      <c r="F7587" s="4" t="str">
        <f>IFERROR(__xludf.DUMMYFUNCTION("GOOGLETRANSLATE(D7587)"),"Twitter 的更新幾乎破壞了該應用程式")</f>
        <v>Twitter 的更新幾乎破壞了該應用程式</v>
      </c>
      <c r="G7587" s="4" t="str">
        <f>IFERROR(__xludf.DUMMYFUNCTION("GOOGLETRANSLATE(B7587)"),"失事的")</f>
        <v>失事的</v>
      </c>
    </row>
    <row r="7588" ht="15.75" customHeight="1">
      <c r="A7588" s="4">
        <v>10803.0</v>
      </c>
      <c r="B7588" s="4" t="s">
        <v>4918</v>
      </c>
      <c r="D7588" s="4" t="s">
        <v>11033</v>
      </c>
      <c r="E7588" s="4">
        <v>0.0</v>
      </c>
      <c r="F7588" s="4" t="str">
        <f>IFERROR(__xludf.DUMMYFUNCTION("GOOGLETRANSLATE(D7588)"),"你擊敗了我。我一生中從未感到如此低落。但沒關係，上帝得到了我")</f>
        <v>你擊敗了我。我一生中從未感到如此低落。但沒關係，上帝得到了我</v>
      </c>
      <c r="G7588" s="4" t="str">
        <f>IFERROR(__xludf.DUMMYFUNCTION("GOOGLETRANSLATE(B7588)"),"失事的")</f>
        <v>失事的</v>
      </c>
    </row>
    <row r="7589" ht="15.75" customHeight="1">
      <c r="A7589" s="4">
        <v>10805.0</v>
      </c>
      <c r="B7589" s="4" t="s">
        <v>4918</v>
      </c>
      <c r="C7589" s="4" t="s">
        <v>11034</v>
      </c>
      <c r="D7589" s="4" t="s">
        <v>11035</v>
      </c>
      <c r="E7589" s="4">
        <v>0.0</v>
      </c>
      <c r="F7589" s="4" t="str">
        <f>IFERROR(__xludf.DUMMYFUNCTION("GOOGLETRANSLATE(D7589)"),"涼拌高麗菜#wrecked http://t.co/sijNBmCZIJ")</f>
        <v>涼拌高麗菜#wrecked http://t.co/sijNBmCZIJ</v>
      </c>
      <c r="G7589" s="4" t="str">
        <f>IFERROR(__xludf.DUMMYFUNCTION("GOOGLETRANSLATE(B7589)"),"失事的")</f>
        <v>失事的</v>
      </c>
    </row>
    <row r="7590" ht="15.75" customHeight="1">
      <c r="A7590" s="4">
        <v>10809.0</v>
      </c>
      <c r="B7590" s="4" t="s">
        <v>4918</v>
      </c>
      <c r="D7590" s="4" t="s">
        <v>11036</v>
      </c>
      <c r="E7590" s="4">
        <v>0.0</v>
      </c>
      <c r="F7590" s="4" t="str">
        <f>IFERROR(__xludf.DUMMYFUNCTION("GOOGLETRANSLATE(D7590)"),"雙胞胎投手的自我意識現在被摧毀了")</f>
        <v>雙胞胎投手的自我意識現在被摧毀了</v>
      </c>
      <c r="G7590" s="4" t="str">
        <f>IFERROR(__xludf.DUMMYFUNCTION("GOOGLETRANSLATE(B7590)"),"失事的")</f>
        <v>失事的</v>
      </c>
    </row>
    <row r="7591" ht="15.75" customHeight="1">
      <c r="A7591" s="4">
        <v>10810.0</v>
      </c>
      <c r="B7591" s="4" t="s">
        <v>4918</v>
      </c>
      <c r="C7591" s="4" t="s">
        <v>11037</v>
      </c>
      <c r="D7591" s="4" t="s">
        <v>11038</v>
      </c>
      <c r="E7591" s="4">
        <v>0.0</v>
      </c>
      <c r="F7591" s="4" t="str">
        <f>IFERROR(__xludf.DUMMYFUNCTION("GOOGLETRANSLATE(D7591)"),"@Tunes_WGG 哈哈。你被毀了")</f>
        <v>@Tunes_WGG 哈哈。你被毀了</v>
      </c>
      <c r="G7591" s="4" t="str">
        <f>IFERROR(__xludf.DUMMYFUNCTION("GOOGLETRANSLATE(B7591)"),"失事的")</f>
        <v>失事的</v>
      </c>
    </row>
    <row r="7592" ht="15.75" customHeight="1">
      <c r="A7592" s="4">
        <v>10811.0</v>
      </c>
      <c r="B7592" s="4" t="s">
        <v>4918</v>
      </c>
      <c r="D7592" s="4" t="s">
        <v>11039</v>
      </c>
      <c r="E7592" s="4">
        <v>0.0</v>
      </c>
      <c r="F7592" s="4" t="str">
        <f>IFERROR(__xludf.DUMMYFUNCTION("GOOGLETRANSLATE(D7592)"),"你毀了我的整個世界")</f>
        <v>你毀了我的整個世界</v>
      </c>
      <c r="G7592" s="4" t="str">
        <f>IFERROR(__xludf.DUMMYFUNCTION("GOOGLETRANSLATE(B7592)"),"失事的")</f>
        <v>失事的</v>
      </c>
    </row>
    <row r="7593" ht="15.75" customHeight="1">
      <c r="A7593" s="4">
        <v>10812.0</v>
      </c>
      <c r="B7593" s="4" t="s">
        <v>4918</v>
      </c>
      <c r="D7593" s="4" t="s">
        <v>11040</v>
      </c>
      <c r="E7593" s="4">
        <v>0.0</v>
      </c>
      <c r="F7593" s="4" t="str">
        <f>IFERROR(__xludf.DUMMYFUNCTION("GOOGLETRANSLATE(D7593)"),"我傷了我的胃 求助")</f>
        <v>我傷了我的胃 求助</v>
      </c>
      <c r="G7593" s="4" t="str">
        <f>IFERROR(__xludf.DUMMYFUNCTION("GOOGLETRANSLATE(B7593)"),"失事的")</f>
        <v>失事的</v>
      </c>
    </row>
    <row r="7594" ht="15.75" customHeight="1">
      <c r="A7594" s="4">
        <v>10813.0</v>
      </c>
      <c r="B7594" s="4" t="s">
        <v>4918</v>
      </c>
      <c r="D7594" s="4" t="s">
        <v>11041</v>
      </c>
      <c r="E7594" s="4">
        <v>0.0</v>
      </c>
      <c r="F7594" s="4" t="str">
        <f>IFERROR(__xludf.DUMMYFUNCTION("GOOGLETRANSLATE(D7594)"),"@__ohhmyjoshh @stevenrulles 他不會想，在開學第一天就搞砸了？")</f>
        <v>@__ohhmyjoshh @stevenrulles 他不會想，在開學第一天就搞砸了？</v>
      </c>
      <c r="G7594" s="4" t="str">
        <f>IFERROR(__xludf.DUMMYFUNCTION("GOOGLETRANSLATE(B7594)"),"失事的")</f>
        <v>失事的</v>
      </c>
    </row>
    <row r="7595" ht="15.75" customHeight="1">
      <c r="A7595" s="4">
        <v>10814.0</v>
      </c>
      <c r="B7595" s="4" t="s">
        <v>4918</v>
      </c>
      <c r="D7595" s="4" t="s">
        <v>11042</v>
      </c>
      <c r="E7595" s="4">
        <v>0.0</v>
      </c>
      <c r="F7595" s="4" t="str">
        <f>IFERROR(__xludf.DUMMYFUNCTION("GOOGLETRANSLATE(D7595)"),"累壞了，但三點前還睡不著？")</f>
        <v>累壞了，但三點前還睡不著？</v>
      </c>
      <c r="G7595" s="4" t="str">
        <f>IFERROR(__xludf.DUMMYFUNCTION("GOOGLETRANSLATE(B7595)"),"失事的")</f>
        <v>失事的</v>
      </c>
    </row>
    <row r="7596" ht="15.75" customHeight="1">
      <c r="A7596" s="4">
        <v>10815.0</v>
      </c>
      <c r="B7596" s="4" t="s">
        <v>4918</v>
      </c>
      <c r="C7596" s="4" t="s">
        <v>627</v>
      </c>
      <c r="D7596" s="4" t="s">
        <v>11043</v>
      </c>
      <c r="E7596" s="4">
        <v>0.0</v>
      </c>
      <c r="F7596" s="4" t="str">
        <f>IFERROR(__xludf.DUMMYFUNCTION("GOOGLETRANSLATE(D7596)"),"http://t.co/qVx0VQTPz0 Cramer：艾格的 3 個字摧毀了迪士尼的股票 http://t.co/vuWBSrSnrY")</f>
        <v>http://t.co/qVx0VQTPz0 Cramer：艾格的 3 個字摧毀了迪士尼的股票 http://t.co/vuWBSrSnrY</v>
      </c>
      <c r="G7596" s="4" t="str">
        <f>IFERROR(__xludf.DUMMYFUNCTION("GOOGLETRANSLATE(B7596)"),"失事的")</f>
        <v>失事的</v>
      </c>
    </row>
    <row r="7597" ht="15.75" customHeight="1">
      <c r="A7597" s="4">
        <v>10817.0</v>
      </c>
      <c r="B7597" s="4" t="s">
        <v>4918</v>
      </c>
      <c r="C7597" s="4" t="s">
        <v>11044</v>
      </c>
      <c r="D7597" s="4" t="s">
        <v>11045</v>
      </c>
      <c r="E7597" s="4">
        <v>0.0</v>
      </c>
      <c r="F7597" s="4" t="str">
        <f>IFERROR(__xludf.DUMMYFUNCTION("GOOGLETRANSLATE(D7597)"),"被破壞的情緒。")</f>
        <v>被破壞的情緒。</v>
      </c>
      <c r="G7597" s="4" t="str">
        <f>IFERROR(__xludf.DUMMYFUNCTION("GOOGLETRANSLATE(B7597)"),"失事的")</f>
        <v>失事的</v>
      </c>
    </row>
    <row r="7598" ht="15.75" customHeight="1">
      <c r="A7598" s="4">
        <v>10818.0</v>
      </c>
      <c r="B7598" s="4" t="s">
        <v>4918</v>
      </c>
      <c r="D7598" s="4" t="s">
        <v>11046</v>
      </c>
      <c r="E7598" s="4">
        <v>0.0</v>
      </c>
      <c r="F7598" s="4" t="str">
        <f>IFERROR(__xludf.DUMMYFUNCTION("GOOGLETRANSLATE(D7598)"),"謎語人將成為有史以來最好的提前退出初選總統候選人，他完全有把握，直到他被有錢人毀了。")</f>
        <v>謎語人將成為有史以來最好的提前退出初選總統候選人，他完全有把握，直到他被有錢人毀了。</v>
      </c>
      <c r="G7598" s="4" t="str">
        <f>IFERROR(__xludf.DUMMYFUNCTION("GOOGLETRANSLATE(B7598)"),"失事的")</f>
        <v>失事的</v>
      </c>
    </row>
    <row r="7599" ht="15.75" customHeight="1">
      <c r="A7599" s="4">
        <v>10819.0</v>
      </c>
      <c r="B7599" s="4" t="s">
        <v>4918</v>
      </c>
      <c r="C7599" s="4" t="s">
        <v>11047</v>
      </c>
      <c r="D7599" s="4" t="s">
        <v>11048</v>
      </c>
      <c r="E7599" s="4">
        <v>0.0</v>
      </c>
      <c r="F7599" s="4" t="str">
        <f>IFERROR(__xludf.DUMMYFUNCTION("GOOGLETRANSLATE(D7599)"),"@marynmck 這太可愛了。我希望它不會被破壞，因為它已經被注意到了...")</f>
        <v>@marynmck 這太可愛了。我希望它不會被破壞，因為它已經被注意到了...</v>
      </c>
      <c r="G7599" s="4" t="str">
        <f>IFERROR(__xludf.DUMMYFUNCTION("GOOGLETRANSLATE(B7599)"),"失事的")</f>
        <v>失事的</v>
      </c>
    </row>
    <row r="7600" ht="15.75" customHeight="1">
      <c r="A7600" s="4">
        <v>10821.0</v>
      </c>
      <c r="B7600" s="4" t="s">
        <v>4918</v>
      </c>
      <c r="C7600" s="4" t="s">
        <v>289</v>
      </c>
      <c r="D7600" s="4" t="s">
        <v>11049</v>
      </c>
      <c r="E7600" s="4">
        <v>0.0</v>
      </c>
      <c r="F7600" s="4" t="str">
        <f>IFERROR(__xludf.DUMMYFUNCTION("GOOGLETRANSLATE(D7600)"),"克萊默：艾格的 3 個字摧毀了迪士尼的股票 http://t.co/3G79prAyYc #cnbc #topnews")</f>
        <v>克萊默：艾格的 3 個字摧毀了迪士尼的股票 http://t.co/3G79prAyYc #cnbc #topnews</v>
      </c>
      <c r="G7600" s="4" t="str">
        <f>IFERROR(__xludf.DUMMYFUNCTION("GOOGLETRANSLATE(B7600)"),"失事的")</f>
        <v>失事的</v>
      </c>
    </row>
    <row r="7601" ht="15.75" customHeight="1">
      <c r="A7601" s="4">
        <v>10822.0</v>
      </c>
      <c r="B7601" s="4" t="s">
        <v>4918</v>
      </c>
      <c r="C7601" s="4" t="s">
        <v>11050</v>
      </c>
      <c r="D7601" s="4" t="s">
        <v>11051</v>
      </c>
      <c r="E7601" s="4">
        <v>0.0</v>
      </c>
      <c r="F7601" s="4" t="str">
        <f>IFERROR(__xludf.DUMMYFUNCTION("GOOGLETRANSLATE(D7601)"),"@Caitsroberts 今晚見你 bArra 徹底崩潰了？？？")</f>
        <v>@Caitsroberts 今晚見你 bArra 徹底崩潰了？？？</v>
      </c>
      <c r="G7601" s="4" t="str">
        <f>IFERROR(__xludf.DUMMYFUNCTION("GOOGLETRANSLATE(B7601)"),"失事的")</f>
        <v>失事的</v>
      </c>
    </row>
    <row r="7602" ht="15.75" customHeight="1">
      <c r="A7602" s="4">
        <v>10824.0</v>
      </c>
      <c r="B7602" s="4" t="s">
        <v>4918</v>
      </c>
      <c r="C7602" s="4" t="s">
        <v>11052</v>
      </c>
      <c r="D7602" s="4" t="s">
        <v>11053</v>
      </c>
      <c r="E7602" s="4">
        <v>0.0</v>
      </c>
      <c r="F7602" s="4" t="str">
        <f>IFERROR(__xludf.DUMMYFUNCTION("GOOGLETRANSLATE(D7602)"),"昨晚在保齡球比賽中度過了一段美好的時光！ http://t.co/Da9lZtOn1c")</f>
        <v>昨晚在保齡球比賽中度過了一段美好的時光！ http://t.co/Da9lZtOn1c</v>
      </c>
      <c r="G7602" s="4" t="str">
        <f>IFERROR(__xludf.DUMMYFUNCTION("GOOGLETRANSLATE(B7602)"),"失事的")</f>
        <v>失事的</v>
      </c>
    </row>
    <row r="7603" ht="15.75" customHeight="1">
      <c r="A7603" s="4">
        <v>10825.0</v>
      </c>
      <c r="B7603" s="4" t="s">
        <v>4918</v>
      </c>
      <c r="C7603" s="4" t="s">
        <v>334</v>
      </c>
      <c r="D7603" s="4" t="s">
        <v>11054</v>
      </c>
      <c r="E7603" s="4">
        <v>0.0</v>
      </c>
      <c r="F7603" s="4" t="str">
        <f>IFERROR(__xludf.DUMMYFUNCTION("GOOGLETRANSLATE(D7603)"),"Cramer： 3 個摧毀 DIS 股票的字 - http://t.co/ud7XObYUa1")</f>
        <v>Cramer： 3 個摧毀 DIS 股票的字 - http://t.co/ud7XObYUa1</v>
      </c>
      <c r="G7603" s="4" t="str">
        <f>IFERROR(__xludf.DUMMYFUNCTION("GOOGLETRANSLATE(B7603)"),"失事的")</f>
        <v>失事的</v>
      </c>
    </row>
    <row r="7604" ht="15.75" customHeight="1">
      <c r="A7604" s="4">
        <v>10826.0</v>
      </c>
      <c r="B7604" s="4" t="s">
        <v>4918</v>
      </c>
      <c r="C7604" s="4" t="s">
        <v>11055</v>
      </c>
      <c r="D7604" s="4" t="s">
        <v>11056</v>
      </c>
      <c r="E7604" s="4">
        <v>0.0</v>
      </c>
      <c r="F7604" s="4" t="str">
        <f>IFERROR(__xludf.DUMMYFUNCTION("GOOGLETRANSLATE(D7604)"),"好的一面是我毀了http://t.co/uEa0txRHYs")</f>
        <v>好的一面是我毀了http://t.co/uEa0txRHYs</v>
      </c>
      <c r="G7604" s="4" t="str">
        <f>IFERROR(__xludf.DUMMYFUNCTION("GOOGLETRANSLATE(B7604)"),"失事的")</f>
        <v>失事的</v>
      </c>
    </row>
    <row r="7605" ht="15.75" customHeight="1">
      <c r="A7605" s="4">
        <v>10827.0</v>
      </c>
      <c r="B7605" s="4" t="s">
        <v>4918</v>
      </c>
      <c r="D7605" s="4" t="s">
        <v>11057</v>
      </c>
      <c r="E7605" s="4">
        <v>0.0</v>
      </c>
      <c r="F7605" s="4" t="str">
        <f>IFERROR(__xludf.DUMMYFUNCTION("GOOGLETRANSLATE(D7605)"),"他剛剛毀了你們所有人 http://t.co/y46isyZkC8")</f>
        <v>他剛剛毀了你們所有人 http://t.co/y46isyZkC8</v>
      </c>
      <c r="G7605" s="4" t="str">
        <f>IFERROR(__xludf.DUMMYFUNCTION("GOOGLETRANSLATE(B7605)"),"失事的")</f>
        <v>失事的</v>
      </c>
    </row>
    <row r="7606" ht="15.75" customHeight="1">
      <c r="A7606" s="4">
        <v>10829.0</v>
      </c>
      <c r="B7606" s="4" t="s">
        <v>4918</v>
      </c>
      <c r="C7606" s="4" t="s">
        <v>11058</v>
      </c>
      <c r="D7606" s="4" t="s">
        <v>11059</v>
      </c>
      <c r="E7606" s="4">
        <v>0.0</v>
      </c>
      <c r="F7606" s="4" t="str">
        <f>IFERROR(__xludf.DUMMYFUNCTION("GOOGLETRANSLATE(D7606)"),"@widda16 ...他走了。你可以放鬆。我以為破壞蛋糕的妻子已經瘋了哈哈#whoops")</f>
        <v>@widda16 ...他走了。你可以放鬆。我以為破壞蛋糕的妻子已經瘋了哈哈#whoops</v>
      </c>
      <c r="G7606" s="4" t="str">
        <f>IFERROR(__xludf.DUMMYFUNCTION("GOOGLETRANSLATE(B7606)"),"失事的")</f>
        <v>失事的</v>
      </c>
    </row>
    <row r="7607" ht="15.75" customHeight="1">
      <c r="A7607" s="4">
        <v>10830.0</v>
      </c>
      <c r="B7607" s="4" t="s">
        <v>4918</v>
      </c>
      <c r="D7607" s="4" t="s">
        <v>11060</v>
      </c>
      <c r="E7607" s="4">
        <v>0.0</v>
      </c>
      <c r="F7607" s="4" t="str">
        <f>IFERROR(__xludf.DUMMYFUNCTION("GOOGLETRANSLATE(D7607)"),"@jt_ruff23 @cameronhacker 和我毀了你們倆")</f>
        <v>@jt_ruff23 @cameronhacker 和我毀了你們倆</v>
      </c>
      <c r="G7607" s="4" t="str">
        <f>IFERROR(__xludf.DUMMYFUNCTION("GOOGLETRANSLATE(B7607)"),"失事的")</f>
        <v>失事的</v>
      </c>
    </row>
    <row r="7608" ht="15.75" customHeight="1">
      <c r="A7608" s="4">
        <v>10831.0</v>
      </c>
      <c r="B7608" s="4" t="s">
        <v>4918</v>
      </c>
      <c r="C7608" s="4" t="s">
        <v>11061</v>
      </c>
      <c r="D7608" s="4" t="s">
        <v>11062</v>
      </c>
      <c r="E7608" s="4">
        <v>0.0</v>
      </c>
      <c r="F7608" s="4" t="str">
        <f>IFERROR(__xludf.DUMMYFUNCTION("GOOGLETRANSLATE(D7608)"),"休息了三天，他們幾乎都被毀了哈哈哈，為此向我的家人大聲喊​​叫")</f>
        <v>休息了三天，他們幾乎都被毀了哈哈哈，為此向我的家人大聲喊​​叫</v>
      </c>
      <c r="G7608" s="4" t="str">
        <f>IFERROR(__xludf.DUMMYFUNCTION("GOOGLETRANSLATE(B7608)"),"失事的")</f>
        <v>失事的</v>
      </c>
    </row>
    <row r="7609" ht="15.75" customHeight="1">
      <c r="A7609" s="4">
        <v>10832.0</v>
      </c>
      <c r="B7609" s="4" t="s">
        <v>4918</v>
      </c>
      <c r="C7609" s="4" t="s">
        <v>11063</v>
      </c>
      <c r="D7609" s="4" t="s">
        <v>11064</v>
      </c>
      <c r="E7609" s="4">
        <v>0.0</v>
      </c>
      <c r="F7609" s="4" t="str">
        <f>IFERROR(__xludf.DUMMYFUNCTION("GOOGLETRANSLATE(D7609)"),"#FX #forex #trading Cramer：艾格的 3 個字摧毀了迪士尼的股票 http://t.co/7enNulLKzM")</f>
        <v>#FX #forex #trading Cramer：艾格的 3 個字摧毀了迪士尼的股票 http://t.co/7enNulLKzM</v>
      </c>
      <c r="G7609" s="4" t="str">
        <f>IFERROR(__xludf.DUMMYFUNCTION("GOOGLETRANSLATE(B7609)"),"失事的")</f>
        <v>失事的</v>
      </c>
    </row>
    <row r="7610" ht="15.75" customHeight="1">
      <c r="A7610" s="4">
        <v>10833.0</v>
      </c>
      <c r="B7610" s="4" t="s">
        <v>4918</v>
      </c>
      <c r="C7610" s="4" t="s">
        <v>11065</v>
      </c>
      <c r="D7610" s="4" t="s">
        <v>11066</v>
      </c>
      <c r="E7610" s="4">
        <v>0.0</v>
      </c>
      <c r="F7610" s="4" t="str">
        <f>IFERROR(__xludf.DUMMYFUNCTION("GOOGLETRANSLATE(D7610)"),"@engineshed 今晚英國獅子演出的氣氛非常好。聽力都被破壞了http://t.co/oMNBAtJEAO")</f>
        <v>@engineshed 今晚英國獅子演出的氣氛非常好。聽力都被破壞了http://t.co/oMNBAtJEAO</v>
      </c>
      <c r="G7610" s="4" t="str">
        <f>IFERROR(__xludf.DUMMYFUNCTION("GOOGLETRANSLATE(B7610)"),"失事的")</f>
        <v>失事的</v>
      </c>
    </row>
    <row r="7611" ht="15.75" customHeight="1">
      <c r="A7611" s="4">
        <v>10834.0</v>
      </c>
      <c r="B7611" s="4" t="s">
        <v>4918</v>
      </c>
      <c r="D7611" s="4" t="s">
        <v>11067</v>
      </c>
      <c r="E7611" s="4">
        <v>0.0</v>
      </c>
      <c r="F7611" s="4" t="str">
        <f>IFERROR(__xludf.DUMMYFUNCTION("GOOGLETRANSLATE(D7611)"),"克萊默：艾格的 3 個字摧毀了迪士尼的股票 - CNBC http://t.co/N6RBnHMTD4")</f>
        <v>克萊默：艾格的 3 個字摧毀了迪士尼的股票 - CNBC http://t.co/N6RBnHMTD4</v>
      </c>
      <c r="G7611" s="4" t="str">
        <f>IFERROR(__xludf.DUMMYFUNCTION("GOOGLETRANSLATE(B7611)"),"失事的")</f>
        <v>失事的</v>
      </c>
    </row>
    <row r="7612" ht="15.75" customHeight="1">
      <c r="A7612" s="4">
        <v>10837.0</v>
      </c>
      <c r="D7612" s="4" t="s">
        <v>11068</v>
      </c>
      <c r="E7612" s="4">
        <v>0.0</v>
      </c>
      <c r="F7612" s="4" t="str">
        <f>IFERROR(__xludf.DUMMYFUNCTION("GOOGLETRANSLATE(D7612)"),"這些盒子已經準備好爆炸了！爆炸小貓終於來了！ gameofkittens #explodingkittensÛ_ https://t.co/TFGrAyuDC5")</f>
        <v>這些盒子已經準備好爆炸了！爆炸小貓終於來了！ gameofkittens #explodingkittensÛ_ https://t.co/TFGrAyuDC5</v>
      </c>
      <c r="G7612" s="4" t="str">
        <f>IFERROR(__xludf.DUMMYFUNCTION("GOOGLETRANSLATE(B7612)"),"#VALUE!")</f>
        <v>#VALUE!</v>
      </c>
    </row>
    <row r="7613" ht="15.75" customHeight="1">
      <c r="A7613" s="4">
        <v>10841.0</v>
      </c>
      <c r="D7613" s="4" t="s">
        <v>11069</v>
      </c>
      <c r="E7613" s="4">
        <v>0.0</v>
      </c>
      <c r="F7613" s="4" t="str">
        <f>IFERROR(__xludf.DUMMYFUNCTION("GOOGLETRANSLATE(D7613)"),"到處都是警報器！")</f>
        <v>到處都是警報器！</v>
      </c>
      <c r="G7613" s="4" t="str">
        <f>IFERROR(__xludf.DUMMYFUNCTION("GOOGLETRANSLATE(B7613)"),"#VALUE!")</f>
        <v>#VALUE!</v>
      </c>
    </row>
    <row r="7614" ht="15.75" customHeight="1">
      <c r="A7614" s="4">
        <v>10848.0</v>
      </c>
      <c r="D7614" s="4" t="s">
        <v>11070</v>
      </c>
      <c r="E7614" s="4">
        <v>0.0</v>
      </c>
      <c r="F7614" s="4" t="str">
        <f>IFERROR(__xludf.DUMMYFUNCTION("GOOGLETRANSLATE(D7614)"),"我剛剛聽到一聲巨響，每個人都睡得很香")</f>
        <v>我剛剛聽到一聲巨響，每個人都睡得很香</v>
      </c>
      <c r="G7614" s="4" t="str">
        <f>IFERROR(__xludf.DUMMYFUNCTION("GOOGLETRANSLATE(B7614)"),"#VALUE!")</f>
        <v>#VALUE!</v>
      </c>
    </row>
  </sheetData>
  <autoFilter ref="$A$1:$I$7614">
    <sortState ref="A1:I7614">
      <sortCondition descending="1" ref="E1:E7614"/>
    </sortState>
  </autoFilter>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2024-04-01T14:31:41Z</dcterms:created>
  <dc:creator>openpyxl</dc:creator>
</cp:coreProperties>
</file>