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rank1020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5" i="1" l="1"/>
  <c r="J76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K63" i="1"/>
  <c r="L63" i="1"/>
  <c r="M63" i="1"/>
  <c r="N63" i="1"/>
  <c r="J63" i="1"/>
  <c r="D80" i="1"/>
  <c r="C76" i="1"/>
  <c r="D76" i="1"/>
  <c r="B76" i="1"/>
  <c r="D79" i="1"/>
  <c r="D78" i="1"/>
  <c r="B83" i="1" s="1"/>
  <c r="N47" i="1" s="1"/>
  <c r="C75" i="1"/>
  <c r="D75" i="1"/>
  <c r="B75" i="1"/>
  <c r="C71" i="1"/>
  <c r="C70" i="1"/>
  <c r="F68" i="1"/>
  <c r="E68" i="1"/>
  <c r="D68" i="1"/>
  <c r="C68" i="1"/>
  <c r="B68" i="1"/>
  <c r="B58" i="1"/>
  <c r="C58" i="1"/>
  <c r="D58" i="1"/>
  <c r="E58" i="1"/>
  <c r="G58" i="1" s="1"/>
  <c r="F58" i="1"/>
  <c r="B59" i="1"/>
  <c r="C59" i="1"/>
  <c r="D59" i="1"/>
  <c r="E59" i="1"/>
  <c r="F59" i="1"/>
  <c r="B60" i="1"/>
  <c r="C60" i="1"/>
  <c r="G60" i="1" s="1"/>
  <c r="D60" i="1"/>
  <c r="E60" i="1"/>
  <c r="F60" i="1"/>
  <c r="B61" i="1"/>
  <c r="G61" i="1" s="1"/>
  <c r="C61" i="1"/>
  <c r="D61" i="1"/>
  <c r="E61" i="1"/>
  <c r="F61" i="1"/>
  <c r="B62" i="1"/>
  <c r="C62" i="1"/>
  <c r="D62" i="1"/>
  <c r="E62" i="1"/>
  <c r="G62" i="1" s="1"/>
  <c r="F62" i="1"/>
  <c r="B63" i="1"/>
  <c r="C63" i="1"/>
  <c r="D63" i="1"/>
  <c r="E63" i="1"/>
  <c r="F63" i="1"/>
  <c r="B64" i="1"/>
  <c r="C64" i="1"/>
  <c r="G64" i="1" s="1"/>
  <c r="D64" i="1"/>
  <c r="E64" i="1"/>
  <c r="F64" i="1"/>
  <c r="B65" i="1"/>
  <c r="G65" i="1" s="1"/>
  <c r="C65" i="1"/>
  <c r="D65" i="1"/>
  <c r="E65" i="1"/>
  <c r="F65" i="1"/>
  <c r="B66" i="1"/>
  <c r="C66" i="1"/>
  <c r="D66" i="1"/>
  <c r="E66" i="1"/>
  <c r="G66" i="1" s="1"/>
  <c r="F66" i="1"/>
  <c r="B67" i="1"/>
  <c r="C67" i="1"/>
  <c r="D67" i="1"/>
  <c r="E67" i="1"/>
  <c r="F67" i="1"/>
  <c r="C57" i="1"/>
  <c r="D57" i="1"/>
  <c r="E57" i="1"/>
  <c r="F57" i="1"/>
  <c r="B57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K32" i="1"/>
  <c r="L32" i="1"/>
  <c r="M32" i="1"/>
  <c r="N32" i="1"/>
  <c r="J32" i="1"/>
  <c r="G38" i="1"/>
  <c r="G28" i="1"/>
  <c r="G29" i="1"/>
  <c r="G30" i="1"/>
  <c r="G31" i="1"/>
  <c r="G32" i="1"/>
  <c r="G33" i="1"/>
  <c r="G34" i="1"/>
  <c r="G35" i="1"/>
  <c r="G36" i="1"/>
  <c r="G37" i="1"/>
  <c r="G27" i="1"/>
  <c r="D38" i="1"/>
  <c r="E38" i="1"/>
  <c r="C38" i="1"/>
  <c r="B38" i="1"/>
  <c r="E37" i="1"/>
  <c r="E36" i="1"/>
  <c r="D29" i="1"/>
  <c r="D30" i="1"/>
  <c r="D31" i="1"/>
  <c r="D32" i="1"/>
  <c r="D33" i="1"/>
  <c r="D34" i="1"/>
  <c r="D35" i="1"/>
  <c r="D36" i="1"/>
  <c r="D37" i="1"/>
  <c r="D28" i="1"/>
  <c r="B29" i="1"/>
  <c r="B30" i="1"/>
  <c r="B31" i="1"/>
  <c r="B32" i="1"/>
  <c r="B33" i="1"/>
  <c r="B34" i="1"/>
  <c r="B35" i="1"/>
  <c r="B36" i="1"/>
  <c r="B37" i="1"/>
  <c r="B28" i="1"/>
  <c r="D27" i="1"/>
  <c r="C27" i="1"/>
  <c r="B27" i="1"/>
  <c r="O1" i="1"/>
  <c r="P1" i="1"/>
  <c r="Q1" i="1"/>
  <c r="R1" i="1"/>
  <c r="N1" i="1"/>
  <c r="G59" i="1"/>
  <c r="G63" i="1"/>
  <c r="G67" i="1"/>
  <c r="C21" i="1"/>
  <c r="D21" i="1"/>
  <c r="L25" i="1" s="1"/>
  <c r="E21" i="1"/>
  <c r="F21" i="1"/>
  <c r="C32" i="1" s="1"/>
  <c r="B21" i="1"/>
  <c r="J55" i="1" l="1"/>
  <c r="J51" i="1"/>
  <c r="M57" i="1"/>
  <c r="M56" i="1"/>
  <c r="M55" i="1"/>
  <c r="M54" i="1"/>
  <c r="M53" i="1"/>
  <c r="M52" i="1"/>
  <c r="M51" i="1"/>
  <c r="M50" i="1"/>
  <c r="M49" i="1"/>
  <c r="M48" i="1"/>
  <c r="M47" i="1"/>
  <c r="J54" i="1"/>
  <c r="J50" i="1"/>
  <c r="L57" i="1"/>
  <c r="L56" i="1"/>
  <c r="L55" i="1"/>
  <c r="L54" i="1"/>
  <c r="L53" i="1"/>
  <c r="L52" i="1"/>
  <c r="L51" i="1"/>
  <c r="L50" i="1"/>
  <c r="L49" i="1"/>
  <c r="L48" i="1"/>
  <c r="L47" i="1"/>
  <c r="J57" i="1"/>
  <c r="J53" i="1"/>
  <c r="J49" i="1"/>
  <c r="K57" i="1"/>
  <c r="K56" i="1"/>
  <c r="K55" i="1"/>
  <c r="K54" i="1"/>
  <c r="K53" i="1"/>
  <c r="K52" i="1"/>
  <c r="K51" i="1"/>
  <c r="K50" i="1"/>
  <c r="K49" i="1"/>
  <c r="K48" i="1"/>
  <c r="K47" i="1"/>
  <c r="J56" i="1"/>
  <c r="J52" i="1"/>
  <c r="N57" i="1"/>
  <c r="N56" i="1"/>
  <c r="N55" i="1"/>
  <c r="N54" i="1"/>
  <c r="N53" i="1"/>
  <c r="N52" i="1"/>
  <c r="N51" i="1"/>
  <c r="N50" i="1"/>
  <c r="N49" i="1"/>
  <c r="N48" i="1"/>
  <c r="J48" i="1"/>
  <c r="B84" i="1"/>
  <c r="J47" i="1"/>
  <c r="G57" i="1"/>
  <c r="L22" i="1"/>
  <c r="L21" i="1"/>
  <c r="C35" i="1"/>
  <c r="C31" i="1"/>
  <c r="L11" i="1"/>
  <c r="L19" i="1"/>
  <c r="L23" i="1"/>
  <c r="C28" i="1"/>
  <c r="C34" i="1"/>
  <c r="C30" i="1"/>
  <c r="L8" i="1"/>
  <c r="L10" i="1"/>
  <c r="L20" i="1"/>
  <c r="L24" i="1"/>
  <c r="C37" i="1"/>
  <c r="C33" i="1"/>
  <c r="C29" i="1"/>
  <c r="L9" i="1"/>
  <c r="L17" i="1"/>
  <c r="B23" i="1"/>
  <c r="G68" i="1"/>
  <c r="C36" i="1"/>
  <c r="L12" i="1"/>
  <c r="L18" i="1"/>
  <c r="L26" i="1"/>
  <c r="L27" i="1" l="1"/>
  <c r="L13" i="1"/>
</calcChain>
</file>

<file path=xl/sharedStrings.xml><?xml version="1.0" encoding="utf-8"?>
<sst xmlns="http://schemas.openxmlformats.org/spreadsheetml/2006/main" count="135" uniqueCount="65">
  <si>
    <t>Plays left to right except scatter which pays any</t>
    <phoneticPr fontId="2" type="noConversion"/>
  </si>
  <si>
    <t>5, 4, 3 scatters pay 25, 15, 10 free games</t>
    <phoneticPr fontId="2" type="noConversion"/>
  </si>
  <si>
    <t>Free games are the same as the base game</t>
    <phoneticPr fontId="2" type="noConversion"/>
  </si>
  <si>
    <t>Wild substitues for all symbols except scatter</t>
    <phoneticPr fontId="2" type="noConversion"/>
  </si>
  <si>
    <t>Bet</t>
    <phoneticPr fontId="2" type="noConversion"/>
  </si>
  <si>
    <t>Symbol Distribution</t>
    <phoneticPr fontId="2" type="noConversion"/>
  </si>
  <si>
    <t>Reel 1</t>
    <phoneticPr fontId="2" type="noConversion"/>
  </si>
  <si>
    <t>Reel 2</t>
    <phoneticPr fontId="2" type="noConversion"/>
  </si>
  <si>
    <t>Reel 3</t>
    <phoneticPr fontId="2" type="noConversion"/>
  </si>
  <si>
    <t>Reel 4</t>
    <phoneticPr fontId="2" type="noConversion"/>
  </si>
  <si>
    <t>Reel 5</t>
    <phoneticPr fontId="2" type="noConversion"/>
  </si>
  <si>
    <t>wild</t>
    <phoneticPr fontId="2" type="noConversion"/>
  </si>
  <si>
    <t>scat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</si>
  <si>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</si>
  <si>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</si>
  <si>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</si>
  <si>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</si>
  <si>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A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</si>
  <si>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</si>
  <si>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</si>
  <si>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</si>
  <si>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ten</t>
    <phoneticPr fontId="2" type="noConversion"/>
  </si>
  <si>
    <t>nine</t>
    <phoneticPr fontId="2" type="noConversion"/>
  </si>
  <si>
    <t>Total</t>
    <phoneticPr fontId="2" type="noConversion"/>
  </si>
  <si>
    <t>Cycle</t>
    <phoneticPr fontId="2" type="noConversion"/>
  </si>
  <si>
    <t>Hits</t>
    <phoneticPr fontId="2" type="noConversion"/>
  </si>
  <si>
    <t>Total</t>
    <phoneticPr fontId="2" type="noConversion"/>
  </si>
  <si>
    <t>nine</t>
    <phoneticPr fontId="2" type="noConversion"/>
  </si>
  <si>
    <t>Pay Table</t>
    <phoneticPr fontId="2" type="noConversion"/>
  </si>
  <si>
    <t>Win</t>
    <phoneticPr fontId="2" type="noConversion"/>
  </si>
  <si>
    <t>Base Game Wim</t>
    <phoneticPr fontId="2" type="noConversion"/>
  </si>
  <si>
    <t>Feature Game Win</t>
    <phoneticPr fontId="2" type="noConversion"/>
  </si>
  <si>
    <t>Trigger N scat</t>
    <phoneticPr fontId="2" type="noConversion"/>
  </si>
  <si>
    <t>Free Spins</t>
    <phoneticPr fontId="2" type="noConversion"/>
  </si>
  <si>
    <t>Probability</t>
    <phoneticPr fontId="2" type="noConversion"/>
  </si>
  <si>
    <t>Freespins</t>
    <phoneticPr fontId="2" type="noConversion"/>
  </si>
  <si>
    <t>Free Spins</t>
    <phoneticPr fontId="2" type="noConversion"/>
  </si>
  <si>
    <t>Retrigger free spins</t>
    <phoneticPr fontId="2" type="noConversion"/>
  </si>
  <si>
    <t>E(freespins)</t>
    <phoneticPr fontId="2" type="noConversion"/>
  </si>
  <si>
    <t>Final Win</t>
    <phoneticPr fontId="2" type="noConversion"/>
  </si>
  <si>
    <t>Final RTP</t>
    <phoneticPr fontId="2" type="noConversion"/>
  </si>
  <si>
    <t>Hits Any 4 scat</t>
    <phoneticPr fontId="2" type="noConversion"/>
  </si>
  <si>
    <t>scat, scat, scat, scat, #scat</t>
    <phoneticPr fontId="2" type="noConversion"/>
  </si>
  <si>
    <t>window size</t>
    <phoneticPr fontId="2" type="noConversion"/>
  </si>
  <si>
    <t>scat combination</t>
    <phoneticPr fontId="2" type="noConversion"/>
  </si>
  <si>
    <t>Total</t>
    <phoneticPr fontId="2" type="noConversion"/>
  </si>
  <si>
    <t>scat, #scat, scat, scat, scat</t>
    <phoneticPr fontId="2" type="noConversion"/>
  </si>
  <si>
    <t>scat, scat, #scat, scat, scat</t>
    <phoneticPr fontId="2" type="noConversion"/>
  </si>
  <si>
    <t>scat, scat, scat, #scat, scat</t>
    <phoneticPr fontId="2" type="noConversion"/>
  </si>
  <si>
    <t>#scat, scat, scat, scat, scat</t>
    <phoneticPr fontId="2" type="noConversion"/>
  </si>
  <si>
    <t>scat, scat, scat, #scat, #scat</t>
    <phoneticPr fontId="2" type="noConversion"/>
  </si>
  <si>
    <t>scat, scat, #scat, scat, #scat</t>
    <phoneticPr fontId="2" type="noConversion"/>
  </si>
  <si>
    <t>scat, scat, #scat, #scat, scat</t>
    <phoneticPr fontId="2" type="noConversion"/>
  </si>
  <si>
    <t>scat, #scat, scat, scat, #scat</t>
    <phoneticPr fontId="2" type="noConversion"/>
  </si>
  <si>
    <t>scat, #scat, scat, #scat, scat</t>
    <phoneticPr fontId="2" type="noConversion"/>
  </si>
  <si>
    <t>scat, #scat, #scat, scat, scat</t>
    <phoneticPr fontId="2" type="noConversion"/>
  </si>
  <si>
    <t>#scat, scat, scat, scat, #scat</t>
    <phoneticPr fontId="2" type="noConversion"/>
  </si>
  <si>
    <t>#scat, scat, scat, #scat, scat</t>
    <phoneticPr fontId="2" type="noConversion"/>
  </si>
  <si>
    <t>#scat, scat, #scat, scat, scat</t>
    <phoneticPr fontId="2" type="noConversion"/>
  </si>
  <si>
    <t>#scat, #scat, scat, scat, scat</t>
    <phoneticPr fontId="2" type="noConversion"/>
  </si>
  <si>
    <t>Hits Any 3 scat</t>
    <phoneticPr fontId="2" type="noConversion"/>
  </si>
  <si>
    <t>Probability</t>
    <phoneticPr fontId="2" type="noConversion"/>
  </si>
  <si>
    <t>Base Game p(win-ave. win)^2</t>
    <phoneticPr fontId="2" type="noConversion"/>
  </si>
  <si>
    <t>Free Game p(win-ave. win)^2</t>
    <phoneticPr fontId="2" type="noConversion"/>
  </si>
  <si>
    <t>Std. Dev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</si>
</sst>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10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topLeftCell="A55" workbookViewId="0">
      <selection activeCell="A62" sqref="A62"/>
    </sheetView>
  </sheetViews>
  <sheetFormatPr defaultRowHeight="16.5" x14ac:dyDescent="0.25"/>
  <cols>
    <col min="1" max="1" width="41.75" bestFit="1" customWidth="1"/>
    <col min="2" max="2" width="12.875" bestFit="1" customWidth="1"/>
    <col min="4" max="5" width="9.5" bestFit="1" customWidth="1"/>
    <col min="7" max="7" width="9.5" bestFit="1" customWidth="1"/>
    <col min="10" max="10" width="22.75" bestFit="1" customWidth="1"/>
    <col min="11" max="11" width="12.25" bestFit="1" customWidth="1"/>
    <col min="12" max="12" width="13.375" bestFit="1" customWidth="1"/>
    <col min="13" max="13" width="15.25" bestFit="1" customWidth="1"/>
  </cols>
  <sheetData>
    <row r="1" spans="1:18" x14ac:dyDescent="0.25">
      <c r="A1" t="s">
        <v>0</v>
      </c>
      <c r="I1" s="12" t="s">
        <v>43</v>
      </c>
      <c r="J1" s="12">
        <v>3</v>
      </c>
      <c r="M1" s="2" t="s">
        <v>44</v>
      </c>
      <c r="N1" s="5">
        <f>B10*$J$1</f>
        <v>9</v>
      </c>
      <c r="O1" s="5">
        <f t="shared" ref="O1" si="0">C10*$J$1</f>
        <v>9</v>
      </c>
      <c r="P1" s="5">
        <f>D10*$J$1</f>
        <v>9</v>
      </c>
      <c r="Q1" s="5">
        <f>E10*$J$1</f>
        <v>6</v>
      </c>
      <c r="R1" s="5">
        <f>F10*$J$1</f>
        <v>3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  <c r="B5">
        <v>1</v>
      </c>
    </row>
    <row r="7" spans="1:18" x14ac:dyDescent="0.25">
      <c r="A7" t="s">
        <v>5</v>
      </c>
      <c r="I7" t="s">
        <v>41</v>
      </c>
    </row>
    <row r="8" spans="1:18" x14ac:dyDescent="0.25">
      <c r="A8" s="3"/>
      <c r="B8" s="4" t="s">
        <v>6</v>
      </c>
      <c r="C8" s="3" t="s">
        <v>7</v>
      </c>
      <c r="D8" s="3" t="s">
        <v>8</v>
      </c>
      <c r="E8" s="3" t="s">
        <v>9</v>
      </c>
      <c r="F8" s="3" t="s">
        <v>10</v>
      </c>
      <c r="I8" s="1"/>
      <c r="J8" s="1" t="s">
        <v>42</v>
      </c>
      <c r="K8" s="1"/>
      <c r="L8" s="1">
        <f>N1*O1*P1*Q1*(F21-R1)</f>
        <v>196830</v>
      </c>
    </row>
    <row r="9" spans="1:18" x14ac:dyDescent="0.25">
      <c r="A9" s="2" t="s">
        <v>11</v>
      </c>
      <c r="B9" s="5">
        <v>1</v>
      </c>
      <c r="C9">
        <v>1</v>
      </c>
      <c r="D9">
        <v>1</v>
      </c>
      <c r="E9">
        <v>2</v>
      </c>
      <c r="F9">
        <v>3</v>
      </c>
      <c r="J9" s="13" t="s">
        <v>48</v>
      </c>
      <c r="L9">
        <f>N1*O1*P1*(E21-Q1)*R1</f>
        <v>137781</v>
      </c>
    </row>
    <row r="10" spans="1:18" x14ac:dyDescent="0.25">
      <c r="A10" s="2" t="s">
        <v>12</v>
      </c>
      <c r="B10" s="5">
        <v>3</v>
      </c>
      <c r="C10">
        <v>3</v>
      </c>
      <c r="D10">
        <v>3</v>
      </c>
      <c r="E10">
        <v>2</v>
      </c>
      <c r="F10">
        <v>1</v>
      </c>
      <c r="J10" s="13" t="s">
        <v>47</v>
      </c>
      <c r="L10">
        <f>N1*O1*(D21-P1)*Q1*R1</f>
        <v>99144</v>
      </c>
    </row>
    <row r="11" spans="1:18" x14ac:dyDescent="0.25">
      <c r="A11" s="2" t="s">
        <v>13</v>
      </c>
      <c r="B11" s="5">
        <v>5</v>
      </c>
      <c r="C11">
        <v>4</v>
      </c>
      <c r="D11">
        <v>4</v>
      </c>
      <c r="E11">
        <v>4</v>
      </c>
      <c r="F11">
        <v>4</v>
      </c>
      <c r="J11" s="13" t="s">
        <v>46</v>
      </c>
      <c r="L11">
        <f>N1*(C21-O1)*P1*Q1*R1</f>
        <v>87480</v>
      </c>
    </row>
    <row r="12" spans="1:18" x14ac:dyDescent="0.25">
      <c r="A12" s="2" t="s">
        <v>14</v>
      </c>
      <c r="B12" s="5">
        <v>6</v>
      </c>
      <c r="C12">
        <v>5</v>
      </c>
      <c r="D12">
        <v>4</v>
      </c>
      <c r="E12">
        <v>5</v>
      </c>
      <c r="F12">
        <v>4</v>
      </c>
      <c r="I12" s="8"/>
      <c r="J12" s="8" t="s">
        <v>49</v>
      </c>
      <c r="K12" s="8"/>
      <c r="L12" s="8">
        <f>(B21-N1)*O1*P1*Q1*R1</f>
        <v>97686</v>
      </c>
    </row>
    <row r="13" spans="1:18" x14ac:dyDescent="0.25">
      <c r="A13" s="2" t="s">
        <v>15</v>
      </c>
      <c r="B13" s="5">
        <v>6</v>
      </c>
      <c r="C13">
        <v>4</v>
      </c>
      <c r="D13">
        <v>5</v>
      </c>
      <c r="E13">
        <v>4</v>
      </c>
      <c r="F13">
        <v>5</v>
      </c>
      <c r="K13" t="s">
        <v>45</v>
      </c>
      <c r="L13">
        <f>SUM(L8:L12)</f>
        <v>618921</v>
      </c>
    </row>
    <row r="14" spans="1:18" x14ac:dyDescent="0.25">
      <c r="A14" s="2" t="s">
        <v>16</v>
      </c>
      <c r="B14" s="5">
        <v>5</v>
      </c>
      <c r="C14">
        <v>3</v>
      </c>
      <c r="D14">
        <v>6</v>
      </c>
      <c r="E14">
        <v>3</v>
      </c>
      <c r="F14">
        <v>5</v>
      </c>
    </row>
    <row r="15" spans="1:18" x14ac:dyDescent="0.25">
      <c r="A15" s="2" t="s">
        <v>17</v>
      </c>
      <c r="B15" s="5">
        <v>10</v>
      </c>
      <c r="C15">
        <v>11</v>
      </c>
      <c r="D15">
        <v>12</v>
      </c>
      <c r="E15">
        <v>11</v>
      </c>
      <c r="F15">
        <v>10</v>
      </c>
    </row>
    <row r="16" spans="1:18" x14ac:dyDescent="0.25">
      <c r="A16" s="2" t="s">
        <v>18</v>
      </c>
      <c r="B16" s="5">
        <v>9</v>
      </c>
      <c r="C16">
        <v>8</v>
      </c>
      <c r="D16">
        <v>9</v>
      </c>
      <c r="E16">
        <v>8</v>
      </c>
      <c r="F16">
        <v>5</v>
      </c>
      <c r="I16" t="s">
        <v>60</v>
      </c>
    </row>
    <row r="17" spans="1:14" x14ac:dyDescent="0.25">
      <c r="A17" s="2" t="s">
        <v>19</v>
      </c>
      <c r="B17" s="5">
        <v>8</v>
      </c>
      <c r="C17">
        <v>6</v>
      </c>
      <c r="D17">
        <v>8</v>
      </c>
      <c r="E17">
        <v>6</v>
      </c>
      <c r="F17">
        <v>4</v>
      </c>
      <c r="I17" s="1"/>
      <c r="J17" s="1" t="s">
        <v>50</v>
      </c>
      <c r="K17" s="1"/>
      <c r="L17" s="1">
        <f>N1*O1*P1*(E21-Q1)*(F21-R1)</f>
        <v>2066715</v>
      </c>
    </row>
    <row r="18" spans="1:14" x14ac:dyDescent="0.25">
      <c r="A18" s="2" t="s">
        <v>20</v>
      </c>
      <c r="B18" s="5">
        <v>7</v>
      </c>
      <c r="C18">
        <v>8</v>
      </c>
      <c r="D18">
        <v>9</v>
      </c>
      <c r="E18">
        <v>8</v>
      </c>
      <c r="F18">
        <v>3</v>
      </c>
      <c r="J18" s="13" t="s">
        <v>51</v>
      </c>
      <c r="L18" s="13">
        <f>N1*O1*(D21-P1)*Q1*(F21-R1)</f>
        <v>1487160</v>
      </c>
    </row>
    <row r="19" spans="1:14" x14ac:dyDescent="0.25">
      <c r="A19" s="6" t="s">
        <v>21</v>
      </c>
      <c r="B19" s="7">
        <v>6</v>
      </c>
      <c r="C19" s="8">
        <v>7</v>
      </c>
      <c r="D19" s="8">
        <v>8</v>
      </c>
      <c r="E19" s="8">
        <v>9</v>
      </c>
      <c r="F19" s="8">
        <v>2</v>
      </c>
      <c r="J19" s="13" t="s">
        <v>52</v>
      </c>
      <c r="L19">
        <f>N1*O1*(D21-P1)*(E21-Q1)*R1</f>
        <v>1041012</v>
      </c>
    </row>
    <row r="20" spans="1:14" x14ac:dyDescent="0.25">
      <c r="A20" s="9" t="s">
        <v>22</v>
      </c>
      <c r="B20" s="4">
        <v>10</v>
      </c>
      <c r="C20" s="3">
        <v>9</v>
      </c>
      <c r="D20" s="3">
        <v>8</v>
      </c>
      <c r="E20" s="3">
        <v>7</v>
      </c>
      <c r="F20" s="3">
        <v>2</v>
      </c>
      <c r="J20" s="13" t="s">
        <v>53</v>
      </c>
      <c r="L20">
        <f>N1*(C21-O1)*P1*Q1*(F21-R1)</f>
        <v>1312200</v>
      </c>
    </row>
    <row r="21" spans="1:14" x14ac:dyDescent="0.25">
      <c r="A21" s="2" t="s">
        <v>23</v>
      </c>
      <c r="B21">
        <f>SUM(B9:B20)</f>
        <v>76</v>
      </c>
      <c r="C21">
        <f t="shared" ref="C21:F21" si="1">SUM(C9:C20)</f>
        <v>69</v>
      </c>
      <c r="D21">
        <f t="shared" si="1"/>
        <v>77</v>
      </c>
      <c r="E21">
        <f t="shared" si="1"/>
        <v>69</v>
      </c>
      <c r="F21">
        <f t="shared" si="1"/>
        <v>48</v>
      </c>
      <c r="I21" s="13"/>
      <c r="J21" s="13" t="s">
        <v>54</v>
      </c>
      <c r="K21" s="13"/>
      <c r="L21" s="13">
        <f>N1*(C21-O1)*P1*(E21-Q1)*R1</f>
        <v>918540</v>
      </c>
    </row>
    <row r="22" spans="1:14" x14ac:dyDescent="0.25">
      <c r="J22" s="13" t="s">
        <v>55</v>
      </c>
      <c r="L22">
        <f>N1*(C21-O1)*(D21-P1)*Q1*R1</f>
        <v>660960</v>
      </c>
    </row>
    <row r="23" spans="1:14" x14ac:dyDescent="0.25">
      <c r="A23" t="s">
        <v>24</v>
      </c>
      <c r="B23">
        <f>B21*C21*D21*E21*F21</f>
        <v>1337345856</v>
      </c>
      <c r="J23" s="13" t="s">
        <v>56</v>
      </c>
      <c r="L23">
        <f>(B21-N1)*O1*P1*Q1*(F21-R1)</f>
        <v>1465290</v>
      </c>
    </row>
    <row r="24" spans="1:14" x14ac:dyDescent="0.25">
      <c r="J24" s="13" t="s">
        <v>57</v>
      </c>
      <c r="L24">
        <f>(B21-N1)*O1*P1*(E21-Q1)*R1</f>
        <v>1025703</v>
      </c>
    </row>
    <row r="25" spans="1:14" x14ac:dyDescent="0.25">
      <c r="A25" t="s">
        <v>25</v>
      </c>
      <c r="J25" s="13" t="s">
        <v>58</v>
      </c>
      <c r="L25">
        <f>(B21-N1)*O1*(D21-P1)*Q1*R1</f>
        <v>738072</v>
      </c>
    </row>
    <row r="26" spans="1:14" x14ac:dyDescent="0.25">
      <c r="A26" s="3"/>
      <c r="B26" s="4">
        <v>5</v>
      </c>
      <c r="C26" s="3">
        <v>4</v>
      </c>
      <c r="D26" s="3">
        <v>3</v>
      </c>
      <c r="E26" s="3">
        <v>2</v>
      </c>
      <c r="F26" s="3">
        <v>1</v>
      </c>
      <c r="G26" s="4" t="s">
        <v>23</v>
      </c>
      <c r="I26" s="8"/>
      <c r="J26" s="8" t="s">
        <v>59</v>
      </c>
      <c r="K26" s="8"/>
      <c r="L26" s="8">
        <f>(B21-N1)*(C21-O1)*P1*Q1*R1</f>
        <v>651240</v>
      </c>
    </row>
    <row r="27" spans="1:14" x14ac:dyDescent="0.25">
      <c r="A27" s="14" t="s">
        <v>12</v>
      </c>
      <c r="B27" s="15">
        <f>N1*O1*P1*Q1*R1</f>
        <v>13122</v>
      </c>
      <c r="C27" s="16">
        <f>L13</f>
        <v>618921</v>
      </c>
      <c r="D27" s="16">
        <f>L27</f>
        <v>11366892</v>
      </c>
      <c r="E27" s="16"/>
      <c r="F27" s="16"/>
      <c r="G27" s="15">
        <f>SUM(B27:F27)</f>
        <v>11998935</v>
      </c>
      <c r="K27" t="s">
        <v>45</v>
      </c>
      <c r="L27">
        <f>SUM(L17:L26)</f>
        <v>11366892</v>
      </c>
    </row>
    <row r="28" spans="1:14" x14ac:dyDescent="0.25">
      <c r="A28" s="2" t="s">
        <v>13</v>
      </c>
      <c r="B28" s="5">
        <f>(B11+B$9)*(C11+C$9)*(D11+D$9)*(E11+E$9)*(F11+F$9)</f>
        <v>6300</v>
      </c>
      <c r="C28">
        <f>(B11+B$9)*(C11+C$9)*(D11+D$9)*(E11+E$9)*(F$21-(F11+F$9))</f>
        <v>36900</v>
      </c>
      <c r="D28">
        <f>(B11+B$9)*(C11+C$9)*(D11+D$9)*(E$21-(E11+E$9))*F$21</f>
        <v>453600</v>
      </c>
      <c r="G28" s="5">
        <f t="shared" ref="G28:G37" si="2">SUM(B28:F28)</f>
        <v>496800</v>
      </c>
    </row>
    <row r="29" spans="1:14" x14ac:dyDescent="0.25">
      <c r="A29" s="2" t="s">
        <v>14</v>
      </c>
      <c r="B29" s="5">
        <f t="shared" ref="B29:B37" si="3">(B12+B$9)*(C12+C$9)*(D12+D$9)*(E12+E$9)*(F12+F$9)</f>
        <v>10290</v>
      </c>
      <c r="C29">
        <f t="shared" ref="C29:C37" si="4">(B12+B$9)*(C12+C$9)*(D12+D$9)*(E12+E$9)*(F$21-(F12+F$9))</f>
        <v>60270</v>
      </c>
      <c r="D29">
        <f t="shared" ref="D29:E37" si="5">(B12+B$9)*(C12+C$9)*(D12+D$9)*(E$21-(E12+E$9))*F$21</f>
        <v>624960</v>
      </c>
      <c r="G29" s="5">
        <f t="shared" si="2"/>
        <v>695520</v>
      </c>
    </row>
    <row r="30" spans="1:14" x14ac:dyDescent="0.25">
      <c r="A30" s="2" t="s">
        <v>15</v>
      </c>
      <c r="B30" s="5">
        <f t="shared" si="3"/>
        <v>10080</v>
      </c>
      <c r="C30">
        <f t="shared" si="4"/>
        <v>50400</v>
      </c>
      <c r="D30">
        <f t="shared" si="5"/>
        <v>635040</v>
      </c>
      <c r="G30" s="5">
        <f t="shared" si="2"/>
        <v>695520</v>
      </c>
      <c r="I30" t="s">
        <v>61</v>
      </c>
    </row>
    <row r="31" spans="1:14" x14ac:dyDescent="0.25">
      <c r="A31" s="2" t="s">
        <v>16</v>
      </c>
      <c r="B31" s="5">
        <f t="shared" si="3"/>
        <v>6720</v>
      </c>
      <c r="C31">
        <f t="shared" si="4"/>
        <v>33600</v>
      </c>
      <c r="D31">
        <f t="shared" si="5"/>
        <v>516096</v>
      </c>
      <c r="G31" s="5">
        <f t="shared" si="2"/>
        <v>556416</v>
      </c>
      <c r="I31" s="3"/>
      <c r="J31" s="4">
        <v>5</v>
      </c>
      <c r="K31" s="3">
        <v>4</v>
      </c>
      <c r="L31" s="3">
        <v>3</v>
      </c>
      <c r="M31" s="3">
        <v>2</v>
      </c>
      <c r="N31" s="3">
        <v>1</v>
      </c>
    </row>
    <row r="32" spans="1:14" x14ac:dyDescent="0.25">
      <c r="A32" s="2" t="s">
        <v>17</v>
      </c>
      <c r="B32" s="5">
        <f t="shared" si="3"/>
        <v>290004</v>
      </c>
      <c r="C32">
        <f t="shared" si="4"/>
        <v>780780</v>
      </c>
      <c r="D32">
        <f t="shared" si="5"/>
        <v>4612608</v>
      </c>
      <c r="G32" s="5">
        <f t="shared" si="2"/>
        <v>5683392</v>
      </c>
      <c r="I32" s="14" t="s">
        <v>12</v>
      </c>
      <c r="J32" s="15">
        <f>B27/$B$23</f>
        <v>9.8119719301691252E-6</v>
      </c>
      <c r="K32" s="19">
        <f t="shared" ref="K32:N32" si="6">C27/$B$23</f>
        <v>4.6279800937297705E-4</v>
      </c>
      <c r="L32" s="19">
        <f t="shared" si="6"/>
        <v>8.4995904006450219E-3</v>
      </c>
      <c r="M32" s="15">
        <f t="shared" si="6"/>
        <v>0</v>
      </c>
      <c r="N32" s="15">
        <f t="shared" si="6"/>
        <v>0</v>
      </c>
    </row>
    <row r="33" spans="1:14" x14ac:dyDescent="0.25">
      <c r="A33" s="2" t="s">
        <v>18</v>
      </c>
      <c r="B33" s="5">
        <f t="shared" si="3"/>
        <v>72000</v>
      </c>
      <c r="C33">
        <f t="shared" si="4"/>
        <v>360000</v>
      </c>
      <c r="D33">
        <f t="shared" si="5"/>
        <v>2548800</v>
      </c>
      <c r="G33" s="5">
        <f t="shared" si="2"/>
        <v>2980800</v>
      </c>
      <c r="I33" s="2" t="s">
        <v>13</v>
      </c>
      <c r="J33" s="2">
        <f t="shared" ref="J33:J42" si="7">B28/$B$23</f>
        <v>4.7108232860894287E-6</v>
      </c>
      <c r="K33" s="18">
        <f t="shared" ref="K33:K42" si="8">C28/$B$23</f>
        <v>2.7591964961380939E-5</v>
      </c>
      <c r="L33" s="18">
        <f t="shared" ref="L33:L42" si="9">D28/$B$23</f>
        <v>3.3917927659843887E-4</v>
      </c>
      <c r="M33" s="2">
        <f t="shared" ref="M33:M42" si="10">E28/$B$23</f>
        <v>0</v>
      </c>
      <c r="N33" s="2">
        <f t="shared" ref="N33:N42" si="11">F28/$B$23</f>
        <v>0</v>
      </c>
    </row>
    <row r="34" spans="1:14" x14ac:dyDescent="0.25">
      <c r="A34" s="2" t="s">
        <v>19</v>
      </c>
      <c r="B34" s="5">
        <f t="shared" si="3"/>
        <v>31752</v>
      </c>
      <c r="C34">
        <f t="shared" si="4"/>
        <v>185976</v>
      </c>
      <c r="D34">
        <f t="shared" si="5"/>
        <v>1660176</v>
      </c>
      <c r="G34" s="5">
        <f t="shared" si="2"/>
        <v>1877904</v>
      </c>
      <c r="I34" s="2" t="s">
        <v>14</v>
      </c>
      <c r="J34" s="2">
        <f t="shared" si="7"/>
        <v>7.6943447006127336E-6</v>
      </c>
      <c r="K34" s="18">
        <f t="shared" si="8"/>
        <v>4.5066876103588872E-5</v>
      </c>
      <c r="L34" s="18">
        <f t="shared" si="9"/>
        <v>4.6731366998007133E-4</v>
      </c>
      <c r="M34" s="2">
        <f t="shared" si="10"/>
        <v>0</v>
      </c>
      <c r="N34" s="2">
        <f t="shared" si="11"/>
        <v>0</v>
      </c>
    </row>
    <row r="35" spans="1:14" x14ac:dyDescent="0.25">
      <c r="A35" s="2" t="s">
        <v>20</v>
      </c>
      <c r="B35" s="5">
        <f t="shared" si="3"/>
        <v>43200</v>
      </c>
      <c r="C35">
        <f t="shared" si="4"/>
        <v>302400</v>
      </c>
      <c r="D35">
        <f t="shared" si="5"/>
        <v>2039040</v>
      </c>
      <c r="G35" s="5">
        <f t="shared" si="2"/>
        <v>2384640</v>
      </c>
      <c r="I35" s="2" t="s">
        <v>15</v>
      </c>
      <c r="J35" s="2">
        <f t="shared" si="7"/>
        <v>7.537317257743086E-6</v>
      </c>
      <c r="K35" s="18">
        <f t="shared" si="8"/>
        <v>3.768658628871543E-5</v>
      </c>
      <c r="L35" s="18">
        <f t="shared" si="9"/>
        <v>4.7485098723781442E-4</v>
      </c>
      <c r="M35" s="2">
        <f t="shared" si="10"/>
        <v>0</v>
      </c>
      <c r="N35" s="2">
        <f t="shared" si="11"/>
        <v>0</v>
      </c>
    </row>
    <row r="36" spans="1:14" x14ac:dyDescent="0.25">
      <c r="A36" s="2" t="s">
        <v>21</v>
      </c>
      <c r="B36" s="5">
        <f t="shared" si="3"/>
        <v>27720</v>
      </c>
      <c r="C36">
        <f t="shared" si="4"/>
        <v>238392</v>
      </c>
      <c r="D36">
        <f t="shared" si="5"/>
        <v>1403136</v>
      </c>
      <c r="E36">
        <f>(B19+B$9)*(C19+C$9)*(D$21-(D19+D$9))*E$21*F$21</f>
        <v>12612096</v>
      </c>
      <c r="G36" s="5">
        <f t="shared" si="2"/>
        <v>14281344</v>
      </c>
      <c r="I36" s="2" t="s">
        <v>16</v>
      </c>
      <c r="J36" s="2">
        <f t="shared" si="7"/>
        <v>5.024878171828724E-6</v>
      </c>
      <c r="K36" s="18">
        <f t="shared" si="8"/>
        <v>2.512439085914362E-5</v>
      </c>
      <c r="L36" s="18">
        <f t="shared" si="9"/>
        <v>3.8591064359644599E-4</v>
      </c>
      <c r="M36" s="2">
        <f t="shared" si="10"/>
        <v>0</v>
      </c>
      <c r="N36" s="2">
        <f t="shared" si="11"/>
        <v>0</v>
      </c>
    </row>
    <row r="37" spans="1:14" x14ac:dyDescent="0.25">
      <c r="A37" s="2" t="s">
        <v>27</v>
      </c>
      <c r="B37" s="5">
        <f t="shared" si="3"/>
        <v>44550</v>
      </c>
      <c r="C37">
        <f t="shared" si="4"/>
        <v>383130</v>
      </c>
      <c r="D37">
        <f t="shared" si="5"/>
        <v>2851200</v>
      </c>
      <c r="E37">
        <f>(B20+B$9)*(C20+C$9)*(D$21-(D20+D$9))*E$21*F$21</f>
        <v>24773760</v>
      </c>
      <c r="G37" s="5">
        <f t="shared" si="2"/>
        <v>28052640</v>
      </c>
      <c r="I37" s="2" t="s">
        <v>17</v>
      </c>
      <c r="J37" s="2">
        <f t="shared" si="7"/>
        <v>2.1685041210461566E-4</v>
      </c>
      <c r="K37" s="18">
        <f t="shared" si="8"/>
        <v>5.8382803258934983E-4</v>
      </c>
      <c r="L37" s="18">
        <f t="shared" si="9"/>
        <v>3.4490763771432361E-3</v>
      </c>
      <c r="M37" s="2">
        <f t="shared" si="10"/>
        <v>0</v>
      </c>
      <c r="N37" s="2">
        <f t="shared" si="11"/>
        <v>0</v>
      </c>
    </row>
    <row r="38" spans="1:14" x14ac:dyDescent="0.25">
      <c r="A38" s="9" t="s">
        <v>26</v>
      </c>
      <c r="B38" s="4">
        <f>SUM(B28:B37)</f>
        <v>542616</v>
      </c>
      <c r="C38" s="3">
        <f>SUM(C28:C37)</f>
        <v>2431848</v>
      </c>
      <c r="D38" s="3">
        <f t="shared" ref="D38:E38" si="12">SUM(D28:D37)</f>
        <v>17344656</v>
      </c>
      <c r="E38" s="3">
        <f t="shared" si="12"/>
        <v>37385856</v>
      </c>
      <c r="F38" s="3"/>
      <c r="G38" s="4">
        <f>SUM(G28:G37)</f>
        <v>57704976</v>
      </c>
      <c r="I38" s="2" t="s">
        <v>18</v>
      </c>
      <c r="J38" s="2">
        <f t="shared" si="7"/>
        <v>5.3837980412450612E-5</v>
      </c>
      <c r="K38" s="18">
        <f t="shared" si="8"/>
        <v>2.6918990206225305E-4</v>
      </c>
      <c r="L38" s="18">
        <f t="shared" si="9"/>
        <v>1.9058645066007518E-3</v>
      </c>
      <c r="M38" s="2">
        <f t="shared" si="10"/>
        <v>0</v>
      </c>
      <c r="N38" s="2">
        <f t="shared" si="11"/>
        <v>0</v>
      </c>
    </row>
    <row r="39" spans="1:14" x14ac:dyDescent="0.25">
      <c r="I39" s="2" t="s">
        <v>19</v>
      </c>
      <c r="J39" s="2">
        <f t="shared" si="7"/>
        <v>2.3742549361890719E-5</v>
      </c>
      <c r="K39" s="18">
        <f t="shared" si="8"/>
        <v>1.3906350340535994E-4</v>
      </c>
      <c r="L39" s="18">
        <f t="shared" si="9"/>
        <v>1.2413961523502863E-3</v>
      </c>
      <c r="M39" s="2">
        <f t="shared" si="10"/>
        <v>0</v>
      </c>
      <c r="N39" s="2">
        <f t="shared" si="11"/>
        <v>0</v>
      </c>
    </row>
    <row r="40" spans="1:14" x14ac:dyDescent="0.25">
      <c r="A40" t="s">
        <v>28</v>
      </c>
      <c r="I40" s="2" t="s">
        <v>20</v>
      </c>
      <c r="J40" s="2">
        <f t="shared" si="7"/>
        <v>3.2302788247470371E-5</v>
      </c>
      <c r="K40" s="18">
        <f t="shared" si="8"/>
        <v>2.2611951773229258E-4</v>
      </c>
      <c r="L40" s="18">
        <f t="shared" si="9"/>
        <v>1.5246916052806014E-3</v>
      </c>
      <c r="M40" s="2">
        <f t="shared" si="10"/>
        <v>0</v>
      </c>
      <c r="N40" s="2">
        <f t="shared" si="11"/>
        <v>0</v>
      </c>
    </row>
    <row r="41" spans="1:14" x14ac:dyDescent="0.25">
      <c r="A41" s="3"/>
      <c r="B41" s="4">
        <v>5</v>
      </c>
      <c r="C41" s="3">
        <v>4</v>
      </c>
      <c r="D41" s="3">
        <v>3</v>
      </c>
      <c r="E41" s="3">
        <v>2</v>
      </c>
      <c r="F41" s="3">
        <v>1</v>
      </c>
      <c r="G41" s="13"/>
      <c r="I41" s="2" t="s">
        <v>21</v>
      </c>
      <c r="J41" s="2">
        <f t="shared" si="7"/>
        <v>2.0727622458793486E-5</v>
      </c>
      <c r="K41" s="18">
        <f t="shared" si="8"/>
        <v>1.7825755314562397E-4</v>
      </c>
      <c r="L41" s="18">
        <f t="shared" si="9"/>
        <v>1.0491945622778376E-3</v>
      </c>
      <c r="M41" s="2">
        <f t="shared" si="10"/>
        <v>9.430691352888149E-3</v>
      </c>
      <c r="N41" s="2">
        <f t="shared" si="11"/>
        <v>0</v>
      </c>
    </row>
    <row r="42" spans="1:14" x14ac:dyDescent="0.25">
      <c r="A42" s="14" t="s">
        <v>12</v>
      </c>
      <c r="B42" s="15">
        <v>100</v>
      </c>
      <c r="C42" s="16">
        <v>20</v>
      </c>
      <c r="D42" s="16">
        <v>10</v>
      </c>
      <c r="E42" s="16"/>
      <c r="F42" s="16"/>
      <c r="G42" s="13"/>
      <c r="I42" s="6" t="s">
        <v>27</v>
      </c>
      <c r="J42" s="6">
        <f t="shared" si="7"/>
        <v>3.3312250380203816E-5</v>
      </c>
      <c r="K42" s="20">
        <f t="shared" si="8"/>
        <v>2.8648535326975281E-4</v>
      </c>
      <c r="L42" s="20">
        <f t="shared" si="9"/>
        <v>2.1319840243330442E-3</v>
      </c>
      <c r="M42" s="6">
        <f t="shared" si="10"/>
        <v>1.8524572300316008E-2</v>
      </c>
      <c r="N42" s="6">
        <f t="shared" si="11"/>
        <v>0</v>
      </c>
    </row>
    <row r="43" spans="1:14" x14ac:dyDescent="0.25">
      <c r="A43" s="2" t="s">
        <v>13</v>
      </c>
      <c r="B43" s="5">
        <v>1000</v>
      </c>
      <c r="C43">
        <v>750</v>
      </c>
      <c r="D43">
        <v>500</v>
      </c>
      <c r="G43" s="13"/>
    </row>
    <row r="44" spans="1:14" x14ac:dyDescent="0.25">
      <c r="A44" s="2" t="s">
        <v>14</v>
      </c>
      <c r="B44" s="5">
        <v>750</v>
      </c>
      <c r="C44">
        <v>500</v>
      </c>
      <c r="D44">
        <v>100</v>
      </c>
      <c r="G44" s="13"/>
    </row>
    <row r="45" spans="1:14" x14ac:dyDescent="0.25">
      <c r="A45" s="2" t="s">
        <v>15</v>
      </c>
      <c r="B45" s="5">
        <v>750</v>
      </c>
      <c r="C45">
        <v>100</v>
      </c>
      <c r="D45">
        <v>15</v>
      </c>
      <c r="G45" s="13"/>
      <c r="I45" t="s">
        <v>62</v>
      </c>
    </row>
    <row r="46" spans="1:14" x14ac:dyDescent="0.25">
      <c r="A46" s="2" t="s">
        <v>16</v>
      </c>
      <c r="B46" s="5">
        <v>500</v>
      </c>
      <c r="C46">
        <v>40</v>
      </c>
      <c r="D46">
        <v>15</v>
      </c>
      <c r="G46" s="13"/>
      <c r="I46" s="3"/>
      <c r="J46" s="10">
        <v>5</v>
      </c>
      <c r="K46" s="1">
        <v>4</v>
      </c>
      <c r="L46" s="1">
        <v>3</v>
      </c>
      <c r="M46" s="1">
        <v>2</v>
      </c>
      <c r="N46" s="1">
        <v>1</v>
      </c>
    </row>
    <row r="47" spans="1:14" x14ac:dyDescent="0.25">
      <c r="A47" s="2" t="s">
        <v>17</v>
      </c>
      <c r="B47" s="5">
        <v>400</v>
      </c>
      <c r="C47">
        <v>50</v>
      </c>
      <c r="D47">
        <v>15</v>
      </c>
      <c r="G47" s="13"/>
      <c r="I47" s="14" t="s">
        <v>12</v>
      </c>
      <c r="J47" s="24">
        <f>J32*POWER(B42-$B$83, 2)</f>
        <v>9.6286310311286982E-2</v>
      </c>
      <c r="K47" s="25">
        <f t="shared" ref="K47:N47" si="13">K32*POWER(C42-$B$83, 2)</f>
        <v>0.16815026803455221</v>
      </c>
      <c r="L47" s="25">
        <f t="shared" si="13"/>
        <v>0.69788075322584631</v>
      </c>
      <c r="M47" s="25">
        <f t="shared" si="13"/>
        <v>0</v>
      </c>
      <c r="N47" s="25">
        <f t="shared" si="13"/>
        <v>0</v>
      </c>
    </row>
    <row r="48" spans="1:14" x14ac:dyDescent="0.25">
      <c r="A48" s="2" t="s">
        <v>18</v>
      </c>
      <c r="B48" s="5">
        <v>400</v>
      </c>
      <c r="C48">
        <v>50</v>
      </c>
      <c r="D48">
        <v>10</v>
      </c>
      <c r="G48" s="13"/>
      <c r="I48" s="2" t="s">
        <v>13</v>
      </c>
      <c r="J48" s="5">
        <f>J33*POWER(B43-$B$83, 2)</f>
        <v>4.7019835539918216</v>
      </c>
      <c r="K48" s="13">
        <f t="shared" ref="K48:N57" si="14">K33*POWER(C43-$B$83, 2)</f>
        <v>15.48165468841094</v>
      </c>
      <c r="L48" s="13">
        <f t="shared" si="14"/>
        <v>84.476738221984689</v>
      </c>
      <c r="M48" s="13">
        <f t="shared" si="14"/>
        <v>0</v>
      </c>
      <c r="N48" s="13">
        <f t="shared" si="14"/>
        <v>0</v>
      </c>
    </row>
    <row r="49" spans="1:14" x14ac:dyDescent="0.25">
      <c r="A49" s="2" t="s">
        <v>19</v>
      </c>
      <c r="B49" s="5">
        <v>200</v>
      </c>
      <c r="C49">
        <v>25</v>
      </c>
      <c r="D49">
        <v>10</v>
      </c>
      <c r="G49" s="13"/>
      <c r="I49" s="2" t="s">
        <v>14</v>
      </c>
      <c r="J49" s="5">
        <f t="shared" ref="J49:J57" si="15">J34*POWER(B44-$B$83, 2)</f>
        <v>4.3172419171747585</v>
      </c>
      <c r="K49" s="13">
        <f t="shared" si="14"/>
        <v>11.224455495235929</v>
      </c>
      <c r="L49" s="13">
        <f t="shared" si="14"/>
        <v>4.5858171385567683</v>
      </c>
      <c r="M49" s="13">
        <f t="shared" si="14"/>
        <v>0</v>
      </c>
      <c r="N49" s="13">
        <f t="shared" si="14"/>
        <v>0</v>
      </c>
    </row>
    <row r="50" spans="1:14" x14ac:dyDescent="0.25">
      <c r="A50" s="2" t="s">
        <v>20</v>
      </c>
      <c r="B50" s="5">
        <v>200</v>
      </c>
      <c r="C50">
        <v>25</v>
      </c>
      <c r="D50">
        <v>10</v>
      </c>
      <c r="G50" s="13"/>
      <c r="I50" s="2" t="s">
        <v>15</v>
      </c>
      <c r="J50" s="5">
        <f t="shared" si="15"/>
        <v>4.2291349392732327</v>
      </c>
      <c r="K50" s="13">
        <f t="shared" si="14"/>
        <v>0.36982396278683616</v>
      </c>
      <c r="L50" s="13">
        <f t="shared" si="14"/>
        <v>9.3887919314341733E-2</v>
      </c>
      <c r="M50" s="13">
        <f t="shared" si="14"/>
        <v>0</v>
      </c>
      <c r="N50" s="13">
        <f t="shared" si="14"/>
        <v>0</v>
      </c>
    </row>
    <row r="51" spans="1:14" x14ac:dyDescent="0.25">
      <c r="A51" s="2" t="s">
        <v>21</v>
      </c>
      <c r="B51" s="5">
        <v>150</v>
      </c>
      <c r="C51">
        <v>25</v>
      </c>
      <c r="D51">
        <v>10</v>
      </c>
      <c r="E51">
        <v>5</v>
      </c>
      <c r="G51" s="13"/>
      <c r="I51" s="2" t="s">
        <v>16</v>
      </c>
      <c r="J51" s="5">
        <f t="shared" si="15"/>
        <v>1.2515072329182917</v>
      </c>
      <c r="K51" s="13">
        <f t="shared" si="14"/>
        <v>3.8334467826886098E-2</v>
      </c>
      <c r="L51" s="13">
        <f t="shared" si="14"/>
        <v>7.6302562998322165E-2</v>
      </c>
      <c r="M51" s="13">
        <f t="shared" si="14"/>
        <v>0</v>
      </c>
      <c r="N51" s="13">
        <f t="shared" si="14"/>
        <v>0</v>
      </c>
    </row>
    <row r="52" spans="1:14" x14ac:dyDescent="0.25">
      <c r="A52" s="6" t="s">
        <v>27</v>
      </c>
      <c r="B52" s="7">
        <v>150</v>
      </c>
      <c r="C52" s="8">
        <v>25</v>
      </c>
      <c r="D52" s="8">
        <v>10</v>
      </c>
      <c r="E52" s="8">
        <v>5</v>
      </c>
      <c r="F52" s="8"/>
      <c r="G52" s="13"/>
      <c r="I52" s="2" t="s">
        <v>17</v>
      </c>
      <c r="J52" s="5">
        <f t="shared" si="15"/>
        <v>34.533415012589941</v>
      </c>
      <c r="K52" s="13">
        <f t="shared" si="14"/>
        <v>1.4052819066179467</v>
      </c>
      <c r="L52" s="13">
        <f t="shared" si="14"/>
        <v>0.68195415679750437</v>
      </c>
      <c r="M52" s="13">
        <f t="shared" si="14"/>
        <v>0</v>
      </c>
      <c r="N52" s="13">
        <f t="shared" si="14"/>
        <v>0</v>
      </c>
    </row>
    <row r="53" spans="1:14" x14ac:dyDescent="0.25">
      <c r="I53" s="2" t="s">
        <v>18</v>
      </c>
      <c r="J53" s="5">
        <f t="shared" si="15"/>
        <v>8.5736951245723372</v>
      </c>
      <c r="K53" s="13">
        <f t="shared" si="14"/>
        <v>0.64794370550278035</v>
      </c>
      <c r="L53" s="13">
        <f t="shared" si="14"/>
        <v>0.15648591222842947</v>
      </c>
      <c r="M53" s="13">
        <f t="shared" si="14"/>
        <v>0</v>
      </c>
      <c r="N53" s="13">
        <f t="shared" si="14"/>
        <v>0</v>
      </c>
    </row>
    <row r="54" spans="1:14" x14ac:dyDescent="0.25">
      <c r="I54" s="2" t="s">
        <v>19</v>
      </c>
      <c r="J54" s="5">
        <f t="shared" si="15"/>
        <v>0.94080826044479049</v>
      </c>
      <c r="K54" s="13">
        <f t="shared" si="14"/>
        <v>8.0510434937441921E-2</v>
      </c>
      <c r="L54" s="13">
        <f t="shared" si="14"/>
        <v>0.10192802723624653</v>
      </c>
      <c r="M54" s="13">
        <f t="shared" si="14"/>
        <v>0</v>
      </c>
      <c r="N54" s="13">
        <f t="shared" si="14"/>
        <v>0</v>
      </c>
    </row>
    <row r="55" spans="1:14" x14ac:dyDescent="0.25">
      <c r="A55" t="s">
        <v>29</v>
      </c>
      <c r="I55" s="2" t="s">
        <v>20</v>
      </c>
      <c r="J55" s="5">
        <f t="shared" si="15"/>
        <v>1.2800112387003955</v>
      </c>
      <c r="K55" s="13">
        <f t="shared" si="14"/>
        <v>0.13091127632104377</v>
      </c>
      <c r="L55" s="13">
        <f t="shared" si="14"/>
        <v>0.12518872978274356</v>
      </c>
      <c r="M55" s="13">
        <f t="shared" si="14"/>
        <v>0</v>
      </c>
      <c r="N55" s="13">
        <f t="shared" si="14"/>
        <v>0</v>
      </c>
    </row>
    <row r="56" spans="1:14" x14ac:dyDescent="0.25">
      <c r="A56" s="3"/>
      <c r="B56" s="10">
        <v>5</v>
      </c>
      <c r="C56" s="1">
        <v>4</v>
      </c>
      <c r="D56" s="1">
        <v>3</v>
      </c>
      <c r="E56" s="1">
        <v>2</v>
      </c>
      <c r="F56" s="1">
        <v>1</v>
      </c>
      <c r="G56" s="4" t="s">
        <v>23</v>
      </c>
      <c r="I56" s="2" t="s">
        <v>21</v>
      </c>
      <c r="J56" s="5">
        <f t="shared" si="15"/>
        <v>0.46055280603577303</v>
      </c>
      <c r="K56" s="13">
        <f t="shared" si="14"/>
        <v>0.1032017228330895</v>
      </c>
      <c r="L56" s="13">
        <f t="shared" si="14"/>
        <v>8.6146820833548965E-2</v>
      </c>
      <c r="M56" s="13">
        <f t="shared" si="14"/>
        <v>0.15555307269096205</v>
      </c>
      <c r="N56" s="13">
        <f t="shared" si="14"/>
        <v>0</v>
      </c>
    </row>
    <row r="57" spans="1:14" x14ac:dyDescent="0.25">
      <c r="A57" s="14" t="s">
        <v>12</v>
      </c>
      <c r="B57" s="24">
        <f>B42*J32</f>
        <v>9.8119719301691262E-4</v>
      </c>
      <c r="C57" s="25">
        <f t="shared" ref="C57:F57" si="16">C42*K32</f>
        <v>9.2559601874595415E-3</v>
      </c>
      <c r="D57" s="25">
        <f t="shared" si="16"/>
        <v>8.4995904006450212E-2</v>
      </c>
      <c r="E57" s="25">
        <f t="shared" si="16"/>
        <v>0</v>
      </c>
      <c r="F57" s="26">
        <f t="shared" si="16"/>
        <v>0</v>
      </c>
      <c r="G57" s="14">
        <f>B57+C57+D57+E57+F57</f>
        <v>9.5233061386926665E-2</v>
      </c>
      <c r="I57" s="6" t="s">
        <v>27</v>
      </c>
      <c r="J57" s="7">
        <f t="shared" si="15"/>
        <v>0.74017415255749242</v>
      </c>
      <c r="K57" s="8">
        <f t="shared" si="14"/>
        <v>0.1658599116960367</v>
      </c>
      <c r="L57" s="8">
        <f t="shared" si="14"/>
        <v>0.17505203740807362</v>
      </c>
      <c r="M57" s="8">
        <f t="shared" si="14"/>
        <v>0.30555067850010403</v>
      </c>
      <c r="N57" s="8">
        <f t="shared" si="14"/>
        <v>0</v>
      </c>
    </row>
    <row r="58" spans="1:14" x14ac:dyDescent="0.25">
      <c r="A58" s="2" t="s">
        <v>13</v>
      </c>
      <c r="B58" s="17">
        <f t="shared" ref="B58:B67" si="17">B43*J33</f>
        <v>4.7108232860894285E-3</v>
      </c>
      <c r="C58" s="2">
        <f t="shared" ref="C58:C67" si="18">C43*K33</f>
        <v>2.0693973721035704E-2</v>
      </c>
      <c r="D58" s="2">
        <f t="shared" ref="D58:D67" si="19">D43*L33</f>
        <v>0.16958963829921944</v>
      </c>
      <c r="E58" s="2">
        <f t="shared" ref="E58:E67" si="20">E43*M33</f>
        <v>0</v>
      </c>
      <c r="F58" s="22">
        <f t="shared" ref="F58:F67" si="21">F43*N33</f>
        <v>0</v>
      </c>
      <c r="G58" s="13">
        <f t="shared" ref="G58:G68" si="22">B58+C58+D58+E58+F58</f>
        <v>0.19499443530634458</v>
      </c>
    </row>
    <row r="59" spans="1:14" x14ac:dyDescent="0.25">
      <c r="A59" s="2" t="s">
        <v>14</v>
      </c>
      <c r="B59" s="17">
        <f t="shared" si="17"/>
        <v>5.77075852545955E-3</v>
      </c>
      <c r="C59" s="2">
        <f t="shared" si="18"/>
        <v>2.2533438051794436E-2</v>
      </c>
      <c r="D59" s="2">
        <f t="shared" si="19"/>
        <v>4.6731366998007132E-2</v>
      </c>
      <c r="E59" s="2">
        <f t="shared" si="20"/>
        <v>0</v>
      </c>
      <c r="F59" s="22">
        <f t="shared" si="21"/>
        <v>0</v>
      </c>
      <c r="G59" s="13">
        <f t="shared" si="22"/>
        <v>7.5035563575261116E-2</v>
      </c>
    </row>
    <row r="60" spans="1:14" x14ac:dyDescent="0.25">
      <c r="A60" s="2" t="s">
        <v>15</v>
      </c>
      <c r="B60" s="17">
        <f t="shared" si="17"/>
        <v>5.6529879433073141E-3</v>
      </c>
      <c r="C60" s="2">
        <f t="shared" si="18"/>
        <v>3.7686586288715428E-3</v>
      </c>
      <c r="D60" s="2">
        <f t="shared" si="19"/>
        <v>7.122764808567216E-3</v>
      </c>
      <c r="E60" s="2">
        <f t="shared" si="20"/>
        <v>0</v>
      </c>
      <c r="F60" s="22">
        <f t="shared" si="21"/>
        <v>0</v>
      </c>
      <c r="G60" s="13">
        <f t="shared" si="22"/>
        <v>1.6544411380746072E-2</v>
      </c>
    </row>
    <row r="61" spans="1:14" x14ac:dyDescent="0.25">
      <c r="A61" s="2" t="s">
        <v>16</v>
      </c>
      <c r="B61" s="17">
        <f t="shared" si="17"/>
        <v>2.512439085914362E-3</v>
      </c>
      <c r="C61" s="2">
        <f t="shared" si="18"/>
        <v>1.0049756343657448E-3</v>
      </c>
      <c r="D61" s="2">
        <f t="shared" si="19"/>
        <v>5.78865965394669E-3</v>
      </c>
      <c r="E61" s="2">
        <f t="shared" si="20"/>
        <v>0</v>
      </c>
      <c r="F61" s="22">
        <f t="shared" si="21"/>
        <v>0</v>
      </c>
      <c r="G61" s="13">
        <f t="shared" si="22"/>
        <v>9.3060743742267964E-3</v>
      </c>
      <c r="I61" t="s">
        <v>63</v>
      </c>
    </row>
    <row r="62" spans="1:14" x14ac:dyDescent="0.25">
      <c r="A62" s="2" t="s">
        <v>17</v>
      </c>
      <c r="B62" s="17">
        <f t="shared" si="17"/>
        <v>8.6740164841846268E-2</v>
      </c>
      <c r="C62" s="2">
        <f t="shared" si="18"/>
        <v>2.9191401629467491E-2</v>
      </c>
      <c r="D62" s="2">
        <f t="shared" si="19"/>
        <v>5.1736145657148541E-2</v>
      </c>
      <c r="E62" s="2">
        <f t="shared" si="20"/>
        <v>0</v>
      </c>
      <c r="F62" s="22">
        <f t="shared" si="21"/>
        <v>0</v>
      </c>
      <c r="G62" s="13">
        <f t="shared" si="22"/>
        <v>0.16766771212846229</v>
      </c>
      <c r="I62" s="3"/>
      <c r="J62" s="10">
        <v>5</v>
      </c>
      <c r="K62" s="1">
        <v>4</v>
      </c>
      <c r="L62" s="1">
        <v>3</v>
      </c>
      <c r="M62" s="1">
        <v>2</v>
      </c>
      <c r="N62" s="1">
        <v>1</v>
      </c>
    </row>
    <row r="63" spans="1:14" x14ac:dyDescent="0.25">
      <c r="A63" s="2" t="s">
        <v>18</v>
      </c>
      <c r="B63" s="17">
        <f t="shared" si="17"/>
        <v>2.1535192164980246E-2</v>
      </c>
      <c r="C63" s="2">
        <f t="shared" si="18"/>
        <v>1.3459495103112652E-2</v>
      </c>
      <c r="D63" s="2">
        <f t="shared" si="19"/>
        <v>1.9058645066007518E-2</v>
      </c>
      <c r="E63" s="2">
        <f t="shared" si="20"/>
        <v>0</v>
      </c>
      <c r="F63" s="22">
        <f t="shared" si="21"/>
        <v>0</v>
      </c>
      <c r="G63" s="13">
        <f t="shared" si="22"/>
        <v>5.4053332334100417E-2</v>
      </c>
      <c r="I63" s="14" t="s">
        <v>12</v>
      </c>
      <c r="J63" s="24">
        <f>$D$80*J47</f>
        <v>9.7772781735263777E-3</v>
      </c>
      <c r="K63" s="25">
        <f t="shared" ref="K63:N63" si="23">$D$80*K47</f>
        <v>1.7074617774964388E-2</v>
      </c>
      <c r="L63" s="25">
        <f t="shared" si="23"/>
        <v>7.0865466068641719E-2</v>
      </c>
      <c r="M63" s="25">
        <f t="shared" si="23"/>
        <v>0</v>
      </c>
      <c r="N63" s="25">
        <f t="shared" si="23"/>
        <v>0</v>
      </c>
    </row>
    <row r="64" spans="1:14" x14ac:dyDescent="0.25">
      <c r="A64" s="2" t="s">
        <v>19</v>
      </c>
      <c r="B64" s="17">
        <f t="shared" si="17"/>
        <v>4.7485098723781443E-3</v>
      </c>
      <c r="C64" s="2">
        <f t="shared" si="18"/>
        <v>3.4765875851339983E-3</v>
      </c>
      <c r="D64" s="2">
        <f t="shared" si="19"/>
        <v>1.2413961523502864E-2</v>
      </c>
      <c r="E64" s="2">
        <f t="shared" si="20"/>
        <v>0</v>
      </c>
      <c r="F64" s="22">
        <f t="shared" si="21"/>
        <v>0</v>
      </c>
      <c r="G64" s="13">
        <f t="shared" si="22"/>
        <v>2.0639058981015007E-2</v>
      </c>
      <c r="I64" s="2" t="s">
        <v>13</v>
      </c>
      <c r="J64" s="17">
        <f t="shared" ref="J64:N64" si="24">$D$80*J48</f>
        <v>0.4774572940441687</v>
      </c>
      <c r="K64" s="2">
        <f t="shared" si="24"/>
        <v>1.572066101460414</v>
      </c>
      <c r="L64" s="2">
        <f t="shared" si="24"/>
        <v>8.5780893059279659</v>
      </c>
      <c r="M64" s="2">
        <f t="shared" si="24"/>
        <v>0</v>
      </c>
      <c r="N64" s="2">
        <f t="shared" si="24"/>
        <v>0</v>
      </c>
    </row>
    <row r="65" spans="1:14" x14ac:dyDescent="0.25">
      <c r="A65" s="2" t="s">
        <v>20</v>
      </c>
      <c r="B65" s="17">
        <f t="shared" si="17"/>
        <v>6.4605576494940744E-3</v>
      </c>
      <c r="C65" s="2">
        <f t="shared" si="18"/>
        <v>5.6529879433073141E-3</v>
      </c>
      <c r="D65" s="2">
        <f t="shared" si="19"/>
        <v>1.5246916052806014E-2</v>
      </c>
      <c r="E65" s="2">
        <f t="shared" si="20"/>
        <v>0</v>
      </c>
      <c r="F65" s="22">
        <f t="shared" si="21"/>
        <v>0</v>
      </c>
      <c r="G65" s="13">
        <f t="shared" si="22"/>
        <v>2.7360461645607403E-2</v>
      </c>
      <c r="I65" s="2" t="s">
        <v>14</v>
      </c>
      <c r="J65" s="17">
        <f t="shared" ref="J65:N65" si="25">$D$80*J49</f>
        <v>0.43838916487879848</v>
      </c>
      <c r="K65" s="2">
        <f t="shared" si="25"/>
        <v>1.1397739031487621</v>
      </c>
      <c r="L65" s="2">
        <f t="shared" si="25"/>
        <v>0.46566131438249087</v>
      </c>
      <c r="M65" s="2">
        <f t="shared" si="25"/>
        <v>0</v>
      </c>
      <c r="N65" s="2">
        <f t="shared" si="25"/>
        <v>0</v>
      </c>
    </row>
    <row r="66" spans="1:14" x14ac:dyDescent="0.25">
      <c r="A66" s="2" t="s">
        <v>21</v>
      </c>
      <c r="B66" s="17">
        <f t="shared" si="17"/>
        <v>3.109143368819023E-3</v>
      </c>
      <c r="C66" s="2">
        <f t="shared" si="18"/>
        <v>4.4564388286405998E-3</v>
      </c>
      <c r="D66" s="2">
        <f t="shared" si="19"/>
        <v>1.0491945622778377E-2</v>
      </c>
      <c r="E66" s="2">
        <f t="shared" si="20"/>
        <v>4.7153456764440743E-2</v>
      </c>
      <c r="F66" s="22">
        <f t="shared" si="21"/>
        <v>0</v>
      </c>
      <c r="G66" s="13">
        <f t="shared" si="22"/>
        <v>6.5210984584678749E-2</v>
      </c>
      <c r="I66" s="2" t="s">
        <v>15</v>
      </c>
      <c r="J66" s="17">
        <f t="shared" ref="J66:N66" si="26">$D$80*J50</f>
        <v>0.42944244722821073</v>
      </c>
      <c r="K66" s="2">
        <f t="shared" si="26"/>
        <v>3.7553331805039586E-2</v>
      </c>
      <c r="L66" s="2">
        <f t="shared" si="26"/>
        <v>9.5337364294279334E-3</v>
      </c>
      <c r="M66" s="2">
        <f t="shared" si="26"/>
        <v>0</v>
      </c>
      <c r="N66" s="2">
        <f t="shared" si="26"/>
        <v>0</v>
      </c>
    </row>
    <row r="67" spans="1:14" x14ac:dyDescent="0.25">
      <c r="A67" s="2" t="s">
        <v>27</v>
      </c>
      <c r="B67" s="21">
        <f t="shared" si="17"/>
        <v>4.9968375570305723E-3</v>
      </c>
      <c r="C67" s="6">
        <f t="shared" si="18"/>
        <v>7.1621338317438207E-3</v>
      </c>
      <c r="D67" s="6">
        <f t="shared" si="19"/>
        <v>2.1319840243330442E-2</v>
      </c>
      <c r="E67" s="6">
        <f t="shared" si="20"/>
        <v>9.2622861501580042E-2</v>
      </c>
      <c r="F67" s="23">
        <f t="shared" si="21"/>
        <v>0</v>
      </c>
      <c r="G67" s="13">
        <f t="shared" si="22"/>
        <v>0.12610167313368487</v>
      </c>
      <c r="I67" s="2" t="s">
        <v>16</v>
      </c>
      <c r="J67" s="17">
        <f t="shared" ref="J67:N67" si="27">$D$80*J51</f>
        <v>0.12708280453226614</v>
      </c>
      <c r="K67" s="2">
        <f t="shared" si="27"/>
        <v>3.8926276681060714E-3</v>
      </c>
      <c r="L67" s="2">
        <f t="shared" si="27"/>
        <v>7.7480524632811132E-3</v>
      </c>
      <c r="M67" s="2">
        <f t="shared" si="27"/>
        <v>0</v>
      </c>
      <c r="N67" s="2">
        <f t="shared" si="27"/>
        <v>0</v>
      </c>
    </row>
    <row r="68" spans="1:14" x14ac:dyDescent="0.25">
      <c r="A68" s="9" t="s">
        <v>26</v>
      </c>
      <c r="B68" s="7">
        <f>SUM(B57:B67)</f>
        <v>0.14721861148833587</v>
      </c>
      <c r="C68" s="8">
        <f>SUM(C57:C67)</f>
        <v>0.12065605114493283</v>
      </c>
      <c r="D68" s="8">
        <f>SUM(D57:D67)</f>
        <v>0.44449578793176447</v>
      </c>
      <c r="E68" s="8">
        <f>SUM(E57:E67)</f>
        <v>0.13977631826602077</v>
      </c>
      <c r="F68" s="8">
        <f>SUM(F57:F67)</f>
        <v>0</v>
      </c>
      <c r="G68" s="4">
        <f t="shared" si="22"/>
        <v>0.852146768831054</v>
      </c>
      <c r="I68" s="2" t="s">
        <v>17</v>
      </c>
      <c r="J68" s="17">
        <f t="shared" ref="J68:N68" si="28">$D$80*J52</f>
        <v>3.5066543080563366</v>
      </c>
      <c r="K68" s="2">
        <f t="shared" si="28"/>
        <v>0.14269766978096116</v>
      </c>
      <c r="L68" s="2">
        <f t="shared" si="28"/>
        <v>6.9248218890574947E-2</v>
      </c>
      <c r="M68" s="2">
        <f t="shared" si="28"/>
        <v>0</v>
      </c>
      <c r="N68" s="2">
        <f t="shared" si="28"/>
        <v>0</v>
      </c>
    </row>
    <row r="69" spans="1:14" x14ac:dyDescent="0.25">
      <c r="I69" s="2" t="s">
        <v>18</v>
      </c>
      <c r="J69" s="17">
        <f t="shared" ref="J69:N69" si="29">$D$80*J53</f>
        <v>0.87060561295725669</v>
      </c>
      <c r="K69" s="2">
        <f t="shared" si="29"/>
        <v>6.5794668307520704E-2</v>
      </c>
      <c r="L69" s="2">
        <f t="shared" si="29"/>
        <v>1.5890174721089462E-2</v>
      </c>
      <c r="M69" s="2">
        <f t="shared" si="29"/>
        <v>0</v>
      </c>
      <c r="N69" s="2">
        <f t="shared" si="29"/>
        <v>0</v>
      </c>
    </row>
    <row r="70" spans="1:14" x14ac:dyDescent="0.25">
      <c r="A70" t="s">
        <v>30</v>
      </c>
      <c r="C70">
        <f>G68</f>
        <v>0.852146768831054</v>
      </c>
      <c r="I70" s="2" t="s">
        <v>19</v>
      </c>
      <c r="J70" s="17">
        <f t="shared" ref="J70:N70" si="30">$D$80*J54</f>
        <v>9.5533249125258957E-2</v>
      </c>
      <c r="K70" s="2">
        <f t="shared" si="30"/>
        <v>8.175335784600021E-3</v>
      </c>
      <c r="L70" s="2">
        <f t="shared" si="30"/>
        <v>1.0350159568329968E-2</v>
      </c>
      <c r="M70" s="2">
        <f t="shared" si="30"/>
        <v>0</v>
      </c>
      <c r="N70" s="2">
        <f t="shared" si="30"/>
        <v>0</v>
      </c>
    </row>
    <row r="71" spans="1:14" x14ac:dyDescent="0.25">
      <c r="A71" t="s">
        <v>31</v>
      </c>
      <c r="C71">
        <f>G68</f>
        <v>0.852146768831054</v>
      </c>
      <c r="I71" s="2" t="s">
        <v>20</v>
      </c>
      <c r="J71" s="17">
        <f t="shared" ref="J71:N71" si="31">$D$80*J55</f>
        <v>0.12997720969422991</v>
      </c>
      <c r="K71" s="2">
        <f t="shared" si="31"/>
        <v>1.3293228918048813E-2</v>
      </c>
      <c r="L71" s="2">
        <f t="shared" si="31"/>
        <v>1.2712139776871568E-2</v>
      </c>
      <c r="M71" s="2">
        <f t="shared" si="31"/>
        <v>0</v>
      </c>
      <c r="N71" s="2">
        <f t="shared" si="31"/>
        <v>0</v>
      </c>
    </row>
    <row r="72" spans="1:14" x14ac:dyDescent="0.25">
      <c r="I72" s="2" t="s">
        <v>21</v>
      </c>
      <c r="J72" s="17">
        <f t="shared" ref="J72:N72" si="32">$D$80*J56</f>
        <v>4.6766283635255687E-2</v>
      </c>
      <c r="K72" s="2">
        <f t="shared" si="32"/>
        <v>1.0479495463728481E-2</v>
      </c>
      <c r="L72" s="2">
        <f t="shared" si="32"/>
        <v>8.747675846457385E-3</v>
      </c>
      <c r="M72" s="2">
        <f t="shared" si="32"/>
        <v>1.5795450646404325E-2</v>
      </c>
      <c r="N72" s="2">
        <f t="shared" si="32"/>
        <v>0</v>
      </c>
    </row>
    <row r="73" spans="1:14" x14ac:dyDescent="0.25">
      <c r="A73" t="s">
        <v>32</v>
      </c>
      <c r="B73">
        <v>5</v>
      </c>
      <c r="C73">
        <v>4</v>
      </c>
      <c r="D73">
        <v>3</v>
      </c>
      <c r="I73" s="6" t="s">
        <v>27</v>
      </c>
      <c r="J73" s="21">
        <f t="shared" ref="J73:N73" si="33">$D$80*J57</f>
        <v>7.5160098699518063E-2</v>
      </c>
      <c r="K73" s="6">
        <f t="shared" si="33"/>
        <v>1.6842046280992201E-2</v>
      </c>
      <c r="L73" s="6">
        <f t="shared" si="33"/>
        <v>1.7775449687998379E-2</v>
      </c>
      <c r="M73" s="6">
        <f t="shared" si="33"/>
        <v>3.1026778055437066E-2</v>
      </c>
      <c r="N73" s="6">
        <f t="shared" si="33"/>
        <v>0</v>
      </c>
    </row>
    <row r="74" spans="1:14" x14ac:dyDescent="0.25">
      <c r="A74" t="s">
        <v>33</v>
      </c>
      <c r="B74">
        <v>25</v>
      </c>
      <c r="C74">
        <v>15</v>
      </c>
      <c r="D74">
        <v>10</v>
      </c>
    </row>
    <row r="75" spans="1:14" x14ac:dyDescent="0.25">
      <c r="A75" t="s">
        <v>34</v>
      </c>
      <c r="B75">
        <f>J32</f>
        <v>9.8119719301691252E-6</v>
      </c>
      <c r="C75">
        <f t="shared" ref="C75:D75" si="34">K32</f>
        <v>4.6279800937297705E-4</v>
      </c>
      <c r="D75" s="27">
        <f t="shared" si="34"/>
        <v>8.4995904006450219E-3</v>
      </c>
      <c r="I75" t="s">
        <v>23</v>
      </c>
      <c r="J75">
        <f>SUM(J47:N57)+SUM(J63:N73)</f>
        <v>201.20735712021417</v>
      </c>
    </row>
    <row r="76" spans="1:14" x14ac:dyDescent="0.25">
      <c r="A76" t="s">
        <v>35</v>
      </c>
      <c r="B76">
        <f>B74*B75</f>
        <v>2.4529929825422816E-4</v>
      </c>
      <c r="C76">
        <f t="shared" ref="C76:D76" si="35">C74*C75</f>
        <v>6.9419701405946561E-3</v>
      </c>
      <c r="D76">
        <f t="shared" si="35"/>
        <v>8.4995904006450212E-2</v>
      </c>
      <c r="I76" t="s">
        <v>64</v>
      </c>
      <c r="J76">
        <f>SQRT(J75)</f>
        <v>14.184757915460319</v>
      </c>
    </row>
    <row r="78" spans="1:14" x14ac:dyDescent="0.25">
      <c r="A78" t="s">
        <v>36</v>
      </c>
      <c r="D78">
        <f>B76+C76+D76</f>
        <v>9.2183173445299096E-2</v>
      </c>
    </row>
    <row r="79" spans="1:14" x14ac:dyDescent="0.25">
      <c r="A79" t="s">
        <v>37</v>
      </c>
      <c r="D79">
        <f>B76+C76+D76</f>
        <v>9.2183173445299096E-2</v>
      </c>
    </row>
    <row r="80" spans="1:14" x14ac:dyDescent="0.25">
      <c r="A80" t="s">
        <v>38</v>
      </c>
      <c r="D80">
        <f>D78/(1-D79)</f>
        <v>0.10154380349519172</v>
      </c>
    </row>
    <row r="83" spans="1:2" x14ac:dyDescent="0.25">
      <c r="A83" t="s">
        <v>39</v>
      </c>
      <c r="B83">
        <f>C70+C71*D78*(1/(1-D78))</f>
        <v>0.93867699287429707</v>
      </c>
    </row>
    <row r="84" spans="1:2" x14ac:dyDescent="0.25">
      <c r="A84" t="s">
        <v>40</v>
      </c>
      <c r="B84" s="11">
        <f>B83/B5</f>
        <v>0.93867699287429707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cfrank1020</dc:creator>
  <cp:lastModifiedBy>cfrank1020</cp:lastModifiedBy>
  <dcterms:created xsi:type="dcterms:W3CDTF">2017-12-26T03:33:47Z</dcterms:created>
  <dcterms:modified xsi:type="dcterms:W3CDTF">2017-12-26T07:07:01Z</dcterms:modified>
</cp:coreProperties>
</file>