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imothy\Documents\GitHub\ee311-2022-project-project-group-1\FInal_Implementation\Magnetics\"/>
    </mc:Choice>
  </mc:AlternateContent>
  <xr:revisionPtr revIDLastSave="0" documentId="13_ncr:1_{EF8727D0-15B3-40F6-92DD-827D3A3894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erating Conditions" sheetId="1" r:id="rId1"/>
    <sheet name="Transformer" sheetId="2" r:id="rId2"/>
    <sheet name="Switch" sheetId="3" r:id="rId3"/>
    <sheet name="Diod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D64" i="1"/>
  <c r="E20" i="1"/>
  <c r="F41" i="1" s="1"/>
  <c r="H45" i="1"/>
  <c r="F45" i="1"/>
  <c r="D45" i="1"/>
  <c r="H44" i="1"/>
  <c r="F44" i="1"/>
  <c r="D44" i="1"/>
  <c r="H40" i="1"/>
  <c r="F40" i="1"/>
  <c r="D40" i="1"/>
  <c r="H39" i="1"/>
  <c r="F39" i="1"/>
  <c r="D39" i="1"/>
  <c r="H36" i="1"/>
  <c r="H48" i="1" s="1"/>
  <c r="F36" i="1"/>
  <c r="F48" i="1" s="1"/>
  <c r="D36" i="1"/>
  <c r="D48" i="1" s="1"/>
  <c r="F49" i="1" l="1"/>
  <c r="F43" i="1"/>
  <c r="F42" i="1"/>
  <c r="H41" i="1"/>
  <c r="H49" i="1" s="1"/>
  <c r="D41" i="1"/>
  <c r="D46" i="1"/>
  <c r="F46" i="1"/>
  <c r="H46" i="1"/>
  <c r="H42" i="1"/>
  <c r="D47" i="1"/>
  <c r="F47" i="1"/>
  <c r="H47" i="1"/>
  <c r="H43" i="1"/>
  <c r="D49" i="1" l="1"/>
  <c r="D43" i="1"/>
  <c r="D42" i="1"/>
  <c r="B17" i="1"/>
  <c r="B6" i="4"/>
  <c r="B6" i="3"/>
  <c r="B14" i="2"/>
  <c r="B8" i="2"/>
  <c r="B7" i="2"/>
  <c r="B6" i="2"/>
  <c r="F97" i="1"/>
  <c r="D97" i="1"/>
  <c r="H96" i="1"/>
  <c r="F96" i="1"/>
  <c r="D96" i="1"/>
  <c r="B96" i="1"/>
  <c r="B78" i="1"/>
  <c r="H56" i="1"/>
  <c r="F56" i="1"/>
  <c r="D56" i="1"/>
  <c r="H55" i="1"/>
  <c r="F55" i="1"/>
  <c r="D55" i="1"/>
</calcChain>
</file>

<file path=xl/sharedStrings.xml><?xml version="1.0" encoding="utf-8"?>
<sst xmlns="http://schemas.openxmlformats.org/spreadsheetml/2006/main" count="483" uniqueCount="232">
  <si>
    <t>Flyback Conveter Design - Part I</t>
  </si>
  <si>
    <t>Flyback Design Specifications</t>
  </si>
  <si>
    <t>Parameter</t>
  </si>
  <si>
    <t>Value</t>
  </si>
  <si>
    <t>Unit</t>
  </si>
  <si>
    <t>Nominal Vin(avg)</t>
  </si>
  <si>
    <t>V</t>
  </si>
  <si>
    <t>Max Vout(avg)</t>
  </si>
  <si>
    <t>Min Vout(avg)</t>
  </si>
  <si>
    <t>Max Pout(avg)</t>
  </si>
  <si>
    <t>W</t>
  </si>
  <si>
    <t>Operating fs</t>
  </si>
  <si>
    <t>kHz</t>
  </si>
  <si>
    <t>Evaluating Key Transformer Parameters (Theoretical)</t>
  </si>
  <si>
    <t>Unit (eq)</t>
  </si>
  <si>
    <t>Max D</t>
  </si>
  <si>
    <t>Max Lp</t>
  </si>
  <si>
    <t>µH (1)</t>
  </si>
  <si>
    <t>Selected Lp</t>
  </si>
  <si>
    <t>µH</t>
  </si>
  <si>
    <t xml:space="preserve">Max of Min n </t>
  </si>
  <si>
    <t>(2)</t>
  </si>
  <si>
    <t>Selected n</t>
  </si>
  <si>
    <t>Evaluating Output Capacitor (Theoretical)</t>
  </si>
  <si>
    <t>Max Vo Ripple</t>
  </si>
  <si>
    <t>Min Co</t>
  </si>
  <si>
    <t>µF (3)</t>
  </si>
  <si>
    <t>Selected Co</t>
  </si>
  <si>
    <t>µF</t>
  </si>
  <si>
    <t>Evaluating Steady-State Operating Conditions (Theoretical)</t>
  </si>
  <si>
    <t>Vout</t>
  </si>
  <si>
    <t>Pout</t>
  </si>
  <si>
    <t>RLoad</t>
  </si>
  <si>
    <t>Ohms (4)</t>
  </si>
  <si>
    <t>Max D for DCM</t>
  </si>
  <si>
    <t>(5)</t>
  </si>
  <si>
    <t>Operating D</t>
  </si>
  <si>
    <t>(6)</t>
  </si>
  <si>
    <t>DCM Achieved</t>
  </si>
  <si>
    <t>Max VSp</t>
  </si>
  <si>
    <t>V (7)</t>
  </si>
  <si>
    <t>Peak Iin = ILp</t>
  </si>
  <si>
    <t>A (8)</t>
  </si>
  <si>
    <t>RMS Iin = ILp</t>
  </si>
  <si>
    <t>A (9)</t>
  </si>
  <si>
    <t>Average Iin = ILp</t>
  </si>
  <si>
    <t>A (10)</t>
  </si>
  <si>
    <t>Operating D'</t>
  </si>
  <si>
    <t>(11)</t>
  </si>
  <si>
    <t>Max VDs</t>
  </si>
  <si>
    <t>V (12)</t>
  </si>
  <si>
    <t>Peak ID</t>
  </si>
  <si>
    <t>A (13)</t>
  </si>
  <si>
    <t>RMS ID</t>
  </si>
  <si>
    <t>A (14)</t>
  </si>
  <si>
    <t>Average ID = Iout</t>
  </si>
  <si>
    <t>A (15)</t>
  </si>
  <si>
    <t>Vout Ripple</t>
  </si>
  <si>
    <t>V (16)</t>
  </si>
  <si>
    <t>Validating Steady-State Operating Conditions (Open-Loop Simulations)</t>
  </si>
  <si>
    <t xml:space="preserve">Ohms </t>
  </si>
  <si>
    <t xml:space="preserve">V </t>
  </si>
  <si>
    <t xml:space="preserve">A </t>
  </si>
  <si>
    <t>Peak ILs</t>
  </si>
  <si>
    <t>RMS ILs</t>
  </si>
  <si>
    <t>Average ILs = Iout</t>
  </si>
  <si>
    <t>Vo Ripple</t>
  </si>
  <si>
    <t>UC3843 &amp; PI Controller Parameters (Theoretical)</t>
  </si>
  <si>
    <t>Min PI Output</t>
  </si>
  <si>
    <t>Max PI Output</t>
  </si>
  <si>
    <t>Vref for 30V Output</t>
  </si>
  <si>
    <t>Vref for 5V Output</t>
  </si>
  <si>
    <t>Rg</t>
  </si>
  <si>
    <t>Ohms</t>
  </si>
  <si>
    <t>Ct</t>
  </si>
  <si>
    <t>nF</t>
  </si>
  <si>
    <t>Rt</t>
  </si>
  <si>
    <t xml:space="preserve">kOhms </t>
  </si>
  <si>
    <t>Rs</t>
  </si>
  <si>
    <t>Ohms (17)</t>
  </si>
  <si>
    <t>Rif</t>
  </si>
  <si>
    <t>Ohms (18)</t>
  </si>
  <si>
    <t>Cif</t>
  </si>
  <si>
    <t>pF (19)</t>
  </si>
  <si>
    <t>Rva</t>
  </si>
  <si>
    <t>kOhms (20)</t>
  </si>
  <si>
    <t>Rvb</t>
  </si>
  <si>
    <t>kOhms (21)</t>
  </si>
  <si>
    <t>Rc1</t>
  </si>
  <si>
    <t>kOhms</t>
  </si>
  <si>
    <t>Rc2</t>
  </si>
  <si>
    <t>Selected Kp</t>
  </si>
  <si>
    <t>Selected Ki</t>
  </si>
  <si>
    <t>Validating PI Controller Operation (Closed-Loop Simulations)</t>
  </si>
  <si>
    <t>Vref</t>
  </si>
  <si>
    <t>Steady State Vout</t>
  </si>
  <si>
    <t>Settling Time (+/- 5%)</t>
  </si>
  <si>
    <t>ms</t>
  </si>
  <si>
    <t>Flyback Conveter Design - Part II</t>
  </si>
  <si>
    <t>Transformer Design Specifications</t>
  </si>
  <si>
    <t>Operating D at max. P</t>
  </si>
  <si>
    <t>Max Peak Iin = ILp</t>
  </si>
  <si>
    <t>A</t>
  </si>
  <si>
    <t>Max RMS Iin = ILp</t>
  </si>
  <si>
    <t>Max RMS ILs</t>
  </si>
  <si>
    <t>Max Bmax</t>
  </si>
  <si>
    <t>T</t>
  </si>
  <si>
    <t>Core, Former &amp; Magnet Wire Details</t>
  </si>
  <si>
    <t>Core type</t>
  </si>
  <si>
    <t>ETD34</t>
  </si>
  <si>
    <t>Core material</t>
  </si>
  <si>
    <t>N87</t>
  </si>
  <si>
    <t>Core permeability</t>
  </si>
  <si>
    <t>H/m</t>
  </si>
  <si>
    <t>Ae</t>
  </si>
  <si>
    <t>mm^2</t>
  </si>
  <si>
    <t>le</t>
  </si>
  <si>
    <t>mm</t>
  </si>
  <si>
    <t>Ve</t>
  </si>
  <si>
    <t>mm^3</t>
  </si>
  <si>
    <t>AN</t>
  </si>
  <si>
    <t>ln</t>
  </si>
  <si>
    <t>Wire ρ</t>
  </si>
  <si>
    <t>Ωm</t>
  </si>
  <si>
    <t>µ0</t>
  </si>
  <si>
    <t>Achievable Kf</t>
  </si>
  <si>
    <t xml:space="preserve">Reluctance and effective permeability </t>
  </si>
  <si>
    <t>Core reluctance</t>
  </si>
  <si>
    <t>H^-1 (22)</t>
  </si>
  <si>
    <t>Air reluctance</t>
  </si>
  <si>
    <t>H^-1 (23)</t>
  </si>
  <si>
    <t>Effective reluctance</t>
  </si>
  <si>
    <t>H^-1 (24)</t>
  </si>
  <si>
    <t>Effective permeability</t>
  </si>
  <si>
    <t>H/m (25)</t>
  </si>
  <si>
    <t>Evaluating Inductor Parameters</t>
  </si>
  <si>
    <t>Selected lg</t>
  </si>
  <si>
    <t>Np</t>
  </si>
  <si>
    <t>Turns (26)</t>
  </si>
  <si>
    <t>Calculated Lp</t>
  </si>
  <si>
    <t xml:space="preserve">Ns </t>
  </si>
  <si>
    <t>Turns (27)</t>
  </si>
  <si>
    <t>Calculated Ls</t>
  </si>
  <si>
    <t>Bmax</t>
  </si>
  <si>
    <t>T (28)</t>
  </si>
  <si>
    <t>Bmax &lt; Max Bmax</t>
  </si>
  <si>
    <t>Skin Depth</t>
  </si>
  <si>
    <t>mm (29)</t>
  </si>
  <si>
    <t>Selected Lp Wire dcu</t>
  </si>
  <si>
    <t>Lp Wire Acu</t>
  </si>
  <si>
    <t>mm^2 (30)</t>
  </si>
  <si>
    <t>Parallel Wires in Lp</t>
  </si>
  <si>
    <t>Rdc of Lp</t>
  </si>
  <si>
    <t>Ohms (31)</t>
  </si>
  <si>
    <t xml:space="preserve">Max Rdc Loss in Lp </t>
  </si>
  <si>
    <t>W (32)</t>
  </si>
  <si>
    <t>Selected Ls Wire dcu</t>
  </si>
  <si>
    <t>Ls Wire Acu</t>
  </si>
  <si>
    <t>mm^2 (33)</t>
  </si>
  <si>
    <t>Parallel Wires in Ls</t>
  </si>
  <si>
    <t>Rdc of Ls</t>
  </si>
  <si>
    <t>Ohms (34)</t>
  </si>
  <si>
    <t>Max Rdc Loss in Ls</t>
  </si>
  <si>
    <t>W (35)</t>
  </si>
  <si>
    <t>Simulation results</t>
  </si>
  <si>
    <t>Primary inductance (Lp)</t>
  </si>
  <si>
    <t>Secondary inductance (Ls)</t>
  </si>
  <si>
    <t>Coupling factor (k)</t>
  </si>
  <si>
    <t>Flyback Conveter Design - Part III</t>
  </si>
  <si>
    <t>Switch Stresses</t>
  </si>
  <si>
    <t>Max Vsw</t>
  </si>
  <si>
    <t>Max Is,rms</t>
  </si>
  <si>
    <t>Max Isw,pk</t>
  </si>
  <si>
    <t>Switching fs</t>
  </si>
  <si>
    <t>Ta</t>
  </si>
  <si>
    <t>Degrees C</t>
  </si>
  <si>
    <t>Selected MOSFET Specifications</t>
  </si>
  <si>
    <t>Manufacturer</t>
  </si>
  <si>
    <t>ON Semi</t>
  </si>
  <si>
    <t>Model no</t>
  </si>
  <si>
    <t>FQP13N10</t>
  </si>
  <si>
    <t>Vdss</t>
  </si>
  <si>
    <t>ID(max)</t>
  </si>
  <si>
    <t>tr</t>
  </si>
  <si>
    <t>ns</t>
  </si>
  <si>
    <t>tf</t>
  </si>
  <si>
    <t>Crss @ Max Vsw/2</t>
  </si>
  <si>
    <t>pF</t>
  </si>
  <si>
    <t>Vgs(Io)</t>
  </si>
  <si>
    <t>Rds,on</t>
  </si>
  <si>
    <t xml:space="preserve">mΩ </t>
  </si>
  <si>
    <t>RthJA - no heatsink</t>
  </si>
  <si>
    <t>C/W</t>
  </si>
  <si>
    <t>Rj (max)</t>
  </si>
  <si>
    <t>C</t>
  </si>
  <si>
    <t>Gate Drive Details</t>
  </si>
  <si>
    <t>Design Vgg</t>
  </si>
  <si>
    <t>Design Igg</t>
  </si>
  <si>
    <t>Ω (36)</t>
  </si>
  <si>
    <t>Evaluating Steady-State Switch Losses</t>
  </si>
  <si>
    <t>P (switching)</t>
  </si>
  <si>
    <t>W (37)</t>
  </si>
  <si>
    <t>P (conduction)</t>
  </si>
  <si>
    <t>W (38)</t>
  </si>
  <si>
    <t>P (total)</t>
  </si>
  <si>
    <t>W (39)</t>
  </si>
  <si>
    <t>Tj</t>
  </si>
  <si>
    <t>C (40)</t>
  </si>
  <si>
    <t>Flyback Conveter Design - Part IV</t>
  </si>
  <si>
    <t>Diode Stresses</t>
  </si>
  <si>
    <t>Max Vd</t>
  </si>
  <si>
    <t>Max Id,avg</t>
  </si>
  <si>
    <t>Selected Diode Specifications</t>
  </si>
  <si>
    <t>Diodes Inc.</t>
  </si>
  <si>
    <t>SDT5H100P5</t>
  </si>
  <si>
    <t>Vr(max)</t>
  </si>
  <si>
    <t>IF(max) - dual</t>
  </si>
  <si>
    <t>VF</t>
  </si>
  <si>
    <t>RthJA - D2Pak</t>
  </si>
  <si>
    <t>Tj (max)</t>
  </si>
  <si>
    <t>Evaluating Steady-State Diode Losses</t>
  </si>
  <si>
    <t>Pd</t>
  </si>
  <si>
    <t>W (41)</t>
  </si>
  <si>
    <t>C (42)</t>
  </si>
  <si>
    <t>Found using matlab script</t>
  </si>
  <si>
    <t>Yes</t>
  </si>
  <si>
    <t>YES</t>
  </si>
  <si>
    <t>Period</t>
  </si>
  <si>
    <t>2 to 4</t>
  </si>
  <si>
    <t>18 or 88</t>
  </si>
  <si>
    <t>4.464 or 21.824</t>
  </si>
  <si>
    <t>Matlab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</si>
</sst>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E+00"/>
    <numFmt numFmtId="167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double">
        <color rgb="FF3F3F3F"/>
      </right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1"/>
    <xf numFmtId="0" fontId="1" fillId="3" borderId="3" xfId="2" applyBorder="1"/>
    <xf numFmtId="2" fontId="0" fillId="4" borderId="4" xfId="0" applyNumberFormat="1" applyFill="1" applyBorder="1"/>
    <xf numFmtId="0" fontId="0" fillId="0" borderId="5" xfId="0" applyBorder="1"/>
    <xf numFmtId="0" fontId="1" fillId="3" borderId="6" xfId="2" applyBorder="1"/>
    <xf numFmtId="2" fontId="0" fillId="4" borderId="7" xfId="0" applyNumberFormat="1" applyFill="1" applyBorder="1"/>
    <xf numFmtId="0" fontId="0" fillId="0" borderId="8" xfId="0" applyBorder="1"/>
    <xf numFmtId="0" fontId="1" fillId="3" borderId="9" xfId="2" applyBorder="1"/>
    <xf numFmtId="2" fontId="0" fillId="4" borderId="10" xfId="0" applyNumberFormat="1" applyFill="1" applyBorder="1"/>
    <xf numFmtId="0" fontId="0" fillId="0" borderId="11" xfId="0" applyBorder="1"/>
    <xf numFmtId="0" fontId="5" fillId="0" borderId="0" xfId="0" applyFont="1"/>
    <xf numFmtId="49" fontId="0" fillId="0" borderId="5" xfId="0" applyNumberFormat="1" applyBorder="1"/>
    <xf numFmtId="0" fontId="1" fillId="3" borderId="12" xfId="2" applyBorder="1"/>
    <xf numFmtId="2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2" fontId="0" fillId="0" borderId="16" xfId="0" applyNumberFormat="1" applyBorder="1"/>
    <xf numFmtId="49" fontId="0" fillId="0" borderId="11" xfId="0" applyNumberFormat="1" applyBorder="1"/>
    <xf numFmtId="2" fontId="0" fillId="0" borderId="10" xfId="0" applyNumberFormat="1" applyBorder="1"/>
    <xf numFmtId="49" fontId="0" fillId="0" borderId="4" xfId="0" applyNumberFormat="1" applyBorder="1"/>
    <xf numFmtId="49" fontId="0" fillId="0" borderId="17" xfId="0" applyNumberFormat="1" applyBorder="1"/>
    <xf numFmtId="49" fontId="0" fillId="0" borderId="7" xfId="0" applyNumberFormat="1" applyBorder="1"/>
    <xf numFmtId="49" fontId="0" fillId="0" borderId="18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2" fontId="0" fillId="4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1" fillId="3" borderId="19" xfId="2" applyBorder="1"/>
    <xf numFmtId="2" fontId="0" fillId="0" borderId="20" xfId="0" applyNumberFormat="1" applyBorder="1"/>
    <xf numFmtId="164" fontId="0" fillId="0" borderId="20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164" fontId="0" fillId="0" borderId="10" xfId="0" applyNumberFormat="1" applyBorder="1"/>
    <xf numFmtId="49" fontId="0" fillId="0" borderId="10" xfId="0" applyNumberFormat="1" applyBorder="1"/>
    <xf numFmtId="49" fontId="0" fillId="0" borderId="22" xfId="0" applyNumberFormat="1" applyBorder="1"/>
    <xf numFmtId="165" fontId="0" fillId="0" borderId="0" xfId="0" applyNumberFormat="1"/>
    <xf numFmtId="49" fontId="0" fillId="0" borderId="0" xfId="0" applyNumberFormat="1"/>
    <xf numFmtId="2" fontId="0" fillId="4" borderId="13" xfId="0" applyNumberFormat="1" applyFill="1" applyBorder="1"/>
    <xf numFmtId="49" fontId="0" fillId="0" borderId="23" xfId="0" applyNumberFormat="1" applyBorder="1"/>
    <xf numFmtId="2" fontId="6" fillId="4" borderId="13" xfId="0" applyNumberFormat="1" applyFont="1" applyFill="1" applyBorder="1"/>
    <xf numFmtId="0" fontId="1" fillId="3" borderId="24" xfId="2" applyBorder="1"/>
    <xf numFmtId="165" fontId="0" fillId="4" borderId="25" xfId="0" applyNumberFormat="1" applyFill="1" applyBorder="1" applyAlignment="1">
      <alignment horizontal="right"/>
    </xf>
    <xf numFmtId="49" fontId="0" fillId="0" borderId="26" xfId="0" applyNumberFormat="1" applyBorder="1"/>
    <xf numFmtId="0" fontId="1" fillId="3" borderId="27" xfId="2" applyBorder="1"/>
    <xf numFmtId="0" fontId="0" fillId="4" borderId="1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2" fontId="0" fillId="0" borderId="1" xfId="0" applyNumberFormat="1" applyBorder="1"/>
    <xf numFmtId="166" fontId="0" fillId="0" borderId="1" xfId="0" applyNumberFormat="1" applyBorder="1"/>
    <xf numFmtId="0" fontId="1" fillId="3" borderId="30" xfId="2" applyBorder="1"/>
    <xf numFmtId="2" fontId="0" fillId="4" borderId="31" xfId="0" applyNumberFormat="1" applyFill="1" applyBorder="1"/>
    <xf numFmtId="11" fontId="0" fillId="0" borderId="1" xfId="0" applyNumberFormat="1" applyBorder="1"/>
    <xf numFmtId="2" fontId="0" fillId="0" borderId="31" xfId="0" applyNumberFormat="1" applyBorder="1"/>
    <xf numFmtId="0" fontId="0" fillId="4" borderId="25" xfId="0" applyFill="1" applyBorder="1"/>
    <xf numFmtId="0" fontId="0" fillId="0" borderId="26" xfId="0" applyBorder="1"/>
    <xf numFmtId="0" fontId="1" fillId="3" borderId="32" xfId="2" applyBorder="1"/>
    <xf numFmtId="0" fontId="0" fillId="0" borderId="33" xfId="0" applyBorder="1"/>
    <xf numFmtId="0" fontId="0" fillId="0" borderId="34" xfId="0" applyBorder="1"/>
    <xf numFmtId="166" fontId="0" fillId="0" borderId="0" xfId="0" applyNumberFormat="1"/>
    <xf numFmtId="2" fontId="0" fillId="0" borderId="33" xfId="0" applyNumberFormat="1" applyBorder="1"/>
    <xf numFmtId="2" fontId="0" fillId="0" borderId="0" xfId="0" applyNumberFormat="1"/>
    <xf numFmtId="164" fontId="0" fillId="0" borderId="33" xfId="0" applyNumberFormat="1" applyBorder="1"/>
    <xf numFmtId="164" fontId="0" fillId="0" borderId="0" xfId="0" applyNumberFormat="1"/>
    <xf numFmtId="167" fontId="0" fillId="0" borderId="0" xfId="0" applyNumberFormat="1"/>
    <xf numFmtId="0" fontId="0" fillId="4" borderId="33" xfId="0" applyFill="1" applyBorder="1" applyAlignment="1">
      <alignment horizontal="right"/>
    </xf>
    <xf numFmtId="0" fontId="0" fillId="4" borderId="33" xfId="0" applyFill="1" applyBorder="1"/>
    <xf numFmtId="168" fontId="0" fillId="0" borderId="33" xfId="0" applyNumberFormat="1" applyBorder="1"/>
    <xf numFmtId="0" fontId="1" fillId="3" borderId="35" xfId="2" applyBorder="1"/>
    <xf numFmtId="0" fontId="0" fillId="3" borderId="32" xfId="2" applyFont="1" applyBorder="1"/>
    <xf numFmtId="0" fontId="0" fillId="0" borderId="36" xfId="0" applyBorder="1"/>
    <xf numFmtId="0" fontId="0" fillId="0" borderId="37" xfId="0" applyBorder="1"/>
    <xf numFmtId="0" fontId="0" fillId="3" borderId="38" xfId="2" applyFont="1" applyBorder="1"/>
    <xf numFmtId="0" fontId="0" fillId="0" borderId="39" xfId="0" applyBorder="1"/>
    <xf numFmtId="0" fontId="0" fillId="0" borderId="40" xfId="0" applyBorder="1"/>
    <xf numFmtId="2" fontId="0" fillId="4" borderId="25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49" fontId="0" fillId="0" borderId="28" xfId="0" applyNumberFormat="1" applyBorder="1"/>
    <xf numFmtId="11" fontId="0" fillId="0" borderId="0" xfId="0" applyNumberFormat="1"/>
    <xf numFmtId="0" fontId="1" fillId="3" borderId="41" xfId="2" applyBorder="1"/>
    <xf numFmtId="0" fontId="0" fillId="0" borderId="42" xfId="0" applyBorder="1"/>
    <xf numFmtId="0" fontId="0" fillId="0" borderId="43" xfId="0" applyBorder="1"/>
    <xf numFmtId="0" fontId="0" fillId="0" borderId="31" xfId="0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5" fontId="0" fillId="0" borderId="31" xfId="0" applyNumberFormat="1" applyBorder="1"/>
    <xf numFmtId="0" fontId="0" fillId="0" borderId="25" xfId="0" applyBorder="1" applyAlignment="1">
      <alignment horizontal="right"/>
    </xf>
    <xf numFmtId="0" fontId="2" fillId="0" borderId="45" xfId="1" applyFill="1" applyBorder="1"/>
    <xf numFmtId="0" fontId="2" fillId="0" borderId="44" xfId="1" applyFill="1" applyBorder="1"/>
    <xf numFmtId="0" fontId="0" fillId="0" borderId="0" xfId="0" applyFill="1"/>
    <xf numFmtId="0" fontId="2" fillId="0" borderId="0" xfId="1" applyFill="1" applyBorder="1"/>
    <xf numFmtId="0" fontId="0" fillId="0" borderId="20" xfId="0" applyBorder="1"/>
    <xf numFmtId="2" fontId="0" fillId="0" borderId="46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a-my.sharepoint.com/personal/dthr001_uoa_auckland_ac_nz/Documents/Work/Teaching/ELECTENG311/2022/EE311_Design_Template_V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Conditions"/>
      <sheetName val="Transformer"/>
      <sheetName val="Switch"/>
      <sheetName val="Diode"/>
    </sheetNames>
    <sheetDataSet>
      <sheetData sheetId="0" refreshError="1">
        <row r="6">
          <cell r="B6">
            <v>20</v>
          </cell>
        </row>
        <row r="10">
          <cell r="B10">
            <v>100</v>
          </cell>
        </row>
        <row r="20">
          <cell r="B20">
            <v>1</v>
          </cell>
        </row>
        <row r="34">
          <cell r="H34">
            <v>30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72" workbookViewId="0">
      <selection activeCell="G76" sqref="G76"/>
    </sheetView>
  </sheetViews>
  <sheetFormatPr defaultColWidth="12.42578125" defaultRowHeight="15" x14ac:dyDescent="0.25"/>
  <cols>
    <col min="1" max="1" width="21.42578125" customWidth="1"/>
    <col min="2" max="9" width="13.42578125" customWidth="1"/>
    <col min="11" max="11" width="13.42578125" bestFit="1" customWidth="1"/>
  </cols>
  <sheetData>
    <row r="1" spans="1:7" ht="21" x14ac:dyDescent="0.35">
      <c r="A1" s="1" t="s">
        <v>0</v>
      </c>
    </row>
    <row r="3" spans="1:7" ht="18.75" x14ac:dyDescent="0.3">
      <c r="A3" s="2" t="s">
        <v>1</v>
      </c>
    </row>
    <row r="4" spans="1:7" ht="15.75" thickBot="1" x14ac:dyDescent="0.3"/>
    <row r="5" spans="1:7" ht="16.5" thickTop="1" thickBot="1" x14ac:dyDescent="0.3">
      <c r="A5" s="3" t="s">
        <v>2</v>
      </c>
      <c r="B5" s="3" t="s">
        <v>3</v>
      </c>
      <c r="C5" s="3" t="s">
        <v>4</v>
      </c>
    </row>
    <row r="6" spans="1:7" ht="15.75" thickTop="1" x14ac:dyDescent="0.25">
      <c r="A6" s="4" t="s">
        <v>5</v>
      </c>
      <c r="B6" s="5">
        <v>20</v>
      </c>
      <c r="C6" s="6" t="s">
        <v>6</v>
      </c>
    </row>
    <row r="7" spans="1:7" x14ac:dyDescent="0.25">
      <c r="A7" s="7" t="s">
        <v>7</v>
      </c>
      <c r="B7" s="8">
        <v>30</v>
      </c>
      <c r="C7" s="9" t="s">
        <v>6</v>
      </c>
    </row>
    <row r="8" spans="1:7" x14ac:dyDescent="0.25">
      <c r="A8" s="7" t="s">
        <v>8</v>
      </c>
      <c r="B8" s="8">
        <v>5</v>
      </c>
      <c r="C8" s="9" t="s">
        <v>6</v>
      </c>
    </row>
    <row r="9" spans="1:7" x14ac:dyDescent="0.25">
      <c r="A9" s="7" t="s">
        <v>9</v>
      </c>
      <c r="B9" s="8">
        <v>12</v>
      </c>
      <c r="C9" s="9" t="s">
        <v>10</v>
      </c>
    </row>
    <row r="10" spans="1:7" ht="15.75" thickBot="1" x14ac:dyDescent="0.3">
      <c r="A10" s="10" t="s">
        <v>11</v>
      </c>
      <c r="B10" s="11">
        <v>100</v>
      </c>
      <c r="C10" s="12" t="s">
        <v>12</v>
      </c>
    </row>
    <row r="11" spans="1:7" ht="16.5" thickTop="1" x14ac:dyDescent="0.25">
      <c r="A11" s="13"/>
    </row>
    <row r="13" spans="1:7" ht="18.75" x14ac:dyDescent="0.3">
      <c r="A13" s="2" t="s">
        <v>13</v>
      </c>
    </row>
    <row r="14" spans="1:7" ht="15.75" thickBot="1" x14ac:dyDescent="0.3"/>
    <row r="15" spans="1:7" ht="16.5" thickTop="1" thickBot="1" x14ac:dyDescent="0.3">
      <c r="A15" s="3" t="s">
        <v>2</v>
      </c>
      <c r="B15" s="3" t="s">
        <v>3</v>
      </c>
      <c r="C15" s="3" t="s">
        <v>14</v>
      </c>
      <c r="D15" s="90"/>
      <c r="E15" s="91"/>
      <c r="F15" s="92"/>
      <c r="G15" s="93"/>
    </row>
    <row r="16" spans="1:7" ht="15.75" thickTop="1" x14ac:dyDescent="0.25">
      <c r="A16" s="4" t="s">
        <v>15</v>
      </c>
      <c r="B16" s="5">
        <v>0.5</v>
      </c>
      <c r="C16" s="14"/>
      <c r="E16" s="92"/>
      <c r="F16" s="92"/>
      <c r="G16" s="92"/>
    </row>
    <row r="17" spans="1:5" x14ac:dyDescent="0.25">
      <c r="A17" s="15" t="s">
        <v>16</v>
      </c>
      <c r="B17" s="16">
        <f>((B6^2/(2*B10*1000*B9))*B16^2)*1000^2</f>
        <v>41.666666666666664</v>
      </c>
      <c r="C17" s="17" t="s">
        <v>17</v>
      </c>
    </row>
    <row r="18" spans="1:5" x14ac:dyDescent="0.25">
      <c r="A18" s="15" t="s">
        <v>18</v>
      </c>
      <c r="B18" s="16">
        <v>37.5</v>
      </c>
      <c r="C18" s="18" t="s">
        <v>19</v>
      </c>
    </row>
    <row r="19" spans="1:5" x14ac:dyDescent="0.25">
      <c r="A19" s="15" t="s">
        <v>20</v>
      </c>
      <c r="B19" s="19">
        <v>0.9</v>
      </c>
      <c r="C19" s="18" t="s">
        <v>21</v>
      </c>
      <c r="D19" t="s">
        <v>224</v>
      </c>
    </row>
    <row r="20" spans="1:5" ht="15.75" thickBot="1" x14ac:dyDescent="0.3">
      <c r="A20" s="10" t="s">
        <v>22</v>
      </c>
      <c r="B20" s="11">
        <v>1</v>
      </c>
      <c r="C20" s="20"/>
      <c r="D20" t="s">
        <v>227</v>
      </c>
      <c r="E20">
        <f>(1/(B10*1000))</f>
        <v>1.0000000000000001E-5</v>
      </c>
    </row>
    <row r="21" spans="1:5" ht="15.75" thickTop="1" x14ac:dyDescent="0.25"/>
    <row r="23" spans="1:5" ht="18.75" x14ac:dyDescent="0.3">
      <c r="A23" s="2" t="s">
        <v>23</v>
      </c>
    </row>
    <row r="24" spans="1:5" ht="15.75" thickBot="1" x14ac:dyDescent="0.3"/>
    <row r="25" spans="1:5" ht="16.5" thickTop="1" thickBot="1" x14ac:dyDescent="0.3">
      <c r="A25" s="3" t="s">
        <v>2</v>
      </c>
      <c r="B25" s="3" t="s">
        <v>3</v>
      </c>
      <c r="C25" s="3" t="s">
        <v>14</v>
      </c>
    </row>
    <row r="26" spans="1:5" ht="15.75" thickTop="1" x14ac:dyDescent="0.25">
      <c r="A26" s="4" t="s">
        <v>24</v>
      </c>
      <c r="B26" s="5">
        <v>0.1</v>
      </c>
      <c r="C26" s="14" t="s">
        <v>6</v>
      </c>
    </row>
    <row r="27" spans="1:5" x14ac:dyDescent="0.25">
      <c r="A27" s="15" t="s">
        <v>25</v>
      </c>
      <c r="B27" s="16">
        <v>35</v>
      </c>
      <c r="C27" s="17" t="s">
        <v>26</v>
      </c>
    </row>
    <row r="28" spans="1:5" ht="15.75" thickBot="1" x14ac:dyDescent="0.3">
      <c r="A28" s="10" t="s">
        <v>27</v>
      </c>
      <c r="B28" s="21">
        <v>39</v>
      </c>
      <c r="C28" s="20" t="s">
        <v>28</v>
      </c>
    </row>
    <row r="29" spans="1:5" ht="15.75" thickTop="1" x14ac:dyDescent="0.25"/>
    <row r="31" spans="1:5" ht="18.75" x14ac:dyDescent="0.3">
      <c r="A31" s="2" t="s">
        <v>29</v>
      </c>
    </row>
    <row r="32" spans="1:5" ht="15.75" thickBot="1" x14ac:dyDescent="0.3"/>
    <row r="33" spans="1:9" ht="16.5" thickTop="1" thickBot="1" x14ac:dyDescent="0.3">
      <c r="A33" s="3" t="s">
        <v>2</v>
      </c>
      <c r="B33" s="3" t="s">
        <v>3</v>
      </c>
      <c r="C33" s="3" t="s">
        <v>14</v>
      </c>
      <c r="D33" s="3" t="s">
        <v>3</v>
      </c>
      <c r="E33" s="3" t="s">
        <v>14</v>
      </c>
      <c r="F33" s="3" t="s">
        <v>3</v>
      </c>
      <c r="G33" s="3" t="s">
        <v>14</v>
      </c>
      <c r="H33" s="3" t="s">
        <v>3</v>
      </c>
      <c r="I33" s="3" t="s">
        <v>14</v>
      </c>
    </row>
    <row r="34" spans="1:9" ht="15.75" thickTop="1" x14ac:dyDescent="0.25">
      <c r="A34" s="4" t="s">
        <v>30</v>
      </c>
      <c r="B34" s="5">
        <v>5</v>
      </c>
      <c r="C34" s="22" t="s">
        <v>6</v>
      </c>
      <c r="D34" s="5">
        <v>12.5</v>
      </c>
      <c r="E34" s="22" t="s">
        <v>6</v>
      </c>
      <c r="F34" s="5">
        <v>20</v>
      </c>
      <c r="G34" s="22" t="s">
        <v>6</v>
      </c>
      <c r="H34" s="5">
        <v>30</v>
      </c>
      <c r="I34" s="23" t="s">
        <v>6</v>
      </c>
    </row>
    <row r="35" spans="1:9" x14ac:dyDescent="0.25">
      <c r="A35" s="7" t="s">
        <v>31</v>
      </c>
      <c r="B35" s="8">
        <v>1.5</v>
      </c>
      <c r="C35" s="24" t="s">
        <v>10</v>
      </c>
      <c r="D35" s="8">
        <v>6.75</v>
      </c>
      <c r="E35" s="24" t="s">
        <v>10</v>
      </c>
      <c r="F35" s="8">
        <v>12</v>
      </c>
      <c r="G35" s="24" t="s">
        <v>10</v>
      </c>
      <c r="H35" s="8">
        <v>12</v>
      </c>
      <c r="I35" s="25" t="s">
        <v>10</v>
      </c>
    </row>
    <row r="36" spans="1:9" x14ac:dyDescent="0.25">
      <c r="A36" s="7" t="s">
        <v>32</v>
      </c>
      <c r="B36" s="26">
        <v>16.670000000000002</v>
      </c>
      <c r="C36" s="24" t="s">
        <v>33</v>
      </c>
      <c r="D36" s="26">
        <f>(D34^2)/D35</f>
        <v>23.148148148148149</v>
      </c>
      <c r="E36" s="24" t="s">
        <v>33</v>
      </c>
      <c r="F36" s="26">
        <f>(F34^2)/F35</f>
        <v>33.333333333333336</v>
      </c>
      <c r="G36" s="24" t="s">
        <v>33</v>
      </c>
      <c r="H36" s="26">
        <f>(H34^2)/H35</f>
        <v>75</v>
      </c>
      <c r="I36" s="25" t="s">
        <v>33</v>
      </c>
    </row>
    <row r="37" spans="1:9" x14ac:dyDescent="0.25">
      <c r="A37" s="7" t="s">
        <v>34</v>
      </c>
      <c r="B37" s="27">
        <v>0.17680000000000001</v>
      </c>
      <c r="C37" s="24" t="s">
        <v>35</v>
      </c>
      <c r="D37" s="27">
        <v>0.375</v>
      </c>
      <c r="E37" s="24" t="s">
        <v>35</v>
      </c>
      <c r="F37" s="27">
        <v>0.5</v>
      </c>
      <c r="G37" s="24" t="s">
        <v>35</v>
      </c>
      <c r="H37" s="27">
        <v>0.5</v>
      </c>
      <c r="I37" s="25" t="s">
        <v>35</v>
      </c>
    </row>
    <row r="38" spans="1:9" x14ac:dyDescent="0.25">
      <c r="A38" s="7" t="s">
        <v>36</v>
      </c>
      <c r="B38" s="27">
        <v>0.16769999999999999</v>
      </c>
      <c r="C38" s="24" t="s">
        <v>37</v>
      </c>
      <c r="D38" s="27">
        <v>0.35580000000000001</v>
      </c>
      <c r="E38" s="24" t="s">
        <v>37</v>
      </c>
      <c r="F38" s="27">
        <v>0.4743</v>
      </c>
      <c r="G38" s="24" t="s">
        <v>37</v>
      </c>
      <c r="H38" s="27">
        <v>0.4743</v>
      </c>
      <c r="I38" s="25" t="s">
        <v>37</v>
      </c>
    </row>
    <row r="39" spans="1:9" x14ac:dyDescent="0.25">
      <c r="A39" s="7" t="s">
        <v>38</v>
      </c>
      <c r="B39" s="28" t="s">
        <v>225</v>
      </c>
      <c r="C39" s="24"/>
      <c r="D39" s="28" t="str">
        <f>IF(D38&lt;=D37,"Yes","No")</f>
        <v>Yes</v>
      </c>
      <c r="E39" s="24"/>
      <c r="F39" s="28" t="str">
        <f>IF(F38&lt;=F37,"Yes","No")</f>
        <v>Yes</v>
      </c>
      <c r="G39" s="24"/>
      <c r="H39" s="28" t="str">
        <f>IF(H38&lt;=H37,"Yes","No")</f>
        <v>Yes</v>
      </c>
      <c r="I39" s="25"/>
    </row>
    <row r="40" spans="1:9" x14ac:dyDescent="0.25">
      <c r="A40" s="7" t="s">
        <v>39</v>
      </c>
      <c r="B40" s="29">
        <v>25</v>
      </c>
      <c r="C40" s="24" t="s">
        <v>40</v>
      </c>
      <c r="D40" s="29">
        <f>(B20*D34)+B6</f>
        <v>32.5</v>
      </c>
      <c r="E40" s="24" t="s">
        <v>40</v>
      </c>
      <c r="F40" s="29">
        <f>(B20*F34)+B6</f>
        <v>40</v>
      </c>
      <c r="G40" s="24" t="s">
        <v>40</v>
      </c>
      <c r="H40" s="29">
        <f>(B20*H34)+B6</f>
        <v>50</v>
      </c>
      <c r="I40" s="25" t="s">
        <v>40</v>
      </c>
    </row>
    <row r="41" spans="1:9" x14ac:dyDescent="0.25">
      <c r="A41" s="7" t="s">
        <v>41</v>
      </c>
      <c r="B41" s="26">
        <v>0.89</v>
      </c>
      <c r="C41" s="24" t="s">
        <v>42</v>
      </c>
      <c r="D41" s="26">
        <f>(B6/(B18/1000000))*D38*E20</f>
        <v>1.8976000000000004</v>
      </c>
      <c r="E41" s="24" t="s">
        <v>42</v>
      </c>
      <c r="F41" s="26">
        <f>(B6/(B18/1000000))*F38*E20</f>
        <v>2.5296000000000003</v>
      </c>
      <c r="G41" s="24" t="s">
        <v>42</v>
      </c>
      <c r="H41" s="26">
        <f>(B6/(B18/1000000))*H38*E20</f>
        <v>2.5296000000000003</v>
      </c>
      <c r="I41" s="25" t="s">
        <v>42</v>
      </c>
    </row>
    <row r="42" spans="1:9" x14ac:dyDescent="0.25">
      <c r="A42" s="7" t="s">
        <v>43</v>
      </c>
      <c r="B42" s="26">
        <v>0.21</v>
      </c>
      <c r="C42" s="24" t="s">
        <v>44</v>
      </c>
      <c r="D42" s="26">
        <f>D41*SQRT((D38/3))</f>
        <v>0.65350214317628685</v>
      </c>
      <c r="E42" s="24" t="s">
        <v>44</v>
      </c>
      <c r="F42" s="26">
        <f>F41*SQRT((F38/3))</f>
        <v>1.0058142576519784</v>
      </c>
      <c r="G42" s="24" t="s">
        <v>44</v>
      </c>
      <c r="H42" s="26">
        <f>H41*SQRT((H38/3))</f>
        <v>1.0058142576519784</v>
      </c>
      <c r="I42" s="25" t="s">
        <v>44</v>
      </c>
    </row>
    <row r="43" spans="1:9" x14ac:dyDescent="0.25">
      <c r="A43" s="30" t="s">
        <v>45</v>
      </c>
      <c r="B43" s="31">
        <v>7.0000000000000007E-2</v>
      </c>
      <c r="C43" s="24" t="s">
        <v>46</v>
      </c>
      <c r="D43" s="31">
        <f>0.5*D38*D41</f>
        <v>0.33758304000000006</v>
      </c>
      <c r="E43" s="24" t="s">
        <v>46</v>
      </c>
      <c r="F43" s="31">
        <f>0.5*F38*F41</f>
        <v>0.59989464000000003</v>
      </c>
      <c r="G43" s="24" t="s">
        <v>46</v>
      </c>
      <c r="H43" s="31">
        <f>0.5*H38*H41</f>
        <v>0.59989464000000003</v>
      </c>
      <c r="I43" s="25" t="s">
        <v>46</v>
      </c>
    </row>
    <row r="44" spans="1:9" x14ac:dyDescent="0.25">
      <c r="A44" s="30" t="s">
        <v>47</v>
      </c>
      <c r="B44" s="32">
        <v>0.67079999999999995</v>
      </c>
      <c r="C44" s="24" t="s">
        <v>48</v>
      </c>
      <c r="D44" s="32">
        <f>(B6*D38)/(B20*D34)</f>
        <v>0.56928000000000001</v>
      </c>
      <c r="E44" s="24" t="s">
        <v>48</v>
      </c>
      <c r="F44" s="32">
        <f>(B6*F38)/(B20*F34)</f>
        <v>0.47430000000000005</v>
      </c>
      <c r="G44" s="24" t="s">
        <v>48</v>
      </c>
      <c r="H44" s="32">
        <f>(B6*H38)/(B20*H34)</f>
        <v>0.31620000000000004</v>
      </c>
      <c r="I44" s="25" t="s">
        <v>48</v>
      </c>
    </row>
    <row r="45" spans="1:9" x14ac:dyDescent="0.25">
      <c r="A45" s="30" t="s">
        <v>49</v>
      </c>
      <c r="B45" s="31">
        <v>25</v>
      </c>
      <c r="C45" s="24" t="s">
        <v>50</v>
      </c>
      <c r="D45" s="31">
        <f>(B6/B20)+D34</f>
        <v>32.5</v>
      </c>
      <c r="E45" s="24" t="s">
        <v>50</v>
      </c>
      <c r="F45" s="31">
        <f>(B6/B20)+F34</f>
        <v>40</v>
      </c>
      <c r="G45" s="24" t="s">
        <v>50</v>
      </c>
      <c r="H45" s="31">
        <f>(B6/B20)+H34</f>
        <v>50</v>
      </c>
      <c r="I45" s="25" t="s">
        <v>50</v>
      </c>
    </row>
    <row r="46" spans="1:9" x14ac:dyDescent="0.25">
      <c r="A46" s="30" t="s">
        <v>51</v>
      </c>
      <c r="B46" s="31">
        <v>0.89</v>
      </c>
      <c r="C46" s="24" t="s">
        <v>52</v>
      </c>
      <c r="D46" s="31">
        <f>(B20*D41)</f>
        <v>1.8976000000000004</v>
      </c>
      <c r="E46" s="24" t="s">
        <v>52</v>
      </c>
      <c r="F46" s="94">
        <f>(B20*F41)</f>
        <v>2.5296000000000003</v>
      </c>
      <c r="G46" s="24" t="s">
        <v>52</v>
      </c>
      <c r="H46" s="31">
        <f>(B20*H41)</f>
        <v>2.5296000000000003</v>
      </c>
      <c r="I46" s="25" t="s">
        <v>52</v>
      </c>
    </row>
    <row r="47" spans="1:9" x14ac:dyDescent="0.25">
      <c r="A47" s="30" t="s">
        <v>53</v>
      </c>
      <c r="B47" s="31">
        <v>0.42</v>
      </c>
      <c r="C47" s="24" t="s">
        <v>54</v>
      </c>
      <c r="D47" s="31">
        <f>(B20*D41)*SQRT(D44/3)</f>
        <v>0.82662209129541186</v>
      </c>
      <c r="E47" s="24" t="s">
        <v>54</v>
      </c>
      <c r="F47" s="31">
        <f>(B20*F41)*SQRT(F44/3)</f>
        <v>1.0058142576519784</v>
      </c>
      <c r="G47" s="24" t="s">
        <v>54</v>
      </c>
      <c r="H47" s="31">
        <f>(B20*H41)*SQRT(H44/3)</f>
        <v>0.82124390242119927</v>
      </c>
      <c r="I47" s="25" t="s">
        <v>54</v>
      </c>
    </row>
    <row r="48" spans="1:9" x14ac:dyDescent="0.25">
      <c r="A48" s="30" t="s">
        <v>55</v>
      </c>
      <c r="B48" s="31">
        <v>0.3</v>
      </c>
      <c r="C48" s="33" t="s">
        <v>56</v>
      </c>
      <c r="D48" s="31">
        <f>D34/D36</f>
        <v>0.54</v>
      </c>
      <c r="E48" s="33" t="s">
        <v>56</v>
      </c>
      <c r="F48" s="31">
        <f>F34/F36</f>
        <v>0.6</v>
      </c>
      <c r="G48" s="33" t="s">
        <v>56</v>
      </c>
      <c r="H48" s="31">
        <f>H34/H36</f>
        <v>0.4</v>
      </c>
      <c r="I48" s="34" t="s">
        <v>56</v>
      </c>
    </row>
    <row r="49" spans="1:9" ht="15.75" thickBot="1" x14ac:dyDescent="0.3">
      <c r="A49" s="10" t="s">
        <v>57</v>
      </c>
      <c r="B49" s="35">
        <v>0.03</v>
      </c>
      <c r="C49" s="36" t="s">
        <v>58</v>
      </c>
      <c r="D49" s="35">
        <f>1/(2*B28/1000000)*(B20*D41-D48)^2/(B20*D41)*D44*E20</f>
        <v>7.0887606153846178E-2</v>
      </c>
      <c r="E49" s="36" t="s">
        <v>58</v>
      </c>
      <c r="F49" s="35">
        <f>1/(2*B28/1000000)*(B20*F41-F48)^2/(B20*F41)*F44*E20</f>
        <v>8.9503753846153861E-2</v>
      </c>
      <c r="G49" s="36" t="s">
        <v>58</v>
      </c>
      <c r="H49" s="35">
        <f>1/(2*B28/1000000)*(B20*H41-H48)^2/(B20*H41)*H44*E20</f>
        <v>7.2679425641025669E-2</v>
      </c>
      <c r="I49" s="37" t="s">
        <v>58</v>
      </c>
    </row>
    <row r="50" spans="1:9" ht="15.75" thickTop="1" x14ac:dyDescent="0.25">
      <c r="B50" s="38"/>
      <c r="C50" s="39"/>
    </row>
    <row r="51" spans="1:9" x14ac:dyDescent="0.25">
      <c r="B51" s="38"/>
      <c r="C51" s="39"/>
    </row>
    <row r="52" spans="1:9" ht="18.75" x14ac:dyDescent="0.3">
      <c r="A52" s="2" t="s">
        <v>59</v>
      </c>
    </row>
    <row r="53" spans="1:9" ht="15.75" thickBot="1" x14ac:dyDescent="0.3"/>
    <row r="54" spans="1:9" ht="16.5" thickTop="1" thickBot="1" x14ac:dyDescent="0.3">
      <c r="A54" s="3" t="s">
        <v>2</v>
      </c>
      <c r="B54" s="3" t="s">
        <v>3</v>
      </c>
      <c r="C54" s="3" t="s">
        <v>14</v>
      </c>
      <c r="D54" s="3" t="s">
        <v>3</v>
      </c>
      <c r="E54" s="3" t="s">
        <v>14</v>
      </c>
      <c r="F54" s="3" t="s">
        <v>3</v>
      </c>
      <c r="G54" s="3" t="s">
        <v>14</v>
      </c>
      <c r="H54" s="3" t="s">
        <v>3</v>
      </c>
      <c r="I54" s="3" t="s">
        <v>14</v>
      </c>
    </row>
    <row r="55" spans="1:9" ht="15.75" thickTop="1" x14ac:dyDescent="0.25">
      <c r="A55" s="7" t="s">
        <v>32</v>
      </c>
      <c r="B55" s="8">
        <v>16.670000000000002</v>
      </c>
      <c r="C55" s="24" t="s">
        <v>60</v>
      </c>
      <c r="D55" s="8">
        <f>D36</f>
        <v>23.148148148148149</v>
      </c>
      <c r="E55" s="24" t="s">
        <v>60</v>
      </c>
      <c r="F55" s="8">
        <f>F36</f>
        <v>33.333333333333336</v>
      </c>
      <c r="G55" s="24" t="s">
        <v>60</v>
      </c>
      <c r="H55" s="8">
        <f>H36</f>
        <v>75</v>
      </c>
      <c r="I55" s="25" t="s">
        <v>60</v>
      </c>
    </row>
    <row r="56" spans="1:9" x14ac:dyDescent="0.25">
      <c r="A56" s="7" t="s">
        <v>36</v>
      </c>
      <c r="B56" s="8">
        <v>0.17</v>
      </c>
      <c r="C56" s="24"/>
      <c r="D56" s="8">
        <f>D38</f>
        <v>0.35580000000000001</v>
      </c>
      <c r="E56" s="24"/>
      <c r="F56" s="8">
        <f>F38</f>
        <v>0.4743</v>
      </c>
      <c r="G56" s="24"/>
      <c r="H56" s="8">
        <f>H38</f>
        <v>0.4743</v>
      </c>
      <c r="I56" s="25"/>
    </row>
    <row r="57" spans="1:9" x14ac:dyDescent="0.25">
      <c r="A57" s="7" t="s">
        <v>30</v>
      </c>
      <c r="B57" s="26">
        <v>4.8099999999999996</v>
      </c>
      <c r="C57" s="24" t="s">
        <v>6</v>
      </c>
      <c r="D57" s="26">
        <v>12.5</v>
      </c>
      <c r="E57" s="24" t="s">
        <v>6</v>
      </c>
      <c r="F57" s="26">
        <v>20</v>
      </c>
      <c r="G57" s="24" t="s">
        <v>6</v>
      </c>
      <c r="H57" s="26">
        <v>31.01</v>
      </c>
      <c r="I57" s="25" t="s">
        <v>6</v>
      </c>
    </row>
    <row r="58" spans="1:9" x14ac:dyDescent="0.25">
      <c r="A58" s="7" t="s">
        <v>31</v>
      </c>
      <c r="B58" s="26">
        <v>1.39</v>
      </c>
      <c r="C58" s="24" t="s">
        <v>10</v>
      </c>
      <c r="D58" s="26">
        <v>6.7389999999999999</v>
      </c>
      <c r="E58" s="24" t="s">
        <v>10</v>
      </c>
      <c r="F58" s="26">
        <v>10.946</v>
      </c>
      <c r="G58" s="24" t="s">
        <v>10</v>
      </c>
      <c r="H58" s="26">
        <v>12.82</v>
      </c>
      <c r="I58" s="25" t="s">
        <v>10</v>
      </c>
    </row>
    <row r="59" spans="1:9" x14ac:dyDescent="0.25">
      <c r="A59" s="7" t="s">
        <v>38</v>
      </c>
      <c r="B59" s="29" t="s">
        <v>226</v>
      </c>
      <c r="C59" s="24"/>
      <c r="D59" s="29" t="s">
        <v>225</v>
      </c>
      <c r="E59" s="24"/>
      <c r="F59" s="29" t="s">
        <v>225</v>
      </c>
      <c r="G59" s="24"/>
      <c r="H59" s="29" t="s">
        <v>225</v>
      </c>
      <c r="I59" s="25"/>
    </row>
    <row r="60" spans="1:9" x14ac:dyDescent="0.25">
      <c r="A60" s="7" t="s">
        <v>39</v>
      </c>
      <c r="B60" s="29">
        <v>25.6</v>
      </c>
      <c r="C60" s="24" t="s">
        <v>61</v>
      </c>
      <c r="D60" s="26">
        <v>43.555999999999997</v>
      </c>
      <c r="E60" s="24" t="s">
        <v>61</v>
      </c>
      <c r="F60" s="29">
        <v>52.91</v>
      </c>
      <c r="G60" s="24" t="s">
        <v>61</v>
      </c>
      <c r="H60" s="29">
        <v>64.27</v>
      </c>
      <c r="I60" s="25" t="s">
        <v>61</v>
      </c>
    </row>
    <row r="61" spans="1:9" x14ac:dyDescent="0.25">
      <c r="A61" s="7" t="s">
        <v>41</v>
      </c>
      <c r="B61" s="26">
        <v>0.94</v>
      </c>
      <c r="C61" s="24" t="s">
        <v>62</v>
      </c>
      <c r="D61" s="95">
        <v>1.9750000000000001</v>
      </c>
      <c r="E61" s="24" t="s">
        <v>62</v>
      </c>
      <c r="F61" s="26">
        <v>2.48</v>
      </c>
      <c r="G61" s="24" t="s">
        <v>62</v>
      </c>
      <c r="H61" s="26">
        <v>2.67</v>
      </c>
      <c r="I61" s="25" t="s">
        <v>62</v>
      </c>
    </row>
    <row r="62" spans="1:9" x14ac:dyDescent="0.25">
      <c r="A62" s="7" t="s">
        <v>43</v>
      </c>
      <c r="B62" s="26">
        <v>0.23</v>
      </c>
      <c r="C62" s="24" t="s">
        <v>62</v>
      </c>
      <c r="D62" s="26">
        <v>0.69950000000000001</v>
      </c>
      <c r="E62" s="24" t="s">
        <v>62</v>
      </c>
      <c r="F62" s="26">
        <v>0.98360000000000003</v>
      </c>
      <c r="G62" s="24" t="s">
        <v>62</v>
      </c>
      <c r="H62" s="26">
        <v>1.1000000000000001</v>
      </c>
      <c r="I62" s="25" t="s">
        <v>62</v>
      </c>
    </row>
    <row r="63" spans="1:9" x14ac:dyDescent="0.25">
      <c r="A63" s="30" t="s">
        <v>45</v>
      </c>
      <c r="B63" s="31">
        <v>0.08</v>
      </c>
      <c r="C63" s="24" t="s">
        <v>62</v>
      </c>
      <c r="D63" s="31">
        <v>0.36670000000000003</v>
      </c>
      <c r="E63" s="24" t="s">
        <v>62</v>
      </c>
      <c r="F63" s="31">
        <v>0.57799999999999996</v>
      </c>
      <c r="G63" s="24" t="s">
        <v>62</v>
      </c>
      <c r="H63" s="31">
        <v>0.67</v>
      </c>
      <c r="I63" s="25" t="s">
        <v>62</v>
      </c>
    </row>
    <row r="64" spans="1:9" x14ac:dyDescent="0.25">
      <c r="A64" s="30" t="s">
        <v>47</v>
      </c>
      <c r="B64" s="31">
        <v>0.62</v>
      </c>
      <c r="C64" s="24"/>
      <c r="D64" s="31">
        <f>(B6*D56)/(B20*D57)</f>
        <v>0.56928000000000001</v>
      </c>
      <c r="E64" s="24"/>
      <c r="F64" s="31">
        <v>0.443</v>
      </c>
      <c r="G64" s="24"/>
      <c r="H64" s="31">
        <v>0.31</v>
      </c>
      <c r="I64" s="25"/>
    </row>
    <row r="65" spans="1:9" x14ac:dyDescent="0.25">
      <c r="A65" s="30" t="s">
        <v>49</v>
      </c>
      <c r="B65" s="31">
        <v>4.82</v>
      </c>
      <c r="C65" s="24" t="s">
        <v>61</v>
      </c>
      <c r="D65" s="31">
        <v>32.520000000000003</v>
      </c>
      <c r="E65" s="24" t="s">
        <v>61</v>
      </c>
      <c r="F65" s="31">
        <v>39.1</v>
      </c>
      <c r="G65" s="24" t="s">
        <v>61</v>
      </c>
      <c r="H65" s="31">
        <v>51.67</v>
      </c>
      <c r="I65" s="25" t="s">
        <v>61</v>
      </c>
    </row>
    <row r="66" spans="1:9" x14ac:dyDescent="0.25">
      <c r="A66" s="30" t="s">
        <v>63</v>
      </c>
      <c r="B66" s="31">
        <v>1</v>
      </c>
      <c r="C66" s="24" t="s">
        <v>62</v>
      </c>
      <c r="D66" s="31">
        <v>2.1339999999999999</v>
      </c>
      <c r="E66" s="24" t="s">
        <v>62</v>
      </c>
      <c r="F66" s="31">
        <v>2.66</v>
      </c>
      <c r="G66" s="24" t="s">
        <v>62</v>
      </c>
      <c r="H66" s="31">
        <v>2.7</v>
      </c>
      <c r="I66" s="25" t="s">
        <v>62</v>
      </c>
    </row>
    <row r="67" spans="1:9" x14ac:dyDescent="0.25">
      <c r="A67" s="30" t="s">
        <v>64</v>
      </c>
      <c r="B67" s="31">
        <v>0.42</v>
      </c>
      <c r="C67" s="24" t="s">
        <v>62</v>
      </c>
      <c r="D67" s="31">
        <v>0.84150000000000003</v>
      </c>
      <c r="E67" s="24" t="s">
        <v>62</v>
      </c>
      <c r="F67" s="31">
        <v>0.97</v>
      </c>
      <c r="G67" s="24" t="s">
        <v>62</v>
      </c>
      <c r="H67" s="31">
        <v>0.85</v>
      </c>
      <c r="I67" s="25" t="s">
        <v>62</v>
      </c>
    </row>
    <row r="68" spans="1:9" x14ac:dyDescent="0.25">
      <c r="A68" s="30" t="s">
        <v>65</v>
      </c>
      <c r="B68" s="31">
        <v>0.28999999999999998</v>
      </c>
      <c r="C68" s="33" t="s">
        <v>62</v>
      </c>
      <c r="D68" s="31">
        <v>0.54139999999999999</v>
      </c>
      <c r="E68" s="33" t="s">
        <v>62</v>
      </c>
      <c r="F68" s="31">
        <v>0.57299999999999995</v>
      </c>
      <c r="G68" s="33" t="s">
        <v>62</v>
      </c>
      <c r="H68" s="31">
        <v>0.41</v>
      </c>
      <c r="I68" s="34" t="s">
        <v>62</v>
      </c>
    </row>
    <row r="69" spans="1:9" ht="15.75" thickBot="1" x14ac:dyDescent="0.3">
      <c r="A69" s="10" t="s">
        <v>66</v>
      </c>
      <c r="B69" s="21">
        <v>0.04</v>
      </c>
      <c r="C69" s="36" t="s">
        <v>6</v>
      </c>
      <c r="D69" s="21">
        <v>8.5300000000000001E-2</v>
      </c>
      <c r="E69" s="36" t="s">
        <v>6</v>
      </c>
      <c r="F69" s="21">
        <v>0.1263</v>
      </c>
      <c r="G69" s="36" t="s">
        <v>6</v>
      </c>
      <c r="H69" s="21">
        <v>0.11</v>
      </c>
      <c r="I69" s="37" t="s">
        <v>6</v>
      </c>
    </row>
    <row r="70" spans="1:9" ht="15.75" thickTop="1" x14ac:dyDescent="0.25"/>
    <row r="72" spans="1:9" ht="18.75" x14ac:dyDescent="0.3">
      <c r="A72" s="2" t="s">
        <v>67</v>
      </c>
    </row>
    <row r="73" spans="1:9" ht="15.75" thickBot="1" x14ac:dyDescent="0.3"/>
    <row r="74" spans="1:9" ht="16.5" thickTop="1" thickBot="1" x14ac:dyDescent="0.3">
      <c r="A74" s="3" t="s">
        <v>2</v>
      </c>
      <c r="B74" s="3" t="s">
        <v>3</v>
      </c>
      <c r="C74" s="3" t="s">
        <v>14</v>
      </c>
    </row>
    <row r="75" spans="1:9" ht="15.75" thickTop="1" x14ac:dyDescent="0.25">
      <c r="A75" s="4" t="s">
        <v>68</v>
      </c>
      <c r="B75" s="5">
        <v>0</v>
      </c>
      <c r="C75" s="14" t="s">
        <v>6</v>
      </c>
    </row>
    <row r="76" spans="1:9" x14ac:dyDescent="0.25">
      <c r="A76" s="15" t="s">
        <v>69</v>
      </c>
      <c r="B76" s="40">
        <v>5</v>
      </c>
      <c r="C76" s="17" t="s">
        <v>6</v>
      </c>
    </row>
    <row r="77" spans="1:9" x14ac:dyDescent="0.25">
      <c r="A77" s="15" t="s">
        <v>70</v>
      </c>
      <c r="B77" s="40">
        <v>4.2</v>
      </c>
      <c r="C77" s="41" t="s">
        <v>6</v>
      </c>
    </row>
    <row r="78" spans="1:9" ht="15.75" x14ac:dyDescent="0.25">
      <c r="A78" s="15" t="s">
        <v>71</v>
      </c>
      <c r="B78" s="42">
        <f>B77*5/30</f>
        <v>0.7</v>
      </c>
      <c r="C78" s="18" t="s">
        <v>6</v>
      </c>
    </row>
    <row r="79" spans="1:9" ht="15.75" x14ac:dyDescent="0.25">
      <c r="A79" s="15" t="s">
        <v>72</v>
      </c>
      <c r="B79" s="42">
        <v>22</v>
      </c>
      <c r="C79" s="18" t="s">
        <v>73</v>
      </c>
    </row>
    <row r="80" spans="1:9" x14ac:dyDescent="0.25">
      <c r="A80" s="15" t="s">
        <v>74</v>
      </c>
      <c r="B80" s="40">
        <v>1</v>
      </c>
      <c r="C80" s="18" t="s">
        <v>75</v>
      </c>
    </row>
    <row r="81" spans="1:9" x14ac:dyDescent="0.25">
      <c r="A81" s="15" t="s">
        <v>76</v>
      </c>
      <c r="B81" s="16">
        <v>18</v>
      </c>
      <c r="C81" s="18" t="s">
        <v>77</v>
      </c>
    </row>
    <row r="82" spans="1:9" x14ac:dyDescent="0.25">
      <c r="A82" s="15" t="s">
        <v>78</v>
      </c>
      <c r="B82" s="16">
        <v>0.4</v>
      </c>
      <c r="C82" s="18" t="s">
        <v>79</v>
      </c>
    </row>
    <row r="83" spans="1:9" x14ac:dyDescent="0.25">
      <c r="A83" s="15" t="s">
        <v>80</v>
      </c>
      <c r="B83" s="16">
        <v>100</v>
      </c>
      <c r="C83" s="18" t="s">
        <v>81</v>
      </c>
    </row>
    <row r="84" spans="1:9" x14ac:dyDescent="0.25">
      <c r="A84" s="15" t="s">
        <v>82</v>
      </c>
      <c r="B84" s="16">
        <v>150</v>
      </c>
      <c r="C84" s="18" t="s">
        <v>83</v>
      </c>
    </row>
    <row r="85" spans="1:9" x14ac:dyDescent="0.25">
      <c r="A85" s="15" t="s">
        <v>84</v>
      </c>
      <c r="B85" s="16">
        <v>33</v>
      </c>
      <c r="C85" s="18" t="s">
        <v>85</v>
      </c>
    </row>
    <row r="86" spans="1:9" x14ac:dyDescent="0.25">
      <c r="A86" s="15" t="s">
        <v>86</v>
      </c>
      <c r="B86" s="16">
        <v>5.6</v>
      </c>
      <c r="C86" s="18" t="s">
        <v>87</v>
      </c>
    </row>
    <row r="87" spans="1:9" x14ac:dyDescent="0.25">
      <c r="A87" s="15" t="s">
        <v>88</v>
      </c>
      <c r="B87" s="40">
        <v>4.7</v>
      </c>
      <c r="C87" s="18" t="s">
        <v>89</v>
      </c>
    </row>
    <row r="88" spans="1:9" x14ac:dyDescent="0.25">
      <c r="A88" s="15" t="s">
        <v>90</v>
      </c>
      <c r="B88" s="40">
        <v>10</v>
      </c>
      <c r="C88" s="18" t="s">
        <v>89</v>
      </c>
    </row>
    <row r="89" spans="1:9" x14ac:dyDescent="0.25">
      <c r="A89" s="15" t="s">
        <v>91</v>
      </c>
      <c r="B89" s="16">
        <v>4</v>
      </c>
      <c r="C89" s="18"/>
    </row>
    <row r="90" spans="1:9" ht="15.75" thickBot="1" x14ac:dyDescent="0.3">
      <c r="A90" s="10" t="s">
        <v>92</v>
      </c>
      <c r="B90" s="21">
        <v>3500</v>
      </c>
      <c r="C90" s="20"/>
    </row>
    <row r="91" spans="1:9" ht="15.75" thickTop="1" x14ac:dyDescent="0.25"/>
    <row r="93" spans="1:9" ht="18.75" x14ac:dyDescent="0.3">
      <c r="A93" s="2" t="s">
        <v>93</v>
      </c>
    </row>
    <row r="94" spans="1:9" ht="15.75" thickBot="1" x14ac:dyDescent="0.3"/>
    <row r="95" spans="1:9" ht="16.5" thickTop="1" thickBot="1" x14ac:dyDescent="0.3">
      <c r="A95" s="3" t="s">
        <v>2</v>
      </c>
      <c r="B95" s="3" t="s">
        <v>3</v>
      </c>
      <c r="C95" s="3" t="s">
        <v>14</v>
      </c>
      <c r="D95" s="3" t="s">
        <v>3</v>
      </c>
      <c r="E95" s="3" t="s">
        <v>14</v>
      </c>
      <c r="F95" s="3" t="s">
        <v>3</v>
      </c>
      <c r="G95" s="3" t="s">
        <v>14</v>
      </c>
      <c r="H95" s="3" t="s">
        <v>3</v>
      </c>
      <c r="I95" s="3" t="s">
        <v>14</v>
      </c>
    </row>
    <row r="96" spans="1:9" ht="15.75" thickTop="1" x14ac:dyDescent="0.25">
      <c r="A96" s="7" t="s">
        <v>32</v>
      </c>
      <c r="B96" s="8">
        <f>B36</f>
        <v>16.670000000000002</v>
      </c>
      <c r="C96" s="24" t="s">
        <v>60</v>
      </c>
      <c r="D96" s="8">
        <f>D36</f>
        <v>23.148148148148149</v>
      </c>
      <c r="E96" s="24" t="s">
        <v>60</v>
      </c>
      <c r="F96" s="8">
        <f>F36</f>
        <v>33.333333333333336</v>
      </c>
      <c r="G96" s="24" t="s">
        <v>60</v>
      </c>
      <c r="H96" s="8">
        <f>H36</f>
        <v>75</v>
      </c>
      <c r="I96" s="25" t="s">
        <v>60</v>
      </c>
    </row>
    <row r="97" spans="1:9" x14ac:dyDescent="0.25">
      <c r="A97" s="7" t="s">
        <v>94</v>
      </c>
      <c r="B97" s="8">
        <v>0.7</v>
      </c>
      <c r="C97" s="24" t="s">
        <v>6</v>
      </c>
      <c r="D97" s="8">
        <f>H97*12.5/30</f>
        <v>1.75</v>
      </c>
      <c r="E97" s="24" t="s">
        <v>6</v>
      </c>
      <c r="F97" s="8">
        <f>H97*20/30</f>
        <v>2.8</v>
      </c>
      <c r="G97" s="24" t="s">
        <v>6</v>
      </c>
      <c r="H97" s="8">
        <v>4.2</v>
      </c>
      <c r="I97" s="25" t="s">
        <v>6</v>
      </c>
    </row>
    <row r="98" spans="1:9" x14ac:dyDescent="0.25">
      <c r="A98" s="7" t="s">
        <v>95</v>
      </c>
      <c r="B98" s="26">
        <v>4.8099999999999996</v>
      </c>
      <c r="C98" s="24" t="s">
        <v>6</v>
      </c>
      <c r="D98" s="26">
        <v>12</v>
      </c>
      <c r="E98" s="24" t="s">
        <v>6</v>
      </c>
      <c r="F98" s="26">
        <v>19.32</v>
      </c>
      <c r="G98" s="24" t="s">
        <v>6</v>
      </c>
      <c r="H98" s="26">
        <v>28.92</v>
      </c>
      <c r="I98" s="25" t="s">
        <v>6</v>
      </c>
    </row>
    <row r="99" spans="1:9" ht="15.75" thickBot="1" x14ac:dyDescent="0.3">
      <c r="A99" s="10" t="s">
        <v>96</v>
      </c>
      <c r="B99" s="21">
        <v>5</v>
      </c>
      <c r="C99" s="36" t="s">
        <v>97</v>
      </c>
      <c r="D99" s="21">
        <v>5</v>
      </c>
      <c r="E99" s="36" t="s">
        <v>97</v>
      </c>
      <c r="F99" s="21">
        <v>5</v>
      </c>
      <c r="G99" s="36" t="s">
        <v>97</v>
      </c>
      <c r="H99" s="21">
        <v>5</v>
      </c>
      <c r="I99" s="37" t="s">
        <v>97</v>
      </c>
    </row>
    <row r="100" spans="1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0453-F160-4907-AE78-641F306A33E9}">
  <dimension ref="A1:I70"/>
  <sheetViews>
    <sheetView tabSelected="1" topLeftCell="A42" workbookViewId="0">
      <selection activeCell="F54" sqref="F54"/>
    </sheetView>
  </sheetViews>
  <sheetFormatPr defaultColWidth="12.42578125" defaultRowHeight="15" x14ac:dyDescent="0.25"/>
  <cols>
    <col min="1" max="1" width="25.85546875" customWidth="1"/>
    <col min="2" max="9" width="13.42578125" customWidth="1"/>
  </cols>
  <sheetData>
    <row r="1" spans="1:3" ht="21" x14ac:dyDescent="0.35">
      <c r="A1" s="1" t="s">
        <v>98</v>
      </c>
    </row>
    <row r="3" spans="1:3" ht="18.75" x14ac:dyDescent="0.3">
      <c r="A3" s="2" t="s">
        <v>99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4</v>
      </c>
    </row>
    <row r="6" spans="1:3" ht="15.75" thickTop="1" x14ac:dyDescent="0.25">
      <c r="A6" s="4" t="s">
        <v>18</v>
      </c>
      <c r="B6" s="5">
        <f>'[1]Operating Conditions'!B18</f>
        <v>0</v>
      </c>
      <c r="C6" s="18" t="s">
        <v>19</v>
      </c>
    </row>
    <row r="7" spans="1:3" x14ac:dyDescent="0.25">
      <c r="A7" s="7" t="s">
        <v>22</v>
      </c>
      <c r="B7" s="8">
        <f>'[1]Operating Conditions'!B20</f>
        <v>1</v>
      </c>
      <c r="C7" s="9"/>
    </row>
    <row r="8" spans="1:3" x14ac:dyDescent="0.25">
      <c r="A8" s="7" t="s">
        <v>5</v>
      </c>
      <c r="B8" s="8">
        <f>'[1]Operating Conditions'!B6</f>
        <v>20</v>
      </c>
      <c r="C8" s="9" t="s">
        <v>6</v>
      </c>
    </row>
    <row r="9" spans="1:3" x14ac:dyDescent="0.25">
      <c r="A9" s="7" t="s">
        <v>100</v>
      </c>
      <c r="B9" s="8">
        <v>0.47</v>
      </c>
      <c r="C9" s="9"/>
    </row>
    <row r="10" spans="1:3" x14ac:dyDescent="0.25">
      <c r="A10" s="7" t="s">
        <v>101</v>
      </c>
      <c r="B10" s="8">
        <v>2.5299999999999998</v>
      </c>
      <c r="C10" s="9" t="s">
        <v>102</v>
      </c>
    </row>
    <row r="11" spans="1:3" x14ac:dyDescent="0.25">
      <c r="A11" s="7" t="s">
        <v>103</v>
      </c>
      <c r="B11" s="8">
        <v>1.01</v>
      </c>
      <c r="C11" s="9" t="s">
        <v>102</v>
      </c>
    </row>
    <row r="12" spans="1:3" x14ac:dyDescent="0.25">
      <c r="A12" s="7" t="s">
        <v>104</v>
      </c>
      <c r="B12" s="8">
        <v>0.82</v>
      </c>
      <c r="C12" s="9" t="s">
        <v>102</v>
      </c>
    </row>
    <row r="13" spans="1:3" x14ac:dyDescent="0.25">
      <c r="A13" s="7" t="s">
        <v>105</v>
      </c>
      <c r="B13" s="8">
        <v>0.25</v>
      </c>
      <c r="C13" s="9" t="s">
        <v>106</v>
      </c>
    </row>
    <row r="14" spans="1:3" ht="15.75" thickBot="1" x14ac:dyDescent="0.3">
      <c r="A14" s="10" t="s">
        <v>11</v>
      </c>
      <c r="B14" s="11">
        <f>'[1]Operating Conditions'!B10</f>
        <v>100</v>
      </c>
      <c r="C14" s="12" t="s">
        <v>12</v>
      </c>
    </row>
    <row r="15" spans="1:3" ht="16.5" thickTop="1" x14ac:dyDescent="0.25">
      <c r="A15" s="13"/>
    </row>
    <row r="17" spans="1:3" ht="18.75" x14ac:dyDescent="0.3">
      <c r="A17" s="2" t="s">
        <v>107</v>
      </c>
    </row>
    <row r="18" spans="1:3" ht="19.5" thickBot="1" x14ac:dyDescent="0.35">
      <c r="A18" s="2"/>
    </row>
    <row r="19" spans="1:3" ht="16.5" thickTop="1" thickBot="1" x14ac:dyDescent="0.3">
      <c r="A19" s="3" t="s">
        <v>2</v>
      </c>
      <c r="B19" s="3" t="s">
        <v>3</v>
      </c>
      <c r="C19" s="3" t="s">
        <v>4</v>
      </c>
    </row>
    <row r="20" spans="1:3" ht="15.75" thickTop="1" x14ac:dyDescent="0.25">
      <c r="A20" s="43" t="s">
        <v>108</v>
      </c>
      <c r="B20" s="44" t="s">
        <v>109</v>
      </c>
      <c r="C20" s="45"/>
    </row>
    <row r="21" spans="1:3" x14ac:dyDescent="0.25">
      <c r="A21" s="46" t="s">
        <v>110</v>
      </c>
      <c r="B21" s="47" t="s">
        <v>111</v>
      </c>
      <c r="C21" s="48"/>
    </row>
    <row r="22" spans="1:3" ht="15.75" thickBot="1" x14ac:dyDescent="0.3">
      <c r="A22" s="46" t="s">
        <v>112</v>
      </c>
      <c r="B22" s="47">
        <v>1670</v>
      </c>
      <c r="C22" s="49" t="s">
        <v>113</v>
      </c>
    </row>
    <row r="23" spans="1:3" ht="15.75" thickTop="1" x14ac:dyDescent="0.25">
      <c r="A23" s="46" t="s">
        <v>114</v>
      </c>
      <c r="B23" s="50">
        <v>97.1</v>
      </c>
      <c r="C23" s="48" t="s">
        <v>115</v>
      </c>
    </row>
    <row r="24" spans="1:3" x14ac:dyDescent="0.25">
      <c r="A24" s="46" t="s">
        <v>116</v>
      </c>
      <c r="B24" s="50">
        <v>78.599999999999994</v>
      </c>
      <c r="C24" s="48" t="s">
        <v>117</v>
      </c>
    </row>
    <row r="25" spans="1:3" x14ac:dyDescent="0.25">
      <c r="A25" s="46" t="s">
        <v>118</v>
      </c>
      <c r="B25" s="50">
        <v>7630</v>
      </c>
      <c r="C25" s="48" t="s">
        <v>119</v>
      </c>
    </row>
    <row r="26" spans="1:3" x14ac:dyDescent="0.25">
      <c r="A26" s="46" t="s">
        <v>120</v>
      </c>
      <c r="B26" s="50">
        <v>122</v>
      </c>
      <c r="C26" s="48" t="s">
        <v>115</v>
      </c>
    </row>
    <row r="27" spans="1:3" x14ac:dyDescent="0.25">
      <c r="A27" s="46" t="s">
        <v>121</v>
      </c>
      <c r="B27" s="50">
        <v>60.5</v>
      </c>
      <c r="C27" s="48" t="s">
        <v>117</v>
      </c>
    </row>
    <row r="28" spans="1:3" x14ac:dyDescent="0.25">
      <c r="A28" s="46" t="s">
        <v>122</v>
      </c>
      <c r="B28" s="51">
        <v>1.7199999999999999E-8</v>
      </c>
      <c r="C28" s="48" t="s">
        <v>123</v>
      </c>
    </row>
    <row r="29" spans="1:3" x14ac:dyDescent="0.25">
      <c r="A29" s="46" t="s">
        <v>124</v>
      </c>
      <c r="B29" s="51">
        <f>PI()*0.0000004</f>
        <v>1.2566370614359173E-6</v>
      </c>
      <c r="C29" s="48" t="s">
        <v>113</v>
      </c>
    </row>
    <row r="30" spans="1:3" ht="15.75" thickBot="1" x14ac:dyDescent="0.3">
      <c r="A30" s="52" t="s">
        <v>125</v>
      </c>
      <c r="B30" s="53">
        <v>0.65</v>
      </c>
      <c r="C30" s="49"/>
    </row>
    <row r="31" spans="1:3" ht="15.75" thickTop="1" x14ac:dyDescent="0.25"/>
    <row r="32" spans="1:3" ht="18.75" x14ac:dyDescent="0.3">
      <c r="A32" s="2" t="s">
        <v>126</v>
      </c>
    </row>
    <row r="33" spans="1:9" ht="19.5" thickBot="1" x14ac:dyDescent="0.35">
      <c r="A33" s="2"/>
    </row>
    <row r="34" spans="1:9" ht="16.5" thickTop="1" thickBot="1" x14ac:dyDescent="0.3">
      <c r="A34" s="3" t="s">
        <v>2</v>
      </c>
      <c r="B34" s="3" t="s">
        <v>3</v>
      </c>
      <c r="C34" s="3" t="s">
        <v>4</v>
      </c>
    </row>
    <row r="35" spans="1:9" ht="16.5" thickTop="1" thickBot="1" x14ac:dyDescent="0.3">
      <c r="A35" s="43" t="s">
        <v>127</v>
      </c>
      <c r="B35" s="54">
        <v>386000</v>
      </c>
      <c r="C35" s="45" t="s">
        <v>128</v>
      </c>
    </row>
    <row r="36" spans="1:9" ht="16.5" thickTop="1" thickBot="1" x14ac:dyDescent="0.3">
      <c r="A36" s="46" t="s">
        <v>129</v>
      </c>
      <c r="B36" s="54">
        <v>820000</v>
      </c>
      <c r="C36" s="45" t="s">
        <v>130</v>
      </c>
    </row>
    <row r="37" spans="1:9" ht="15.75" thickTop="1" x14ac:dyDescent="0.25">
      <c r="A37" s="46" t="s">
        <v>131</v>
      </c>
      <c r="B37" s="54">
        <v>1210000</v>
      </c>
      <c r="C37" s="45" t="s">
        <v>132</v>
      </c>
    </row>
    <row r="38" spans="1:9" ht="15.75" thickBot="1" x14ac:dyDescent="0.3">
      <c r="A38" s="52" t="s">
        <v>133</v>
      </c>
      <c r="B38" s="55">
        <v>534.45000000000005</v>
      </c>
      <c r="C38" s="49" t="s">
        <v>134</v>
      </c>
    </row>
    <row r="39" spans="1:9" ht="15.75" thickTop="1" x14ac:dyDescent="0.25"/>
    <row r="40" spans="1:9" ht="18.75" x14ac:dyDescent="0.3">
      <c r="A40" s="2" t="s">
        <v>135</v>
      </c>
    </row>
    <row r="41" spans="1:9" ht="15.75" thickBot="1" x14ac:dyDescent="0.3"/>
    <row r="42" spans="1:9" ht="16.5" thickTop="1" thickBot="1" x14ac:dyDescent="0.3">
      <c r="A42" s="3" t="s">
        <v>2</v>
      </c>
      <c r="B42" s="3" t="s">
        <v>3</v>
      </c>
      <c r="C42" s="3" t="s">
        <v>14</v>
      </c>
    </row>
    <row r="43" spans="1:9" ht="15.75" thickTop="1" x14ac:dyDescent="0.25">
      <c r="A43" s="43" t="s">
        <v>136</v>
      </c>
      <c r="B43" s="56">
        <v>0.1</v>
      </c>
      <c r="C43" s="57" t="s">
        <v>117</v>
      </c>
    </row>
    <row r="44" spans="1:9" x14ac:dyDescent="0.25">
      <c r="A44" s="58" t="s">
        <v>137</v>
      </c>
      <c r="B44" s="59">
        <v>7</v>
      </c>
      <c r="C44" s="60" t="s">
        <v>138</v>
      </c>
      <c r="I44" s="61"/>
    </row>
    <row r="45" spans="1:9" x14ac:dyDescent="0.25">
      <c r="A45" s="58" t="s">
        <v>139</v>
      </c>
      <c r="B45" s="62">
        <v>40.65</v>
      </c>
      <c r="C45" s="18" t="s">
        <v>19</v>
      </c>
      <c r="F45" s="63"/>
      <c r="I45" s="61"/>
    </row>
    <row r="46" spans="1:9" x14ac:dyDescent="0.25">
      <c r="A46" s="58" t="s">
        <v>140</v>
      </c>
      <c r="B46" s="59">
        <v>7</v>
      </c>
      <c r="C46" s="60" t="s">
        <v>141</v>
      </c>
      <c r="I46" s="61"/>
    </row>
    <row r="47" spans="1:9" x14ac:dyDescent="0.25">
      <c r="A47" s="58" t="s">
        <v>142</v>
      </c>
      <c r="B47" s="62">
        <v>40.65</v>
      </c>
      <c r="C47" s="18" t="s">
        <v>19</v>
      </c>
      <c r="I47" s="61"/>
    </row>
    <row r="48" spans="1:9" x14ac:dyDescent="0.25">
      <c r="A48" s="58" t="s">
        <v>143</v>
      </c>
      <c r="B48" s="64">
        <v>0.14530000000000001</v>
      </c>
      <c r="C48" s="60" t="s">
        <v>144</v>
      </c>
      <c r="E48" s="65"/>
      <c r="F48" s="66"/>
      <c r="I48" s="61"/>
    </row>
    <row r="49" spans="1:9" x14ac:dyDescent="0.25">
      <c r="A49" s="58" t="s">
        <v>145</v>
      </c>
      <c r="B49" s="67" t="s">
        <v>225</v>
      </c>
      <c r="C49" s="60"/>
      <c r="I49" s="63"/>
    </row>
    <row r="50" spans="1:9" x14ac:dyDescent="0.25">
      <c r="A50" s="58" t="s">
        <v>146</v>
      </c>
      <c r="B50" s="59">
        <v>0.2</v>
      </c>
      <c r="C50" s="60" t="s">
        <v>147</v>
      </c>
    </row>
    <row r="51" spans="1:9" x14ac:dyDescent="0.25">
      <c r="A51" s="58" t="s">
        <v>148</v>
      </c>
      <c r="B51" s="68">
        <v>0.5</v>
      </c>
      <c r="C51" s="60" t="s">
        <v>117</v>
      </c>
    </row>
    <row r="52" spans="1:9" x14ac:dyDescent="0.25">
      <c r="A52" s="58" t="s">
        <v>149</v>
      </c>
      <c r="B52" s="59">
        <v>0.27</v>
      </c>
      <c r="C52" s="60" t="s">
        <v>150</v>
      </c>
      <c r="D52" t="s">
        <v>231</v>
      </c>
    </row>
    <row r="53" spans="1:9" x14ac:dyDescent="0.25">
      <c r="A53" s="58" t="s">
        <v>151</v>
      </c>
      <c r="B53" s="68">
        <v>2</v>
      </c>
      <c r="C53" s="60"/>
    </row>
    <row r="54" spans="1:9" x14ac:dyDescent="0.25">
      <c r="A54" s="58" t="s">
        <v>152</v>
      </c>
      <c r="B54" s="69">
        <v>2.3E-2</v>
      </c>
      <c r="C54" s="60" t="s">
        <v>153</v>
      </c>
    </row>
    <row r="55" spans="1:9" x14ac:dyDescent="0.25">
      <c r="A55" s="58" t="s">
        <v>154</v>
      </c>
      <c r="B55" s="62">
        <v>0.03</v>
      </c>
      <c r="C55" s="60" t="s">
        <v>155</v>
      </c>
    </row>
    <row r="56" spans="1:9" x14ac:dyDescent="0.25">
      <c r="A56" s="58" t="s">
        <v>156</v>
      </c>
      <c r="B56" s="68">
        <v>0.5</v>
      </c>
      <c r="C56" s="60" t="s">
        <v>117</v>
      </c>
    </row>
    <row r="57" spans="1:9" x14ac:dyDescent="0.25">
      <c r="A57" s="58" t="s">
        <v>157</v>
      </c>
      <c r="B57" s="59">
        <v>0.27</v>
      </c>
      <c r="C57" s="60" t="s">
        <v>158</v>
      </c>
      <c r="D57" t="s">
        <v>231</v>
      </c>
    </row>
    <row r="58" spans="1:9" x14ac:dyDescent="0.25">
      <c r="A58" s="58" t="s">
        <v>159</v>
      </c>
      <c r="B58" s="68">
        <v>2</v>
      </c>
      <c r="C58" s="60"/>
    </row>
    <row r="59" spans="1:9" x14ac:dyDescent="0.25">
      <c r="A59" s="70" t="s">
        <v>160</v>
      </c>
      <c r="B59" s="59">
        <v>2.3E-2</v>
      </c>
      <c r="C59" s="60" t="s">
        <v>161</v>
      </c>
    </row>
    <row r="60" spans="1:9" ht="15.75" thickBot="1" x14ac:dyDescent="0.3">
      <c r="A60" s="52" t="s">
        <v>162</v>
      </c>
      <c r="B60" s="55">
        <v>0.02</v>
      </c>
      <c r="C60" s="49" t="s">
        <v>163</v>
      </c>
    </row>
    <row r="61" spans="1:9" ht="15.75" thickTop="1" x14ac:dyDescent="0.25"/>
    <row r="62" spans="1:9" ht="18.75" x14ac:dyDescent="0.3">
      <c r="A62" s="2" t="s">
        <v>164</v>
      </c>
    </row>
    <row r="63" spans="1:9" ht="15.75" thickBot="1" x14ac:dyDescent="0.3"/>
    <row r="64" spans="1:9" ht="16.5" thickTop="1" thickBot="1" x14ac:dyDescent="0.3">
      <c r="A64" s="3" t="s">
        <v>2</v>
      </c>
      <c r="B64" s="3" t="s">
        <v>3</v>
      </c>
      <c r="C64" s="3" t="s">
        <v>14</v>
      </c>
    </row>
    <row r="65" spans="1:3" ht="15.75" thickTop="1" x14ac:dyDescent="0.25">
      <c r="A65" s="43" t="s">
        <v>136</v>
      </c>
      <c r="B65" s="56">
        <v>0.1</v>
      </c>
      <c r="C65" s="60" t="s">
        <v>117</v>
      </c>
    </row>
    <row r="66" spans="1:3" x14ac:dyDescent="0.25">
      <c r="A66" s="71" t="s">
        <v>165</v>
      </c>
      <c r="B66" s="59">
        <v>36.869999999999997</v>
      </c>
      <c r="C66" s="18" t="s">
        <v>19</v>
      </c>
    </row>
    <row r="67" spans="1:3" x14ac:dyDescent="0.25">
      <c r="A67" s="71" t="s">
        <v>166</v>
      </c>
      <c r="B67" s="59">
        <v>36.869999999999997</v>
      </c>
      <c r="C67" s="18" t="s">
        <v>19</v>
      </c>
    </row>
    <row r="68" spans="1:3" x14ac:dyDescent="0.25">
      <c r="A68" s="58" t="s">
        <v>143</v>
      </c>
      <c r="B68" s="72">
        <v>0.128</v>
      </c>
      <c r="C68" s="73" t="s">
        <v>106</v>
      </c>
    </row>
    <row r="69" spans="1:3" ht="15.75" thickBot="1" x14ac:dyDescent="0.3">
      <c r="A69" s="74" t="s">
        <v>167</v>
      </c>
      <c r="B69" s="75">
        <v>0.999</v>
      </c>
      <c r="C69" s="76"/>
    </row>
    <row r="70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606-2446-43E6-BB4A-F7915BAD1BB8}">
  <dimension ref="A1:K47"/>
  <sheetViews>
    <sheetView topLeftCell="A14" workbookViewId="0">
      <selection activeCell="C27" sqref="C27"/>
    </sheetView>
  </sheetViews>
  <sheetFormatPr defaultColWidth="12.42578125" defaultRowHeight="15" x14ac:dyDescent="0.25"/>
  <cols>
    <col min="1" max="1" width="20.42578125" customWidth="1"/>
    <col min="2" max="3" width="13.42578125" customWidth="1"/>
  </cols>
  <sheetData>
    <row r="1" spans="1:3" ht="21" x14ac:dyDescent="0.35">
      <c r="A1" s="1" t="s">
        <v>168</v>
      </c>
    </row>
    <row r="3" spans="1:3" ht="18.75" x14ac:dyDescent="0.3">
      <c r="A3" s="2" t="s">
        <v>169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4</v>
      </c>
    </row>
    <row r="6" spans="1:3" ht="15.75" thickTop="1" x14ac:dyDescent="0.25">
      <c r="A6" s="43" t="s">
        <v>170</v>
      </c>
      <c r="B6" s="77">
        <f>'[1]Operating Conditions'!B6+'[1]Operating Conditions'!B20*'[1]Operating Conditions'!H34</f>
        <v>50</v>
      </c>
      <c r="C6" s="45" t="s">
        <v>6</v>
      </c>
    </row>
    <row r="7" spans="1:3" x14ac:dyDescent="0.25">
      <c r="A7" s="46" t="s">
        <v>171</v>
      </c>
      <c r="B7" s="78">
        <v>1.01</v>
      </c>
      <c r="C7" s="48" t="s">
        <v>102</v>
      </c>
    </row>
    <row r="8" spans="1:3" x14ac:dyDescent="0.25">
      <c r="A8" s="46" t="s">
        <v>172</v>
      </c>
      <c r="B8" s="78">
        <v>2.5299999999999998</v>
      </c>
      <c r="C8" s="48" t="s">
        <v>102</v>
      </c>
    </row>
    <row r="9" spans="1:3" x14ac:dyDescent="0.25">
      <c r="A9" s="46" t="s">
        <v>173</v>
      </c>
      <c r="B9" s="78">
        <v>100</v>
      </c>
      <c r="C9" s="48" t="s">
        <v>12</v>
      </c>
    </row>
    <row r="10" spans="1:3" ht="15.75" thickBot="1" x14ac:dyDescent="0.3">
      <c r="A10" s="52" t="s">
        <v>174</v>
      </c>
      <c r="B10" s="53">
        <v>25</v>
      </c>
      <c r="C10" s="49" t="s">
        <v>175</v>
      </c>
    </row>
    <row r="11" spans="1:3" ht="15.75" thickTop="1" x14ac:dyDescent="0.25"/>
    <row r="13" spans="1:3" ht="18.75" x14ac:dyDescent="0.3">
      <c r="A13" s="2" t="s">
        <v>176</v>
      </c>
    </row>
    <row r="14" spans="1:3" ht="15.75" thickBot="1" x14ac:dyDescent="0.3"/>
    <row r="15" spans="1:3" ht="16.5" thickTop="1" thickBot="1" x14ac:dyDescent="0.3">
      <c r="A15" s="3" t="s">
        <v>2</v>
      </c>
      <c r="B15" s="3" t="s">
        <v>3</v>
      </c>
      <c r="C15" s="3" t="s">
        <v>4</v>
      </c>
    </row>
    <row r="16" spans="1:3" ht="15.75" thickTop="1" x14ac:dyDescent="0.25">
      <c r="A16" s="43" t="s">
        <v>177</v>
      </c>
      <c r="B16" s="77" t="s">
        <v>178</v>
      </c>
      <c r="C16" s="57"/>
    </row>
    <row r="17" spans="1:7" x14ac:dyDescent="0.25">
      <c r="A17" s="46" t="s">
        <v>179</v>
      </c>
      <c r="B17" s="78" t="s">
        <v>180</v>
      </c>
      <c r="C17" s="48"/>
    </row>
    <row r="18" spans="1:7" x14ac:dyDescent="0.25">
      <c r="A18" s="46" t="s">
        <v>181</v>
      </c>
      <c r="B18" s="79">
        <v>100</v>
      </c>
      <c r="C18" s="48" t="s">
        <v>6</v>
      </c>
    </row>
    <row r="19" spans="1:7" x14ac:dyDescent="0.25">
      <c r="A19" s="46" t="s">
        <v>182</v>
      </c>
      <c r="B19" s="79">
        <v>12.8</v>
      </c>
      <c r="C19" s="80" t="s">
        <v>102</v>
      </c>
    </row>
    <row r="20" spans="1:7" x14ac:dyDescent="0.25">
      <c r="A20" s="46" t="s">
        <v>183</v>
      </c>
      <c r="B20" s="79">
        <v>55</v>
      </c>
      <c r="C20" s="48" t="s">
        <v>184</v>
      </c>
    </row>
    <row r="21" spans="1:7" x14ac:dyDescent="0.25">
      <c r="A21" s="46" t="s">
        <v>185</v>
      </c>
      <c r="B21" s="79">
        <v>25</v>
      </c>
      <c r="C21" s="48" t="s">
        <v>184</v>
      </c>
    </row>
    <row r="22" spans="1:7" x14ac:dyDescent="0.25">
      <c r="A22" s="46" t="s">
        <v>186</v>
      </c>
      <c r="B22" s="79">
        <v>25</v>
      </c>
      <c r="C22" s="48" t="s">
        <v>187</v>
      </c>
    </row>
    <row r="23" spans="1:7" x14ac:dyDescent="0.25">
      <c r="A23" s="46" t="s">
        <v>188</v>
      </c>
      <c r="B23" s="79" t="s">
        <v>228</v>
      </c>
      <c r="C23" s="48" t="s">
        <v>6</v>
      </c>
      <c r="G23" s="81"/>
    </row>
    <row r="24" spans="1:7" x14ac:dyDescent="0.25">
      <c r="A24" s="46" t="s">
        <v>189</v>
      </c>
      <c r="B24" s="79">
        <v>142</v>
      </c>
      <c r="C24" s="48" t="s">
        <v>190</v>
      </c>
    </row>
    <row r="25" spans="1:7" x14ac:dyDescent="0.25">
      <c r="A25" s="82" t="s">
        <v>191</v>
      </c>
      <c r="B25" s="83">
        <v>62.5</v>
      </c>
      <c r="C25" s="84" t="s">
        <v>192</v>
      </c>
    </row>
    <row r="26" spans="1:7" ht="15.75" thickBot="1" x14ac:dyDescent="0.3">
      <c r="A26" s="52" t="s">
        <v>193</v>
      </c>
      <c r="B26" s="85">
        <v>175</v>
      </c>
      <c r="C26" s="49" t="s">
        <v>194</v>
      </c>
    </row>
    <row r="27" spans="1:7" ht="15.75" thickTop="1" x14ac:dyDescent="0.25"/>
    <row r="28" spans="1:7" x14ac:dyDescent="0.25">
      <c r="G28" s="81"/>
    </row>
    <row r="29" spans="1:7" ht="18.75" x14ac:dyDescent="0.3">
      <c r="A29" s="2" t="s">
        <v>195</v>
      </c>
    </row>
    <row r="30" spans="1:7" ht="15.75" thickBot="1" x14ac:dyDescent="0.3"/>
    <row r="31" spans="1:7" ht="16.5" thickTop="1" thickBot="1" x14ac:dyDescent="0.3">
      <c r="A31" s="3" t="s">
        <v>2</v>
      </c>
      <c r="B31" s="3" t="s">
        <v>3</v>
      </c>
      <c r="C31" s="3" t="s">
        <v>14</v>
      </c>
    </row>
    <row r="32" spans="1:7" ht="15.75" thickTop="1" x14ac:dyDescent="0.25">
      <c r="A32" s="43" t="s">
        <v>196</v>
      </c>
      <c r="B32" s="77">
        <v>15</v>
      </c>
      <c r="C32" s="57" t="s">
        <v>6</v>
      </c>
    </row>
    <row r="33" spans="1:11" x14ac:dyDescent="0.25">
      <c r="A33" s="46" t="s">
        <v>197</v>
      </c>
      <c r="B33" s="78">
        <v>1</v>
      </c>
      <c r="C33" s="48" t="s">
        <v>102</v>
      </c>
    </row>
    <row r="34" spans="1:11" ht="15.75" thickBot="1" x14ac:dyDescent="0.3">
      <c r="A34" s="52" t="s">
        <v>72</v>
      </c>
      <c r="B34" s="55">
        <v>15</v>
      </c>
      <c r="C34" s="49" t="s">
        <v>198</v>
      </c>
    </row>
    <row r="35" spans="1:11" ht="15.75" thickTop="1" x14ac:dyDescent="0.25"/>
    <row r="37" spans="1:11" ht="18.75" x14ac:dyDescent="0.3">
      <c r="A37" s="2" t="s">
        <v>199</v>
      </c>
    </row>
    <row r="38" spans="1:11" ht="15.75" thickBot="1" x14ac:dyDescent="0.3">
      <c r="K38" s="65"/>
    </row>
    <row r="39" spans="1:11" ht="16.5" thickTop="1" thickBot="1" x14ac:dyDescent="0.3">
      <c r="A39" s="3" t="s">
        <v>2</v>
      </c>
      <c r="B39" s="3" t="s">
        <v>3</v>
      </c>
      <c r="C39" s="3" t="s">
        <v>4</v>
      </c>
      <c r="K39" s="65"/>
    </row>
    <row r="40" spans="1:11" ht="15.75" thickTop="1" x14ac:dyDescent="0.25">
      <c r="A40" s="46" t="s">
        <v>200</v>
      </c>
      <c r="B40" s="86">
        <v>0.4</v>
      </c>
      <c r="C40" s="48" t="s">
        <v>201</v>
      </c>
      <c r="K40" s="65"/>
    </row>
    <row r="41" spans="1:11" x14ac:dyDescent="0.25">
      <c r="A41" s="46" t="s">
        <v>202</v>
      </c>
      <c r="B41" s="87">
        <v>0.14499999999999999</v>
      </c>
      <c r="C41" s="48" t="s">
        <v>203</v>
      </c>
    </row>
    <row r="42" spans="1:11" x14ac:dyDescent="0.25">
      <c r="A42" s="46" t="s">
        <v>204</v>
      </c>
      <c r="B42" s="86">
        <v>0.55000000000000004</v>
      </c>
      <c r="C42" s="48" t="s">
        <v>205</v>
      </c>
      <c r="G42" s="81"/>
      <c r="I42" s="81"/>
    </row>
    <row r="43" spans="1:11" ht="15.75" thickBot="1" x14ac:dyDescent="0.3">
      <c r="A43" s="52" t="s">
        <v>206</v>
      </c>
      <c r="B43" s="88">
        <v>59.4</v>
      </c>
      <c r="C43" s="49" t="s">
        <v>207</v>
      </c>
      <c r="I43" s="81"/>
    </row>
    <row r="44" spans="1:11" ht="15.75" thickTop="1" x14ac:dyDescent="0.25">
      <c r="G44" s="81"/>
    </row>
    <row r="45" spans="1:11" x14ac:dyDescent="0.25">
      <c r="K45" s="81"/>
    </row>
    <row r="47" spans="1:11" x14ac:dyDescent="0.25">
      <c r="K4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275-D457-4627-876E-1B0FDA95EB82}">
  <dimension ref="A1:C29"/>
  <sheetViews>
    <sheetView workbookViewId="0">
      <selection activeCell="C13" sqref="C13"/>
    </sheetView>
  </sheetViews>
  <sheetFormatPr defaultColWidth="12.42578125" defaultRowHeight="15" x14ac:dyDescent="0.25"/>
  <cols>
    <col min="1" max="1" width="20.42578125" customWidth="1"/>
    <col min="2" max="3" width="13.42578125" customWidth="1"/>
  </cols>
  <sheetData>
    <row r="1" spans="1:3" ht="21" x14ac:dyDescent="0.35">
      <c r="A1" s="1" t="s">
        <v>208</v>
      </c>
    </row>
    <row r="3" spans="1:3" ht="18.75" x14ac:dyDescent="0.3">
      <c r="A3" s="2" t="s">
        <v>209</v>
      </c>
    </row>
    <row r="4" spans="1:3" ht="15.75" thickBot="1" x14ac:dyDescent="0.3"/>
    <row r="5" spans="1:3" ht="16.5" thickTop="1" thickBot="1" x14ac:dyDescent="0.3">
      <c r="A5" s="3" t="s">
        <v>2</v>
      </c>
      <c r="B5" s="3" t="s">
        <v>3</v>
      </c>
      <c r="C5" s="3" t="s">
        <v>14</v>
      </c>
    </row>
    <row r="6" spans="1:3" ht="15.75" thickTop="1" x14ac:dyDescent="0.25">
      <c r="A6" s="43" t="s">
        <v>210</v>
      </c>
      <c r="B6" s="77">
        <f>'[1]Operating Conditions'!B6/'[1]Operating Conditions'!B20+'[1]Operating Conditions'!H34</f>
        <v>50</v>
      </c>
      <c r="C6" s="45" t="s">
        <v>6</v>
      </c>
    </row>
    <row r="7" spans="1:3" x14ac:dyDescent="0.25">
      <c r="A7" s="46" t="s">
        <v>211</v>
      </c>
      <c r="B7" s="78">
        <v>0.4</v>
      </c>
      <c r="C7" s="48" t="s">
        <v>102</v>
      </c>
    </row>
    <row r="8" spans="1:3" x14ac:dyDescent="0.25">
      <c r="A8" s="46" t="s">
        <v>173</v>
      </c>
      <c r="B8" s="78">
        <v>100</v>
      </c>
      <c r="C8" s="48" t="s">
        <v>12</v>
      </c>
    </row>
    <row r="9" spans="1:3" ht="15.75" thickBot="1" x14ac:dyDescent="0.3">
      <c r="A9" s="52" t="s">
        <v>174</v>
      </c>
      <c r="B9" s="53">
        <v>25</v>
      </c>
      <c r="C9" s="49" t="s">
        <v>175</v>
      </c>
    </row>
    <row r="10" spans="1:3" ht="15.75" thickTop="1" x14ac:dyDescent="0.25"/>
    <row r="12" spans="1:3" ht="18.75" x14ac:dyDescent="0.3">
      <c r="A12" s="2" t="s">
        <v>212</v>
      </c>
    </row>
    <row r="13" spans="1:3" ht="15.75" thickBot="1" x14ac:dyDescent="0.3"/>
    <row r="14" spans="1:3" ht="16.5" thickTop="1" thickBot="1" x14ac:dyDescent="0.3">
      <c r="A14" s="3" t="s">
        <v>2</v>
      </c>
      <c r="B14" s="3" t="s">
        <v>3</v>
      </c>
      <c r="C14" s="3" t="s">
        <v>4</v>
      </c>
    </row>
    <row r="15" spans="1:3" ht="15.75" thickTop="1" x14ac:dyDescent="0.25">
      <c r="A15" s="43" t="s">
        <v>177</v>
      </c>
      <c r="B15" s="77" t="s">
        <v>213</v>
      </c>
      <c r="C15" s="57"/>
    </row>
    <row r="16" spans="1:3" x14ac:dyDescent="0.25">
      <c r="A16" s="46" t="s">
        <v>179</v>
      </c>
      <c r="B16" s="78" t="s">
        <v>214</v>
      </c>
      <c r="C16" s="48"/>
    </row>
    <row r="17" spans="1:3" x14ac:dyDescent="0.25">
      <c r="A17" s="46" t="s">
        <v>215</v>
      </c>
      <c r="B17" s="79">
        <v>100</v>
      </c>
      <c r="C17" s="48" t="s">
        <v>6</v>
      </c>
    </row>
    <row r="18" spans="1:3" x14ac:dyDescent="0.25">
      <c r="A18" s="46" t="s">
        <v>216</v>
      </c>
      <c r="B18" s="79">
        <v>150</v>
      </c>
      <c r="C18" s="80" t="s">
        <v>102</v>
      </c>
    </row>
    <row r="19" spans="1:3" x14ac:dyDescent="0.25">
      <c r="A19" s="46" t="s">
        <v>217</v>
      </c>
      <c r="B19" s="79">
        <v>0.62</v>
      </c>
      <c r="C19" s="48" t="s">
        <v>6</v>
      </c>
    </row>
    <row r="20" spans="1:3" x14ac:dyDescent="0.25">
      <c r="A20" s="82" t="s">
        <v>218</v>
      </c>
      <c r="B20" s="83" t="s">
        <v>229</v>
      </c>
      <c r="C20" s="84" t="s">
        <v>192</v>
      </c>
    </row>
    <row r="21" spans="1:3" ht="15.75" thickBot="1" x14ac:dyDescent="0.3">
      <c r="A21" s="52" t="s">
        <v>219</v>
      </c>
      <c r="B21" s="85">
        <v>150</v>
      </c>
      <c r="C21" s="49" t="s">
        <v>194</v>
      </c>
    </row>
    <row r="22" spans="1:3" ht="15.75" thickTop="1" x14ac:dyDescent="0.25"/>
    <row r="24" spans="1:3" ht="18.75" x14ac:dyDescent="0.3">
      <c r="A24" s="2" t="s">
        <v>220</v>
      </c>
    </row>
    <row r="25" spans="1:3" ht="15.75" thickBot="1" x14ac:dyDescent="0.3"/>
    <row r="26" spans="1:3" ht="16.5" thickTop="1" thickBot="1" x14ac:dyDescent="0.3">
      <c r="A26" s="3" t="s">
        <v>2</v>
      </c>
      <c r="B26" s="3" t="s">
        <v>3</v>
      </c>
      <c r="C26" s="3" t="s">
        <v>4</v>
      </c>
    </row>
    <row r="27" spans="1:3" ht="15.75" thickTop="1" x14ac:dyDescent="0.25">
      <c r="A27" s="43" t="s">
        <v>221</v>
      </c>
      <c r="B27" s="89">
        <v>0.248</v>
      </c>
      <c r="C27" s="57" t="s">
        <v>222</v>
      </c>
    </row>
    <row r="28" spans="1:3" ht="15.75" thickBot="1" x14ac:dyDescent="0.3">
      <c r="A28" s="52" t="s">
        <v>206</v>
      </c>
      <c r="B28" s="85" t="s">
        <v>230</v>
      </c>
      <c r="C28" s="49" t="s">
        <v>223</v>
      </c>
    </row>
    <row r="29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 Conditions</vt:lpstr>
      <vt:lpstr>Transformer</vt:lpstr>
      <vt:lpstr>Switch</vt:lpstr>
      <vt:lpstr>Diode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Seho Kim</dc:creator>
  <cp:lastModifiedBy>Timothy</cp:lastModifiedBy>
  <dcterms:created xsi:type="dcterms:W3CDTF">2015-06-05T18:17:20Z</dcterms:created>
  <dcterms:modified xsi:type="dcterms:W3CDTF">2022-08-22T13:04:17Z</dcterms:modified>
</cp:coreProperties>
</file>