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Burgess\Desktop\"/>
    </mc:Choice>
  </mc:AlternateContent>
  <xr:revisionPtr revIDLastSave="0" documentId="13_ncr:1_{729CC2B9-7028-446B-B629-3771C71B7557}" xr6:coauthVersionLast="47" xr6:coauthVersionMax="47" xr10:uidLastSave="{00000000-0000-0000-0000-000000000000}"/>
  <bookViews>
    <workbookView xWindow="-108" yWindow="-108" windowWidth="23256" windowHeight="12456" xr2:uid="{16E447FC-DA1D-43A9-A361-963E388A0676}"/>
  </bookViews>
  <sheets>
    <sheet name="Bond TRS" sheetId="2" r:id="rId1"/>
    <sheet name="Notional Schedule" sheetId="4" r:id="rId2"/>
    <sheet name="Pricing Approx" sheetId="1" r:id="rId3"/>
    <sheet name="Diagrams" sheetId="5" r:id="rId4"/>
  </sheets>
  <definedNames>
    <definedName name="Coupon">'Pricing Approx'!$C$4</definedName>
    <definedName name="Maturity">'Pricing Approx'!$C$5</definedName>
    <definedName name="Notional">'Pricing Approx'!$C$3</definedName>
    <definedName name="Yield">'Pricing Approx'!$F$3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5" i="4"/>
  <c r="F4" i="4"/>
  <c r="K13" i="4"/>
  <c r="K14" i="4"/>
  <c r="K15" i="4"/>
  <c r="K16" i="4"/>
  <c r="K17" i="4"/>
  <c r="K18" i="4"/>
  <c r="K19" i="4"/>
  <c r="K39" i="4"/>
  <c r="F39" i="4"/>
  <c r="G39" i="4" s="1"/>
  <c r="K38" i="4"/>
  <c r="F38" i="4"/>
  <c r="G38" i="4" s="1"/>
  <c r="I38" i="4" s="1"/>
  <c r="K37" i="4"/>
  <c r="F37" i="4"/>
  <c r="G37" i="4" s="1"/>
  <c r="K36" i="4"/>
  <c r="F36" i="4"/>
  <c r="G36" i="4" s="1"/>
  <c r="K35" i="4"/>
  <c r="F35" i="4"/>
  <c r="G35" i="4" s="1"/>
  <c r="J35" i="4" s="1"/>
  <c r="K34" i="4"/>
  <c r="F34" i="4"/>
  <c r="G34" i="4" s="1"/>
  <c r="I34" i="4" s="1"/>
  <c r="K33" i="4"/>
  <c r="F33" i="4"/>
  <c r="G33" i="4" s="1"/>
  <c r="F32" i="4"/>
  <c r="G32" i="4" s="1"/>
  <c r="F31" i="4"/>
  <c r="G31" i="4" s="1"/>
  <c r="F30" i="4"/>
  <c r="G30" i="4" s="1"/>
  <c r="J30" i="4" s="1"/>
  <c r="F29" i="4"/>
  <c r="G29" i="4" s="1"/>
  <c r="F28" i="4"/>
  <c r="G28" i="4" s="1"/>
  <c r="F27" i="4"/>
  <c r="G27" i="4" s="1"/>
  <c r="F26" i="4"/>
  <c r="G26" i="4" s="1"/>
  <c r="F25" i="4"/>
  <c r="G25" i="4" s="1"/>
  <c r="G24" i="4"/>
  <c r="J24" i="4" s="1"/>
  <c r="D5" i="2"/>
  <c r="G19" i="4" l="1"/>
  <c r="F19" i="4" s="1"/>
  <c r="G18" i="4"/>
  <c r="J18" i="4" s="1"/>
  <c r="G17" i="4"/>
  <c r="I17" i="4" s="1"/>
  <c r="G16" i="4"/>
  <c r="F16" i="4" s="1"/>
  <c r="G15" i="4"/>
  <c r="J15" i="4" s="1"/>
  <c r="G14" i="4"/>
  <c r="I14" i="4" s="1"/>
  <c r="G13" i="4"/>
  <c r="J13" i="4" s="1"/>
  <c r="G12" i="4"/>
  <c r="I12" i="4" s="1"/>
  <c r="G11" i="4"/>
  <c r="J11" i="4" s="1"/>
  <c r="G10" i="4"/>
  <c r="I10" i="4" s="1"/>
  <c r="G9" i="4"/>
  <c r="I9" i="4" s="1"/>
  <c r="I4" i="4"/>
  <c r="G8" i="4"/>
  <c r="I8" i="4" s="1"/>
  <c r="J4" i="4"/>
  <c r="G7" i="4"/>
  <c r="I7" i="4" s="1"/>
  <c r="G6" i="4"/>
  <c r="F6" i="4" s="1"/>
  <c r="F5" i="4"/>
  <c r="J33" i="4"/>
  <c r="I33" i="4"/>
  <c r="I26" i="4"/>
  <c r="J26" i="4"/>
  <c r="I37" i="4"/>
  <c r="J37" i="4"/>
  <c r="J38" i="4"/>
  <c r="I24" i="4"/>
  <c r="K24" i="4" s="1"/>
  <c r="I16" i="4"/>
  <c r="J19" i="4"/>
  <c r="J32" i="4"/>
  <c r="I32" i="4"/>
  <c r="J28" i="4"/>
  <c r="I28" i="4"/>
  <c r="J31" i="4"/>
  <c r="I31" i="4"/>
  <c r="I36" i="4"/>
  <c r="J36" i="4"/>
  <c r="J27" i="4"/>
  <c r="I27" i="4"/>
  <c r="K27" i="4" s="1"/>
  <c r="J29" i="4"/>
  <c r="I29" i="4"/>
  <c r="K29" i="4" s="1"/>
  <c r="J25" i="4"/>
  <c r="I25" i="4"/>
  <c r="K25" i="4" s="1"/>
  <c r="J39" i="4"/>
  <c r="I39" i="4"/>
  <c r="I30" i="4"/>
  <c r="K30" i="4" s="1"/>
  <c r="F17" i="4"/>
  <c r="J34" i="4"/>
  <c r="I35" i="4"/>
  <c r="K31" i="4" l="1"/>
  <c r="J9" i="4"/>
  <c r="F15" i="4"/>
  <c r="F13" i="4"/>
  <c r="J17" i="4"/>
  <c r="I19" i="4"/>
  <c r="I18" i="4"/>
  <c r="F18" i="4"/>
  <c r="F12" i="4"/>
  <c r="J16" i="4"/>
  <c r="J14" i="4"/>
  <c r="J8" i="4"/>
  <c r="K8" i="4" s="1"/>
  <c r="F7" i="4"/>
  <c r="K4" i="4"/>
  <c r="J7" i="4"/>
  <c r="K7" i="4" s="1"/>
  <c r="I11" i="4"/>
  <c r="K11" i="4" s="1"/>
  <c r="J12" i="4"/>
  <c r="K12" i="4" s="1"/>
  <c r="J6" i="4"/>
  <c r="K9" i="4"/>
  <c r="I6" i="4"/>
  <c r="I13" i="4"/>
  <c r="J10" i="4"/>
  <c r="K10" i="4" s="1"/>
  <c r="F10" i="4"/>
  <c r="I5" i="4"/>
  <c r="I15" i="4"/>
  <c r="F11" i="4"/>
  <c r="F9" i="4"/>
  <c r="F8" i="4"/>
  <c r="J5" i="4"/>
  <c r="F14" i="4"/>
  <c r="K28" i="4"/>
  <c r="K26" i="4"/>
  <c r="K32" i="4"/>
  <c r="K6" i="4" l="1"/>
  <c r="K5" i="4"/>
  <c r="H22" i="1"/>
  <c r="Q23" i="1"/>
  <c r="Q24" i="1" s="1"/>
  <c r="Q25" i="1" s="1"/>
  <c r="Q26" i="1" s="1"/>
  <c r="Q27" i="1" s="1"/>
  <c r="Q28" i="1" s="1"/>
  <c r="Q29" i="1" s="1"/>
  <c r="Q30" i="1" s="1"/>
  <c r="Q31" i="1" s="1"/>
  <c r="S22" i="1"/>
  <c r="L23" i="1"/>
  <c r="L24" i="1" s="1"/>
  <c r="N22" i="1"/>
  <c r="I22" i="1"/>
  <c r="G23" i="1"/>
  <c r="I23" i="1" s="1"/>
  <c r="C22" i="1"/>
  <c r="D22" i="1"/>
  <c r="B23" i="1"/>
  <c r="D23" i="1" s="1"/>
  <c r="H23" i="1" l="1"/>
  <c r="O22" i="1"/>
  <c r="R22" i="1"/>
  <c r="T22" i="1" s="1"/>
  <c r="J22" i="1"/>
  <c r="S23" i="1"/>
  <c r="J23" i="1"/>
  <c r="B24" i="1"/>
  <c r="B25" i="1" s="1"/>
  <c r="B26" i="1" s="1"/>
  <c r="B27" i="1" s="1"/>
  <c r="B28" i="1" s="1"/>
  <c r="B29" i="1" s="1"/>
  <c r="B30" i="1" s="1"/>
  <c r="B31" i="1" s="1"/>
  <c r="D31" i="1" s="1"/>
  <c r="S25" i="1"/>
  <c r="S24" i="1"/>
  <c r="N24" i="1"/>
  <c r="L25" i="1"/>
  <c r="N23" i="1"/>
  <c r="G24" i="1"/>
  <c r="E22" i="1"/>
  <c r="C27" i="1"/>
  <c r="C23" i="1"/>
  <c r="E23" i="1" s="1"/>
  <c r="D28" i="1" l="1"/>
  <c r="D29" i="1"/>
  <c r="C24" i="1"/>
  <c r="C25" i="1"/>
  <c r="M25" i="1" s="1"/>
  <c r="C26" i="1"/>
  <c r="C29" i="1"/>
  <c r="C31" i="1"/>
  <c r="D27" i="1"/>
  <c r="E27" i="1" s="1"/>
  <c r="C30" i="1"/>
  <c r="D25" i="1"/>
  <c r="D24" i="1"/>
  <c r="D26" i="1"/>
  <c r="D30" i="1"/>
  <c r="C28" i="1"/>
  <c r="S26" i="1"/>
  <c r="L26" i="1"/>
  <c r="N25" i="1"/>
  <c r="G25" i="1"/>
  <c r="I24" i="1"/>
  <c r="J24" i="1" s="1"/>
  <c r="O25" i="1" l="1"/>
  <c r="M26" i="1"/>
  <c r="R25" i="1"/>
  <c r="T25" i="1" s="1"/>
  <c r="E25" i="1"/>
  <c r="E26" i="1"/>
  <c r="E24" i="1"/>
  <c r="F10" i="1"/>
  <c r="E28" i="1"/>
  <c r="E31" i="1"/>
  <c r="E29" i="1"/>
  <c r="E30" i="1"/>
  <c r="S27" i="1"/>
  <c r="N26" i="1"/>
  <c r="L27" i="1"/>
  <c r="M27" i="1" s="1"/>
  <c r="I25" i="1"/>
  <c r="J25" i="1" s="1"/>
  <c r="G26" i="1"/>
  <c r="O26" i="1" l="1"/>
  <c r="E19" i="1"/>
  <c r="F9" i="1" s="1"/>
  <c r="F11" i="1" s="1"/>
  <c r="R26" i="1"/>
  <c r="T26" i="1" s="1"/>
  <c r="E18" i="1"/>
  <c r="F8" i="1" s="1"/>
  <c r="M23" i="1" s="1"/>
  <c r="S28" i="1"/>
  <c r="N27" i="1"/>
  <c r="O27" i="1" s="1"/>
  <c r="L28" i="1"/>
  <c r="M28" i="1" s="1"/>
  <c r="I26" i="1"/>
  <c r="J26" i="1" s="1"/>
  <c r="G27" i="1"/>
  <c r="R27" i="1" s="1"/>
  <c r="T27" i="1" s="1"/>
  <c r="R23" i="1" l="1"/>
  <c r="T23" i="1" s="1"/>
  <c r="M24" i="1"/>
  <c r="C10" i="1"/>
  <c r="S29" i="1"/>
  <c r="L29" i="1"/>
  <c r="M29" i="1" s="1"/>
  <c r="N28" i="1"/>
  <c r="O28" i="1" s="1"/>
  <c r="I27" i="1"/>
  <c r="J27" i="1" s="1"/>
  <c r="G28" i="1"/>
  <c r="R28" i="1" s="1"/>
  <c r="T28" i="1" s="1"/>
  <c r="R24" i="1" l="1"/>
  <c r="T24" i="1" s="1"/>
  <c r="O24" i="1"/>
  <c r="S31" i="1"/>
  <c r="S30" i="1"/>
  <c r="L30" i="1"/>
  <c r="M30" i="1" s="1"/>
  <c r="N29" i="1"/>
  <c r="O29" i="1" s="1"/>
  <c r="I28" i="1"/>
  <c r="J28" i="1" s="1"/>
  <c r="G29" i="1"/>
  <c r="R29" i="1" s="1"/>
  <c r="T29" i="1" s="1"/>
  <c r="O23" i="1" l="1"/>
  <c r="L31" i="1"/>
  <c r="N30" i="1"/>
  <c r="O30" i="1" s="1"/>
  <c r="I29" i="1"/>
  <c r="J29" i="1" s="1"/>
  <c r="G30" i="1"/>
  <c r="R30" i="1" s="1"/>
  <c r="T30" i="1" s="1"/>
  <c r="N31" i="1" l="1"/>
  <c r="M31" i="1"/>
  <c r="I30" i="1"/>
  <c r="J30" i="1" s="1"/>
  <c r="G31" i="1"/>
  <c r="I31" i="1" l="1"/>
  <c r="R31" i="1"/>
  <c r="T31" i="1" s="1"/>
  <c r="T18" i="1" s="1"/>
  <c r="O31" i="1"/>
  <c r="O18" i="1" s="1"/>
  <c r="J31" i="1" l="1"/>
  <c r="C9" i="1" s="1"/>
  <c r="C11" i="1" l="1"/>
  <c r="J18" i="1"/>
</calcChain>
</file>

<file path=xl/sharedStrings.xml><?xml version="1.0" encoding="utf-8"?>
<sst xmlns="http://schemas.openxmlformats.org/spreadsheetml/2006/main" count="224" uniqueCount="105">
  <si>
    <t>Bond</t>
  </si>
  <si>
    <t>Coupon</t>
  </si>
  <si>
    <t>Yield</t>
  </si>
  <si>
    <t>Time</t>
  </si>
  <si>
    <t>PV</t>
  </si>
  <si>
    <t>Notional</t>
  </si>
  <si>
    <t>DF</t>
  </si>
  <si>
    <t>Total PV</t>
  </si>
  <si>
    <t>TRS</t>
  </si>
  <si>
    <t>Performance</t>
  </si>
  <si>
    <t>Coupons</t>
  </si>
  <si>
    <t>Bond Price</t>
  </si>
  <si>
    <t>Fwd Price</t>
  </si>
  <si>
    <t>Bond Performance</t>
  </si>
  <si>
    <t>TRS Coupons</t>
  </si>
  <si>
    <t>TRS Performance</t>
  </si>
  <si>
    <t>Bond Specifications</t>
  </si>
  <si>
    <t>TRS Specifications</t>
  </si>
  <si>
    <t>DiscFact</t>
  </si>
  <si>
    <t>Initial Price</t>
  </si>
  <si>
    <t>Maturity Price</t>
  </si>
  <si>
    <t>Time to Maturity</t>
  </si>
  <si>
    <t>Discounting</t>
  </si>
  <si>
    <t>Bond TRS</t>
  </si>
  <si>
    <t>PayOrReceive</t>
  </si>
  <si>
    <t>Bond Leg</t>
  </si>
  <si>
    <t>Funding Leg</t>
  </si>
  <si>
    <t>NotionalType</t>
  </si>
  <si>
    <t>NotionalExchange</t>
  </si>
  <si>
    <t>Receive</t>
  </si>
  <si>
    <t>Pay</t>
  </si>
  <si>
    <t>Units</t>
  </si>
  <si>
    <t>UnderlyingBond</t>
  </si>
  <si>
    <t>UST 6.0% 15-02-2026</t>
  </si>
  <si>
    <t>CashFlowType</t>
  </si>
  <si>
    <t>PayCoupons</t>
  </si>
  <si>
    <t>PayPerformance</t>
  </si>
  <si>
    <t>USD</t>
  </si>
  <si>
    <t>Cash</t>
  </si>
  <si>
    <t>Leverage</t>
  </si>
  <si>
    <t>IsCreditRisky</t>
  </si>
  <si>
    <t>CreditCurve</t>
  </si>
  <si>
    <t>US Treasury</t>
  </si>
  <si>
    <t>RecoveryRate</t>
  </si>
  <si>
    <t>TradedBondPrice</t>
  </si>
  <si>
    <t>Leg</t>
  </si>
  <si>
    <t>Schedule</t>
  </si>
  <si>
    <t>StartDate</t>
  </si>
  <si>
    <t>MaturityDate</t>
  </si>
  <si>
    <t>PaymentLag</t>
  </si>
  <si>
    <t>PaymentCalendar</t>
  </si>
  <si>
    <t>PaymentBusDayAdj</t>
  </si>
  <si>
    <t>Currency</t>
  </si>
  <si>
    <t>6M</t>
  </si>
  <si>
    <t>2D</t>
  </si>
  <si>
    <t>NY</t>
  </si>
  <si>
    <t>FixingLag</t>
  </si>
  <si>
    <t>FixingCalendar</t>
  </si>
  <si>
    <t>FixingBusDayAdj</t>
  </si>
  <si>
    <t>AccrualCalendar</t>
  </si>
  <si>
    <t>AccrualBusDayAdj</t>
  </si>
  <si>
    <t>RollDay</t>
  </si>
  <si>
    <t>Daycount</t>
  </si>
  <si>
    <t>FixingTime</t>
  </si>
  <si>
    <t>Following</t>
  </si>
  <si>
    <t>Preceding</t>
  </si>
  <si>
    <t>Act/360</t>
  </si>
  <si>
    <t>StubType</t>
  </si>
  <si>
    <t>FrontStubDate</t>
  </si>
  <si>
    <t>BackStubDate</t>
  </si>
  <si>
    <t>ShortStart</t>
  </si>
  <si>
    <t>None</t>
  </si>
  <si>
    <t>DiscountCurve</t>
  </si>
  <si>
    <t>No Exchanges</t>
  </si>
  <si>
    <t>On Coupon Dates</t>
  </si>
  <si>
    <t>At Maturity</t>
  </si>
  <si>
    <t>In Advance</t>
  </si>
  <si>
    <t>In Arrears</t>
  </si>
  <si>
    <t>Bond coupons plus final notional exchange</t>
  </si>
  <si>
    <t>Bond coupons plus performance</t>
  </si>
  <si>
    <t>Future bond price less initial price paid at maturity</t>
  </si>
  <si>
    <t>Bond coupons are paid to the client</t>
  </si>
  <si>
    <t>Only include coupons during TRS lifetime of TRS</t>
  </si>
  <si>
    <t>Bond Fixing</t>
  </si>
  <si>
    <t>Total Payment</t>
  </si>
  <si>
    <t>Constant Notional</t>
  </si>
  <si>
    <t>Constant Units</t>
  </si>
  <si>
    <t>SOFR O/N Index</t>
  </si>
  <si>
    <t>Coupons + Performance</t>
  </si>
  <si>
    <t>Bond Details</t>
  </si>
  <si>
    <t>Face Value</t>
  </si>
  <si>
    <t>Coupon Rate</t>
  </si>
  <si>
    <t>Coupon Frequency</t>
  </si>
  <si>
    <t xml:space="preserve">Current </t>
  </si>
  <si>
    <t>Past</t>
  </si>
  <si>
    <t>Future</t>
  </si>
  <si>
    <t>i.e. Future bond cashflows minus initial bond PV</t>
  </si>
  <si>
    <t>Payer</t>
  </si>
  <si>
    <t>Receiver</t>
  </si>
  <si>
    <t>Bond Coupons + Performance</t>
  </si>
  <si>
    <t>Funding: SOFR + Spread</t>
  </si>
  <si>
    <t>FixedRateOrFloatSpread</t>
  </si>
  <si>
    <t>FloatIndex</t>
  </si>
  <si>
    <t>100 bps</t>
  </si>
  <si>
    <t>IncludeLossGivenDefault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</si>
</sst>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%"/>
    <numFmt numFmtId="166" formatCode="#,##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48"/>
      <color theme="0"/>
      <name val="Calibri"/>
      <family val="2"/>
      <scheme val="minor"/>
    </font>
    <font>
      <b/>
      <sz val="20"/>
      <color theme="1"/>
      <name val="Arial Narrow"/>
      <family val="2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0" applyFont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2" borderId="1" xfId="0" applyFont="1" applyFill="1" applyBorder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3" fillId="2" borderId="3" xfId="0" applyFont="1" applyFill="1" applyBorder="1"/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left" vertical="center"/>
    </xf>
    <xf numFmtId="10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4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6" fillId="5" borderId="0" xfId="0" applyNumberFormat="1" applyFont="1" applyFill="1" applyAlignment="1">
      <alignment horizontal="center" vertical="center"/>
    </xf>
    <xf numFmtId="3" fontId="7" fillId="3" borderId="0" xfId="0" applyNumberFormat="1" applyFont="1" applyFill="1" applyAlignment="1">
      <alignment horizontal="center" vertical="center"/>
    </xf>
    <xf numFmtId="3" fontId="6" fillId="5" borderId="0" xfId="0" applyNumberFormat="1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3" fontId="7" fillId="3" borderId="0" xfId="0" applyNumberFormat="1" applyFont="1" applyFill="1" applyAlignment="1">
      <alignment horizontal="left" vertical="center"/>
    </xf>
    <xf numFmtId="3" fontId="0" fillId="0" borderId="0" xfId="0" applyNumberFormat="1"/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/>
    <xf numFmtId="0" fontId="11" fillId="0" borderId="0" xfId="0" applyFont="1"/>
    <xf numFmtId="4" fontId="1" fillId="4" borderId="0" xfId="0" applyNumberFormat="1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121920</xdr:colOff>
      <xdr:row>1</xdr:row>
      <xdr:rowOff>175260</xdr:rowOff>
    </xdr:from>
    <xdr:to>
      <xdr:col>14</xdr:col>
      <xdr:colOff>558521</xdr:colOff>
      <xdr:row>24</xdr:row>
      <xdr:rowOff>37564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90FAA-DFD4-CFA3-BE36-F68552114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7420" y="358140"/>
          <a:ext cx="5923001" cy="4068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9</xdr:row>
      <xdr:rowOff>106680</xdr:rowOff>
    </xdr:from>
    <xdr:to>
      <xdr:col>13</xdr:col>
      <xdr:colOff>312420</xdr:colOff>
      <xdr:row>9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3A104E-2405-9943-08FD-E0F1E9CEB232}"/>
            </a:ext>
          </a:extLst>
        </xdr:cNvPr>
        <xdr:cNvCxnSpPr/>
      </xdr:nvCxnSpPr>
      <xdr:spPr>
        <a:xfrm>
          <a:off x="5158740" y="1828800"/>
          <a:ext cx="3078480" cy="0"/>
        </a:xfrm>
        <a:prstGeom prst="straightConnector1">
          <a:avLst/>
        </a:prstGeom>
        <a:ln w="38100"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5</xdr:row>
      <xdr:rowOff>114300</xdr:rowOff>
    </xdr:from>
    <xdr:to>
      <xdr:col>13</xdr:col>
      <xdr:colOff>297180</xdr:colOff>
      <xdr:row>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E517AE-ECB0-4F58-934B-1073EE367E16}"/>
            </a:ext>
          </a:extLst>
        </xdr:cNvPr>
        <xdr:cNvCxnSpPr/>
      </xdr:nvCxnSpPr>
      <xdr:spPr>
        <a:xfrm>
          <a:off x="5143500" y="1104900"/>
          <a:ext cx="3078480" cy="0"/>
        </a:xfrm>
        <a:prstGeom prst="straightConnector1">
          <a:avLst/>
        </a:prstGeom>
        <a:ln w="38100">
          <a:prstDash val="dash"/>
          <a:headEnd type="arrow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D1F-55DC-476C-8114-C9EE7E95F2F1}">
  <dimension ref="A2:D41"/>
  <sheetViews>
    <sheetView showGridLines="0" tabSelected="1" workbookViewId="0"/>
  </sheetViews>
  <sheetFormatPr defaultRowHeight="14.4" x14ac:dyDescent="0.3"/>
  <cols>
    <col min="2" max="2" width="22.77734375" customWidth="1"/>
    <col min="3" max="4" width="22.77734375" style="3" customWidth="1"/>
  </cols>
  <sheetData>
    <row r="2" spans="2:4" x14ac:dyDescent="0.3">
      <c r="B2" s="23" t="s">
        <v>23</v>
      </c>
    </row>
    <row r="3" spans="2:4" x14ac:dyDescent="0.3">
      <c r="B3" s="10" t="s">
        <v>45</v>
      </c>
      <c r="C3" s="26" t="s">
        <v>25</v>
      </c>
      <c r="D3" s="26" t="s">
        <v>26</v>
      </c>
    </row>
    <row r="4" spans="2:4" x14ac:dyDescent="0.3">
      <c r="B4" s="12" t="s">
        <v>24</v>
      </c>
      <c r="C4" s="13" t="s">
        <v>29</v>
      </c>
      <c r="D4" s="13" t="s">
        <v>30</v>
      </c>
    </row>
    <row r="5" spans="2:4" x14ac:dyDescent="0.3">
      <c r="B5" s="12" t="s">
        <v>5</v>
      </c>
      <c r="C5" s="14">
        <v>50000</v>
      </c>
      <c r="D5" s="14">
        <f>C5*C20*100</f>
        <v>5227165</v>
      </c>
    </row>
    <row r="6" spans="2:4" x14ac:dyDescent="0.3">
      <c r="B6" s="12" t="s">
        <v>27</v>
      </c>
      <c r="C6" s="13" t="s">
        <v>31</v>
      </c>
      <c r="D6" s="13" t="s">
        <v>38</v>
      </c>
    </row>
    <row r="7" spans="2:4" x14ac:dyDescent="0.3">
      <c r="B7" s="12" t="s">
        <v>28</v>
      </c>
      <c r="C7" s="13" t="s">
        <v>73</v>
      </c>
      <c r="D7" s="13" t="s">
        <v>73</v>
      </c>
    </row>
    <row r="8" spans="2:4" x14ac:dyDescent="0.3">
      <c r="B8" s="12" t="s">
        <v>52</v>
      </c>
      <c r="C8" s="14" t="s">
        <v>37</v>
      </c>
      <c r="D8" s="13" t="s">
        <v>37</v>
      </c>
    </row>
    <row r="9" spans="2:4" x14ac:dyDescent="0.3">
      <c r="B9" s="12" t="s">
        <v>32</v>
      </c>
      <c r="C9" s="13" t="s">
        <v>33</v>
      </c>
      <c r="D9" s="13"/>
    </row>
    <row r="10" spans="2:4" x14ac:dyDescent="0.3">
      <c r="B10" s="12" t="s">
        <v>34</v>
      </c>
      <c r="C10" s="13" t="s">
        <v>88</v>
      </c>
      <c r="D10" s="13"/>
    </row>
    <row r="11" spans="2:4" x14ac:dyDescent="0.3">
      <c r="B11" s="12" t="s">
        <v>102</v>
      </c>
      <c r="C11" s="13"/>
      <c r="D11" s="13" t="s">
        <v>87</v>
      </c>
    </row>
    <row r="12" spans="2:4" x14ac:dyDescent="0.3">
      <c r="B12" s="12" t="s">
        <v>101</v>
      </c>
      <c r="C12" s="13"/>
      <c r="D12" s="13" t="s">
        <v>103</v>
      </c>
    </row>
    <row r="13" spans="2:4" x14ac:dyDescent="0.3">
      <c r="B13" s="12" t="s">
        <v>35</v>
      </c>
      <c r="C13" s="13" t="s">
        <v>74</v>
      </c>
      <c r="D13" s="13"/>
    </row>
    <row r="14" spans="2:4" x14ac:dyDescent="0.3">
      <c r="B14" s="12" t="s">
        <v>36</v>
      </c>
      <c r="C14" s="13" t="s">
        <v>75</v>
      </c>
      <c r="D14" s="13"/>
    </row>
    <row r="15" spans="2:4" x14ac:dyDescent="0.3">
      <c r="B15" s="12" t="s">
        <v>39</v>
      </c>
      <c r="C15" s="15">
        <v>1</v>
      </c>
      <c r="D15" s="15">
        <v>1</v>
      </c>
    </row>
    <row r="16" spans="2:4" x14ac:dyDescent="0.3">
      <c r="B16" s="12" t="s">
        <v>40</v>
      </c>
      <c r="C16" s="13" t="b">
        <v>1</v>
      </c>
      <c r="D16" s="13" t="b">
        <v>1</v>
      </c>
    </row>
    <row r="17" spans="1:4" x14ac:dyDescent="0.3">
      <c r="B17" s="12" t="s">
        <v>41</v>
      </c>
      <c r="C17" s="13" t="s">
        <v>42</v>
      </c>
      <c r="D17" s="13" t="s">
        <v>42</v>
      </c>
    </row>
    <row r="18" spans="1:4" x14ac:dyDescent="0.3">
      <c r="B18" s="12" t="s">
        <v>104</v>
      </c>
      <c r="C18" s="13" t="b">
        <v>1</v>
      </c>
      <c r="D18" s="13"/>
    </row>
    <row r="19" spans="1:4" x14ac:dyDescent="0.3">
      <c r="B19" s="12" t="s">
        <v>43</v>
      </c>
      <c r="C19" s="16">
        <v>0.4</v>
      </c>
      <c r="D19" s="13"/>
    </row>
    <row r="20" spans="1:4" x14ac:dyDescent="0.3">
      <c r="B20" s="12" t="s">
        <v>44</v>
      </c>
      <c r="C20" s="21">
        <v>1.0454330000000001</v>
      </c>
      <c r="D20" s="13"/>
    </row>
    <row r="21" spans="1:4" x14ac:dyDescent="0.3">
      <c r="B21" s="12" t="s">
        <v>72</v>
      </c>
      <c r="C21" s="13" t="s">
        <v>87</v>
      </c>
      <c r="D21" s="13" t="s">
        <v>87</v>
      </c>
    </row>
    <row r="22" spans="1:4" x14ac:dyDescent="0.3">
      <c r="B22" s="17" t="s">
        <v>41</v>
      </c>
      <c r="C22" s="18" t="s">
        <v>42</v>
      </c>
      <c r="D22" s="19"/>
    </row>
    <row r="24" spans="1:4" x14ac:dyDescent="0.3">
      <c r="B24" s="1" t="s">
        <v>46</v>
      </c>
    </row>
    <row r="25" spans="1:4" x14ac:dyDescent="0.3">
      <c r="A25" s="22"/>
      <c r="B25" s="10" t="s">
        <v>45</v>
      </c>
      <c r="C25" s="26" t="s">
        <v>25</v>
      </c>
      <c r="D25" s="26" t="s">
        <v>26</v>
      </c>
    </row>
    <row r="26" spans="1:4" x14ac:dyDescent="0.3">
      <c r="A26" s="22"/>
      <c r="B26" s="12" t="s">
        <v>47</v>
      </c>
      <c r="C26" s="20">
        <v>42531</v>
      </c>
      <c r="D26" s="20">
        <v>42531</v>
      </c>
    </row>
    <row r="27" spans="1:4" x14ac:dyDescent="0.3">
      <c r="B27" s="12" t="s">
        <v>48</v>
      </c>
      <c r="C27" s="13" t="s">
        <v>53</v>
      </c>
      <c r="D27" s="13" t="s">
        <v>53</v>
      </c>
    </row>
    <row r="28" spans="1:4" x14ac:dyDescent="0.3">
      <c r="B28" s="12" t="s">
        <v>59</v>
      </c>
      <c r="C28" s="13" t="s">
        <v>55</v>
      </c>
      <c r="D28" s="13" t="s">
        <v>55</v>
      </c>
    </row>
    <row r="29" spans="1:4" x14ac:dyDescent="0.3">
      <c r="B29" s="12" t="s">
        <v>60</v>
      </c>
      <c r="C29" s="13" t="s">
        <v>64</v>
      </c>
      <c r="D29" s="13" t="s">
        <v>64</v>
      </c>
    </row>
    <row r="30" spans="1:4" x14ac:dyDescent="0.3">
      <c r="B30" s="12" t="s">
        <v>61</v>
      </c>
      <c r="C30" s="13"/>
      <c r="D30" s="13"/>
    </row>
    <row r="31" spans="1:4" x14ac:dyDescent="0.3">
      <c r="B31" s="12" t="s">
        <v>62</v>
      </c>
      <c r="C31" s="13" t="s">
        <v>66</v>
      </c>
      <c r="D31" s="13" t="s">
        <v>66</v>
      </c>
    </row>
    <row r="32" spans="1:4" x14ac:dyDescent="0.3">
      <c r="B32" s="12" t="s">
        <v>56</v>
      </c>
      <c r="C32" s="13" t="s">
        <v>54</v>
      </c>
      <c r="D32" s="13" t="s">
        <v>54</v>
      </c>
    </row>
    <row r="33" spans="2:4" x14ac:dyDescent="0.3">
      <c r="B33" s="12" t="s">
        <v>57</v>
      </c>
      <c r="C33" s="13" t="s">
        <v>55</v>
      </c>
      <c r="D33" s="13" t="s">
        <v>55</v>
      </c>
    </row>
    <row r="34" spans="2:4" x14ac:dyDescent="0.3">
      <c r="B34" s="12" t="s">
        <v>58</v>
      </c>
      <c r="C34" s="13" t="s">
        <v>65</v>
      </c>
      <c r="D34" s="13" t="s">
        <v>64</v>
      </c>
    </row>
    <row r="35" spans="2:4" x14ac:dyDescent="0.3">
      <c r="B35" s="12" t="s">
        <v>63</v>
      </c>
      <c r="C35" s="13" t="s">
        <v>76</v>
      </c>
      <c r="D35" s="13" t="s">
        <v>77</v>
      </c>
    </row>
    <row r="36" spans="2:4" x14ac:dyDescent="0.3">
      <c r="B36" s="12" t="s">
        <v>49</v>
      </c>
      <c r="C36" s="13" t="s">
        <v>54</v>
      </c>
      <c r="D36" s="13" t="s">
        <v>54</v>
      </c>
    </row>
    <row r="37" spans="2:4" x14ac:dyDescent="0.3">
      <c r="B37" s="12" t="s">
        <v>50</v>
      </c>
      <c r="C37" s="13" t="s">
        <v>55</v>
      </c>
      <c r="D37" s="13" t="s">
        <v>55</v>
      </c>
    </row>
    <row r="38" spans="2:4" x14ac:dyDescent="0.3">
      <c r="B38" s="12" t="s">
        <v>51</v>
      </c>
      <c r="C38" s="13" t="s">
        <v>64</v>
      </c>
      <c r="D38" s="13" t="s">
        <v>64</v>
      </c>
    </row>
    <row r="39" spans="2:4" x14ac:dyDescent="0.3">
      <c r="B39" s="12" t="s">
        <v>67</v>
      </c>
      <c r="C39" s="13" t="s">
        <v>71</v>
      </c>
      <c r="D39" s="13" t="s">
        <v>70</v>
      </c>
    </row>
    <row r="40" spans="2:4" x14ac:dyDescent="0.3">
      <c r="B40" s="12" t="s">
        <v>68</v>
      </c>
      <c r="C40" s="13"/>
      <c r="D40" s="13"/>
    </row>
    <row r="41" spans="2:4" x14ac:dyDescent="0.3">
      <c r="B41" s="17" t="s">
        <v>69</v>
      </c>
      <c r="C41" s="19"/>
      <c r="D41" s="19"/>
    </row>
  </sheetData>
  <dataValidations count="9">
    <dataValidation type="list" allowBlank="1" showInputMessage="1" showErrorMessage="1" sqref="C6" xr:uid="{DAF5EEA2-3800-4354-B193-85A629D9CBB6}">
      <formula1>"Units,Cash"</formula1>
    </dataValidation>
    <dataValidation type="list" allowBlank="1" showInputMessage="1" showErrorMessage="1" sqref="C10" xr:uid="{731E94B9-3D2D-41A4-B553-430F632EFE5D}">
      <formula1>"Coupons,Performance,Coupons + Performance"</formula1>
    </dataValidation>
    <dataValidation type="list" allowBlank="1" showInputMessage="1" showErrorMessage="1" sqref="C39:D39" xr:uid="{0575FD55-F04E-4701-99A5-D196C87E93DC}">
      <formula1>"ShortStart,LongStart,ShortEnd,LongEnd,None"</formula1>
    </dataValidation>
    <dataValidation type="list" allowBlank="1" showInputMessage="1" showErrorMessage="1" sqref="C4" xr:uid="{40D695E8-3514-48A8-8C0F-AE828E721A04}">
      <formula1>"Pay,Receive"</formula1>
    </dataValidation>
    <dataValidation type="list" allowBlank="1" showInputMessage="1" showErrorMessage="1" sqref="C7:D7" xr:uid="{C3A438E3-0982-4A70-8A2D-C4ECCA4B818E}">
      <formula1>"No Exchanges,All Exchanges"</formula1>
    </dataValidation>
    <dataValidation type="list" allowBlank="1" showInputMessage="1" showErrorMessage="1" sqref="C13:C14" xr:uid="{8458ACE3-BD8E-4037-A5C2-1ABA047965E6}">
      <formula1>"On Coupon Dates,At Maturity"</formula1>
    </dataValidation>
    <dataValidation type="list" allowBlank="1" showInputMessage="1" showErrorMessage="1" sqref="C35:D35" xr:uid="{85E694A7-DD48-4795-9B9E-16A285853D41}">
      <formula1>"In Advance,In Arrears"</formula1>
    </dataValidation>
    <dataValidation type="list" allowBlank="1" showInputMessage="1" showErrorMessage="1" sqref="C29:D29 C34:D34 C38:D38" xr:uid="{F6FAD8E9-F15B-401A-9759-17273C22DB1E}">
      <formula1>"Following,Modified Following,Unadjusted,Preceding,Modified Preceding"</formula1>
    </dataValidation>
    <dataValidation type="list" allowBlank="1" showInputMessage="1" showErrorMessage="1" sqref="C30:D30" xr:uid="{83CF0875-39A8-42B1-ABD1-25C202B278A4}">
      <formula1>"End of Month,IMM,1,2,3,4,5,6,7,8,9,10,11,12,13,14,15,16,17,18,19,20,21,22,23,24,25,26,27,28,29,30,31,None"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20774-B955-48C3-8723-33501BC6401B}">
  <sheetPr>
    <pageSetUpPr autoPageBreaks="0"/>
  </sheetPr>
  <dimension ref="A2:L41"/>
  <sheetViews>
    <sheetView showGridLines="0" zoomScaleNormal="100" workbookViewId="0"/>
  </sheetViews>
  <sheetFormatPr defaultRowHeight="14.4" x14ac:dyDescent="0.3"/>
  <cols>
    <col min="2" max="2" width="16.77734375" customWidth="1"/>
    <col min="3" max="3" width="15.77734375" customWidth="1"/>
    <col min="6" max="11" width="15.77734375" customWidth="1"/>
    <col min="12" max="12" width="15" bestFit="1" customWidth="1"/>
  </cols>
  <sheetData>
    <row r="2" spans="2:12" x14ac:dyDescent="0.3">
      <c r="E2" s="24" t="s">
        <v>86</v>
      </c>
      <c r="G2">
        <f>F4/H4</f>
        <v>80736.315194574519</v>
      </c>
    </row>
    <row r="3" spans="2:12" x14ac:dyDescent="0.3">
      <c r="B3" s="1" t="s">
        <v>89</v>
      </c>
      <c r="E3" s="34" t="s">
        <v>3</v>
      </c>
      <c r="F3" s="34" t="s">
        <v>5</v>
      </c>
      <c r="G3" s="34" t="s">
        <v>31</v>
      </c>
      <c r="H3" s="34" t="s">
        <v>83</v>
      </c>
      <c r="I3" s="34" t="s">
        <v>9</v>
      </c>
      <c r="J3" s="34" t="s">
        <v>1</v>
      </c>
      <c r="K3" s="34" t="s">
        <v>84</v>
      </c>
    </row>
    <row r="4" spans="2:12" x14ac:dyDescent="0.3">
      <c r="B4" s="35" t="s">
        <v>90</v>
      </c>
      <c r="C4" s="11">
        <v>100</v>
      </c>
      <c r="E4" s="31" t="s">
        <v>94</v>
      </c>
      <c r="F4" s="31">
        <f>G4*H4</f>
        <v>10000000</v>
      </c>
      <c r="G4" s="27">
        <v>80736.315194574519</v>
      </c>
      <c r="H4" s="28">
        <v>123.86</v>
      </c>
      <c r="I4" s="31">
        <f t="shared" ref="I4:I19" si="0">(H5-H4)*G4</f>
        <v>108994.02551267514</v>
      </c>
      <c r="J4" s="31">
        <f t="shared" ref="J4:J13" si="1">G4*$C$5*$C$6*$C$4</f>
        <v>155417.40674955596</v>
      </c>
      <c r="K4" s="31">
        <f t="shared" ref="K4:K19" si="2">IF(E4="Future",0,I4+J4)</f>
        <v>264411.43226223113</v>
      </c>
    </row>
    <row r="5" spans="2:12" x14ac:dyDescent="0.3">
      <c r="B5" s="35" t="s">
        <v>91</v>
      </c>
      <c r="C5" s="25">
        <v>3.85E-2</v>
      </c>
      <c r="E5" s="31" t="s">
        <v>94</v>
      </c>
      <c r="F5" s="31">
        <f t="shared" ref="F5:F19" si="3">G5*H5</f>
        <v>10108994.025512675</v>
      </c>
      <c r="G5" s="31">
        <f t="shared" ref="G5:G19" si="4">$G$4</f>
        <v>80736.315194574519</v>
      </c>
      <c r="H5" s="28">
        <v>125.21</v>
      </c>
      <c r="I5" s="31">
        <f t="shared" si="0"/>
        <v>-662037.78459551011</v>
      </c>
      <c r="J5" s="31">
        <f t="shared" si="1"/>
        <v>155417.40674955596</v>
      </c>
      <c r="K5" s="31">
        <f t="shared" si="2"/>
        <v>-506620.37784595415</v>
      </c>
      <c r="L5" s="36"/>
    </row>
    <row r="6" spans="2:12" x14ac:dyDescent="0.3">
      <c r="B6" s="35" t="s">
        <v>92</v>
      </c>
      <c r="C6" s="19">
        <v>0.5</v>
      </c>
      <c r="E6" s="31" t="s">
        <v>94</v>
      </c>
      <c r="F6" s="31">
        <f t="shared" si="3"/>
        <v>9446956.2409171648</v>
      </c>
      <c r="G6" s="31">
        <f t="shared" si="4"/>
        <v>80736.315194574519</v>
      </c>
      <c r="H6" s="28">
        <v>117.01</v>
      </c>
      <c r="I6" s="31">
        <f t="shared" si="0"/>
        <v>235750.04036815773</v>
      </c>
      <c r="J6" s="31">
        <f t="shared" si="1"/>
        <v>155417.40674955596</v>
      </c>
      <c r="K6" s="31">
        <f t="shared" si="2"/>
        <v>391167.44711771369</v>
      </c>
    </row>
    <row r="7" spans="2:12" x14ac:dyDescent="0.3">
      <c r="E7" s="31" t="s">
        <v>94</v>
      </c>
      <c r="F7" s="31">
        <f t="shared" si="3"/>
        <v>9682706.2812853232</v>
      </c>
      <c r="G7" s="31">
        <f t="shared" si="4"/>
        <v>80736.315194574519</v>
      </c>
      <c r="H7" s="28">
        <v>119.93</v>
      </c>
      <c r="I7" s="31">
        <f t="shared" si="0"/>
        <v>-1984498.6274826427</v>
      </c>
      <c r="J7" s="31">
        <f t="shared" si="1"/>
        <v>155417.40674955596</v>
      </c>
      <c r="K7" s="31">
        <f t="shared" si="2"/>
        <v>-1829081.2207330866</v>
      </c>
    </row>
    <row r="8" spans="2:12" x14ac:dyDescent="0.3">
      <c r="E8" s="31" t="s">
        <v>94</v>
      </c>
      <c r="F8" s="31">
        <f t="shared" si="3"/>
        <v>7698207.6538026799</v>
      </c>
      <c r="G8" s="31">
        <f t="shared" si="4"/>
        <v>80736.315194574519</v>
      </c>
      <c r="H8" s="28">
        <v>95.35</v>
      </c>
      <c r="I8" s="31">
        <f t="shared" si="0"/>
        <v>-919586.63006620377</v>
      </c>
      <c r="J8" s="31">
        <f t="shared" si="1"/>
        <v>155417.40674955596</v>
      </c>
      <c r="K8" s="31">
        <f t="shared" si="2"/>
        <v>-764169.22331664781</v>
      </c>
    </row>
    <row r="9" spans="2:12" x14ac:dyDescent="0.3">
      <c r="E9" s="31" t="s">
        <v>94</v>
      </c>
      <c r="F9" s="31">
        <f t="shared" si="3"/>
        <v>6778621.023736476</v>
      </c>
      <c r="G9" s="31">
        <f t="shared" si="4"/>
        <v>80736.315194574519</v>
      </c>
      <c r="H9" s="28">
        <v>83.96</v>
      </c>
      <c r="I9" s="31">
        <f t="shared" si="0"/>
        <v>668496.68981107709</v>
      </c>
      <c r="J9" s="31">
        <f t="shared" si="1"/>
        <v>155417.40674955596</v>
      </c>
      <c r="K9" s="31">
        <f t="shared" si="2"/>
        <v>823914.09656063304</v>
      </c>
    </row>
    <row r="10" spans="2:12" x14ac:dyDescent="0.3">
      <c r="E10" s="31" t="s">
        <v>94</v>
      </c>
      <c r="F10" s="31">
        <f t="shared" si="3"/>
        <v>7447117.7135475529</v>
      </c>
      <c r="G10" s="31">
        <f t="shared" si="4"/>
        <v>80736.315194574519</v>
      </c>
      <c r="H10" s="28">
        <v>92.24</v>
      </c>
      <c r="I10" s="31">
        <f t="shared" si="0"/>
        <v>-796867.4309704497</v>
      </c>
      <c r="J10" s="31">
        <f t="shared" si="1"/>
        <v>155417.40674955596</v>
      </c>
      <c r="K10" s="31">
        <f t="shared" si="2"/>
        <v>-641450.02422089374</v>
      </c>
    </row>
    <row r="11" spans="2:12" x14ac:dyDescent="0.3">
      <c r="E11" s="31" t="s">
        <v>94</v>
      </c>
      <c r="F11" s="31">
        <f t="shared" si="3"/>
        <v>6650250.2825771039</v>
      </c>
      <c r="G11" s="31">
        <f t="shared" si="4"/>
        <v>80736.315194574519</v>
      </c>
      <c r="H11" s="28">
        <v>82.37</v>
      </c>
      <c r="I11" s="31">
        <f t="shared" si="0"/>
        <v>169546.26190860604</v>
      </c>
      <c r="J11" s="31">
        <f t="shared" si="1"/>
        <v>155417.40674955596</v>
      </c>
      <c r="K11" s="31">
        <f t="shared" si="2"/>
        <v>324963.668658162</v>
      </c>
    </row>
    <row r="12" spans="2:12" x14ac:dyDescent="0.3">
      <c r="E12" s="32" t="s">
        <v>93</v>
      </c>
      <c r="F12" s="32">
        <f t="shared" si="3"/>
        <v>6819796.5444857096</v>
      </c>
      <c r="G12" s="32">
        <f t="shared" si="4"/>
        <v>80736.315194574519</v>
      </c>
      <c r="H12" s="30">
        <v>84.47</v>
      </c>
      <c r="I12" s="32">
        <f t="shared" si="0"/>
        <v>-74277.409979008691</v>
      </c>
      <c r="J12" s="32">
        <f t="shared" si="1"/>
        <v>155417.40674955596</v>
      </c>
      <c r="K12" s="33">
        <f t="shared" si="2"/>
        <v>81139.996770547266</v>
      </c>
    </row>
    <row r="13" spans="2:12" x14ac:dyDescent="0.3">
      <c r="E13" s="31" t="s">
        <v>95</v>
      </c>
      <c r="F13" s="31">
        <f t="shared" si="3"/>
        <v>6745519.1345067006</v>
      </c>
      <c r="G13" s="31">
        <f t="shared" si="4"/>
        <v>80736.315194574519</v>
      </c>
      <c r="H13" s="28">
        <v>83.55</v>
      </c>
      <c r="I13" s="31">
        <f t="shared" si="0"/>
        <v>0</v>
      </c>
      <c r="J13" s="31">
        <f t="shared" si="1"/>
        <v>155417.40674955596</v>
      </c>
      <c r="K13" s="31">
        <f t="shared" si="2"/>
        <v>0</v>
      </c>
    </row>
    <row r="14" spans="2:12" x14ac:dyDescent="0.3">
      <c r="E14" s="31" t="s">
        <v>95</v>
      </c>
      <c r="F14" s="31">
        <f t="shared" si="3"/>
        <v>6745519.1345067006</v>
      </c>
      <c r="G14" s="31">
        <f t="shared" si="4"/>
        <v>80736.315194574519</v>
      </c>
      <c r="H14" s="28">
        <v>83.55</v>
      </c>
      <c r="I14" s="31">
        <f t="shared" si="0"/>
        <v>0</v>
      </c>
      <c r="J14" s="31">
        <f t="shared" ref="J14:J19" si="5">G14*$C$5*$C$6*$C$4</f>
        <v>155417.40674955596</v>
      </c>
      <c r="K14" s="31">
        <f t="shared" si="2"/>
        <v>0</v>
      </c>
    </row>
    <row r="15" spans="2:12" x14ac:dyDescent="0.3">
      <c r="E15" s="31" t="s">
        <v>95</v>
      </c>
      <c r="F15" s="31">
        <f t="shared" si="3"/>
        <v>6745519.1345067006</v>
      </c>
      <c r="G15" s="31">
        <f t="shared" si="4"/>
        <v>80736.315194574519</v>
      </c>
      <c r="H15" s="28">
        <v>83.55</v>
      </c>
      <c r="I15" s="31">
        <f t="shared" si="0"/>
        <v>0</v>
      </c>
      <c r="J15" s="31">
        <f t="shared" si="5"/>
        <v>155417.40674955596</v>
      </c>
      <c r="K15" s="31">
        <f t="shared" si="2"/>
        <v>0</v>
      </c>
    </row>
    <row r="16" spans="2:12" x14ac:dyDescent="0.3">
      <c r="E16" s="31" t="s">
        <v>95</v>
      </c>
      <c r="F16" s="31">
        <f t="shared" si="3"/>
        <v>6745519.1345067006</v>
      </c>
      <c r="G16" s="31">
        <f t="shared" si="4"/>
        <v>80736.315194574519</v>
      </c>
      <c r="H16" s="28">
        <v>83.55</v>
      </c>
      <c r="I16" s="31">
        <f t="shared" si="0"/>
        <v>0</v>
      </c>
      <c r="J16" s="31">
        <f t="shared" si="5"/>
        <v>155417.40674955596</v>
      </c>
      <c r="K16" s="31">
        <f t="shared" si="2"/>
        <v>0</v>
      </c>
    </row>
    <row r="17" spans="1:11" x14ac:dyDescent="0.3">
      <c r="E17" s="31" t="s">
        <v>95</v>
      </c>
      <c r="F17" s="31">
        <f t="shared" si="3"/>
        <v>6745519.1345067006</v>
      </c>
      <c r="G17" s="31">
        <f t="shared" si="4"/>
        <v>80736.315194574519</v>
      </c>
      <c r="H17" s="28">
        <v>83.55</v>
      </c>
      <c r="I17" s="31">
        <f t="shared" si="0"/>
        <v>0</v>
      </c>
      <c r="J17" s="31">
        <f t="shared" si="5"/>
        <v>155417.40674955596</v>
      </c>
      <c r="K17" s="31">
        <f t="shared" si="2"/>
        <v>0</v>
      </c>
    </row>
    <row r="18" spans="1:11" x14ac:dyDescent="0.3">
      <c r="E18" s="31" t="s">
        <v>95</v>
      </c>
      <c r="F18" s="31">
        <f t="shared" si="3"/>
        <v>6745519.1345067006</v>
      </c>
      <c r="G18" s="31">
        <f t="shared" si="4"/>
        <v>80736.315194574519</v>
      </c>
      <c r="H18" s="28">
        <v>83.55</v>
      </c>
      <c r="I18" s="31">
        <f t="shared" si="0"/>
        <v>0</v>
      </c>
      <c r="J18" s="31">
        <f t="shared" si="5"/>
        <v>155417.40674955596</v>
      </c>
      <c r="K18" s="31">
        <f t="shared" si="2"/>
        <v>0</v>
      </c>
    </row>
    <row r="19" spans="1:11" x14ac:dyDescent="0.3">
      <c r="E19" s="31" t="s">
        <v>95</v>
      </c>
      <c r="F19" s="31">
        <f t="shared" si="3"/>
        <v>6745519.1345067006</v>
      </c>
      <c r="G19" s="31">
        <f t="shared" si="4"/>
        <v>80736.315194574519</v>
      </c>
      <c r="H19" s="28">
        <v>83.55</v>
      </c>
      <c r="I19" s="31">
        <f t="shared" si="0"/>
        <v>0</v>
      </c>
      <c r="J19" s="31">
        <f t="shared" si="5"/>
        <v>155417.40674955596</v>
      </c>
      <c r="K19" s="31">
        <f t="shared" si="2"/>
        <v>0</v>
      </c>
    </row>
    <row r="20" spans="1:11" x14ac:dyDescent="0.3">
      <c r="F20" s="9"/>
      <c r="G20" s="9"/>
      <c r="H20" s="29">
        <v>83.55</v>
      </c>
      <c r="I20" s="9"/>
      <c r="J20" s="9"/>
      <c r="K20" s="9"/>
    </row>
    <row r="21" spans="1:11" x14ac:dyDescent="0.3">
      <c r="F21" s="9"/>
      <c r="G21" s="9"/>
      <c r="H21" s="4"/>
      <c r="I21" s="9"/>
      <c r="J21" s="9"/>
      <c r="K21" s="9"/>
    </row>
    <row r="22" spans="1:11" x14ac:dyDescent="0.3">
      <c r="E22" s="24" t="s">
        <v>85</v>
      </c>
    </row>
    <row r="23" spans="1:11" x14ac:dyDescent="0.3">
      <c r="B23" s="1" t="s">
        <v>89</v>
      </c>
      <c r="E23" s="34" t="s">
        <v>3</v>
      </c>
      <c r="F23" s="34" t="s">
        <v>5</v>
      </c>
      <c r="G23" s="34" t="s">
        <v>31</v>
      </c>
      <c r="H23" s="34" t="s">
        <v>83</v>
      </c>
      <c r="I23" s="34" t="s">
        <v>9</v>
      </c>
      <c r="J23" s="34" t="s">
        <v>1</v>
      </c>
      <c r="K23" s="34" t="s">
        <v>84</v>
      </c>
    </row>
    <row r="24" spans="1:11" x14ac:dyDescent="0.3">
      <c r="A24" s="22"/>
      <c r="B24" s="35" t="s">
        <v>90</v>
      </c>
      <c r="C24" s="11">
        <v>100</v>
      </c>
      <c r="E24" s="31" t="s">
        <v>94</v>
      </c>
      <c r="F24" s="27">
        <v>10000000</v>
      </c>
      <c r="G24" s="31">
        <f t="shared" ref="G24:G39" si="6">IF(H24=0,0,F24/H24)</f>
        <v>80736.315194574519</v>
      </c>
      <c r="H24" s="28">
        <v>123.86</v>
      </c>
      <c r="I24" s="31">
        <f t="shared" ref="I24:I39" si="7">(H25-H24)*G24</f>
        <v>108994.02551267514</v>
      </c>
      <c r="J24" s="31">
        <f>IF(E24="Future",0,G24*$C$25*$C$26*$C$24)</f>
        <v>155417.40674955596</v>
      </c>
      <c r="K24" s="31">
        <f t="shared" ref="K24:K39" si="8">IF(E24="Future",0,I24+J24)</f>
        <v>264411.43226223113</v>
      </c>
    </row>
    <row r="25" spans="1:11" x14ac:dyDescent="0.3">
      <c r="A25" s="22"/>
      <c r="B25" s="35" t="s">
        <v>91</v>
      </c>
      <c r="C25" s="25">
        <v>3.85E-2</v>
      </c>
      <c r="E25" s="31" t="s">
        <v>94</v>
      </c>
      <c r="F25" s="31">
        <f t="shared" ref="F25:F39" si="9">$F$24</f>
        <v>10000000</v>
      </c>
      <c r="G25" s="31">
        <f t="shared" si="6"/>
        <v>79865.825413305647</v>
      </c>
      <c r="H25" s="28">
        <v>125.21</v>
      </c>
      <c r="I25" s="31">
        <f>(H26-H25)*G25</f>
        <v>-654899.76838910545</v>
      </c>
      <c r="J25" s="31">
        <f t="shared" ref="J25:J39" si="10">G25*$C$25*$C$26*$C$24</f>
        <v>153741.71392061337</v>
      </c>
      <c r="K25" s="31">
        <f t="shared" si="8"/>
        <v>-501158.05446849205</v>
      </c>
    </row>
    <row r="26" spans="1:11" x14ac:dyDescent="0.3">
      <c r="B26" s="35" t="s">
        <v>92</v>
      </c>
      <c r="C26" s="19">
        <v>0.5</v>
      </c>
      <c r="E26" s="31" t="s">
        <v>94</v>
      </c>
      <c r="F26" s="31">
        <f t="shared" si="9"/>
        <v>10000000</v>
      </c>
      <c r="G26" s="31">
        <f t="shared" si="6"/>
        <v>85462.780958892399</v>
      </c>
      <c r="H26" s="28">
        <v>117.01</v>
      </c>
      <c r="I26" s="31">
        <f t="shared" si="7"/>
        <v>249551.32039996595</v>
      </c>
      <c r="J26" s="31">
        <f t="shared" si="10"/>
        <v>164515.85334586786</v>
      </c>
      <c r="K26" s="31">
        <f t="shared" si="8"/>
        <v>414067.1737458338</v>
      </c>
    </row>
    <row r="27" spans="1:11" x14ac:dyDescent="0.3">
      <c r="E27" s="31" t="s">
        <v>94</v>
      </c>
      <c r="F27" s="31">
        <f t="shared" si="9"/>
        <v>10000000</v>
      </c>
      <c r="G27" s="31">
        <f t="shared" si="6"/>
        <v>83381.972817476853</v>
      </c>
      <c r="H27" s="28">
        <v>119.93</v>
      </c>
      <c r="I27" s="31">
        <f t="shared" si="7"/>
        <v>-2049528.8918535821</v>
      </c>
      <c r="J27" s="31">
        <f t="shared" si="10"/>
        <v>160510.29767364293</v>
      </c>
      <c r="K27" s="31">
        <f t="shared" si="8"/>
        <v>-1889018.5941799392</v>
      </c>
    </row>
    <row r="28" spans="1:11" x14ac:dyDescent="0.3">
      <c r="E28" s="31" t="s">
        <v>94</v>
      </c>
      <c r="F28" s="31">
        <f t="shared" si="9"/>
        <v>10000000</v>
      </c>
      <c r="G28" s="31">
        <f t="shared" si="6"/>
        <v>104876.76979549031</v>
      </c>
      <c r="H28" s="28">
        <v>95.35</v>
      </c>
      <c r="I28" s="31">
        <f t="shared" si="7"/>
        <v>-1194546.4079706348</v>
      </c>
      <c r="J28" s="31">
        <f t="shared" si="10"/>
        <v>201887.78185631885</v>
      </c>
      <c r="K28" s="31">
        <f t="shared" si="8"/>
        <v>-992658.62611431594</v>
      </c>
    </row>
    <row r="29" spans="1:11" x14ac:dyDescent="0.3">
      <c r="E29" s="31" t="s">
        <v>94</v>
      </c>
      <c r="F29" s="31">
        <f t="shared" si="9"/>
        <v>10000000</v>
      </c>
      <c r="G29" s="31">
        <f t="shared" si="6"/>
        <v>119104.33539780849</v>
      </c>
      <c r="H29" s="28">
        <v>83.96</v>
      </c>
      <c r="I29" s="31">
        <f t="shared" si="7"/>
        <v>986183.8970938545</v>
      </c>
      <c r="J29" s="31">
        <f t="shared" si="10"/>
        <v>229275.84564078134</v>
      </c>
      <c r="K29" s="31">
        <f t="shared" si="8"/>
        <v>1215459.7427346357</v>
      </c>
    </row>
    <row r="30" spans="1:11" x14ac:dyDescent="0.3">
      <c r="E30" s="31" t="s">
        <v>94</v>
      </c>
      <c r="F30" s="31">
        <f t="shared" si="9"/>
        <v>10000000</v>
      </c>
      <c r="G30" s="31">
        <f t="shared" si="6"/>
        <v>108412.83607979186</v>
      </c>
      <c r="H30" s="28">
        <v>92.24</v>
      </c>
      <c r="I30" s="31">
        <f t="shared" si="7"/>
        <v>-1070034.6921075445</v>
      </c>
      <c r="J30" s="31">
        <f t="shared" si="10"/>
        <v>208694.70945359929</v>
      </c>
      <c r="K30" s="31">
        <f t="shared" si="8"/>
        <v>-861339.98265394522</v>
      </c>
    </row>
    <row r="31" spans="1:11" x14ac:dyDescent="0.3">
      <c r="E31" s="31" t="s">
        <v>94</v>
      </c>
      <c r="F31" s="31">
        <f t="shared" si="9"/>
        <v>10000000</v>
      </c>
      <c r="G31" s="31">
        <f t="shared" si="6"/>
        <v>121403.42357654485</v>
      </c>
      <c r="H31" s="28">
        <v>82.37</v>
      </c>
      <c r="I31" s="31">
        <f>(H32-H31)*G31</f>
        <v>254947.18951074351</v>
      </c>
      <c r="J31" s="31">
        <f t="shared" si="10"/>
        <v>233701.59038484885</v>
      </c>
      <c r="K31" s="31">
        <f t="shared" si="8"/>
        <v>488648.77989559236</v>
      </c>
    </row>
    <row r="32" spans="1:11" x14ac:dyDescent="0.3">
      <c r="E32" s="32" t="s">
        <v>93</v>
      </c>
      <c r="F32" s="32">
        <f t="shared" si="9"/>
        <v>10000000</v>
      </c>
      <c r="G32" s="32">
        <f t="shared" si="6"/>
        <v>118385.22552385462</v>
      </c>
      <c r="H32" s="30">
        <v>84.47</v>
      </c>
      <c r="I32" s="32">
        <f>(H33-H32)*G32</f>
        <v>-108914.40748194646</v>
      </c>
      <c r="J32" s="32">
        <f>G32*$C$25*$C$26*$C$24</f>
        <v>227891.55913342015</v>
      </c>
      <c r="K32" s="33">
        <f t="shared" si="8"/>
        <v>118977.15165147369</v>
      </c>
    </row>
    <row r="33" spans="5:11" x14ac:dyDescent="0.3">
      <c r="E33" s="31" t="s">
        <v>95</v>
      </c>
      <c r="F33" s="31">
        <f t="shared" si="9"/>
        <v>10000000</v>
      </c>
      <c r="G33" s="31">
        <f t="shared" si="6"/>
        <v>119688.80909634949</v>
      </c>
      <c r="H33" s="28">
        <v>83.55</v>
      </c>
      <c r="I33" s="31">
        <f t="shared" si="7"/>
        <v>0</v>
      </c>
      <c r="J33" s="31">
        <f t="shared" si="10"/>
        <v>230400.95751047274</v>
      </c>
      <c r="K33" s="31">
        <f t="shared" si="8"/>
        <v>0</v>
      </c>
    </row>
    <row r="34" spans="5:11" x14ac:dyDescent="0.3">
      <c r="E34" s="31" t="s">
        <v>95</v>
      </c>
      <c r="F34" s="31">
        <f t="shared" si="9"/>
        <v>10000000</v>
      </c>
      <c r="G34" s="31">
        <f t="shared" si="6"/>
        <v>119688.80909634949</v>
      </c>
      <c r="H34" s="28">
        <v>83.55</v>
      </c>
      <c r="I34" s="31">
        <f t="shared" si="7"/>
        <v>0</v>
      </c>
      <c r="J34" s="31">
        <f t="shared" si="10"/>
        <v>230400.95751047274</v>
      </c>
      <c r="K34" s="31">
        <f t="shared" si="8"/>
        <v>0</v>
      </c>
    </row>
    <row r="35" spans="5:11" x14ac:dyDescent="0.3">
      <c r="E35" s="31" t="s">
        <v>95</v>
      </c>
      <c r="F35" s="31">
        <f t="shared" si="9"/>
        <v>10000000</v>
      </c>
      <c r="G35" s="31">
        <f t="shared" si="6"/>
        <v>119688.80909634949</v>
      </c>
      <c r="H35" s="28">
        <v>83.55</v>
      </c>
      <c r="I35" s="31">
        <f t="shared" si="7"/>
        <v>0</v>
      </c>
      <c r="J35" s="31">
        <f t="shared" si="10"/>
        <v>230400.95751047274</v>
      </c>
      <c r="K35" s="31">
        <f t="shared" si="8"/>
        <v>0</v>
      </c>
    </row>
    <row r="36" spans="5:11" x14ac:dyDescent="0.3">
      <c r="E36" s="31" t="s">
        <v>95</v>
      </c>
      <c r="F36" s="31">
        <f t="shared" si="9"/>
        <v>10000000</v>
      </c>
      <c r="G36" s="31">
        <f t="shared" si="6"/>
        <v>119688.80909634949</v>
      </c>
      <c r="H36" s="28">
        <v>83.55</v>
      </c>
      <c r="I36" s="31">
        <f t="shared" si="7"/>
        <v>0</v>
      </c>
      <c r="J36" s="31">
        <f t="shared" si="10"/>
        <v>230400.95751047274</v>
      </c>
      <c r="K36" s="31">
        <f t="shared" si="8"/>
        <v>0</v>
      </c>
    </row>
    <row r="37" spans="5:11" x14ac:dyDescent="0.3">
      <c r="E37" s="31" t="s">
        <v>95</v>
      </c>
      <c r="F37" s="31">
        <f t="shared" si="9"/>
        <v>10000000</v>
      </c>
      <c r="G37" s="31">
        <f t="shared" si="6"/>
        <v>119688.80909634949</v>
      </c>
      <c r="H37" s="28">
        <v>83.55</v>
      </c>
      <c r="I37" s="31">
        <f t="shared" si="7"/>
        <v>0</v>
      </c>
      <c r="J37" s="31">
        <f t="shared" si="10"/>
        <v>230400.95751047274</v>
      </c>
      <c r="K37" s="31">
        <f t="shared" si="8"/>
        <v>0</v>
      </c>
    </row>
    <row r="38" spans="5:11" x14ac:dyDescent="0.3">
      <c r="E38" s="31" t="s">
        <v>95</v>
      </c>
      <c r="F38" s="31">
        <f t="shared" si="9"/>
        <v>10000000</v>
      </c>
      <c r="G38" s="31">
        <f t="shared" si="6"/>
        <v>119688.80909634949</v>
      </c>
      <c r="H38" s="28">
        <v>83.55</v>
      </c>
      <c r="I38" s="31">
        <f t="shared" si="7"/>
        <v>0</v>
      </c>
      <c r="J38" s="31">
        <f t="shared" si="10"/>
        <v>230400.95751047274</v>
      </c>
      <c r="K38" s="31">
        <f t="shared" si="8"/>
        <v>0</v>
      </c>
    </row>
    <row r="39" spans="5:11" x14ac:dyDescent="0.3">
      <c r="E39" s="31" t="s">
        <v>95</v>
      </c>
      <c r="F39" s="31">
        <f t="shared" si="9"/>
        <v>10000000</v>
      </c>
      <c r="G39" s="31">
        <f t="shared" si="6"/>
        <v>119688.80909634949</v>
      </c>
      <c r="H39" s="28">
        <v>83.55</v>
      </c>
      <c r="I39" s="31">
        <f t="shared" si="7"/>
        <v>0</v>
      </c>
      <c r="J39" s="31">
        <f t="shared" si="10"/>
        <v>230400.95751047274</v>
      </c>
      <c r="K39" s="31">
        <f t="shared" si="8"/>
        <v>0</v>
      </c>
    </row>
    <row r="40" spans="5:11" x14ac:dyDescent="0.3">
      <c r="F40" s="9"/>
      <c r="G40" s="9"/>
      <c r="H40" s="29">
        <v>83.55</v>
      </c>
      <c r="I40" s="9"/>
      <c r="J40" s="9"/>
      <c r="K40" s="9"/>
    </row>
    <row r="41" spans="5:11" x14ac:dyDescent="0.3">
      <c r="H4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919D-570A-4CFE-8AE2-FCDEB87387A0}">
  <dimension ref="B2:Y31"/>
  <sheetViews>
    <sheetView showGridLines="0" zoomScaleNormal="100" workbookViewId="0"/>
  </sheetViews>
  <sheetFormatPr defaultRowHeight="14.4" x14ac:dyDescent="0.3"/>
  <cols>
    <col min="2" max="2" width="14.77734375" customWidth="1"/>
    <col min="3" max="3" width="10" bestFit="1" customWidth="1"/>
    <col min="4" max="4" width="10" customWidth="1"/>
    <col min="5" max="5" width="12.5546875" customWidth="1"/>
  </cols>
  <sheetData>
    <row r="2" spans="2:25" x14ac:dyDescent="0.3">
      <c r="B2" s="1" t="s">
        <v>16</v>
      </c>
      <c r="E2" s="1" t="s">
        <v>22</v>
      </c>
      <c r="G2" s="1"/>
    </row>
    <row r="3" spans="2:25" x14ac:dyDescent="0.3">
      <c r="B3" t="s">
        <v>5</v>
      </c>
      <c r="C3" s="3">
        <v>100</v>
      </c>
      <c r="D3" s="3"/>
      <c r="E3" t="s">
        <v>2</v>
      </c>
      <c r="F3" s="8">
        <v>0.04</v>
      </c>
    </row>
    <row r="4" spans="2:25" x14ac:dyDescent="0.3">
      <c r="B4" t="s">
        <v>1</v>
      </c>
      <c r="C4" s="8">
        <v>0.05</v>
      </c>
      <c r="D4" s="2"/>
    </row>
    <row r="5" spans="2:25" x14ac:dyDescent="0.3">
      <c r="B5" t="s">
        <v>21</v>
      </c>
      <c r="C5" s="3">
        <v>10</v>
      </c>
      <c r="D5" s="3"/>
    </row>
    <row r="6" spans="2:25" x14ac:dyDescent="0.3">
      <c r="J6" s="6"/>
    </row>
    <row r="7" spans="2:25" x14ac:dyDescent="0.3">
      <c r="B7" s="1" t="s">
        <v>17</v>
      </c>
      <c r="E7" s="1" t="s">
        <v>13</v>
      </c>
      <c r="J7" s="6"/>
    </row>
    <row r="8" spans="2:25" x14ac:dyDescent="0.3">
      <c r="B8" t="s">
        <v>21</v>
      </c>
      <c r="C8" s="3">
        <v>2</v>
      </c>
      <c r="E8" t="s">
        <v>19</v>
      </c>
      <c r="F8" s="4">
        <f>E18</f>
        <v>108.11089577935499</v>
      </c>
      <c r="J8" s="6"/>
    </row>
    <row r="9" spans="2:25" x14ac:dyDescent="0.3">
      <c r="B9" t="s">
        <v>10</v>
      </c>
      <c r="C9" s="4">
        <f>SUM(J22:J31)</f>
        <v>9.4304733727810657</v>
      </c>
      <c r="E9" t="s">
        <v>20</v>
      </c>
      <c r="F9" s="4">
        <f ca="1">E19</f>
        <v>106.73274487495037</v>
      </c>
      <c r="G9" s="7"/>
      <c r="J9" s="6"/>
    </row>
    <row r="10" spans="2:25" x14ac:dyDescent="0.3">
      <c r="B10" t="s">
        <v>9</v>
      </c>
      <c r="C10" s="4">
        <f ca="1">F11</f>
        <v>-1.2741779811433249</v>
      </c>
      <c r="E10" t="s">
        <v>18</v>
      </c>
      <c r="F10" s="5">
        <f>VLOOKUP($C$8,$B$22:$E$31,3,0)</f>
        <v>0.92455621301775137</v>
      </c>
      <c r="J10" s="6"/>
      <c r="Y10" s="6"/>
    </row>
    <row r="11" spans="2:25" x14ac:dyDescent="0.3">
      <c r="B11" t="s">
        <v>7</v>
      </c>
      <c r="C11" s="4">
        <f ca="1">SUM(C9:C10)</f>
        <v>8.156295391637741</v>
      </c>
      <c r="E11" t="s">
        <v>9</v>
      </c>
      <c r="F11" s="4">
        <f ca="1">(F9-F8)*F10</f>
        <v>-1.2741779811433249</v>
      </c>
      <c r="H11" s="6"/>
      <c r="I11" s="6"/>
      <c r="J11" s="6"/>
    </row>
    <row r="12" spans="2:25" x14ac:dyDescent="0.3">
      <c r="H12" s="6"/>
      <c r="J12" s="4"/>
      <c r="O12" s="4"/>
    </row>
    <row r="13" spans="2:25" x14ac:dyDescent="0.3">
      <c r="J13" s="6"/>
      <c r="O13" s="4"/>
    </row>
    <row r="14" spans="2:25" x14ac:dyDescent="0.3">
      <c r="B14" s="1" t="s">
        <v>0</v>
      </c>
      <c r="G14" s="1" t="s">
        <v>14</v>
      </c>
      <c r="J14" s="6"/>
      <c r="L14" s="1" t="s">
        <v>15</v>
      </c>
      <c r="O14" s="4"/>
      <c r="Q14" s="1" t="s">
        <v>8</v>
      </c>
    </row>
    <row r="15" spans="2:25" x14ac:dyDescent="0.3">
      <c r="B15" t="s">
        <v>78</v>
      </c>
      <c r="G15" t="s">
        <v>81</v>
      </c>
      <c r="J15" s="6"/>
      <c r="L15" t="s">
        <v>80</v>
      </c>
      <c r="O15" s="4"/>
      <c r="Q15" t="s">
        <v>79</v>
      </c>
    </row>
    <row r="16" spans="2:25" x14ac:dyDescent="0.3">
      <c r="G16" t="s">
        <v>82</v>
      </c>
      <c r="J16" s="6"/>
      <c r="L16" t="s">
        <v>96</v>
      </c>
      <c r="O16" s="4"/>
    </row>
    <row r="17" spans="2:20" x14ac:dyDescent="0.3">
      <c r="J17" s="6"/>
      <c r="O17" s="4"/>
    </row>
    <row r="18" spans="2:20" x14ac:dyDescent="0.3">
      <c r="B18" s="1"/>
      <c r="D18" t="s">
        <v>11</v>
      </c>
      <c r="E18" s="42">
        <f>SUM(E22:E31)</f>
        <v>108.11089577935499</v>
      </c>
      <c r="F18" s="4"/>
      <c r="G18" s="1"/>
      <c r="I18" t="s">
        <v>7</v>
      </c>
      <c r="J18" s="56">
        <f>SUM(J22:J31)</f>
        <v>9.4304733727810657</v>
      </c>
      <c r="L18" s="1"/>
      <c r="N18" t="s">
        <v>7</v>
      </c>
      <c r="O18" s="56">
        <f>SUM(O22:O31)</f>
        <v>-1.2741779811433389</v>
      </c>
      <c r="Q18" s="1"/>
      <c r="S18" t="s">
        <v>7</v>
      </c>
      <c r="T18" s="56">
        <f>SUM(T22:T31)</f>
        <v>8.1562953916377268</v>
      </c>
    </row>
    <row r="19" spans="2:20" x14ac:dyDescent="0.3">
      <c r="D19" t="s">
        <v>12</v>
      </c>
      <c r="E19" s="4">
        <f ca="1">SUM(OFFSET(E22,C8,0):E31)/$F$10</f>
        <v>106.73274487495037</v>
      </c>
      <c r="F19" s="4"/>
      <c r="J19" s="4"/>
      <c r="O19" s="4"/>
      <c r="T19" s="4"/>
    </row>
    <row r="21" spans="2:20" x14ac:dyDescent="0.3">
      <c r="B21" s="55" t="s">
        <v>3</v>
      </c>
      <c r="C21" s="55" t="s">
        <v>1</v>
      </c>
      <c r="D21" s="55" t="s">
        <v>6</v>
      </c>
      <c r="E21" s="55" t="s">
        <v>4</v>
      </c>
      <c r="G21" s="55" t="s">
        <v>3</v>
      </c>
      <c r="H21" s="55" t="s">
        <v>1</v>
      </c>
      <c r="I21" s="55" t="s">
        <v>6</v>
      </c>
      <c r="J21" s="55" t="s">
        <v>4</v>
      </c>
      <c r="L21" s="55" t="s">
        <v>3</v>
      </c>
      <c r="M21" s="55" t="s">
        <v>1</v>
      </c>
      <c r="N21" s="55" t="s">
        <v>6</v>
      </c>
      <c r="O21" s="55" t="s">
        <v>4</v>
      </c>
      <c r="Q21" s="55" t="s">
        <v>3</v>
      </c>
      <c r="R21" s="55" t="s">
        <v>1</v>
      </c>
      <c r="S21" s="55" t="s">
        <v>6</v>
      </c>
      <c r="T21" s="55" t="s">
        <v>4</v>
      </c>
    </row>
    <row r="22" spans="2:20" x14ac:dyDescent="0.3">
      <c r="B22" s="43">
        <v>1</v>
      </c>
      <c r="C22" s="44">
        <f t="shared" ref="C22:C31" si="0">Notional*Coupon+IF($B22=Maturity,Notional,0)</f>
        <v>5</v>
      </c>
      <c r="D22" s="45">
        <f t="shared" ref="D22:D31" si="1">1/(1+Yield)^B22</f>
        <v>0.96153846153846145</v>
      </c>
      <c r="E22" s="46">
        <f t="shared" ref="E22:E31" si="2">C22*D22</f>
        <v>4.8076923076923075</v>
      </c>
      <c r="G22" s="43">
        <v>1</v>
      </c>
      <c r="H22" s="44">
        <f t="shared" ref="H22:H23" si="3">IF(G22&lt;=$C$8,Notional*Coupon,0)</f>
        <v>5</v>
      </c>
      <c r="I22" s="45">
        <f t="shared" ref="I22:I31" si="4">1/(1+Yield)^G22</f>
        <v>0.96153846153846145</v>
      </c>
      <c r="J22" s="46">
        <f t="shared" ref="J22:J31" si="5">H22*I22</f>
        <v>4.8076923076923075</v>
      </c>
      <c r="L22" s="43">
        <v>1</v>
      </c>
      <c r="M22" s="59"/>
      <c r="N22" s="45">
        <f t="shared" ref="N22:N31" si="6">1/(1+Yield)^L22</f>
        <v>0.96153846153846145</v>
      </c>
      <c r="O22" s="46">
        <f t="shared" ref="O22:O31" si="7">M22*N22</f>
        <v>0</v>
      </c>
      <c r="Q22" s="43">
        <v>1</v>
      </c>
      <c r="R22" s="44">
        <f t="shared" ref="R22:R31" si="8">H22+M22</f>
        <v>5</v>
      </c>
      <c r="S22" s="45">
        <f t="shared" ref="S22:S31" si="9">1/(1+Yield)^Q22</f>
        <v>0.96153846153846145</v>
      </c>
      <c r="T22" s="46">
        <f t="shared" ref="T22:T31" si="10">R22*S22</f>
        <v>4.8076923076923075</v>
      </c>
    </row>
    <row r="23" spans="2:20" x14ac:dyDescent="0.3">
      <c r="B23" s="47">
        <f t="shared" ref="B23:B31" si="11">B22+1</f>
        <v>2</v>
      </c>
      <c r="C23" s="48">
        <f t="shared" si="0"/>
        <v>5</v>
      </c>
      <c r="D23" s="49">
        <f t="shared" si="1"/>
        <v>0.92455621301775137</v>
      </c>
      <c r="E23" s="50">
        <f t="shared" si="2"/>
        <v>4.6227810650887573</v>
      </c>
      <c r="G23" s="47">
        <f t="shared" ref="G23:G31" si="12">G22+1</f>
        <v>2</v>
      </c>
      <c r="H23" s="48">
        <f t="shared" si="3"/>
        <v>5</v>
      </c>
      <c r="I23" s="49">
        <f t="shared" si="4"/>
        <v>0.92455621301775137</v>
      </c>
      <c r="J23" s="50">
        <f t="shared" si="5"/>
        <v>4.6227810650887573</v>
      </c>
      <c r="L23" s="47">
        <f t="shared" ref="L23:L31" si="13">L22+1</f>
        <v>2</v>
      </c>
      <c r="M23" s="60">
        <f t="shared" ref="M23:M31" si="14">IF(L23=$C$8,-$F$8,0)+IF(L23&gt;$C$8,C23,0)</f>
        <v>-108.11089577935499</v>
      </c>
      <c r="N23" s="49">
        <f t="shared" si="6"/>
        <v>0.92455621301775137</v>
      </c>
      <c r="O23" s="50">
        <f t="shared" si="7"/>
        <v>-99.95460038771725</v>
      </c>
      <c r="Q23" s="47">
        <f t="shared" ref="Q23:Q31" si="15">Q22+1</f>
        <v>2</v>
      </c>
      <c r="R23" s="57">
        <f t="shared" si="8"/>
        <v>-103.11089577935499</v>
      </c>
      <c r="S23" s="49">
        <f t="shared" si="9"/>
        <v>0.92455621301775137</v>
      </c>
      <c r="T23" s="50">
        <f t="shared" si="10"/>
        <v>-95.33181932262849</v>
      </c>
    </row>
    <row r="24" spans="2:20" x14ac:dyDescent="0.3">
      <c r="B24" s="47">
        <f t="shared" si="11"/>
        <v>3</v>
      </c>
      <c r="C24" s="48">
        <f t="shared" si="0"/>
        <v>5</v>
      </c>
      <c r="D24" s="49">
        <f t="shared" si="1"/>
        <v>0.88899635867091487</v>
      </c>
      <c r="E24" s="50">
        <f t="shared" si="2"/>
        <v>4.4449817933545743</v>
      </c>
      <c r="G24" s="47">
        <f t="shared" si="12"/>
        <v>3</v>
      </c>
      <c r="H24" s="57"/>
      <c r="I24" s="49">
        <f t="shared" si="4"/>
        <v>0.88899635867091487</v>
      </c>
      <c r="J24" s="50">
        <f t="shared" si="5"/>
        <v>0</v>
      </c>
      <c r="L24" s="47">
        <f t="shared" si="13"/>
        <v>3</v>
      </c>
      <c r="M24" s="48">
        <f t="shared" si="14"/>
        <v>5</v>
      </c>
      <c r="N24" s="49">
        <f t="shared" si="6"/>
        <v>0.88899635867091487</v>
      </c>
      <c r="O24" s="50">
        <f t="shared" si="7"/>
        <v>4.4449817933545743</v>
      </c>
      <c r="Q24" s="47">
        <f t="shared" si="15"/>
        <v>3</v>
      </c>
      <c r="R24" s="48">
        <f t="shared" si="8"/>
        <v>5</v>
      </c>
      <c r="S24" s="49">
        <f t="shared" si="9"/>
        <v>0.88899635867091487</v>
      </c>
      <c r="T24" s="50">
        <f t="shared" si="10"/>
        <v>4.4449817933545743</v>
      </c>
    </row>
    <row r="25" spans="2:20" x14ac:dyDescent="0.3">
      <c r="B25" s="47">
        <f t="shared" si="11"/>
        <v>4</v>
      </c>
      <c r="C25" s="48">
        <f t="shared" si="0"/>
        <v>5</v>
      </c>
      <c r="D25" s="49">
        <f t="shared" si="1"/>
        <v>0.85480419102972571</v>
      </c>
      <c r="E25" s="50">
        <f t="shared" si="2"/>
        <v>4.2740209551486288</v>
      </c>
      <c r="G25" s="47">
        <f t="shared" si="12"/>
        <v>4</v>
      </c>
      <c r="H25" s="57"/>
      <c r="I25" s="49">
        <f t="shared" si="4"/>
        <v>0.85480419102972571</v>
      </c>
      <c r="J25" s="50">
        <f t="shared" si="5"/>
        <v>0</v>
      </c>
      <c r="L25" s="47">
        <f t="shared" si="13"/>
        <v>4</v>
      </c>
      <c r="M25" s="48">
        <f t="shared" si="14"/>
        <v>5</v>
      </c>
      <c r="N25" s="49">
        <f t="shared" si="6"/>
        <v>0.85480419102972571</v>
      </c>
      <c r="O25" s="50">
        <f t="shared" si="7"/>
        <v>4.2740209551486288</v>
      </c>
      <c r="Q25" s="47">
        <f t="shared" si="15"/>
        <v>4</v>
      </c>
      <c r="R25" s="48">
        <f t="shared" si="8"/>
        <v>5</v>
      </c>
      <c r="S25" s="49">
        <f t="shared" si="9"/>
        <v>0.85480419102972571</v>
      </c>
      <c r="T25" s="50">
        <f t="shared" si="10"/>
        <v>4.2740209551486288</v>
      </c>
    </row>
    <row r="26" spans="2:20" x14ac:dyDescent="0.3">
      <c r="B26" s="47">
        <f t="shared" si="11"/>
        <v>5</v>
      </c>
      <c r="C26" s="48">
        <f t="shared" si="0"/>
        <v>5</v>
      </c>
      <c r="D26" s="49">
        <f t="shared" si="1"/>
        <v>0.82192710675935154</v>
      </c>
      <c r="E26" s="50">
        <f t="shared" si="2"/>
        <v>4.1096355337967578</v>
      </c>
      <c r="G26" s="47">
        <f t="shared" si="12"/>
        <v>5</v>
      </c>
      <c r="H26" s="57"/>
      <c r="I26" s="49">
        <f t="shared" si="4"/>
        <v>0.82192710675935154</v>
      </c>
      <c r="J26" s="50">
        <f t="shared" si="5"/>
        <v>0</v>
      </c>
      <c r="L26" s="47">
        <f t="shared" si="13"/>
        <v>5</v>
      </c>
      <c r="M26" s="48">
        <f t="shared" si="14"/>
        <v>5</v>
      </c>
      <c r="N26" s="49">
        <f t="shared" si="6"/>
        <v>0.82192710675935154</v>
      </c>
      <c r="O26" s="50">
        <f t="shared" si="7"/>
        <v>4.1096355337967578</v>
      </c>
      <c r="Q26" s="47">
        <f t="shared" si="15"/>
        <v>5</v>
      </c>
      <c r="R26" s="48">
        <f t="shared" si="8"/>
        <v>5</v>
      </c>
      <c r="S26" s="49">
        <f t="shared" si="9"/>
        <v>0.82192710675935154</v>
      </c>
      <c r="T26" s="50">
        <f t="shared" si="10"/>
        <v>4.1096355337967578</v>
      </c>
    </row>
    <row r="27" spans="2:20" x14ac:dyDescent="0.3">
      <c r="B27" s="47">
        <f t="shared" si="11"/>
        <v>6</v>
      </c>
      <c r="C27" s="48">
        <f t="shared" si="0"/>
        <v>5</v>
      </c>
      <c r="D27" s="49">
        <f t="shared" si="1"/>
        <v>0.79031452573014571</v>
      </c>
      <c r="E27" s="50">
        <f t="shared" si="2"/>
        <v>3.9515726286507284</v>
      </c>
      <c r="G27" s="47">
        <f t="shared" si="12"/>
        <v>6</v>
      </c>
      <c r="H27" s="57"/>
      <c r="I27" s="49">
        <f t="shared" si="4"/>
        <v>0.79031452573014571</v>
      </c>
      <c r="J27" s="50">
        <f t="shared" si="5"/>
        <v>0</v>
      </c>
      <c r="L27" s="47">
        <f t="shared" si="13"/>
        <v>6</v>
      </c>
      <c r="M27" s="48">
        <f t="shared" si="14"/>
        <v>5</v>
      </c>
      <c r="N27" s="49">
        <f t="shared" si="6"/>
        <v>0.79031452573014571</v>
      </c>
      <c r="O27" s="50">
        <f t="shared" si="7"/>
        <v>3.9515726286507284</v>
      </c>
      <c r="Q27" s="47">
        <f t="shared" si="15"/>
        <v>6</v>
      </c>
      <c r="R27" s="48">
        <f t="shared" si="8"/>
        <v>5</v>
      </c>
      <c r="S27" s="49">
        <f t="shared" si="9"/>
        <v>0.79031452573014571</v>
      </c>
      <c r="T27" s="50">
        <f t="shared" si="10"/>
        <v>3.9515726286507284</v>
      </c>
    </row>
    <row r="28" spans="2:20" x14ac:dyDescent="0.3">
      <c r="B28" s="47">
        <f t="shared" si="11"/>
        <v>7</v>
      </c>
      <c r="C28" s="48">
        <f t="shared" si="0"/>
        <v>5</v>
      </c>
      <c r="D28" s="49">
        <f t="shared" si="1"/>
        <v>0.75991781320206331</v>
      </c>
      <c r="E28" s="50">
        <f t="shared" si="2"/>
        <v>3.7995890660103164</v>
      </c>
      <c r="G28" s="47">
        <f t="shared" si="12"/>
        <v>7</v>
      </c>
      <c r="H28" s="57"/>
      <c r="I28" s="49">
        <f t="shared" si="4"/>
        <v>0.75991781320206331</v>
      </c>
      <c r="J28" s="50">
        <f t="shared" si="5"/>
        <v>0</v>
      </c>
      <c r="L28" s="47">
        <f t="shared" si="13"/>
        <v>7</v>
      </c>
      <c r="M28" s="48">
        <f t="shared" si="14"/>
        <v>5</v>
      </c>
      <c r="N28" s="49">
        <f t="shared" si="6"/>
        <v>0.75991781320206331</v>
      </c>
      <c r="O28" s="50">
        <f t="shared" si="7"/>
        <v>3.7995890660103164</v>
      </c>
      <c r="Q28" s="47">
        <f t="shared" si="15"/>
        <v>7</v>
      </c>
      <c r="R28" s="48">
        <f t="shared" si="8"/>
        <v>5</v>
      </c>
      <c r="S28" s="49">
        <f t="shared" si="9"/>
        <v>0.75991781320206331</v>
      </c>
      <c r="T28" s="50">
        <f t="shared" si="10"/>
        <v>3.7995890660103164</v>
      </c>
    </row>
    <row r="29" spans="2:20" x14ac:dyDescent="0.3">
      <c r="B29" s="47">
        <f t="shared" si="11"/>
        <v>8</v>
      </c>
      <c r="C29" s="48">
        <f t="shared" si="0"/>
        <v>5</v>
      </c>
      <c r="D29" s="49">
        <f t="shared" si="1"/>
        <v>0.73069020500198378</v>
      </c>
      <c r="E29" s="50">
        <f t="shared" si="2"/>
        <v>3.653451025009919</v>
      </c>
      <c r="G29" s="47">
        <f t="shared" si="12"/>
        <v>8</v>
      </c>
      <c r="H29" s="57"/>
      <c r="I29" s="49">
        <f t="shared" si="4"/>
        <v>0.73069020500198378</v>
      </c>
      <c r="J29" s="50">
        <f t="shared" si="5"/>
        <v>0</v>
      </c>
      <c r="L29" s="47">
        <f t="shared" si="13"/>
        <v>8</v>
      </c>
      <c r="M29" s="48">
        <f t="shared" si="14"/>
        <v>5</v>
      </c>
      <c r="N29" s="49">
        <f t="shared" si="6"/>
        <v>0.73069020500198378</v>
      </c>
      <c r="O29" s="50">
        <f t="shared" si="7"/>
        <v>3.653451025009919</v>
      </c>
      <c r="Q29" s="47">
        <f t="shared" si="15"/>
        <v>8</v>
      </c>
      <c r="R29" s="48">
        <f t="shared" si="8"/>
        <v>5</v>
      </c>
      <c r="S29" s="49">
        <f t="shared" si="9"/>
        <v>0.73069020500198378</v>
      </c>
      <c r="T29" s="50">
        <f t="shared" si="10"/>
        <v>3.653451025009919</v>
      </c>
    </row>
    <row r="30" spans="2:20" x14ac:dyDescent="0.3">
      <c r="B30" s="47">
        <f t="shared" si="11"/>
        <v>9</v>
      </c>
      <c r="C30" s="48">
        <f t="shared" si="0"/>
        <v>5</v>
      </c>
      <c r="D30" s="49">
        <f t="shared" si="1"/>
        <v>0.70258673557883045</v>
      </c>
      <c r="E30" s="50">
        <f t="shared" si="2"/>
        <v>3.5129336778941522</v>
      </c>
      <c r="G30" s="47">
        <f t="shared" si="12"/>
        <v>9</v>
      </c>
      <c r="H30" s="57"/>
      <c r="I30" s="49">
        <f t="shared" si="4"/>
        <v>0.70258673557883045</v>
      </c>
      <c r="J30" s="50">
        <f t="shared" si="5"/>
        <v>0</v>
      </c>
      <c r="L30" s="47">
        <f t="shared" si="13"/>
        <v>9</v>
      </c>
      <c r="M30" s="48">
        <f t="shared" si="14"/>
        <v>5</v>
      </c>
      <c r="N30" s="49">
        <f t="shared" si="6"/>
        <v>0.70258673557883045</v>
      </c>
      <c r="O30" s="50">
        <f t="shared" si="7"/>
        <v>3.5129336778941522</v>
      </c>
      <c r="Q30" s="47">
        <f t="shared" si="15"/>
        <v>9</v>
      </c>
      <c r="R30" s="48">
        <f t="shared" si="8"/>
        <v>5</v>
      </c>
      <c r="S30" s="49">
        <f t="shared" si="9"/>
        <v>0.70258673557883045</v>
      </c>
      <c r="T30" s="50">
        <f t="shared" si="10"/>
        <v>3.5129336778941522</v>
      </c>
    </row>
    <row r="31" spans="2:20" x14ac:dyDescent="0.3">
      <c r="B31" s="51">
        <f t="shared" si="11"/>
        <v>10</v>
      </c>
      <c r="C31" s="52">
        <f t="shared" si="0"/>
        <v>105</v>
      </c>
      <c r="D31" s="53">
        <f t="shared" si="1"/>
        <v>0.67556416882579851</v>
      </c>
      <c r="E31" s="54">
        <f t="shared" si="2"/>
        <v>70.934237726708844</v>
      </c>
      <c r="G31" s="51">
        <f t="shared" si="12"/>
        <v>10</v>
      </c>
      <c r="H31" s="58"/>
      <c r="I31" s="53">
        <f t="shared" si="4"/>
        <v>0.67556416882579851</v>
      </c>
      <c r="J31" s="54">
        <f t="shared" si="5"/>
        <v>0</v>
      </c>
      <c r="L31" s="51">
        <f t="shared" si="13"/>
        <v>10</v>
      </c>
      <c r="M31" s="52">
        <f t="shared" si="14"/>
        <v>105</v>
      </c>
      <c r="N31" s="53">
        <f t="shared" si="6"/>
        <v>0.67556416882579851</v>
      </c>
      <c r="O31" s="54">
        <f t="shared" si="7"/>
        <v>70.934237726708844</v>
      </c>
      <c r="Q31" s="51">
        <f t="shared" si="15"/>
        <v>10</v>
      </c>
      <c r="R31" s="52">
        <f t="shared" si="8"/>
        <v>105</v>
      </c>
      <c r="S31" s="53">
        <f t="shared" si="9"/>
        <v>0.67556416882579851</v>
      </c>
      <c r="T31" s="54">
        <f t="shared" si="10"/>
        <v>70.934237726708844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F1D4-EABC-4EE8-81B6-5B4F8649A9E5}">
  <sheetPr>
    <pageSetUpPr autoPageBreaks="0"/>
  </sheetPr>
  <dimension ref="B4:U34"/>
  <sheetViews>
    <sheetView showGridLines="0" workbookViewId="0"/>
  </sheetViews>
  <sheetFormatPr defaultRowHeight="14.4" x14ac:dyDescent="0.3"/>
  <sheetData>
    <row r="4" spans="2:21" x14ac:dyDescent="0.3">
      <c r="B4" s="37" t="s">
        <v>97</v>
      </c>
      <c r="C4" s="37"/>
      <c r="D4" s="37"/>
      <c r="E4" s="37"/>
      <c r="F4" s="37"/>
      <c r="G4" s="37"/>
      <c r="H4" s="37"/>
      <c r="O4" s="38" t="s">
        <v>98</v>
      </c>
      <c r="P4" s="38"/>
      <c r="Q4" s="38"/>
      <c r="R4" s="38"/>
      <c r="S4" s="38"/>
      <c r="T4" s="38"/>
      <c r="U4" s="38"/>
    </row>
    <row r="5" spans="2:21" ht="25.2" x14ac:dyDescent="0.3">
      <c r="B5" s="37"/>
      <c r="C5" s="37"/>
      <c r="D5" s="37"/>
      <c r="E5" s="37"/>
      <c r="F5" s="37"/>
      <c r="G5" s="37"/>
      <c r="H5" s="37"/>
      <c r="I5" s="39" t="s">
        <v>100</v>
      </c>
      <c r="J5" s="39"/>
      <c r="K5" s="39"/>
      <c r="L5" s="39"/>
      <c r="M5" s="40"/>
      <c r="N5" s="40"/>
      <c r="O5" s="38"/>
      <c r="P5" s="38"/>
      <c r="Q5" s="38"/>
      <c r="R5" s="38"/>
      <c r="S5" s="38"/>
      <c r="T5" s="38"/>
      <c r="U5" s="38"/>
    </row>
    <row r="6" spans="2:21" x14ac:dyDescent="0.3">
      <c r="B6" s="37"/>
      <c r="C6" s="37"/>
      <c r="D6" s="37"/>
      <c r="E6" s="37"/>
      <c r="F6" s="37"/>
      <c r="G6" s="37"/>
      <c r="H6" s="37"/>
      <c r="O6" s="38"/>
      <c r="P6" s="38"/>
      <c r="Q6" s="38"/>
      <c r="R6" s="38"/>
      <c r="S6" s="38"/>
      <c r="T6" s="38"/>
      <c r="U6" s="38"/>
    </row>
    <row r="7" spans="2:21" x14ac:dyDescent="0.3">
      <c r="B7" s="37"/>
      <c r="C7" s="37"/>
      <c r="D7" s="37"/>
      <c r="E7" s="37"/>
      <c r="F7" s="37"/>
      <c r="G7" s="37"/>
      <c r="H7" s="37"/>
      <c r="O7" s="38"/>
      <c r="P7" s="38"/>
      <c r="Q7" s="38"/>
      <c r="R7" s="38"/>
      <c r="S7" s="38"/>
      <c r="T7" s="38"/>
      <c r="U7" s="38"/>
    </row>
    <row r="8" spans="2:21" x14ac:dyDescent="0.3">
      <c r="B8" s="37"/>
      <c r="C8" s="37"/>
      <c r="D8" s="37"/>
      <c r="E8" s="37"/>
      <c r="F8" s="37"/>
      <c r="G8" s="37"/>
      <c r="H8" s="37"/>
      <c r="O8" s="38"/>
      <c r="P8" s="38"/>
      <c r="Q8" s="38"/>
      <c r="R8" s="38"/>
      <c r="S8" s="38"/>
      <c r="T8" s="38"/>
      <c r="U8" s="38"/>
    </row>
    <row r="9" spans="2:21" x14ac:dyDescent="0.3">
      <c r="B9" s="37"/>
      <c r="C9" s="37"/>
      <c r="D9" s="37"/>
      <c r="E9" s="37"/>
      <c r="F9" s="37"/>
      <c r="G9" s="37"/>
      <c r="H9" s="37"/>
      <c r="O9" s="38"/>
      <c r="P9" s="38"/>
      <c r="Q9" s="38"/>
      <c r="R9" s="38"/>
      <c r="S9" s="38"/>
      <c r="T9" s="38"/>
      <c r="U9" s="38"/>
    </row>
    <row r="10" spans="2:21" x14ac:dyDescent="0.3">
      <c r="B10" s="37"/>
      <c r="C10" s="37"/>
      <c r="D10" s="37"/>
      <c r="E10" s="37"/>
      <c r="F10" s="37"/>
      <c r="G10" s="37"/>
      <c r="H10" s="37"/>
      <c r="O10" s="38"/>
      <c r="P10" s="38"/>
      <c r="Q10" s="38"/>
      <c r="R10" s="38"/>
      <c r="S10" s="38"/>
      <c r="T10" s="38"/>
      <c r="U10" s="38"/>
    </row>
    <row r="11" spans="2:21" ht="25.8" x14ac:dyDescent="0.5">
      <c r="B11" s="37"/>
      <c r="C11" s="37"/>
      <c r="D11" s="37"/>
      <c r="E11" s="37"/>
      <c r="F11" s="37"/>
      <c r="G11" s="37"/>
      <c r="H11" s="37"/>
      <c r="I11" s="39" t="s">
        <v>99</v>
      </c>
      <c r="J11" s="39"/>
      <c r="K11" s="39"/>
      <c r="L11" s="39"/>
      <c r="M11" s="41"/>
      <c r="N11" s="41"/>
      <c r="O11" s="38"/>
      <c r="P11" s="38"/>
      <c r="Q11" s="38"/>
      <c r="R11" s="38"/>
      <c r="S11" s="38"/>
      <c r="T11" s="38"/>
      <c r="U11" s="38"/>
    </row>
    <row r="12" spans="2:21" x14ac:dyDescent="0.3">
      <c r="B12" s="37"/>
      <c r="C12" s="37"/>
      <c r="D12" s="37"/>
      <c r="E12" s="37"/>
      <c r="F12" s="37"/>
      <c r="G12" s="37"/>
      <c r="H12" s="37"/>
      <c r="O12" s="38"/>
      <c r="P12" s="38"/>
      <c r="Q12" s="38"/>
      <c r="R12" s="38"/>
      <c r="S12" s="38"/>
      <c r="T12" s="38"/>
      <c r="U12" s="38"/>
    </row>
    <row r="16" spans="2:21" x14ac:dyDescent="0.3">
      <c r="J16" s="6"/>
      <c r="O16" s="4"/>
    </row>
    <row r="17" spans="2:20" x14ac:dyDescent="0.3">
      <c r="B17" s="1" t="s">
        <v>0</v>
      </c>
      <c r="G17" s="1" t="s">
        <v>14</v>
      </c>
      <c r="J17" s="6"/>
      <c r="L17" s="1" t="s">
        <v>15</v>
      </c>
      <c r="O17" s="4"/>
      <c r="Q17" s="1" t="s">
        <v>8</v>
      </c>
    </row>
    <row r="18" spans="2:20" x14ac:dyDescent="0.3">
      <c r="B18" t="s">
        <v>78</v>
      </c>
      <c r="G18" t="s">
        <v>81</v>
      </c>
      <c r="J18" s="6"/>
      <c r="L18" t="s">
        <v>80</v>
      </c>
      <c r="O18" s="4"/>
      <c r="Q18" t="s">
        <v>79</v>
      </c>
    </row>
    <row r="19" spans="2:20" x14ac:dyDescent="0.3">
      <c r="G19" t="s">
        <v>82</v>
      </c>
      <c r="J19" s="6"/>
      <c r="L19" t="s">
        <v>96</v>
      </c>
      <c r="O19" s="4"/>
    </row>
    <row r="20" spans="2:20" x14ac:dyDescent="0.3">
      <c r="J20" s="6"/>
      <c r="O20" s="4"/>
    </row>
    <row r="21" spans="2:20" x14ac:dyDescent="0.3">
      <c r="B21" s="1"/>
      <c r="D21" t="s">
        <v>11</v>
      </c>
      <c r="E21" s="63">
        <v>108.11089577935499</v>
      </c>
      <c r="F21" s="4"/>
      <c r="G21" s="1"/>
      <c r="I21" t="s">
        <v>7</v>
      </c>
      <c r="J21" s="64">
        <v>9.4304733727810657</v>
      </c>
      <c r="L21" s="1"/>
      <c r="N21" t="s">
        <v>7</v>
      </c>
      <c r="O21" s="64">
        <v>-1.2741779811433389</v>
      </c>
      <c r="Q21" s="1"/>
      <c r="S21" t="s">
        <v>7</v>
      </c>
      <c r="T21" s="64">
        <v>8.1562953916377268</v>
      </c>
    </row>
    <row r="22" spans="2:20" x14ac:dyDescent="0.3">
      <c r="D22" t="s">
        <v>12</v>
      </c>
      <c r="E22" s="4">
        <v>106.73274487495037</v>
      </c>
      <c r="F22" s="4"/>
      <c r="J22" s="4"/>
      <c r="O22" s="4"/>
      <c r="T22" s="4"/>
    </row>
    <row r="24" spans="2:20" x14ac:dyDescent="0.3">
      <c r="B24" s="55" t="s">
        <v>3</v>
      </c>
      <c r="C24" s="55" t="s">
        <v>1</v>
      </c>
      <c r="D24" s="55" t="s">
        <v>6</v>
      </c>
      <c r="E24" s="55" t="s">
        <v>4</v>
      </c>
      <c r="G24" s="55" t="s">
        <v>3</v>
      </c>
      <c r="H24" s="55" t="s">
        <v>1</v>
      </c>
      <c r="I24" s="55" t="s">
        <v>6</v>
      </c>
      <c r="J24" s="55" t="s">
        <v>4</v>
      </c>
      <c r="L24" s="55" t="s">
        <v>3</v>
      </c>
      <c r="M24" s="55" t="s">
        <v>1</v>
      </c>
      <c r="N24" s="55" t="s">
        <v>6</v>
      </c>
      <c r="O24" s="55" t="s">
        <v>4</v>
      </c>
      <c r="Q24" s="55" t="s">
        <v>3</v>
      </c>
      <c r="R24" s="55" t="s">
        <v>1</v>
      </c>
      <c r="S24" s="55" t="s">
        <v>6</v>
      </c>
      <c r="T24" s="55" t="s">
        <v>4</v>
      </c>
    </row>
    <row r="25" spans="2:20" x14ac:dyDescent="0.3">
      <c r="B25" s="43">
        <v>1</v>
      </c>
      <c r="C25" s="44">
        <v>5</v>
      </c>
      <c r="D25" s="45">
        <v>0.96153846153846145</v>
      </c>
      <c r="E25" s="46">
        <v>4.8076923076923075</v>
      </c>
      <c r="G25" s="43">
        <v>1</v>
      </c>
      <c r="H25" s="44">
        <v>5</v>
      </c>
      <c r="I25" s="45">
        <v>0.96153846153846145</v>
      </c>
      <c r="J25" s="46">
        <v>4.8076923076923075</v>
      </c>
      <c r="L25" s="43">
        <v>1</v>
      </c>
      <c r="M25" s="59"/>
      <c r="N25" s="45">
        <v>0.96153846153846145</v>
      </c>
      <c r="O25" s="46">
        <v>0</v>
      </c>
      <c r="Q25" s="43">
        <v>1</v>
      </c>
      <c r="R25" s="44">
        <v>5</v>
      </c>
      <c r="S25" s="45">
        <v>0.96153846153846145</v>
      </c>
      <c r="T25" s="46">
        <v>4.8076923076923075</v>
      </c>
    </row>
    <row r="26" spans="2:20" x14ac:dyDescent="0.3">
      <c r="B26" s="47">
        <v>2</v>
      </c>
      <c r="C26" s="48">
        <v>5</v>
      </c>
      <c r="D26" s="49">
        <v>0.92455621301775137</v>
      </c>
      <c r="E26" s="50">
        <v>4.6227810650887573</v>
      </c>
      <c r="G26" s="47">
        <v>2</v>
      </c>
      <c r="H26" s="48">
        <v>5</v>
      </c>
      <c r="I26" s="49">
        <v>0.92455621301775137</v>
      </c>
      <c r="J26" s="50">
        <v>4.6227810650887573</v>
      </c>
      <c r="L26" s="47">
        <v>2</v>
      </c>
      <c r="M26" s="63">
        <v>-108.11089577935499</v>
      </c>
      <c r="N26" s="49">
        <v>0.92455621301775137</v>
      </c>
      <c r="O26" s="50">
        <v>-99.95460038771725</v>
      </c>
      <c r="Q26" s="47">
        <v>2</v>
      </c>
      <c r="R26" s="57">
        <v>-103.11089577935499</v>
      </c>
      <c r="S26" s="49">
        <v>0.92455621301775137</v>
      </c>
      <c r="T26" s="50">
        <v>-95.33181932262849</v>
      </c>
    </row>
    <row r="27" spans="2:20" x14ac:dyDescent="0.3">
      <c r="B27" s="47">
        <v>3</v>
      </c>
      <c r="C27" s="48">
        <v>5</v>
      </c>
      <c r="D27" s="49">
        <v>0.88899635867091487</v>
      </c>
      <c r="E27" s="50">
        <v>4.4449817933545743</v>
      </c>
      <c r="G27" s="47">
        <v>3</v>
      </c>
      <c r="H27" s="57"/>
      <c r="I27" s="49"/>
      <c r="J27" s="61"/>
      <c r="L27" s="47">
        <v>3</v>
      </c>
      <c r="M27" s="48">
        <v>5</v>
      </c>
      <c r="N27" s="49">
        <v>0.88899635867091487</v>
      </c>
      <c r="O27" s="50">
        <v>4.4449817933545743</v>
      </c>
      <c r="Q27" s="47">
        <v>3</v>
      </c>
      <c r="R27" s="48">
        <v>5</v>
      </c>
      <c r="S27" s="49">
        <v>0.88899635867091487</v>
      </c>
      <c r="T27" s="50">
        <v>4.4449817933545743</v>
      </c>
    </row>
    <row r="28" spans="2:20" x14ac:dyDescent="0.3">
      <c r="B28" s="47">
        <v>4</v>
      </c>
      <c r="C28" s="48">
        <v>5</v>
      </c>
      <c r="D28" s="49">
        <v>0.85480419102972571</v>
      </c>
      <c r="E28" s="50">
        <v>4.2740209551486288</v>
      </c>
      <c r="G28" s="47">
        <v>4</v>
      </c>
      <c r="H28" s="57"/>
      <c r="I28" s="49"/>
      <c r="J28" s="61"/>
      <c r="L28" s="47">
        <v>4</v>
      </c>
      <c r="M28" s="48">
        <v>5</v>
      </c>
      <c r="N28" s="49">
        <v>0.85480419102972571</v>
      </c>
      <c r="O28" s="50">
        <v>4.2740209551486288</v>
      </c>
      <c r="Q28" s="47">
        <v>4</v>
      </c>
      <c r="R28" s="48">
        <v>5</v>
      </c>
      <c r="S28" s="49">
        <v>0.85480419102972571</v>
      </c>
      <c r="T28" s="50">
        <v>4.2740209551486288</v>
      </c>
    </row>
    <row r="29" spans="2:20" x14ac:dyDescent="0.3">
      <c r="B29" s="47">
        <v>5</v>
      </c>
      <c r="C29" s="48">
        <v>5</v>
      </c>
      <c r="D29" s="49">
        <v>0.82192710675935154</v>
      </c>
      <c r="E29" s="50">
        <v>4.1096355337967578</v>
      </c>
      <c r="G29" s="47">
        <v>5</v>
      </c>
      <c r="H29" s="57"/>
      <c r="I29" s="49"/>
      <c r="J29" s="61"/>
      <c r="L29" s="47">
        <v>5</v>
      </c>
      <c r="M29" s="48">
        <v>5</v>
      </c>
      <c r="N29" s="49">
        <v>0.82192710675935154</v>
      </c>
      <c r="O29" s="50">
        <v>4.1096355337967578</v>
      </c>
      <c r="Q29" s="47">
        <v>5</v>
      </c>
      <c r="R29" s="48">
        <v>5</v>
      </c>
      <c r="S29" s="49">
        <v>0.82192710675935154</v>
      </c>
      <c r="T29" s="50">
        <v>4.1096355337967578</v>
      </c>
    </row>
    <row r="30" spans="2:20" x14ac:dyDescent="0.3">
      <c r="B30" s="47">
        <v>6</v>
      </c>
      <c r="C30" s="48">
        <v>5</v>
      </c>
      <c r="D30" s="49">
        <v>0.79031452573014571</v>
      </c>
      <c r="E30" s="50">
        <v>3.9515726286507284</v>
      </c>
      <c r="G30" s="47">
        <v>6</v>
      </c>
      <c r="H30" s="57"/>
      <c r="I30" s="49"/>
      <c r="J30" s="61"/>
      <c r="L30" s="47">
        <v>6</v>
      </c>
      <c r="M30" s="48">
        <v>5</v>
      </c>
      <c r="N30" s="49">
        <v>0.79031452573014571</v>
      </c>
      <c r="O30" s="50">
        <v>3.9515726286507284</v>
      </c>
      <c r="Q30" s="47">
        <v>6</v>
      </c>
      <c r="R30" s="48">
        <v>5</v>
      </c>
      <c r="S30" s="49">
        <v>0.79031452573014571</v>
      </c>
      <c r="T30" s="50">
        <v>3.9515726286507284</v>
      </c>
    </row>
    <row r="31" spans="2:20" x14ac:dyDescent="0.3">
      <c r="B31" s="47">
        <v>7</v>
      </c>
      <c r="C31" s="48">
        <v>5</v>
      </c>
      <c r="D31" s="49">
        <v>0.75991781320206331</v>
      </c>
      <c r="E31" s="50">
        <v>3.7995890660103164</v>
      </c>
      <c r="G31" s="47">
        <v>7</v>
      </c>
      <c r="H31" s="57"/>
      <c r="I31" s="49"/>
      <c r="J31" s="61"/>
      <c r="L31" s="47">
        <v>7</v>
      </c>
      <c r="M31" s="48">
        <v>5</v>
      </c>
      <c r="N31" s="49">
        <v>0.75991781320206331</v>
      </c>
      <c r="O31" s="50">
        <v>3.7995890660103164</v>
      </c>
      <c r="Q31" s="47">
        <v>7</v>
      </c>
      <c r="R31" s="48">
        <v>5</v>
      </c>
      <c r="S31" s="49">
        <v>0.75991781320206331</v>
      </c>
      <c r="T31" s="50">
        <v>3.7995890660103164</v>
      </c>
    </row>
    <row r="32" spans="2:20" x14ac:dyDescent="0.3">
      <c r="B32" s="47">
        <v>8</v>
      </c>
      <c r="C32" s="48">
        <v>5</v>
      </c>
      <c r="D32" s="49">
        <v>0.73069020500198378</v>
      </c>
      <c r="E32" s="50">
        <v>3.653451025009919</v>
      </c>
      <c r="G32" s="47">
        <v>8</v>
      </c>
      <c r="H32" s="57"/>
      <c r="I32" s="49"/>
      <c r="J32" s="61"/>
      <c r="L32" s="47">
        <v>8</v>
      </c>
      <c r="M32" s="48">
        <v>5</v>
      </c>
      <c r="N32" s="49">
        <v>0.73069020500198378</v>
      </c>
      <c r="O32" s="50">
        <v>3.653451025009919</v>
      </c>
      <c r="Q32" s="47">
        <v>8</v>
      </c>
      <c r="R32" s="48">
        <v>5</v>
      </c>
      <c r="S32" s="49">
        <v>0.73069020500198378</v>
      </c>
      <c r="T32" s="50">
        <v>3.653451025009919</v>
      </c>
    </row>
    <row r="33" spans="2:20" x14ac:dyDescent="0.3">
      <c r="B33" s="47">
        <v>9</v>
      </c>
      <c r="C33" s="48">
        <v>5</v>
      </c>
      <c r="D33" s="49">
        <v>0.70258673557883045</v>
      </c>
      <c r="E33" s="50">
        <v>3.5129336778941522</v>
      </c>
      <c r="G33" s="47">
        <v>9</v>
      </c>
      <c r="H33" s="57"/>
      <c r="I33" s="49"/>
      <c r="J33" s="61"/>
      <c r="L33" s="47">
        <v>9</v>
      </c>
      <c r="M33" s="48">
        <v>5</v>
      </c>
      <c r="N33" s="49">
        <v>0.70258673557883045</v>
      </c>
      <c r="O33" s="50">
        <v>3.5129336778941522</v>
      </c>
      <c r="Q33" s="47">
        <v>9</v>
      </c>
      <c r="R33" s="48">
        <v>5</v>
      </c>
      <c r="S33" s="49">
        <v>0.70258673557883045</v>
      </c>
      <c r="T33" s="50">
        <v>3.5129336778941522</v>
      </c>
    </row>
    <row r="34" spans="2:20" x14ac:dyDescent="0.3">
      <c r="B34" s="51">
        <v>10</v>
      </c>
      <c r="C34" s="52">
        <v>105</v>
      </c>
      <c r="D34" s="53">
        <v>0.67556416882579851</v>
      </c>
      <c r="E34" s="54">
        <v>70.934237726708844</v>
      </c>
      <c r="G34" s="51">
        <v>10</v>
      </c>
      <c r="H34" s="58"/>
      <c r="I34" s="53"/>
      <c r="J34" s="62"/>
      <c r="L34" s="51">
        <v>10</v>
      </c>
      <c r="M34" s="52">
        <v>105</v>
      </c>
      <c r="N34" s="53">
        <v>0.67556416882579851</v>
      </c>
      <c r="O34" s="54">
        <v>70.934237726708844</v>
      </c>
      <c r="Q34" s="51">
        <v>10</v>
      </c>
      <c r="R34" s="52">
        <v>105</v>
      </c>
      <c r="S34" s="53">
        <v>0.67556416882579851</v>
      </c>
      <c r="T34" s="54">
        <v>70.934237726708844</v>
      </c>
    </row>
  </sheetData>
  <mergeCells count="4">
    <mergeCell ref="B4:H12"/>
    <mergeCell ref="O4:U12"/>
    <mergeCell ref="I5:N5"/>
    <mergeCell ref="I11:N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Bond TRS</vt:lpstr>
      <vt:lpstr>Notional Schedule</vt:lpstr>
      <vt:lpstr>Pricing Approx</vt:lpstr>
      <vt:lpstr>Diagrams</vt:lpstr>
      <vt:lpstr>Coupon</vt:lpstr>
      <vt:lpstr>Maturity</vt:lpstr>
      <vt:lpstr>Notional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cp:lastPrinted>2024-11-01T16:27:40Z</cp:lastPrinted>
  <dcterms:created xsi:type="dcterms:W3CDTF">2024-10-30T17:58:18Z</dcterms:created>
  <dcterms:modified xsi:type="dcterms:W3CDTF">2024-11-17T21:35:45Z</dcterms:modified>
</cp:coreProperties>
</file>